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원일남\일일업무보고\"/>
    </mc:Choice>
  </mc:AlternateContent>
  <xr:revisionPtr revIDLastSave="0" documentId="8_{B11F24F7-EC39-4206-A7D0-7DF2A8F66EE2}" xr6:coauthVersionLast="47" xr6:coauthVersionMax="47" xr10:uidLastSave="{00000000-0000-0000-0000-000000000000}"/>
  <bookViews>
    <workbookView xWindow="28680" yWindow="-120" windowWidth="29040" windowHeight="15840" xr2:uid="{00000000-000D-0000-FFFF-FFFF00000000}"/>
  </bookViews>
  <sheets>
    <sheet name="Sheet1" sheetId="1" r:id="rId1"/>
  </sheets>
  <definedNames>
    <definedName name="_xlnm._FilterDatabase" localSheetId="0" hidden="1">Sheet1!$A$1:$H$15416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830" i="1" l="1"/>
  <c r="G10829" i="1"/>
  <c r="G10828" i="1"/>
  <c r="G10827" i="1"/>
  <c r="G10826" i="1"/>
  <c r="G10825" i="1"/>
  <c r="G10824" i="1"/>
  <c r="G10823" i="1"/>
  <c r="G10822" i="1"/>
  <c r="G10821" i="1"/>
  <c r="G10820" i="1"/>
  <c r="G10819" i="1"/>
  <c r="G10818" i="1"/>
  <c r="G10817" i="1"/>
  <c r="G10816" i="1"/>
  <c r="G10815" i="1"/>
  <c r="G10814" i="1"/>
  <c r="G10813" i="1"/>
  <c r="G10812" i="1"/>
  <c r="G10811" i="1"/>
  <c r="G10810" i="1"/>
  <c r="G10809" i="1"/>
  <c r="G10808" i="1"/>
  <c r="G10807" i="1"/>
  <c r="G10806" i="1"/>
  <c r="G10805" i="1"/>
  <c r="G10804" i="1"/>
  <c r="G10803" i="1"/>
  <c r="G10802" i="1"/>
  <c r="G10801" i="1"/>
  <c r="G10800" i="1"/>
  <c r="G10799" i="1"/>
  <c r="G10798" i="1"/>
  <c r="G10797" i="1"/>
  <c r="G10796" i="1"/>
  <c r="G10795" i="1"/>
  <c r="G10794" i="1"/>
  <c r="G10793" i="1"/>
  <c r="G10792" i="1"/>
  <c r="G10791" i="1"/>
  <c r="G10790" i="1"/>
  <c r="G10789" i="1"/>
  <c r="G10788" i="1"/>
  <c r="G10787" i="1"/>
  <c r="G10786" i="1"/>
  <c r="G10785" i="1"/>
  <c r="G10784" i="1"/>
  <c r="G10783" i="1"/>
  <c r="G10782" i="1"/>
  <c r="G10781" i="1"/>
  <c r="G10780" i="1"/>
  <c r="G10779" i="1"/>
  <c r="G10778" i="1"/>
  <c r="G10777" i="1"/>
  <c r="G10776" i="1"/>
  <c r="G10775" i="1"/>
  <c r="G10774" i="1"/>
  <c r="G10773" i="1"/>
  <c r="G10772" i="1"/>
  <c r="G10771" i="1"/>
  <c r="G10770" i="1"/>
  <c r="G10769" i="1"/>
  <c r="G10768" i="1"/>
  <c r="G10767" i="1"/>
  <c r="G10766" i="1"/>
  <c r="G10765" i="1"/>
  <c r="G10764" i="1"/>
  <c r="G10763" i="1"/>
  <c r="G10762" i="1"/>
  <c r="G10761" i="1"/>
  <c r="G10760" i="1"/>
  <c r="G10759" i="1"/>
  <c r="G10758" i="1"/>
  <c r="G10757" i="1"/>
  <c r="G10756" i="1"/>
  <c r="G10755" i="1"/>
  <c r="G10754" i="1"/>
  <c r="G10753" i="1"/>
  <c r="G10752" i="1"/>
  <c r="G10751" i="1"/>
  <c r="G10750" i="1"/>
  <c r="G10749" i="1"/>
  <c r="G10748" i="1"/>
  <c r="G10747" i="1"/>
  <c r="G10746" i="1"/>
  <c r="G10745" i="1"/>
  <c r="G10744" i="1"/>
  <c r="G10743" i="1"/>
  <c r="G10742" i="1"/>
  <c r="G10741" i="1"/>
  <c r="G10740" i="1"/>
  <c r="G10739" i="1"/>
  <c r="G10738" i="1"/>
  <c r="G10737" i="1"/>
  <c r="G10736" i="1"/>
  <c r="G10735" i="1"/>
  <c r="G10734" i="1"/>
  <c r="G10733" i="1"/>
  <c r="G10732" i="1"/>
  <c r="G10731" i="1"/>
  <c r="G10730" i="1"/>
  <c r="G10729" i="1"/>
  <c r="G10728" i="1"/>
  <c r="G10727" i="1"/>
  <c r="G10726" i="1"/>
  <c r="G10725" i="1"/>
  <c r="G10724" i="1"/>
  <c r="G10723" i="1"/>
  <c r="G10722" i="1"/>
  <c r="G10721" i="1"/>
  <c r="G10720" i="1"/>
  <c r="G10719" i="1"/>
  <c r="G10718" i="1"/>
  <c r="G10717" i="1"/>
  <c r="G10716" i="1"/>
  <c r="G10715" i="1"/>
  <c r="G10714" i="1"/>
  <c r="G10713" i="1"/>
  <c r="G10712" i="1"/>
  <c r="G10711" i="1"/>
  <c r="G10710" i="1"/>
  <c r="G10709" i="1"/>
  <c r="G10708" i="1"/>
  <c r="G10707" i="1"/>
  <c r="G10706" i="1"/>
  <c r="G10705" i="1"/>
  <c r="G10704" i="1"/>
  <c r="G10703" i="1"/>
  <c r="G10702" i="1"/>
  <c r="G10701" i="1"/>
  <c r="G10700" i="1"/>
  <c r="G10699" i="1"/>
  <c r="G10698" i="1"/>
  <c r="G10697" i="1"/>
  <c r="G10696" i="1"/>
  <c r="G10695" i="1"/>
  <c r="G10694" i="1"/>
  <c r="G10693" i="1"/>
  <c r="G10692" i="1"/>
  <c r="G10691" i="1"/>
  <c r="G10690" i="1"/>
  <c r="G10689" i="1"/>
  <c r="G10688" i="1"/>
  <c r="G10687" i="1"/>
  <c r="G10686" i="1"/>
  <c r="G10685" i="1"/>
  <c r="G10684" i="1"/>
  <c r="G10683" i="1"/>
  <c r="G10682" i="1"/>
  <c r="G10681" i="1"/>
  <c r="G10680" i="1"/>
  <c r="G10679" i="1"/>
  <c r="G10678" i="1"/>
  <c r="G10677" i="1"/>
  <c r="G10676" i="1"/>
  <c r="G10675" i="1"/>
  <c r="G10674" i="1"/>
  <c r="G10673" i="1"/>
  <c r="G10672" i="1"/>
  <c r="G10671" i="1"/>
  <c r="G10670" i="1"/>
  <c r="G10669" i="1"/>
  <c r="G10668" i="1"/>
  <c r="G10667" i="1"/>
  <c r="G10666" i="1"/>
  <c r="G10665" i="1"/>
  <c r="G10664" i="1"/>
  <c r="G10663" i="1"/>
  <c r="G10662" i="1"/>
  <c r="G10661" i="1"/>
  <c r="G10660" i="1"/>
  <c r="G10659" i="1"/>
  <c r="G10658" i="1"/>
  <c r="G10657" i="1"/>
  <c r="G10656" i="1"/>
  <c r="G10655" i="1"/>
  <c r="G10654" i="1"/>
  <c r="G10653" i="1"/>
  <c r="G10652" i="1"/>
  <c r="G10651" i="1"/>
  <c r="G10650" i="1"/>
  <c r="G10649" i="1"/>
  <c r="G10648" i="1"/>
  <c r="G10647" i="1"/>
  <c r="G10646" i="1"/>
  <c r="G10645" i="1"/>
  <c r="G10644" i="1"/>
  <c r="G10643" i="1"/>
  <c r="G10642" i="1"/>
  <c r="G10641" i="1"/>
  <c r="G10640" i="1"/>
  <c r="G10639" i="1"/>
  <c r="G10638" i="1"/>
  <c r="G10637" i="1"/>
  <c r="G10636" i="1"/>
  <c r="G10635" i="1"/>
  <c r="G10634" i="1"/>
  <c r="G10633" i="1"/>
  <c r="G10632" i="1"/>
  <c r="G10631" i="1"/>
  <c r="G10630" i="1"/>
  <c r="G10629" i="1"/>
  <c r="G10628" i="1"/>
  <c r="G10627" i="1"/>
  <c r="G10626" i="1"/>
  <c r="G10625" i="1"/>
  <c r="G10624" i="1"/>
  <c r="G10623" i="1"/>
  <c r="G10622" i="1"/>
  <c r="G10621" i="1"/>
  <c r="G10620" i="1"/>
  <c r="G10619" i="1"/>
  <c r="G10618" i="1"/>
  <c r="G10617" i="1"/>
  <c r="G10616" i="1"/>
  <c r="G10615" i="1"/>
  <c r="G10614" i="1"/>
  <c r="G10613" i="1"/>
  <c r="G10612" i="1"/>
  <c r="G10611" i="1"/>
  <c r="G10610" i="1"/>
  <c r="G10609" i="1"/>
  <c r="G10608" i="1"/>
  <c r="G10607" i="1"/>
  <c r="G10606" i="1"/>
  <c r="G10605" i="1"/>
  <c r="G10604" i="1"/>
  <c r="G10603" i="1"/>
  <c r="G10602" i="1"/>
  <c r="G10601" i="1"/>
  <c r="G10600" i="1"/>
  <c r="G10599" i="1"/>
  <c r="G10598" i="1"/>
  <c r="G10597" i="1"/>
  <c r="G10596" i="1"/>
  <c r="G10595" i="1"/>
  <c r="G10594" i="1"/>
  <c r="G10593" i="1"/>
  <c r="G10592" i="1"/>
  <c r="G10591" i="1"/>
  <c r="G10590" i="1"/>
  <c r="G10589" i="1"/>
  <c r="G10588" i="1"/>
  <c r="G10587" i="1"/>
  <c r="G10586" i="1"/>
  <c r="G10585" i="1"/>
  <c r="G10584" i="1"/>
  <c r="G10583" i="1"/>
  <c r="G10582" i="1"/>
  <c r="G10581" i="1"/>
  <c r="G10580" i="1"/>
  <c r="G10579" i="1"/>
  <c r="G10578" i="1"/>
  <c r="G10577" i="1"/>
  <c r="G10576" i="1"/>
  <c r="G10575" i="1"/>
  <c r="G10574" i="1"/>
  <c r="G10573" i="1"/>
  <c r="G10572" i="1"/>
  <c r="G10571" i="1"/>
  <c r="G10570" i="1"/>
  <c r="G10569" i="1"/>
  <c r="G10568" i="1"/>
  <c r="G10567" i="1"/>
  <c r="G10566" i="1"/>
  <c r="G10565" i="1"/>
  <c r="G10564" i="1"/>
  <c r="G10563" i="1"/>
  <c r="G10562" i="1"/>
  <c r="G10561" i="1"/>
  <c r="G10560" i="1"/>
  <c r="G10559" i="1"/>
  <c r="G10558" i="1"/>
  <c r="G10557" i="1"/>
  <c r="G10556" i="1"/>
  <c r="G10555" i="1"/>
  <c r="G10554" i="1"/>
  <c r="G10553" i="1"/>
  <c r="G10552" i="1"/>
  <c r="G10551" i="1"/>
  <c r="G10550" i="1"/>
  <c r="G10549" i="1"/>
  <c r="G10548" i="1"/>
  <c r="G10547" i="1"/>
  <c r="G10546" i="1"/>
  <c r="G10545" i="1"/>
  <c r="G10544" i="1"/>
  <c r="G10543" i="1"/>
  <c r="G10542" i="1"/>
  <c r="G10541" i="1"/>
  <c r="G10540" i="1"/>
  <c r="G10539" i="1"/>
  <c r="G10538" i="1"/>
  <c r="G10537" i="1"/>
  <c r="G10536" i="1"/>
  <c r="G10535" i="1"/>
  <c r="G10534" i="1"/>
  <c r="G10533" i="1"/>
  <c r="G10532" i="1"/>
  <c r="G10531" i="1"/>
  <c r="G10530" i="1"/>
  <c r="G10529" i="1"/>
  <c r="G10528" i="1"/>
  <c r="G10527" i="1"/>
  <c r="G10526" i="1"/>
  <c r="G10525" i="1"/>
  <c r="G10524" i="1"/>
  <c r="G10523" i="1"/>
  <c r="G10522" i="1"/>
  <c r="G10521" i="1"/>
  <c r="G10520" i="1"/>
  <c r="G10519" i="1"/>
  <c r="G10518" i="1"/>
  <c r="G10517" i="1"/>
  <c r="G10516" i="1"/>
  <c r="G10515" i="1"/>
  <c r="G10514" i="1"/>
  <c r="G10513" i="1"/>
  <c r="G10512" i="1"/>
  <c r="G10511" i="1"/>
  <c r="G10510" i="1"/>
  <c r="G10509" i="1"/>
  <c r="G10508" i="1"/>
  <c r="G10507" i="1"/>
  <c r="G10506" i="1"/>
  <c r="G10505" i="1"/>
  <c r="G10504" i="1"/>
  <c r="G10503" i="1"/>
  <c r="G10502" i="1"/>
  <c r="G10501" i="1"/>
  <c r="G10500" i="1"/>
  <c r="G10499" i="1"/>
  <c r="G10498" i="1"/>
  <c r="G10497" i="1"/>
  <c r="G10496" i="1"/>
  <c r="G10495" i="1"/>
  <c r="G10494" i="1"/>
  <c r="G10493" i="1"/>
  <c r="G10492" i="1"/>
  <c r="G10491" i="1"/>
  <c r="G10490" i="1"/>
  <c r="G10489" i="1"/>
  <c r="G10488" i="1"/>
  <c r="G10487" i="1"/>
  <c r="G10486" i="1"/>
  <c r="G10485" i="1"/>
  <c r="G10484" i="1"/>
  <c r="G10483" i="1"/>
  <c r="G10482" i="1"/>
  <c r="G10481" i="1"/>
  <c r="G10480" i="1"/>
  <c r="G10479" i="1"/>
  <c r="G10478" i="1"/>
  <c r="G10477" i="1"/>
  <c r="G10476" i="1"/>
  <c r="G10475" i="1"/>
  <c r="G10474" i="1"/>
  <c r="G10473" i="1"/>
  <c r="G10472" i="1"/>
  <c r="G10471" i="1"/>
  <c r="G10470" i="1"/>
  <c r="G10469" i="1"/>
  <c r="G10468" i="1"/>
  <c r="G10467" i="1"/>
  <c r="G10466" i="1"/>
  <c r="G10465" i="1"/>
  <c r="G10464" i="1"/>
  <c r="G10463" i="1"/>
  <c r="G10462" i="1"/>
  <c r="G10461" i="1"/>
  <c r="G10460" i="1"/>
  <c r="G10459" i="1"/>
  <c r="G10458" i="1"/>
  <c r="G10457" i="1"/>
  <c r="G10456" i="1"/>
  <c r="G10455" i="1"/>
  <c r="G10454" i="1"/>
  <c r="G10453" i="1"/>
  <c r="G10452" i="1"/>
  <c r="G10451" i="1"/>
  <c r="G10450" i="1"/>
  <c r="G10449" i="1"/>
  <c r="G10448" i="1"/>
  <c r="G10447" i="1"/>
  <c r="G10446" i="1"/>
  <c r="G10445" i="1"/>
  <c r="G10444" i="1"/>
  <c r="G10443" i="1"/>
  <c r="G10442" i="1"/>
  <c r="G10441" i="1"/>
  <c r="G10440" i="1"/>
  <c r="G10439" i="1"/>
  <c r="G10438" i="1"/>
  <c r="G10437" i="1"/>
  <c r="G10436" i="1"/>
  <c r="G10435" i="1"/>
  <c r="G10434" i="1"/>
  <c r="G10433" i="1"/>
  <c r="G10432" i="1"/>
  <c r="G10431" i="1"/>
  <c r="G10430" i="1"/>
  <c r="G10429" i="1"/>
  <c r="G10428" i="1"/>
  <c r="G10427" i="1"/>
  <c r="G10426" i="1"/>
  <c r="G10425" i="1"/>
  <c r="G10424" i="1"/>
  <c r="G10423" i="1"/>
  <c r="G10422" i="1"/>
  <c r="G10421" i="1"/>
  <c r="G10420" i="1"/>
  <c r="G10419" i="1"/>
  <c r="G10418" i="1"/>
  <c r="G10417" i="1"/>
  <c r="G10416" i="1"/>
  <c r="G10415" i="1"/>
  <c r="G10414" i="1"/>
  <c r="G10413" i="1"/>
  <c r="G10412" i="1"/>
  <c r="G10411" i="1"/>
  <c r="G10410" i="1"/>
  <c r="G10409" i="1"/>
  <c r="G10408" i="1"/>
  <c r="G10407" i="1"/>
  <c r="G10406" i="1"/>
  <c r="G10405" i="1"/>
  <c r="G10404" i="1"/>
  <c r="G10403" i="1"/>
  <c r="G10402" i="1"/>
  <c r="G10401" i="1"/>
  <c r="G10400" i="1"/>
  <c r="G10399" i="1"/>
  <c r="G10398" i="1"/>
  <c r="G10397" i="1"/>
  <c r="G10396" i="1"/>
  <c r="G10395" i="1"/>
  <c r="G10394" i="1"/>
  <c r="G10393" i="1"/>
  <c r="G10392" i="1"/>
  <c r="G10391" i="1"/>
  <c r="G10390" i="1"/>
  <c r="G10389" i="1"/>
  <c r="G10388" i="1"/>
  <c r="G10387" i="1"/>
  <c r="G10386" i="1"/>
  <c r="G10385" i="1"/>
  <c r="G10384" i="1"/>
  <c r="G10383" i="1"/>
  <c r="G10382" i="1"/>
  <c r="G10381" i="1"/>
  <c r="G10380" i="1"/>
  <c r="G10379" i="1"/>
  <c r="G10378" i="1"/>
  <c r="G10377" i="1"/>
  <c r="G10376" i="1"/>
  <c r="G10375" i="1"/>
  <c r="G10374" i="1"/>
  <c r="G10373" i="1"/>
  <c r="G10372" i="1"/>
  <c r="G10371" i="1"/>
  <c r="G10370" i="1"/>
  <c r="G10369" i="1"/>
  <c r="G10368" i="1"/>
  <c r="G10367" i="1"/>
  <c r="G10366" i="1"/>
  <c r="G10365" i="1"/>
  <c r="G10364" i="1"/>
  <c r="G10363" i="1"/>
  <c r="G10362" i="1"/>
  <c r="G10361" i="1"/>
  <c r="G10360" i="1"/>
  <c r="G10359" i="1"/>
  <c r="G10358" i="1"/>
  <c r="G10357" i="1"/>
  <c r="G10356" i="1"/>
  <c r="G10355" i="1"/>
  <c r="G10354" i="1"/>
  <c r="G10353" i="1"/>
  <c r="G10352" i="1"/>
  <c r="G10351" i="1"/>
  <c r="G10350" i="1"/>
  <c r="G10349" i="1"/>
  <c r="G10348" i="1"/>
  <c r="G10347" i="1"/>
  <c r="G10346" i="1"/>
  <c r="G10345" i="1"/>
  <c r="G10344" i="1"/>
  <c r="G10343" i="1"/>
  <c r="G10342" i="1"/>
  <c r="G10341" i="1"/>
  <c r="G10340" i="1"/>
  <c r="G10339" i="1"/>
  <c r="G10338" i="1"/>
  <c r="G10337" i="1"/>
  <c r="G10336" i="1"/>
  <c r="G10335" i="1"/>
  <c r="G10334" i="1"/>
  <c r="G10333" i="1"/>
  <c r="G10332" i="1"/>
  <c r="G10331" i="1"/>
  <c r="G10330" i="1"/>
  <c r="G10329" i="1"/>
  <c r="G10328" i="1"/>
  <c r="G10327" i="1"/>
  <c r="G10326" i="1"/>
  <c r="G10325" i="1"/>
  <c r="G10324" i="1"/>
  <c r="G10323" i="1"/>
  <c r="G10322" i="1"/>
  <c r="G10321" i="1"/>
  <c r="G10320" i="1"/>
  <c r="G10319" i="1"/>
  <c r="G10318" i="1"/>
  <c r="G10317" i="1"/>
  <c r="G10316" i="1"/>
  <c r="G10315" i="1"/>
  <c r="G10314" i="1"/>
  <c r="G10313" i="1"/>
  <c r="G10312" i="1"/>
  <c r="G10311" i="1"/>
  <c r="G10310" i="1"/>
  <c r="G10309" i="1"/>
  <c r="G10308" i="1"/>
  <c r="G10307" i="1"/>
  <c r="G10306" i="1"/>
  <c r="G10305" i="1"/>
  <c r="G10304" i="1"/>
  <c r="G10303" i="1"/>
  <c r="G10302" i="1"/>
  <c r="G10301" i="1"/>
  <c r="G10300" i="1"/>
  <c r="G10299" i="1"/>
  <c r="G10298" i="1"/>
  <c r="G10297" i="1"/>
  <c r="G10296" i="1"/>
  <c r="G10295" i="1"/>
  <c r="G10294" i="1"/>
  <c r="G10293" i="1"/>
  <c r="G10292" i="1"/>
  <c r="G10291" i="1"/>
  <c r="G10290" i="1"/>
  <c r="G10289" i="1"/>
  <c r="G10288" i="1"/>
  <c r="G10287" i="1"/>
  <c r="G10286" i="1"/>
  <c r="G10285" i="1"/>
  <c r="G10284" i="1"/>
  <c r="G10283" i="1"/>
  <c r="G10282" i="1"/>
  <c r="G10281" i="1"/>
  <c r="G10280" i="1"/>
  <c r="G10279" i="1"/>
  <c r="G10278" i="1"/>
  <c r="G10277" i="1"/>
  <c r="G10276" i="1"/>
  <c r="G10275" i="1"/>
  <c r="G10274" i="1"/>
  <c r="G10273" i="1"/>
  <c r="G10272" i="1"/>
  <c r="G10271" i="1"/>
  <c r="G10270" i="1"/>
  <c r="G10269" i="1"/>
  <c r="G10268" i="1"/>
  <c r="G10267" i="1"/>
  <c r="G10266" i="1"/>
  <c r="G10265" i="1"/>
  <c r="G10264" i="1"/>
  <c r="G10263" i="1"/>
  <c r="G10262" i="1"/>
  <c r="G10261" i="1"/>
  <c r="G10260" i="1"/>
  <c r="G10259" i="1"/>
  <c r="G10258" i="1"/>
  <c r="G10257" i="1"/>
  <c r="G10256" i="1"/>
  <c r="G10255" i="1"/>
  <c r="G10254" i="1"/>
  <c r="G10253" i="1"/>
  <c r="G10252" i="1"/>
  <c r="G10251" i="1"/>
  <c r="G10250" i="1"/>
  <c r="G10249" i="1"/>
  <c r="G10248" i="1"/>
  <c r="G10247" i="1"/>
  <c r="G10246" i="1"/>
  <c r="G10245" i="1"/>
  <c r="G10244" i="1"/>
  <c r="G10243" i="1"/>
  <c r="G10242" i="1"/>
  <c r="G10241" i="1"/>
  <c r="G10240" i="1"/>
  <c r="G10239" i="1"/>
  <c r="G10238" i="1"/>
  <c r="G10237" i="1"/>
  <c r="G10236" i="1"/>
  <c r="G10235" i="1"/>
  <c r="G10234" i="1"/>
  <c r="G10233" i="1"/>
  <c r="G10232" i="1"/>
  <c r="G10231" i="1"/>
  <c r="G10230" i="1"/>
  <c r="G10229" i="1"/>
  <c r="G10228" i="1"/>
  <c r="G10227" i="1"/>
  <c r="G10226" i="1"/>
  <c r="G10225" i="1"/>
  <c r="G10224" i="1"/>
  <c r="G10223" i="1"/>
  <c r="G10222" i="1"/>
  <c r="G10221" i="1"/>
  <c r="G10220" i="1"/>
  <c r="G10219" i="1"/>
  <c r="G10218" i="1"/>
  <c r="G10217" i="1"/>
  <c r="G10216" i="1"/>
  <c r="G10215" i="1"/>
  <c r="G10214" i="1"/>
  <c r="G10213" i="1"/>
  <c r="G10212" i="1"/>
  <c r="G10211" i="1"/>
  <c r="G10210" i="1"/>
  <c r="G10209" i="1"/>
  <c r="G10208" i="1"/>
  <c r="G10207" i="1"/>
  <c r="G10206" i="1"/>
  <c r="G10205" i="1"/>
  <c r="G10204" i="1"/>
  <c r="G10203" i="1"/>
  <c r="G10202" i="1"/>
  <c r="G10201" i="1"/>
  <c r="G10200" i="1"/>
  <c r="G10199" i="1"/>
  <c r="G10198" i="1"/>
  <c r="G10197" i="1"/>
  <c r="G10196" i="1"/>
  <c r="G10195" i="1"/>
  <c r="G10194" i="1"/>
  <c r="G10193" i="1"/>
  <c r="G10192" i="1"/>
  <c r="G10191" i="1"/>
  <c r="G10190" i="1"/>
  <c r="G10189" i="1"/>
  <c r="G10188" i="1"/>
  <c r="G10187" i="1"/>
  <c r="G10186" i="1"/>
  <c r="G10185" i="1"/>
  <c r="G10184" i="1"/>
  <c r="G10183" i="1"/>
  <c r="G10182" i="1"/>
  <c r="G10181" i="1"/>
  <c r="G10180" i="1"/>
  <c r="G10179" i="1"/>
  <c r="G10178" i="1"/>
  <c r="G10177" i="1"/>
  <c r="G10176" i="1"/>
  <c r="G10175" i="1"/>
  <c r="G10174" i="1"/>
  <c r="G10173" i="1"/>
  <c r="G10172" i="1"/>
  <c r="G10171" i="1"/>
  <c r="G10170" i="1"/>
  <c r="G10169" i="1"/>
  <c r="G10168" i="1"/>
  <c r="G10167" i="1"/>
  <c r="G10166" i="1"/>
  <c r="G10165" i="1"/>
  <c r="G10164" i="1"/>
  <c r="G10163" i="1"/>
  <c r="G10162" i="1"/>
  <c r="G10161" i="1"/>
  <c r="G10160" i="1"/>
  <c r="G10159" i="1"/>
  <c r="G10158" i="1"/>
  <c r="G10157" i="1"/>
  <c r="G10156" i="1"/>
  <c r="G10155" i="1"/>
  <c r="G10154" i="1"/>
  <c r="G10153" i="1"/>
  <c r="G10152" i="1"/>
  <c r="G10151" i="1"/>
  <c r="G10150" i="1"/>
  <c r="G10149" i="1"/>
  <c r="G10148" i="1"/>
  <c r="G10147" i="1"/>
  <c r="G10146" i="1"/>
  <c r="G10145" i="1"/>
  <c r="G10144" i="1"/>
  <c r="G10143" i="1"/>
  <c r="G10142" i="1"/>
  <c r="G10141" i="1"/>
  <c r="G10140" i="1"/>
  <c r="G10139" i="1"/>
  <c r="G10138" i="1"/>
  <c r="G10137" i="1"/>
  <c r="G10136" i="1"/>
  <c r="G10135" i="1"/>
  <c r="G10134" i="1"/>
  <c r="G10133" i="1"/>
  <c r="G10132" i="1"/>
  <c r="G10131" i="1"/>
  <c r="G10130" i="1"/>
  <c r="G10129" i="1"/>
  <c r="G10128" i="1"/>
  <c r="G10127" i="1"/>
  <c r="G10126" i="1"/>
  <c r="G10125" i="1"/>
  <c r="G10124" i="1"/>
  <c r="G10123" i="1"/>
  <c r="G10122" i="1"/>
  <c r="G10121" i="1"/>
  <c r="G10120" i="1"/>
  <c r="G10119" i="1"/>
  <c r="G10118" i="1"/>
  <c r="G10117" i="1"/>
  <c r="G10116" i="1"/>
  <c r="G10115" i="1"/>
  <c r="G10114" i="1"/>
  <c r="G10113" i="1"/>
  <c r="G10112" i="1"/>
  <c r="G10111" i="1"/>
  <c r="G10110" i="1"/>
  <c r="G10109" i="1"/>
  <c r="G10108" i="1"/>
  <c r="G10107" i="1"/>
  <c r="G10106" i="1"/>
  <c r="G10105" i="1"/>
  <c r="G10104" i="1"/>
  <c r="G10103" i="1"/>
  <c r="G10102" i="1"/>
  <c r="G10101" i="1"/>
  <c r="G10100" i="1"/>
  <c r="G10099" i="1"/>
  <c r="G10098" i="1"/>
  <c r="G10097" i="1"/>
  <c r="G10096" i="1"/>
  <c r="G10095" i="1"/>
  <c r="G10094" i="1"/>
  <c r="G10093" i="1"/>
  <c r="G10092" i="1"/>
  <c r="G10091" i="1"/>
  <c r="G10090" i="1"/>
  <c r="G10089" i="1"/>
  <c r="G10088" i="1"/>
  <c r="G10087" i="1"/>
  <c r="G10086" i="1"/>
  <c r="G10085" i="1"/>
  <c r="G10084" i="1"/>
  <c r="G10083" i="1"/>
  <c r="G10082" i="1"/>
  <c r="G10081" i="1"/>
  <c r="G10080" i="1"/>
  <c r="G10079" i="1"/>
  <c r="G10078" i="1"/>
  <c r="G10077" i="1"/>
  <c r="G10076" i="1"/>
  <c r="G10075" i="1"/>
  <c r="G10074" i="1"/>
  <c r="G10073" i="1"/>
  <c r="G10072" i="1"/>
  <c r="G10071" i="1"/>
  <c r="G10070" i="1"/>
  <c r="G10069" i="1"/>
  <c r="G10068" i="1"/>
  <c r="G10067" i="1"/>
  <c r="G10066" i="1"/>
  <c r="G10065" i="1"/>
  <c r="G10064" i="1"/>
  <c r="G10063" i="1"/>
  <c r="G10062" i="1"/>
  <c r="G10061" i="1"/>
  <c r="G10060" i="1"/>
  <c r="G10059" i="1"/>
  <c r="G10058" i="1"/>
  <c r="G10057" i="1"/>
  <c r="G10056" i="1"/>
  <c r="G10055" i="1"/>
  <c r="G10054" i="1"/>
  <c r="G10053" i="1"/>
  <c r="G10052" i="1"/>
  <c r="G10051" i="1"/>
  <c r="G10050" i="1"/>
  <c r="G10049" i="1"/>
  <c r="G10048" i="1"/>
  <c r="G10047" i="1"/>
  <c r="G10046" i="1"/>
  <c r="G10045" i="1"/>
  <c r="G10044" i="1"/>
  <c r="G10043" i="1"/>
  <c r="G10042" i="1"/>
  <c r="G10041" i="1"/>
  <c r="G10040" i="1"/>
  <c r="G10039" i="1"/>
  <c r="G10038" i="1"/>
  <c r="G10037" i="1"/>
  <c r="G10036" i="1"/>
  <c r="G10035" i="1"/>
  <c r="G10034" i="1"/>
  <c r="G10033" i="1"/>
  <c r="G10032" i="1"/>
  <c r="G10031" i="1"/>
  <c r="G10030" i="1"/>
  <c r="G10029" i="1"/>
  <c r="G10028" i="1"/>
  <c r="G10027" i="1"/>
  <c r="G10026" i="1"/>
  <c r="G10025" i="1"/>
  <c r="G10024" i="1"/>
  <c r="G10023" i="1"/>
  <c r="G10022" i="1"/>
  <c r="G10021" i="1"/>
  <c r="G10020" i="1"/>
  <c r="G10019" i="1"/>
  <c r="G10018" i="1"/>
  <c r="G10017" i="1"/>
  <c r="G10016" i="1"/>
  <c r="G10015" i="1"/>
  <c r="G10014" i="1"/>
  <c r="G10013" i="1"/>
  <c r="G10012" i="1"/>
  <c r="G10011" i="1"/>
  <c r="G10010" i="1"/>
  <c r="G10009" i="1"/>
  <c r="G10008" i="1"/>
  <c r="G10007" i="1"/>
  <c r="G10006" i="1"/>
  <c r="G10005" i="1"/>
  <c r="G10004" i="1"/>
  <c r="G10003" i="1"/>
  <c r="G10002" i="1"/>
  <c r="G10001" i="1"/>
  <c r="G10000" i="1"/>
  <c r="G9999" i="1"/>
  <c r="G9998" i="1"/>
  <c r="G9997" i="1"/>
  <c r="G9996" i="1"/>
  <c r="G9995" i="1"/>
  <c r="G9994" i="1"/>
  <c r="G9993" i="1"/>
  <c r="G9992" i="1"/>
  <c r="G9991" i="1"/>
  <c r="G9990" i="1"/>
  <c r="G9989" i="1"/>
  <c r="G9988" i="1"/>
  <c r="G9987" i="1"/>
  <c r="G9986" i="1"/>
  <c r="G9985" i="1"/>
  <c r="G9984" i="1"/>
  <c r="G9983" i="1"/>
  <c r="G9982" i="1"/>
  <c r="G9981" i="1"/>
  <c r="G9980" i="1"/>
  <c r="G9979" i="1"/>
  <c r="G9978" i="1"/>
  <c r="G9977" i="1"/>
  <c r="G9976" i="1"/>
  <c r="G9975" i="1"/>
  <c r="G9974" i="1"/>
  <c r="G9973" i="1"/>
  <c r="G9972" i="1"/>
  <c r="G9971" i="1"/>
  <c r="G9970" i="1"/>
  <c r="G9969" i="1"/>
  <c r="G9968" i="1"/>
  <c r="G9967" i="1"/>
  <c r="G9966" i="1"/>
  <c r="G9965" i="1"/>
  <c r="G9964" i="1"/>
  <c r="G9963" i="1"/>
  <c r="G9962" i="1"/>
  <c r="G9961" i="1"/>
  <c r="G9960" i="1"/>
  <c r="G9959" i="1"/>
  <c r="G9958" i="1"/>
  <c r="G9957" i="1"/>
  <c r="G9956" i="1"/>
  <c r="G9955" i="1"/>
  <c r="G9954" i="1"/>
  <c r="G9953" i="1"/>
  <c r="G9952" i="1"/>
  <c r="G9951" i="1"/>
  <c r="G9950" i="1"/>
  <c r="G9949" i="1"/>
  <c r="G9948" i="1"/>
  <c r="G9947" i="1"/>
  <c r="G9946" i="1"/>
  <c r="G9945" i="1"/>
  <c r="G9944" i="1"/>
  <c r="G9943" i="1"/>
  <c r="G9942" i="1"/>
  <c r="G9941" i="1"/>
  <c r="G9940" i="1"/>
  <c r="G9939" i="1"/>
  <c r="G9938" i="1"/>
  <c r="G9937" i="1"/>
  <c r="G9936" i="1"/>
  <c r="G9935" i="1"/>
  <c r="G9934" i="1"/>
  <c r="G9933" i="1"/>
  <c r="G9932" i="1"/>
  <c r="G9931" i="1"/>
  <c r="G9930" i="1"/>
  <c r="G9929" i="1"/>
  <c r="G9928" i="1"/>
  <c r="G9927" i="1"/>
  <c r="G9926" i="1"/>
  <c r="G9925" i="1"/>
  <c r="G9924" i="1"/>
  <c r="G9923" i="1"/>
  <c r="G9922" i="1"/>
  <c r="G9921" i="1"/>
  <c r="G9920" i="1"/>
  <c r="G9919" i="1"/>
  <c r="G9918" i="1"/>
  <c r="G9917" i="1"/>
  <c r="G9916" i="1"/>
  <c r="G9915" i="1"/>
  <c r="G9914" i="1"/>
  <c r="G9913" i="1"/>
  <c r="G9912" i="1"/>
  <c r="G9911" i="1"/>
  <c r="G9910" i="1"/>
  <c r="G9909" i="1"/>
  <c r="G9908" i="1"/>
  <c r="G9907" i="1"/>
  <c r="G9906" i="1"/>
  <c r="G9905" i="1"/>
  <c r="G9904" i="1"/>
  <c r="G9903" i="1"/>
  <c r="G9902" i="1"/>
  <c r="G9901" i="1"/>
  <c r="G9900" i="1"/>
  <c r="G9899" i="1"/>
  <c r="G9898" i="1"/>
  <c r="G9897" i="1"/>
  <c r="G9896" i="1"/>
  <c r="G9895" i="1"/>
  <c r="G9894" i="1"/>
  <c r="G9893" i="1"/>
  <c r="G9892" i="1"/>
  <c r="G9891" i="1"/>
  <c r="G9890" i="1"/>
  <c r="G9889" i="1"/>
  <c r="G9888" i="1"/>
  <c r="G9887" i="1"/>
  <c r="G9886" i="1"/>
  <c r="G9885" i="1"/>
  <c r="G9884" i="1"/>
  <c r="G9883" i="1"/>
  <c r="G9882" i="1"/>
  <c r="G9881" i="1"/>
  <c r="G9880" i="1"/>
  <c r="G9879" i="1"/>
  <c r="G9878" i="1"/>
  <c r="G9877" i="1"/>
  <c r="G9876" i="1"/>
  <c r="G9875" i="1"/>
  <c r="G9874" i="1"/>
  <c r="G9873" i="1"/>
  <c r="G9872" i="1"/>
  <c r="G9871" i="1"/>
  <c r="G9870" i="1"/>
  <c r="G9869" i="1"/>
  <c r="G9868" i="1"/>
  <c r="G9867" i="1"/>
  <c r="G9866" i="1"/>
  <c r="G9865" i="1"/>
  <c r="G9864" i="1"/>
  <c r="G9863" i="1"/>
  <c r="G9862" i="1"/>
  <c r="G9861" i="1"/>
  <c r="G9860" i="1"/>
  <c r="G9859" i="1"/>
  <c r="G9858" i="1"/>
  <c r="G9857" i="1"/>
  <c r="G9856" i="1"/>
  <c r="G9855" i="1"/>
  <c r="G9854" i="1"/>
  <c r="G9853" i="1"/>
  <c r="G9852" i="1"/>
  <c r="G9851" i="1"/>
  <c r="G9850" i="1"/>
  <c r="G9849" i="1"/>
  <c r="G9848" i="1"/>
  <c r="G9847" i="1"/>
  <c r="G9846" i="1"/>
  <c r="G9845" i="1"/>
  <c r="G9844" i="1"/>
  <c r="G9843" i="1"/>
  <c r="G9842" i="1"/>
  <c r="G9841" i="1"/>
  <c r="G9840" i="1"/>
  <c r="G9839" i="1"/>
  <c r="G9838" i="1"/>
  <c r="G9837" i="1"/>
  <c r="G9836" i="1"/>
  <c r="G9835" i="1"/>
  <c r="G9834" i="1"/>
  <c r="G9833" i="1"/>
  <c r="G9832" i="1"/>
  <c r="G9831" i="1"/>
  <c r="G9830" i="1"/>
  <c r="G9829" i="1"/>
  <c r="G9828" i="1"/>
  <c r="G9827" i="1"/>
  <c r="G9826" i="1"/>
  <c r="G9825" i="1"/>
  <c r="G9824" i="1"/>
  <c r="G9823" i="1"/>
  <c r="G9822" i="1"/>
  <c r="G9821" i="1"/>
  <c r="G9820" i="1"/>
  <c r="G9819" i="1"/>
  <c r="G9818" i="1"/>
  <c r="G9817" i="1"/>
  <c r="G9816" i="1"/>
  <c r="G9815" i="1"/>
  <c r="G9814" i="1"/>
  <c r="G9813" i="1"/>
  <c r="G9812" i="1"/>
  <c r="G9811" i="1"/>
  <c r="G9810" i="1"/>
  <c r="G9809" i="1"/>
  <c r="G9808" i="1"/>
  <c r="G9807" i="1"/>
  <c r="G9806" i="1"/>
  <c r="G9805" i="1"/>
  <c r="G9804" i="1"/>
  <c r="G9803" i="1"/>
  <c r="G9802" i="1"/>
  <c r="G9801" i="1"/>
  <c r="G9800" i="1"/>
  <c r="G9799" i="1"/>
  <c r="G9798" i="1"/>
  <c r="G9797" i="1"/>
  <c r="G9796" i="1"/>
  <c r="G9795" i="1"/>
  <c r="G9794" i="1"/>
  <c r="G9793" i="1"/>
  <c r="G9792" i="1"/>
  <c r="G9791" i="1"/>
  <c r="G9790" i="1"/>
  <c r="G9789" i="1"/>
  <c r="G9788" i="1"/>
  <c r="G9787" i="1"/>
  <c r="G9786" i="1"/>
  <c r="G9785" i="1"/>
  <c r="G9784" i="1"/>
  <c r="G9783" i="1"/>
  <c r="G9782" i="1"/>
  <c r="G9781" i="1"/>
  <c r="G9780" i="1"/>
  <c r="G9779" i="1"/>
  <c r="G9778" i="1"/>
  <c r="G9777" i="1"/>
  <c r="G9776" i="1"/>
  <c r="G9775" i="1"/>
  <c r="G9774" i="1"/>
  <c r="G9773" i="1"/>
  <c r="G9772" i="1"/>
  <c r="G9771" i="1"/>
  <c r="G9770" i="1"/>
  <c r="G9769" i="1"/>
  <c r="G9768" i="1"/>
  <c r="G9767" i="1"/>
  <c r="G9766" i="1"/>
  <c r="G9765" i="1"/>
  <c r="G9764" i="1"/>
  <c r="G9763" i="1"/>
  <c r="G9762" i="1"/>
  <c r="G9761" i="1"/>
  <c r="G9760" i="1"/>
  <c r="G9759" i="1"/>
  <c r="G9758" i="1"/>
  <c r="G9757" i="1"/>
  <c r="G9756" i="1"/>
  <c r="G9755" i="1"/>
  <c r="G9754" i="1"/>
  <c r="G9753" i="1"/>
  <c r="G9752" i="1"/>
  <c r="G9751" i="1"/>
  <c r="G9750" i="1"/>
  <c r="G9749" i="1"/>
  <c r="G9748" i="1"/>
  <c r="G9747" i="1"/>
  <c r="G9746" i="1"/>
  <c r="G9745" i="1"/>
  <c r="G9744" i="1"/>
  <c r="G9743" i="1"/>
  <c r="G9742" i="1"/>
  <c r="G9741" i="1"/>
  <c r="G9740" i="1"/>
  <c r="G9739" i="1"/>
  <c r="G9738" i="1"/>
  <c r="G9737" i="1"/>
  <c r="G9736" i="1"/>
  <c r="G9735" i="1"/>
  <c r="G9734" i="1"/>
  <c r="G9733" i="1"/>
  <c r="G9732" i="1"/>
  <c r="G9731" i="1"/>
  <c r="G9730" i="1"/>
  <c r="G9729" i="1"/>
  <c r="G9728" i="1"/>
  <c r="G9727" i="1"/>
  <c r="G9726" i="1"/>
  <c r="G9725" i="1"/>
  <c r="G9724" i="1"/>
  <c r="G9723" i="1"/>
  <c r="G9722" i="1"/>
  <c r="G9721" i="1"/>
  <c r="G9720" i="1"/>
  <c r="G9719" i="1"/>
  <c r="G9718" i="1"/>
  <c r="G9717" i="1"/>
  <c r="G9716" i="1"/>
  <c r="G9715" i="1"/>
  <c r="G9714" i="1"/>
  <c r="G9713" i="1"/>
  <c r="G9712" i="1"/>
  <c r="G9711" i="1"/>
  <c r="G9710" i="1"/>
  <c r="G9709" i="1"/>
  <c r="G9708" i="1"/>
  <c r="G9707" i="1"/>
  <c r="G9706" i="1"/>
  <c r="G9705" i="1"/>
  <c r="G9704" i="1"/>
  <c r="G9703" i="1"/>
  <c r="G9702" i="1"/>
  <c r="G9701" i="1"/>
  <c r="G9700" i="1"/>
  <c r="G9699" i="1"/>
  <c r="G9698" i="1"/>
  <c r="G9697" i="1"/>
  <c r="G9696" i="1"/>
  <c r="G9695" i="1"/>
  <c r="G9694" i="1"/>
  <c r="G9693" i="1"/>
  <c r="G9692" i="1"/>
  <c r="G9691" i="1"/>
  <c r="G9690" i="1"/>
  <c r="G9689" i="1"/>
  <c r="G9688" i="1"/>
  <c r="G9687" i="1"/>
  <c r="G9686" i="1"/>
  <c r="G9685" i="1"/>
  <c r="G9684" i="1"/>
  <c r="G9683" i="1"/>
  <c r="G9682" i="1"/>
  <c r="G9681" i="1"/>
  <c r="G9680" i="1"/>
  <c r="G9679" i="1"/>
  <c r="G9678" i="1"/>
  <c r="G9677" i="1"/>
  <c r="G9676" i="1"/>
  <c r="G9675" i="1"/>
  <c r="G9674" i="1"/>
  <c r="G9673" i="1"/>
  <c r="G9672" i="1"/>
  <c r="G9671" i="1"/>
  <c r="G9670" i="1"/>
  <c r="G9669" i="1"/>
  <c r="G9668" i="1"/>
  <c r="G9667" i="1"/>
  <c r="G9666" i="1"/>
  <c r="G9665" i="1"/>
  <c r="G9664" i="1"/>
  <c r="G9663" i="1"/>
  <c r="G9662" i="1"/>
  <c r="G9661" i="1"/>
  <c r="G9660" i="1"/>
  <c r="G9659" i="1"/>
  <c r="G9658" i="1"/>
  <c r="G9657" i="1"/>
  <c r="G9656" i="1"/>
  <c r="G9655" i="1"/>
  <c r="G9654" i="1"/>
  <c r="G9653" i="1"/>
  <c r="G9652" i="1"/>
  <c r="G9651" i="1"/>
  <c r="G9650" i="1"/>
  <c r="G9649" i="1"/>
  <c r="G9648" i="1"/>
  <c r="G9647" i="1"/>
  <c r="G9646" i="1"/>
  <c r="G9645" i="1"/>
  <c r="G9644" i="1"/>
  <c r="G9643" i="1"/>
  <c r="G9642" i="1"/>
  <c r="G9641" i="1"/>
  <c r="G9640" i="1"/>
  <c r="G9639" i="1"/>
  <c r="G9638" i="1"/>
  <c r="G9637" i="1"/>
  <c r="G9636" i="1"/>
  <c r="G9635" i="1"/>
  <c r="G9634" i="1"/>
  <c r="G9633" i="1"/>
  <c r="G9632" i="1"/>
  <c r="G9631" i="1"/>
  <c r="G9630" i="1"/>
  <c r="G9629" i="1"/>
  <c r="G9628" i="1"/>
  <c r="G9627" i="1"/>
  <c r="G9626" i="1"/>
  <c r="G9625" i="1"/>
  <c r="G9624" i="1"/>
  <c r="G9623" i="1"/>
  <c r="G9622" i="1"/>
  <c r="G9621" i="1"/>
  <c r="G9620" i="1"/>
  <c r="G9619" i="1"/>
  <c r="G9618" i="1"/>
  <c r="G9617" i="1"/>
  <c r="G9616" i="1"/>
  <c r="G9615" i="1"/>
  <c r="G9614" i="1"/>
  <c r="G9613" i="1"/>
  <c r="G9612" i="1"/>
  <c r="G9611" i="1"/>
  <c r="G9610" i="1"/>
  <c r="G9609" i="1"/>
  <c r="G9608" i="1"/>
  <c r="G9607" i="1"/>
  <c r="G9606" i="1"/>
  <c r="G9605" i="1"/>
  <c r="G9604" i="1"/>
  <c r="G9603" i="1"/>
  <c r="G9602" i="1"/>
  <c r="G9601" i="1"/>
  <c r="G9600" i="1"/>
  <c r="G9599" i="1"/>
  <c r="G9598" i="1"/>
  <c r="G9597" i="1"/>
  <c r="G9596" i="1"/>
  <c r="G9595" i="1"/>
  <c r="G9594" i="1"/>
  <c r="G9593" i="1"/>
  <c r="G9592" i="1"/>
  <c r="G9591" i="1"/>
  <c r="G9590" i="1"/>
  <c r="G9589" i="1"/>
  <c r="G9588" i="1"/>
  <c r="G9587" i="1"/>
  <c r="G9586" i="1"/>
  <c r="G9585" i="1"/>
  <c r="G9584" i="1"/>
  <c r="G9583" i="1"/>
  <c r="G9582" i="1"/>
  <c r="G9581" i="1"/>
  <c r="G9580" i="1"/>
  <c r="G9579" i="1"/>
  <c r="G9578" i="1"/>
  <c r="G9577" i="1"/>
  <c r="G9576" i="1"/>
  <c r="G9575" i="1"/>
  <c r="G9574" i="1"/>
  <c r="G9573" i="1"/>
  <c r="G9572" i="1"/>
  <c r="G9571" i="1"/>
  <c r="G9570" i="1"/>
  <c r="G9569" i="1"/>
  <c r="G9568" i="1"/>
  <c r="G9567" i="1"/>
  <c r="G9566" i="1"/>
  <c r="G9565" i="1"/>
  <c r="G9564" i="1"/>
  <c r="G9563" i="1"/>
  <c r="G9562" i="1"/>
  <c r="G9561" i="1"/>
  <c r="G9560" i="1"/>
  <c r="G9559" i="1"/>
  <c r="G9558" i="1"/>
  <c r="G9557" i="1"/>
  <c r="G9556" i="1"/>
  <c r="G9555" i="1"/>
  <c r="G9554" i="1"/>
  <c r="G9553" i="1"/>
  <c r="G9552" i="1"/>
  <c r="G9551" i="1"/>
  <c r="G9550" i="1"/>
  <c r="G9549" i="1"/>
  <c r="G9548" i="1"/>
  <c r="G9547" i="1"/>
  <c r="G9546" i="1"/>
  <c r="G9545" i="1"/>
  <c r="G9544" i="1"/>
  <c r="G9543" i="1"/>
  <c r="G9542" i="1"/>
  <c r="G9541" i="1"/>
  <c r="G9540" i="1"/>
  <c r="G9539" i="1"/>
  <c r="G9538" i="1"/>
  <c r="G9537" i="1"/>
  <c r="G9536" i="1"/>
  <c r="G9535" i="1"/>
  <c r="G9534" i="1"/>
  <c r="G9533" i="1"/>
  <c r="G9532" i="1"/>
  <c r="G9531" i="1"/>
  <c r="G9530" i="1"/>
  <c r="G9529" i="1"/>
  <c r="G9528" i="1"/>
  <c r="G9527" i="1"/>
  <c r="G9526" i="1"/>
  <c r="G9525" i="1"/>
  <c r="G9524" i="1"/>
  <c r="G9523" i="1"/>
  <c r="G9522" i="1"/>
  <c r="G9521" i="1"/>
  <c r="G9520" i="1"/>
  <c r="G9519" i="1"/>
  <c r="G9518" i="1"/>
  <c r="G9517" i="1"/>
  <c r="G9516" i="1"/>
  <c r="G9515" i="1"/>
  <c r="G9514" i="1"/>
  <c r="G9513" i="1"/>
  <c r="G9512" i="1"/>
  <c r="G9511" i="1"/>
  <c r="G9510" i="1"/>
  <c r="G9509" i="1"/>
  <c r="G9508" i="1"/>
  <c r="G9507" i="1"/>
  <c r="G9506" i="1"/>
  <c r="G9505" i="1"/>
  <c r="G9504" i="1"/>
  <c r="G9503" i="1"/>
  <c r="G9502" i="1"/>
  <c r="G9501" i="1"/>
  <c r="G9500" i="1"/>
  <c r="G9499" i="1"/>
  <c r="G9498" i="1"/>
  <c r="G9497" i="1"/>
  <c r="G9496" i="1"/>
  <c r="G9495" i="1"/>
  <c r="G9494" i="1"/>
  <c r="G9493" i="1"/>
  <c r="G9492" i="1"/>
  <c r="G9491" i="1"/>
  <c r="G9490" i="1"/>
  <c r="G9489" i="1"/>
  <c r="G9488" i="1"/>
  <c r="G9487" i="1"/>
  <c r="G9486" i="1"/>
  <c r="G9485" i="1"/>
  <c r="G9484" i="1"/>
  <c r="G9483" i="1"/>
  <c r="G9482" i="1"/>
  <c r="G9481" i="1"/>
  <c r="G9480" i="1"/>
  <c r="G9479" i="1"/>
  <c r="G9478" i="1"/>
  <c r="G9477" i="1"/>
  <c r="G9476" i="1"/>
  <c r="G9475" i="1"/>
  <c r="G9474" i="1"/>
  <c r="G9473" i="1"/>
  <c r="G9472" i="1"/>
  <c r="G9471" i="1"/>
  <c r="G9470" i="1"/>
  <c r="G9469" i="1"/>
  <c r="G9468" i="1"/>
  <c r="G9467" i="1"/>
  <c r="G9466" i="1"/>
  <c r="G9465" i="1"/>
  <c r="G9464" i="1"/>
  <c r="G9463" i="1"/>
  <c r="G9462" i="1"/>
  <c r="G9461" i="1"/>
  <c r="G9460" i="1"/>
  <c r="G9459" i="1"/>
  <c r="G9458" i="1"/>
  <c r="G9457" i="1"/>
  <c r="G9456" i="1"/>
  <c r="G9455" i="1"/>
  <c r="G9454" i="1"/>
  <c r="G9453" i="1"/>
  <c r="G9452" i="1"/>
  <c r="G9451" i="1"/>
  <c r="G9450" i="1"/>
  <c r="G9449" i="1"/>
  <c r="G9448" i="1"/>
  <c r="G9447" i="1"/>
  <c r="G9446" i="1"/>
  <c r="G9445" i="1"/>
  <c r="G9444" i="1"/>
  <c r="G9443" i="1"/>
  <c r="G9442" i="1"/>
  <c r="G9441" i="1"/>
  <c r="G9440" i="1"/>
  <c r="G9439" i="1"/>
  <c r="G9438" i="1"/>
  <c r="G9437" i="1"/>
  <c r="G9436" i="1"/>
  <c r="G9435" i="1"/>
  <c r="G9434" i="1"/>
  <c r="G9433" i="1"/>
  <c r="G9432" i="1"/>
  <c r="G9431" i="1"/>
  <c r="G9430" i="1"/>
  <c r="G9429" i="1"/>
  <c r="G9428" i="1"/>
  <c r="G9427" i="1"/>
  <c r="G9426" i="1"/>
  <c r="G9425" i="1"/>
  <c r="G9424" i="1"/>
  <c r="G9423" i="1"/>
  <c r="G9422" i="1"/>
  <c r="G9421" i="1"/>
  <c r="G9420" i="1"/>
  <c r="G9419" i="1"/>
  <c r="G9418" i="1"/>
  <c r="G9417" i="1"/>
  <c r="G9416" i="1"/>
  <c r="G9415" i="1"/>
  <c r="G9414" i="1"/>
  <c r="G9413" i="1"/>
  <c r="G9412" i="1"/>
  <c r="G9411" i="1"/>
  <c r="G9410" i="1"/>
  <c r="G9409" i="1"/>
  <c r="G9408" i="1"/>
  <c r="G9407" i="1"/>
  <c r="G9406" i="1"/>
  <c r="G9405" i="1"/>
  <c r="G9404" i="1"/>
  <c r="G9403" i="1"/>
  <c r="G9402" i="1"/>
  <c r="G9401" i="1"/>
  <c r="G9400" i="1"/>
  <c r="G9399" i="1"/>
  <c r="G9398" i="1"/>
  <c r="G9397" i="1"/>
  <c r="G9396" i="1"/>
  <c r="G9395" i="1"/>
  <c r="G9394" i="1"/>
  <c r="G9393" i="1"/>
  <c r="G9392" i="1"/>
  <c r="G9391" i="1"/>
  <c r="G9390" i="1"/>
  <c r="G9389" i="1"/>
  <c r="G9388" i="1"/>
  <c r="G9387" i="1"/>
  <c r="G9386" i="1"/>
  <c r="G9385" i="1"/>
  <c r="G9384" i="1"/>
  <c r="G9383" i="1"/>
  <c r="G9382" i="1"/>
  <c r="G9381" i="1"/>
  <c r="G9380" i="1"/>
  <c r="G9379" i="1"/>
  <c r="G9378" i="1"/>
  <c r="G9377" i="1"/>
  <c r="G9376" i="1"/>
  <c r="G9375" i="1"/>
  <c r="G9374" i="1"/>
  <c r="G9373" i="1"/>
  <c r="G9372" i="1"/>
  <c r="G9371" i="1"/>
  <c r="G9370" i="1"/>
  <c r="G9369" i="1"/>
  <c r="G9368" i="1"/>
  <c r="G9367" i="1"/>
  <c r="G9366" i="1"/>
  <c r="G9365" i="1"/>
  <c r="G9364" i="1"/>
  <c r="G9363" i="1"/>
  <c r="G9362" i="1"/>
  <c r="G9361" i="1"/>
  <c r="G9360" i="1"/>
  <c r="G9359" i="1"/>
  <c r="G9358" i="1"/>
  <c r="G9357" i="1"/>
  <c r="G9356" i="1"/>
  <c r="G9355" i="1"/>
  <c r="G9354" i="1"/>
  <c r="G9353" i="1"/>
  <c r="G9352" i="1"/>
  <c r="G9351" i="1"/>
  <c r="G9350" i="1"/>
  <c r="G9349" i="1"/>
  <c r="G9348" i="1"/>
  <c r="G9347" i="1"/>
  <c r="G9346" i="1"/>
  <c r="G9345" i="1"/>
  <c r="G9344" i="1"/>
  <c r="G9343" i="1"/>
  <c r="G9342" i="1"/>
  <c r="G9341" i="1"/>
  <c r="G9340" i="1"/>
  <c r="G9339" i="1"/>
  <c r="G9338" i="1"/>
  <c r="G9337" i="1"/>
  <c r="G9336" i="1"/>
  <c r="G9335" i="1"/>
  <c r="G9334" i="1"/>
  <c r="G9333" i="1"/>
  <c r="G9332" i="1"/>
  <c r="G9331" i="1"/>
  <c r="G9330" i="1"/>
  <c r="G9329" i="1"/>
  <c r="G9328" i="1"/>
  <c r="G9327" i="1"/>
  <c r="G9326" i="1"/>
  <c r="G9325" i="1"/>
  <c r="G9324" i="1"/>
  <c r="G9323" i="1"/>
  <c r="G9322" i="1"/>
  <c r="G9321" i="1"/>
  <c r="G9320" i="1"/>
  <c r="G9319" i="1"/>
  <c r="G9318" i="1"/>
  <c r="G9317" i="1"/>
  <c r="G9316" i="1"/>
  <c r="G9315" i="1"/>
  <c r="G9314" i="1"/>
  <c r="G9313" i="1"/>
  <c r="G9312" i="1"/>
  <c r="G9311" i="1"/>
  <c r="G9310" i="1"/>
  <c r="G9309" i="1"/>
  <c r="G9308" i="1"/>
  <c r="G9307" i="1"/>
  <c r="G9306" i="1"/>
  <c r="G9305" i="1"/>
  <c r="G9304" i="1"/>
  <c r="G9303" i="1"/>
  <c r="G9302" i="1"/>
  <c r="G9301" i="1"/>
  <c r="G9300" i="1"/>
  <c r="G9299" i="1"/>
  <c r="G9298" i="1"/>
  <c r="G9297" i="1"/>
  <c r="G9296" i="1"/>
  <c r="G9295" i="1"/>
  <c r="G9294" i="1"/>
  <c r="G9293" i="1"/>
  <c r="G9292" i="1"/>
  <c r="G9291" i="1"/>
  <c r="G9290" i="1"/>
  <c r="G9289" i="1"/>
  <c r="G9288" i="1"/>
  <c r="G9287" i="1"/>
  <c r="G9286" i="1"/>
  <c r="G9285" i="1"/>
  <c r="G9284" i="1"/>
  <c r="G9283" i="1"/>
  <c r="G9282" i="1"/>
  <c r="G9281" i="1"/>
  <c r="G9280" i="1"/>
  <c r="G9279" i="1"/>
  <c r="G9278" i="1"/>
  <c r="G9277" i="1"/>
  <c r="G9276" i="1"/>
  <c r="G9275" i="1"/>
  <c r="G9274" i="1"/>
  <c r="G9273" i="1"/>
  <c r="G9272" i="1"/>
  <c r="G9271" i="1"/>
  <c r="G9270" i="1"/>
  <c r="G9269" i="1"/>
  <c r="G9268" i="1"/>
  <c r="G9267" i="1"/>
  <c r="G9266" i="1"/>
  <c r="G9265" i="1"/>
  <c r="G9264" i="1"/>
  <c r="G9263" i="1"/>
  <c r="G9262" i="1"/>
  <c r="G9261" i="1"/>
  <c r="G9260" i="1"/>
  <c r="G9259" i="1"/>
  <c r="G9258" i="1"/>
  <c r="G9257" i="1"/>
  <c r="G9256" i="1"/>
  <c r="G9255" i="1"/>
  <c r="G9254" i="1"/>
  <c r="G9253" i="1"/>
  <c r="G9252" i="1"/>
  <c r="G9251" i="1"/>
  <c r="G9250" i="1"/>
  <c r="G9249" i="1"/>
  <c r="G9248" i="1"/>
  <c r="G9247" i="1"/>
  <c r="G9246" i="1"/>
  <c r="G9245" i="1"/>
  <c r="G9244" i="1"/>
  <c r="G9243" i="1"/>
  <c r="G9242" i="1"/>
  <c r="G9241" i="1"/>
  <c r="G9240" i="1"/>
  <c r="G9239" i="1"/>
  <c r="G9238" i="1"/>
  <c r="G9237" i="1"/>
  <c r="G9236" i="1"/>
  <c r="G9235" i="1"/>
  <c r="G9234" i="1"/>
  <c r="G9233" i="1"/>
  <c r="G9232" i="1"/>
  <c r="G9231" i="1"/>
  <c r="G9230" i="1"/>
  <c r="G9229" i="1"/>
  <c r="G9228" i="1"/>
  <c r="G9227" i="1"/>
  <c r="G9226" i="1"/>
  <c r="G9225" i="1"/>
  <c r="G9224" i="1"/>
  <c r="G9223" i="1"/>
  <c r="G9222" i="1"/>
  <c r="G9221" i="1"/>
  <c r="G9220" i="1"/>
  <c r="G9219" i="1"/>
  <c r="G9218" i="1"/>
  <c r="G9217" i="1"/>
  <c r="G9216" i="1"/>
  <c r="G9215" i="1"/>
  <c r="G9214" i="1"/>
  <c r="G9213" i="1"/>
  <c r="G9212" i="1"/>
  <c r="G9211" i="1"/>
  <c r="G9210" i="1"/>
  <c r="G9209" i="1"/>
  <c r="G9208" i="1"/>
  <c r="G9207" i="1"/>
  <c r="G9206" i="1"/>
  <c r="G9205" i="1"/>
  <c r="G9204" i="1"/>
  <c r="G9203" i="1"/>
  <c r="G9202" i="1"/>
  <c r="G9201" i="1"/>
  <c r="G9200" i="1"/>
  <c r="G9199" i="1"/>
  <c r="G9198" i="1"/>
  <c r="G9197" i="1"/>
  <c r="G9196" i="1"/>
  <c r="G9195" i="1"/>
  <c r="G9194" i="1"/>
  <c r="G9193" i="1"/>
  <c r="G9192" i="1"/>
  <c r="G9191" i="1"/>
  <c r="G9190" i="1"/>
  <c r="G9189" i="1"/>
  <c r="G9188" i="1"/>
  <c r="G9187" i="1"/>
  <c r="G9186" i="1"/>
  <c r="G9185" i="1"/>
  <c r="G9184" i="1"/>
  <c r="G9183" i="1"/>
  <c r="G9182" i="1"/>
  <c r="G9181" i="1"/>
  <c r="G9180" i="1"/>
  <c r="G9179" i="1"/>
  <c r="G9178" i="1"/>
  <c r="G9177" i="1"/>
  <c r="G9176" i="1"/>
  <c r="G9175" i="1"/>
  <c r="G9174" i="1"/>
  <c r="G9173" i="1"/>
  <c r="G9172" i="1"/>
  <c r="G9171" i="1"/>
  <c r="G9170" i="1"/>
  <c r="G9169" i="1"/>
  <c r="G9168" i="1"/>
  <c r="G9167" i="1"/>
  <c r="G9166" i="1"/>
  <c r="G9165" i="1"/>
  <c r="G9164" i="1"/>
  <c r="G9163" i="1"/>
  <c r="G9162" i="1"/>
  <c r="G9161" i="1"/>
  <c r="G9160" i="1"/>
  <c r="G9159" i="1"/>
  <c r="G9158" i="1"/>
  <c r="G9157" i="1"/>
  <c r="G9156" i="1"/>
  <c r="G9155" i="1"/>
  <c r="G9154" i="1"/>
  <c r="G9153" i="1"/>
  <c r="G9152" i="1"/>
  <c r="G9151" i="1"/>
  <c r="G9150" i="1"/>
  <c r="G9149" i="1"/>
  <c r="G9148" i="1"/>
  <c r="G9147" i="1"/>
  <c r="G9146" i="1"/>
  <c r="G9145" i="1"/>
  <c r="G9144" i="1"/>
  <c r="G9143" i="1"/>
  <c r="G9142" i="1"/>
  <c r="G9141" i="1"/>
  <c r="G9140" i="1"/>
  <c r="G9139" i="1"/>
  <c r="G9138" i="1"/>
  <c r="G9137" i="1"/>
  <c r="G9136" i="1"/>
  <c r="G9135" i="1"/>
  <c r="G9134" i="1"/>
  <c r="G9133" i="1"/>
  <c r="G9132" i="1"/>
  <c r="G9131" i="1"/>
  <c r="G9130" i="1"/>
  <c r="G9129" i="1"/>
  <c r="G9128" i="1"/>
  <c r="G9127" i="1"/>
  <c r="G9126" i="1"/>
  <c r="G9125" i="1"/>
  <c r="G9124" i="1"/>
  <c r="G9123" i="1"/>
  <c r="G9122" i="1"/>
  <c r="G9121" i="1"/>
  <c r="G9120" i="1"/>
  <c r="G9119" i="1"/>
  <c r="G9118" i="1"/>
  <c r="G9117" i="1"/>
  <c r="G9116" i="1"/>
  <c r="G9115" i="1"/>
  <c r="G9114" i="1"/>
  <c r="G9113" i="1"/>
  <c r="G9112" i="1"/>
  <c r="G9111" i="1"/>
  <c r="G9110" i="1"/>
  <c r="G9109" i="1"/>
  <c r="G9108" i="1"/>
  <c r="G9107" i="1"/>
  <c r="G9106" i="1"/>
  <c r="G9105" i="1"/>
  <c r="G9104" i="1"/>
  <c r="G9103" i="1"/>
  <c r="G9102" i="1"/>
  <c r="G9101" i="1"/>
  <c r="G9100" i="1"/>
  <c r="G9099" i="1"/>
  <c r="G9098" i="1"/>
  <c r="G9097" i="1"/>
  <c r="G9096" i="1"/>
  <c r="G9095" i="1"/>
  <c r="G9094" i="1"/>
  <c r="G9093" i="1"/>
  <c r="G9092" i="1"/>
  <c r="G9091" i="1"/>
  <c r="G9090" i="1"/>
  <c r="G9089" i="1"/>
  <c r="G9088" i="1"/>
  <c r="G9087" i="1"/>
  <c r="G9086" i="1"/>
  <c r="G9085" i="1"/>
  <c r="G9084" i="1"/>
  <c r="G9083" i="1"/>
  <c r="G9082" i="1"/>
  <c r="G9081" i="1"/>
  <c r="G9080" i="1"/>
  <c r="G9079" i="1"/>
  <c r="G9078" i="1"/>
  <c r="G9077" i="1"/>
  <c r="G9076" i="1"/>
  <c r="G9075" i="1"/>
  <c r="G9074" i="1"/>
  <c r="G9073" i="1"/>
  <c r="G9072" i="1"/>
  <c r="G9071" i="1"/>
  <c r="G9070" i="1"/>
  <c r="G9069" i="1"/>
  <c r="G9068" i="1"/>
  <c r="G9067" i="1"/>
  <c r="G9066" i="1"/>
  <c r="G9065" i="1"/>
  <c r="G9064" i="1"/>
  <c r="G9063" i="1"/>
  <c r="G9062" i="1"/>
  <c r="G9061" i="1"/>
  <c r="G9060" i="1"/>
  <c r="G9059" i="1"/>
  <c r="G9058" i="1"/>
  <c r="G9057" i="1"/>
  <c r="G9056" i="1"/>
  <c r="G9055" i="1"/>
  <c r="G9054" i="1"/>
  <c r="G9053" i="1"/>
  <c r="G9052" i="1"/>
  <c r="G9051" i="1"/>
  <c r="G9050" i="1"/>
  <c r="G9049" i="1"/>
  <c r="G9048" i="1"/>
  <c r="G9047" i="1"/>
  <c r="G9046" i="1"/>
  <c r="G9045" i="1"/>
  <c r="G9044" i="1"/>
  <c r="G9043" i="1"/>
  <c r="G9042" i="1"/>
  <c r="G9041" i="1"/>
  <c r="G9040" i="1"/>
  <c r="G9039" i="1"/>
  <c r="G9038" i="1"/>
  <c r="G9037" i="1"/>
  <c r="G9036" i="1"/>
  <c r="G9035" i="1"/>
  <c r="G9034" i="1"/>
  <c r="G9033" i="1"/>
  <c r="G9032" i="1"/>
  <c r="G9031" i="1"/>
  <c r="G9030" i="1"/>
  <c r="G9029" i="1"/>
  <c r="G9028" i="1"/>
  <c r="G9027" i="1"/>
  <c r="G9026" i="1"/>
  <c r="G9025" i="1"/>
  <c r="G9024" i="1"/>
  <c r="G9023" i="1"/>
  <c r="G9022" i="1"/>
  <c r="G9021" i="1"/>
  <c r="G9020" i="1"/>
  <c r="G9019" i="1"/>
  <c r="G9018" i="1"/>
  <c r="G9017" i="1"/>
  <c r="G9016" i="1"/>
  <c r="G9015" i="1"/>
  <c r="G9014" i="1"/>
  <c r="G9013" i="1"/>
  <c r="G9012" i="1"/>
  <c r="G9011" i="1"/>
  <c r="G9010" i="1"/>
  <c r="G9009" i="1"/>
  <c r="G9008" i="1"/>
  <c r="G9007" i="1"/>
  <c r="G9006" i="1"/>
  <c r="G9005" i="1"/>
  <c r="G9004" i="1"/>
  <c r="G9003" i="1"/>
  <c r="G9002" i="1"/>
  <c r="G9001" i="1"/>
  <c r="G9000" i="1"/>
  <c r="G8999" i="1"/>
  <c r="G8998" i="1"/>
  <c r="G8997" i="1"/>
  <c r="G8996" i="1"/>
  <c r="G8995" i="1"/>
  <c r="G8994" i="1"/>
  <c r="G8993" i="1"/>
  <c r="G8992" i="1"/>
  <c r="G8991" i="1"/>
  <c r="G8990" i="1"/>
  <c r="G8989" i="1"/>
  <c r="G8988" i="1"/>
  <c r="G8987" i="1"/>
  <c r="G8986" i="1"/>
  <c r="G8985" i="1"/>
  <c r="G8984" i="1"/>
  <c r="G8983" i="1"/>
  <c r="G8982" i="1"/>
  <c r="G8981" i="1"/>
  <c r="G8980" i="1"/>
  <c r="G8979" i="1"/>
  <c r="G8978" i="1"/>
  <c r="G8977" i="1"/>
  <c r="G8976" i="1"/>
  <c r="G8975" i="1"/>
  <c r="G8974" i="1"/>
  <c r="G8973" i="1"/>
  <c r="G8972" i="1"/>
  <c r="G8971" i="1"/>
  <c r="G8970" i="1"/>
  <c r="G8969" i="1"/>
  <c r="G8968" i="1"/>
  <c r="G8967" i="1"/>
  <c r="G8966" i="1"/>
  <c r="G8965" i="1"/>
  <c r="G8964" i="1"/>
  <c r="G8963" i="1"/>
  <c r="G8962" i="1"/>
  <c r="G8961" i="1"/>
  <c r="G8960" i="1"/>
  <c r="G8959" i="1"/>
  <c r="G8958" i="1"/>
  <c r="G8957" i="1"/>
  <c r="G8956" i="1"/>
  <c r="G8955" i="1"/>
  <c r="G8954" i="1"/>
  <c r="G8953" i="1"/>
  <c r="G8952" i="1"/>
  <c r="G8951" i="1"/>
  <c r="G8950" i="1"/>
  <c r="G8949" i="1"/>
  <c r="G8948" i="1"/>
  <c r="G8947" i="1"/>
  <c r="G8946" i="1"/>
  <c r="G8945" i="1"/>
  <c r="G8944" i="1"/>
  <c r="G8943" i="1"/>
  <c r="G8942" i="1"/>
  <c r="G8941" i="1"/>
  <c r="G8940" i="1"/>
  <c r="G8939" i="1"/>
  <c r="G8938" i="1"/>
  <c r="G8937" i="1"/>
  <c r="G8936" i="1"/>
  <c r="G8935" i="1"/>
  <c r="G8934" i="1"/>
  <c r="G8933" i="1"/>
  <c r="G8932" i="1"/>
  <c r="G8931" i="1"/>
  <c r="G8930" i="1"/>
  <c r="G8929" i="1"/>
  <c r="G8928" i="1"/>
  <c r="G8927" i="1"/>
  <c r="G8926" i="1"/>
  <c r="G8925" i="1"/>
  <c r="G8924" i="1"/>
  <c r="G8923" i="1"/>
  <c r="G8922" i="1"/>
  <c r="G8921" i="1"/>
  <c r="G8920" i="1"/>
  <c r="G8919" i="1"/>
  <c r="G8918" i="1"/>
  <c r="G8917" i="1"/>
  <c r="G8916" i="1"/>
  <c r="G8915" i="1"/>
  <c r="G8914" i="1"/>
  <c r="G8913" i="1"/>
  <c r="G8912" i="1"/>
  <c r="G8911" i="1"/>
  <c r="G8910" i="1"/>
  <c r="G8909" i="1"/>
  <c r="G8908" i="1"/>
  <c r="G8907" i="1"/>
  <c r="G8906" i="1"/>
  <c r="G8905" i="1"/>
  <c r="G8904" i="1"/>
  <c r="G8903" i="1"/>
  <c r="G8902" i="1"/>
  <c r="G8901" i="1"/>
  <c r="G8900" i="1"/>
  <c r="G8899" i="1"/>
  <c r="G8898" i="1"/>
  <c r="G8897" i="1"/>
  <c r="G8896" i="1"/>
  <c r="G8895" i="1"/>
  <c r="G8894" i="1"/>
  <c r="G8893" i="1"/>
  <c r="G8892" i="1"/>
  <c r="G8891" i="1"/>
  <c r="G8890" i="1"/>
  <c r="G8889" i="1"/>
  <c r="G8888" i="1"/>
  <c r="G8887" i="1"/>
  <c r="G8886" i="1"/>
  <c r="G8885" i="1"/>
  <c r="G8884" i="1"/>
  <c r="G8883" i="1"/>
  <c r="G8882" i="1"/>
  <c r="G8881" i="1"/>
  <c r="G8880" i="1"/>
  <c r="G8879" i="1"/>
  <c r="G8878" i="1"/>
  <c r="G8877" i="1"/>
  <c r="G8876" i="1"/>
  <c r="G8875" i="1"/>
  <c r="G8874" i="1"/>
  <c r="G8873" i="1"/>
  <c r="G8872" i="1"/>
  <c r="G8871" i="1"/>
  <c r="G8870" i="1"/>
  <c r="G8869" i="1"/>
  <c r="G8868" i="1"/>
  <c r="G8867" i="1"/>
  <c r="G8866" i="1"/>
  <c r="G8865" i="1"/>
  <c r="G8864" i="1"/>
  <c r="G8863" i="1"/>
  <c r="G8862" i="1"/>
  <c r="G8861" i="1"/>
  <c r="G8860" i="1"/>
  <c r="G8859" i="1"/>
  <c r="G8858" i="1"/>
  <c r="G8857" i="1"/>
  <c r="G8856" i="1"/>
  <c r="G8855" i="1"/>
  <c r="G8854" i="1"/>
  <c r="G8853" i="1"/>
  <c r="G8852" i="1"/>
  <c r="G8851" i="1"/>
  <c r="G8850" i="1"/>
  <c r="G8849" i="1"/>
  <c r="G8848" i="1"/>
  <c r="G8847" i="1"/>
  <c r="G8846" i="1"/>
  <c r="G8845" i="1"/>
  <c r="G8844" i="1"/>
  <c r="G8843" i="1"/>
  <c r="G8842" i="1"/>
  <c r="G8841" i="1"/>
  <c r="G8840" i="1"/>
  <c r="G8839" i="1"/>
  <c r="G8838" i="1"/>
  <c r="G8837" i="1"/>
  <c r="G8836" i="1"/>
  <c r="G8835" i="1"/>
  <c r="G8834" i="1"/>
  <c r="G8833" i="1"/>
  <c r="G8832" i="1"/>
  <c r="G8831" i="1"/>
  <c r="G8830" i="1"/>
  <c r="G8829" i="1"/>
  <c r="G8828" i="1"/>
  <c r="G8827" i="1"/>
  <c r="G8826" i="1"/>
  <c r="G8825" i="1"/>
  <c r="G8824" i="1"/>
  <c r="G8823" i="1"/>
  <c r="G8822" i="1"/>
  <c r="G8821" i="1"/>
  <c r="G8820" i="1"/>
  <c r="G8819" i="1"/>
  <c r="G8818" i="1"/>
  <c r="G8817" i="1"/>
  <c r="G8816" i="1"/>
  <c r="G8815" i="1"/>
  <c r="G8814" i="1"/>
  <c r="G8813" i="1"/>
  <c r="G8812" i="1"/>
  <c r="G8811" i="1"/>
  <c r="G8810" i="1"/>
  <c r="G8809" i="1"/>
  <c r="G8808" i="1"/>
  <c r="G8807" i="1"/>
  <c r="G8806" i="1"/>
  <c r="G8805" i="1"/>
  <c r="G8804" i="1"/>
  <c r="G8803" i="1"/>
  <c r="G8802" i="1"/>
  <c r="G8801" i="1"/>
  <c r="G8800" i="1"/>
  <c r="G8799" i="1"/>
  <c r="G8798" i="1"/>
  <c r="G8797" i="1"/>
  <c r="G8796" i="1"/>
  <c r="G8795" i="1"/>
  <c r="G8794" i="1"/>
  <c r="G8793" i="1"/>
  <c r="G8792" i="1"/>
  <c r="G8791" i="1"/>
  <c r="G8790" i="1"/>
  <c r="G8789" i="1"/>
  <c r="G8788" i="1"/>
  <c r="G8787" i="1"/>
  <c r="G8786" i="1"/>
  <c r="G8785" i="1"/>
  <c r="G8784" i="1"/>
  <c r="G8783" i="1"/>
  <c r="G8782" i="1"/>
  <c r="G8781" i="1"/>
  <c r="G8780" i="1"/>
  <c r="G8779" i="1"/>
  <c r="G8778" i="1"/>
  <c r="G8777" i="1"/>
  <c r="G8776" i="1"/>
  <c r="G8775" i="1"/>
  <c r="G8774" i="1"/>
  <c r="G8773" i="1"/>
  <c r="G8772" i="1"/>
  <c r="G8771" i="1"/>
  <c r="G8770" i="1"/>
  <c r="G8769" i="1"/>
  <c r="G8768" i="1"/>
  <c r="G8767" i="1"/>
  <c r="G8766" i="1"/>
  <c r="G8765" i="1"/>
  <c r="G8764" i="1"/>
  <c r="G8763" i="1"/>
  <c r="G8762" i="1"/>
  <c r="G8761" i="1"/>
  <c r="G8760" i="1"/>
  <c r="G8759" i="1"/>
  <c r="G8758" i="1"/>
  <c r="G8757" i="1"/>
  <c r="G8756" i="1"/>
  <c r="G8755" i="1"/>
  <c r="G8754" i="1"/>
  <c r="G8753" i="1"/>
  <c r="G8752" i="1"/>
  <c r="G8751" i="1"/>
  <c r="G8750" i="1"/>
  <c r="G8749" i="1"/>
  <c r="G8748" i="1"/>
  <c r="G8747" i="1"/>
  <c r="G8746" i="1"/>
  <c r="G8745" i="1"/>
  <c r="G8744" i="1"/>
  <c r="G8743" i="1"/>
  <c r="G8742" i="1"/>
  <c r="G8741" i="1"/>
  <c r="G8740" i="1"/>
  <c r="G8739" i="1"/>
  <c r="G8738" i="1"/>
  <c r="G8737" i="1"/>
  <c r="G8736" i="1"/>
  <c r="G8735" i="1"/>
  <c r="G8734" i="1"/>
  <c r="G8733" i="1"/>
  <c r="G8732" i="1"/>
  <c r="G8731" i="1"/>
  <c r="G8730" i="1"/>
  <c r="G8729" i="1"/>
  <c r="G8728" i="1"/>
  <c r="G8727" i="1"/>
  <c r="G8726" i="1"/>
  <c r="G8725" i="1"/>
  <c r="G8724" i="1"/>
  <c r="G8723" i="1"/>
  <c r="G8722" i="1"/>
  <c r="G8721" i="1"/>
  <c r="G8720" i="1"/>
  <c r="G8719" i="1"/>
  <c r="G8718" i="1"/>
  <c r="G8717" i="1"/>
  <c r="G8716" i="1"/>
  <c r="G8715" i="1"/>
  <c r="G8714" i="1"/>
  <c r="G8713" i="1"/>
  <c r="G8712" i="1"/>
  <c r="G8711" i="1"/>
  <c r="G8710" i="1"/>
  <c r="G8709" i="1"/>
  <c r="G8708" i="1"/>
  <c r="G8707" i="1"/>
  <c r="G8706" i="1"/>
  <c r="G8705" i="1"/>
  <c r="G8704" i="1"/>
  <c r="G8703" i="1"/>
  <c r="G8702" i="1"/>
  <c r="G8701" i="1"/>
  <c r="G8700" i="1"/>
  <c r="G8699" i="1"/>
  <c r="G8698" i="1"/>
  <c r="G8697" i="1"/>
  <c r="G8696" i="1"/>
  <c r="G8695" i="1"/>
  <c r="G8694" i="1"/>
  <c r="G8693" i="1"/>
  <c r="G8692" i="1"/>
  <c r="G8691" i="1"/>
  <c r="G8690" i="1"/>
  <c r="G8689" i="1"/>
  <c r="G8688" i="1"/>
  <c r="G8687" i="1"/>
  <c r="G8686" i="1"/>
  <c r="G8685" i="1"/>
  <c r="G8684" i="1"/>
  <c r="G8683" i="1"/>
  <c r="G8682" i="1"/>
  <c r="G8681" i="1"/>
  <c r="G8680" i="1"/>
  <c r="G8679" i="1"/>
  <c r="G8678" i="1"/>
  <c r="G8677" i="1"/>
  <c r="G8676" i="1"/>
  <c r="G8675" i="1"/>
  <c r="G8674" i="1"/>
  <c r="G8673" i="1"/>
  <c r="G8672" i="1"/>
  <c r="G8671" i="1"/>
  <c r="G8670" i="1"/>
  <c r="G8669" i="1"/>
  <c r="G8668" i="1"/>
  <c r="G8667" i="1"/>
  <c r="G8666" i="1"/>
  <c r="G8665" i="1"/>
  <c r="G8664" i="1"/>
  <c r="G8663" i="1"/>
  <c r="G8662" i="1"/>
  <c r="G8661" i="1"/>
  <c r="G8660" i="1"/>
  <c r="G8659" i="1"/>
  <c r="G8658" i="1"/>
  <c r="G8657" i="1"/>
  <c r="G8656" i="1"/>
  <c r="G8655" i="1"/>
  <c r="G8654" i="1"/>
  <c r="G8653" i="1"/>
  <c r="G8652" i="1"/>
  <c r="G8651" i="1"/>
  <c r="G8650" i="1"/>
  <c r="G8649" i="1"/>
  <c r="G8648" i="1"/>
  <c r="G8647" i="1"/>
  <c r="G8646" i="1"/>
  <c r="G8645" i="1"/>
  <c r="G8644" i="1"/>
  <c r="G8643" i="1"/>
  <c r="G8642" i="1"/>
  <c r="G8641" i="1"/>
  <c r="G8640" i="1"/>
  <c r="G8639" i="1"/>
  <c r="G8638" i="1"/>
  <c r="G8637" i="1"/>
  <c r="G8636" i="1"/>
  <c r="G8635" i="1"/>
  <c r="G8634" i="1"/>
  <c r="G8633" i="1"/>
  <c r="G8632" i="1"/>
  <c r="G8631" i="1"/>
  <c r="G8630" i="1"/>
  <c r="G8629" i="1"/>
  <c r="G8628" i="1"/>
  <c r="G8627" i="1"/>
  <c r="G8626" i="1"/>
  <c r="G8625" i="1"/>
  <c r="G8624" i="1"/>
  <c r="G8623" i="1"/>
  <c r="G8622" i="1"/>
  <c r="G8621" i="1"/>
  <c r="G8620" i="1"/>
  <c r="G8619" i="1"/>
  <c r="G8618" i="1"/>
  <c r="G8617" i="1"/>
  <c r="G8616" i="1"/>
  <c r="G8615" i="1"/>
  <c r="G8614" i="1"/>
  <c r="G8613" i="1"/>
  <c r="G8612" i="1"/>
  <c r="G8611" i="1"/>
  <c r="G8610" i="1"/>
  <c r="G8609" i="1"/>
  <c r="G8608" i="1"/>
  <c r="G8607" i="1"/>
  <c r="G8606" i="1"/>
  <c r="G8605" i="1"/>
  <c r="G8604" i="1"/>
  <c r="G8603" i="1"/>
  <c r="G8602" i="1"/>
  <c r="G8601" i="1"/>
  <c r="G8600" i="1"/>
  <c r="G8599" i="1"/>
  <c r="G8598" i="1"/>
  <c r="G8597" i="1"/>
  <c r="G8595" i="1"/>
  <c r="G8594" i="1"/>
  <c r="G8593" i="1"/>
  <c r="G8592" i="1"/>
  <c r="G8591" i="1"/>
  <c r="G8590" i="1"/>
  <c r="G8589" i="1"/>
  <c r="G8588" i="1"/>
  <c r="G8587" i="1"/>
  <c r="G8586" i="1"/>
  <c r="G8585" i="1"/>
  <c r="G8584" i="1"/>
  <c r="G8583" i="1"/>
  <c r="G8582" i="1"/>
  <c r="G8581" i="1"/>
  <c r="G8580" i="1"/>
  <c r="G8579" i="1"/>
  <c r="G8578" i="1"/>
  <c r="G8577" i="1"/>
  <c r="G8576" i="1"/>
  <c r="G8575" i="1"/>
  <c r="G8574" i="1"/>
  <c r="G8573" i="1"/>
  <c r="G8572" i="1"/>
  <c r="G8571" i="1"/>
  <c r="G8570" i="1"/>
  <c r="G8569" i="1"/>
  <c r="G8568" i="1"/>
  <c r="G8567" i="1"/>
  <c r="G8566" i="1"/>
  <c r="G8565" i="1"/>
  <c r="G8564" i="1"/>
  <c r="G8563" i="1"/>
  <c r="G8562" i="1"/>
  <c r="G8561" i="1"/>
  <c r="G8560" i="1"/>
  <c r="G8559" i="1"/>
  <c r="G8558" i="1"/>
  <c r="G8557" i="1"/>
  <c r="G8556" i="1"/>
  <c r="G8555" i="1"/>
  <c r="G8554" i="1"/>
  <c r="G8553" i="1"/>
  <c r="G8552" i="1"/>
  <c r="G8551" i="1"/>
  <c r="G8550" i="1"/>
  <c r="G8549" i="1"/>
  <c r="G8548" i="1"/>
  <c r="G8547" i="1"/>
  <c r="G8546" i="1"/>
  <c r="G8545" i="1"/>
  <c r="G8544" i="1"/>
  <c r="G8543" i="1"/>
  <c r="G8542" i="1"/>
  <c r="G8541" i="1"/>
  <c r="G8540" i="1"/>
  <c r="G8539" i="1"/>
  <c r="G8538" i="1"/>
  <c r="G8537" i="1"/>
  <c r="G8536" i="1"/>
  <c r="G8535" i="1"/>
  <c r="G8534" i="1"/>
  <c r="G8533" i="1"/>
  <c r="G8532" i="1"/>
  <c r="G8531" i="1"/>
  <c r="G8530" i="1"/>
  <c r="G8529" i="1"/>
  <c r="G8528" i="1"/>
  <c r="G8527" i="1"/>
  <c r="G8526" i="1"/>
  <c r="G8525" i="1"/>
  <c r="G8524" i="1"/>
  <c r="G8523" i="1"/>
  <c r="G8522" i="1"/>
  <c r="G8521" i="1"/>
  <c r="G8520" i="1"/>
  <c r="G8519" i="1"/>
  <c r="G8518" i="1"/>
  <c r="G8517" i="1"/>
  <c r="G8516" i="1"/>
  <c r="G8515" i="1"/>
  <c r="G8514" i="1"/>
  <c r="G8513" i="1"/>
  <c r="G8512" i="1"/>
  <c r="G8511" i="1"/>
  <c r="G8510" i="1"/>
  <c r="G8509" i="1"/>
  <c r="G8508" i="1"/>
  <c r="G8507" i="1"/>
  <c r="G8506" i="1"/>
  <c r="G8505" i="1"/>
  <c r="G8504" i="1"/>
  <c r="G8503" i="1"/>
  <c r="G8502" i="1"/>
  <c r="G8501" i="1"/>
  <c r="G8500" i="1"/>
  <c r="G8499" i="1"/>
  <c r="G8498" i="1"/>
  <c r="G8497" i="1"/>
  <c r="G8496" i="1"/>
  <c r="G8495" i="1"/>
  <c r="G8494" i="1"/>
  <c r="G8493" i="1"/>
  <c r="G8492" i="1"/>
  <c r="G8491" i="1"/>
  <c r="G8490" i="1"/>
  <c r="G8489" i="1"/>
  <c r="G8488" i="1"/>
  <c r="G8487" i="1"/>
  <c r="G8486" i="1"/>
  <c r="G8485" i="1"/>
  <c r="G8484" i="1"/>
  <c r="G8483" i="1"/>
  <c r="G8482" i="1"/>
  <c r="G8481" i="1"/>
  <c r="G8480" i="1"/>
  <c r="G8479" i="1"/>
  <c r="G8478" i="1"/>
  <c r="G8477" i="1"/>
  <c r="G8476" i="1"/>
  <c r="G8475" i="1"/>
  <c r="G8474" i="1"/>
  <c r="G8473" i="1"/>
  <c r="G8472" i="1"/>
  <c r="G8471" i="1"/>
  <c r="G8470" i="1"/>
  <c r="G8469" i="1"/>
  <c r="G8468" i="1"/>
  <c r="G8467" i="1"/>
  <c r="G8466" i="1"/>
  <c r="G8465" i="1"/>
  <c r="G8464" i="1"/>
  <c r="G8463" i="1"/>
  <c r="G8462" i="1"/>
  <c r="G8461" i="1"/>
  <c r="G8460" i="1"/>
  <c r="G8459" i="1"/>
  <c r="G8458" i="1"/>
  <c r="G8457" i="1"/>
  <c r="G8456" i="1"/>
  <c r="G8455" i="1"/>
  <c r="G8454" i="1"/>
  <c r="G8453" i="1"/>
  <c r="G8452" i="1"/>
  <c r="G8451" i="1"/>
  <c r="G8450" i="1"/>
  <c r="G8449" i="1"/>
  <c r="G8448" i="1"/>
  <c r="G8447" i="1"/>
  <c r="G8446" i="1"/>
  <c r="G8445" i="1"/>
  <c r="G8444" i="1"/>
  <c r="G8443" i="1"/>
  <c r="G8442" i="1"/>
  <c r="G8441" i="1"/>
  <c r="G8440" i="1"/>
  <c r="G8439" i="1"/>
  <c r="G8438" i="1"/>
  <c r="G8437" i="1"/>
  <c r="G8436" i="1"/>
  <c r="G8435" i="1"/>
  <c r="G8434" i="1"/>
  <c r="G8433" i="1"/>
  <c r="G8432" i="1"/>
  <c r="G8431" i="1"/>
  <c r="G8430" i="1"/>
  <c r="G8429" i="1"/>
  <c r="G8428" i="1"/>
  <c r="G8427" i="1"/>
  <c r="G8426" i="1"/>
  <c r="G8425" i="1"/>
  <c r="G8424" i="1"/>
  <c r="G8423" i="1"/>
  <c r="G8422" i="1"/>
  <c r="G8421" i="1"/>
  <c r="G8420" i="1"/>
  <c r="G8419" i="1"/>
  <c r="G8418" i="1"/>
  <c r="G8417" i="1"/>
  <c r="G8416" i="1"/>
  <c r="G8415" i="1"/>
  <c r="G8414" i="1"/>
  <c r="G8413" i="1"/>
  <c r="G8412" i="1"/>
  <c r="G8411" i="1"/>
  <c r="G8410" i="1"/>
  <c r="G8409" i="1"/>
  <c r="G8408" i="1"/>
  <c r="G8407" i="1"/>
  <c r="G8406" i="1"/>
  <c r="G8405" i="1"/>
  <c r="G8404" i="1"/>
  <c r="G8403" i="1"/>
  <c r="G8402" i="1"/>
  <c r="G8401" i="1"/>
  <c r="G8400" i="1"/>
  <c r="G8399" i="1"/>
  <c r="G8398" i="1"/>
  <c r="G8397" i="1"/>
  <c r="G8396" i="1"/>
  <c r="G8395" i="1"/>
  <c r="G8394" i="1"/>
  <c r="G8393" i="1"/>
  <c r="G8392" i="1"/>
  <c r="G8391" i="1"/>
  <c r="G8390" i="1"/>
  <c r="G8389" i="1"/>
  <c r="G8388" i="1"/>
  <c r="G8387" i="1"/>
  <c r="G8386" i="1"/>
  <c r="G8385" i="1"/>
  <c r="G8384" i="1"/>
  <c r="G8383" i="1"/>
  <c r="G8382" i="1"/>
  <c r="G8381" i="1"/>
  <c r="G8380" i="1"/>
  <c r="G8379" i="1"/>
  <c r="G8378" i="1"/>
  <c r="G8377" i="1"/>
  <c r="G8376" i="1"/>
  <c r="G8375" i="1"/>
  <c r="G8374" i="1"/>
  <c r="G8373" i="1"/>
  <c r="G8372" i="1"/>
  <c r="G8371" i="1"/>
  <c r="G8370" i="1"/>
  <c r="G8369" i="1"/>
  <c r="G8368" i="1"/>
  <c r="G8367" i="1"/>
  <c r="G8366" i="1"/>
  <c r="G8365" i="1"/>
  <c r="G8364" i="1"/>
  <c r="G8363" i="1"/>
  <c r="G8362" i="1"/>
  <c r="G8361" i="1"/>
  <c r="G8360" i="1"/>
  <c r="G8359" i="1"/>
  <c r="G8358" i="1"/>
  <c r="G8357" i="1"/>
  <c r="G8356" i="1"/>
  <c r="G8355" i="1"/>
  <c r="G8354" i="1"/>
  <c r="G8353" i="1"/>
  <c r="G8352" i="1"/>
  <c r="G8351" i="1"/>
  <c r="G8350" i="1"/>
  <c r="G8349" i="1"/>
  <c r="G8348" i="1"/>
  <c r="G8347" i="1"/>
  <c r="G8346" i="1"/>
  <c r="G8345" i="1"/>
  <c r="G8344" i="1"/>
  <c r="G8343" i="1"/>
  <c r="G8342" i="1"/>
  <c r="G8341" i="1"/>
  <c r="G8340" i="1"/>
  <c r="G8339" i="1"/>
  <c r="G8338" i="1"/>
  <c r="G8337" i="1"/>
  <c r="G8336" i="1"/>
  <c r="G8335" i="1"/>
  <c r="G8334" i="1"/>
  <c r="G8333" i="1"/>
  <c r="G8332" i="1"/>
  <c r="G8331" i="1"/>
  <c r="G8330" i="1"/>
  <c r="G8329" i="1"/>
  <c r="G8328" i="1"/>
  <c r="G8327" i="1"/>
  <c r="G8326" i="1"/>
  <c r="G8325" i="1"/>
  <c r="G8324" i="1"/>
  <c r="G8323" i="1"/>
  <c r="G8322" i="1"/>
  <c r="G8321" i="1"/>
  <c r="G8320" i="1"/>
  <c r="G8319" i="1"/>
  <c r="G8318" i="1"/>
  <c r="G8317" i="1"/>
  <c r="G8316" i="1"/>
  <c r="G8315" i="1"/>
  <c r="G8314" i="1"/>
  <c r="G8313" i="1"/>
  <c r="G8312" i="1"/>
  <c r="G8311" i="1"/>
  <c r="G8310" i="1"/>
  <c r="G8309" i="1"/>
  <c r="G8308" i="1"/>
  <c r="G8307" i="1"/>
  <c r="G8306" i="1"/>
  <c r="G8305" i="1"/>
  <c r="G8304" i="1"/>
  <c r="G8303" i="1"/>
  <c r="G8302" i="1"/>
  <c r="G8301" i="1"/>
  <c r="G8300" i="1"/>
  <c r="G8299" i="1"/>
  <c r="G8298" i="1"/>
  <c r="G8297" i="1"/>
  <c r="G8296" i="1"/>
  <c r="G8295" i="1"/>
  <c r="G8294" i="1"/>
  <c r="G8293" i="1"/>
  <c r="G8292" i="1"/>
  <c r="G8291" i="1"/>
  <c r="G8290" i="1"/>
  <c r="G8289" i="1"/>
  <c r="G8288" i="1"/>
  <c r="G8287" i="1"/>
  <c r="G8286" i="1"/>
  <c r="G8285" i="1"/>
  <c r="G8284" i="1"/>
  <c r="G8283" i="1"/>
  <c r="G8282" i="1"/>
  <c r="G8281" i="1"/>
  <c r="G8280" i="1"/>
  <c r="G8279" i="1"/>
  <c r="G8278" i="1"/>
  <c r="G8277" i="1"/>
  <c r="G8276" i="1"/>
  <c r="G8275" i="1"/>
  <c r="G8274" i="1"/>
  <c r="G8273" i="1"/>
  <c r="G8272" i="1"/>
  <c r="G8271" i="1"/>
  <c r="G8270" i="1"/>
  <c r="G8269" i="1"/>
  <c r="G8268" i="1"/>
  <c r="G8267" i="1"/>
  <c r="G8266" i="1"/>
  <c r="G8265" i="1"/>
  <c r="G8264" i="1"/>
  <c r="G8263" i="1"/>
  <c r="G8262" i="1"/>
  <c r="G8261" i="1"/>
  <c r="G8260" i="1"/>
  <c r="G8259" i="1"/>
  <c r="G8258" i="1"/>
  <c r="G8257" i="1"/>
  <c r="G8256" i="1"/>
  <c r="G8255" i="1"/>
  <c r="G8254" i="1"/>
  <c r="G8253" i="1"/>
  <c r="G8252" i="1"/>
  <c r="G8251" i="1"/>
  <c r="G8250" i="1"/>
  <c r="G8249" i="1"/>
  <c r="G8248" i="1"/>
  <c r="G8247" i="1"/>
  <c r="G8246" i="1"/>
  <c r="G8245" i="1"/>
  <c r="G8244" i="1"/>
  <c r="G8243" i="1"/>
  <c r="G8242" i="1"/>
  <c r="G8241" i="1"/>
  <c r="G8240" i="1"/>
  <c r="G8239" i="1"/>
  <c r="G8238" i="1"/>
  <c r="G8237" i="1"/>
  <c r="G8236" i="1"/>
  <c r="G8235" i="1"/>
  <c r="G8234" i="1"/>
  <c r="G8233" i="1"/>
  <c r="G8232" i="1"/>
  <c r="G8231" i="1"/>
  <c r="G8230" i="1"/>
  <c r="G8229" i="1"/>
  <c r="G8228" i="1"/>
  <c r="G8227" i="1"/>
  <c r="G8226" i="1"/>
  <c r="G8225" i="1"/>
  <c r="G8224" i="1"/>
  <c r="G8223" i="1"/>
  <c r="G8222" i="1"/>
  <c r="G8221" i="1"/>
  <c r="G8220" i="1"/>
  <c r="G8219" i="1"/>
  <c r="G8218" i="1"/>
  <c r="G8217" i="1"/>
  <c r="G8216" i="1"/>
  <c r="G8215" i="1"/>
  <c r="G8214" i="1"/>
  <c r="G8213" i="1"/>
  <c r="G8212" i="1"/>
  <c r="G8211" i="1"/>
  <c r="G8210" i="1"/>
  <c r="G8209" i="1"/>
  <c r="G8208" i="1"/>
  <c r="G8207" i="1"/>
  <c r="G8206" i="1"/>
  <c r="G8205" i="1"/>
  <c r="G8204" i="1"/>
  <c r="G8203" i="1"/>
  <c r="G8202" i="1"/>
  <c r="G8201" i="1"/>
  <c r="G8200" i="1"/>
  <c r="G8199" i="1"/>
  <c r="G8198" i="1"/>
  <c r="G8197" i="1"/>
  <c r="G8196" i="1"/>
  <c r="G8195" i="1"/>
  <c r="G8194" i="1"/>
  <c r="G8193" i="1"/>
  <c r="G8192" i="1"/>
  <c r="G8191" i="1"/>
  <c r="G8190" i="1"/>
  <c r="G8189" i="1"/>
  <c r="G8188" i="1"/>
  <c r="G8187" i="1"/>
  <c r="G8186" i="1"/>
  <c r="G8185" i="1"/>
  <c r="G8184" i="1"/>
  <c r="G8183" i="1"/>
  <c r="G8182" i="1"/>
  <c r="G8181" i="1"/>
  <c r="G8180" i="1"/>
  <c r="G8179" i="1"/>
  <c r="G8178" i="1"/>
  <c r="G8177" i="1"/>
  <c r="G8176" i="1"/>
  <c r="G8175" i="1"/>
  <c r="G8174" i="1"/>
  <c r="G8173" i="1"/>
  <c r="G8172" i="1"/>
  <c r="G8171" i="1"/>
  <c r="G8170" i="1"/>
  <c r="G8169" i="1"/>
  <c r="G8168" i="1"/>
  <c r="G8167" i="1"/>
  <c r="G8166" i="1"/>
  <c r="G8165" i="1"/>
  <c r="G8164" i="1"/>
  <c r="G8163" i="1"/>
  <c r="G8162" i="1"/>
  <c r="G8161" i="1"/>
  <c r="G8160" i="1"/>
  <c r="G8159" i="1"/>
  <c r="G8158" i="1"/>
  <c r="G8157" i="1"/>
  <c r="G8156" i="1"/>
  <c r="G8155" i="1"/>
  <c r="G8154" i="1"/>
  <c r="G8153" i="1"/>
  <c r="G8152" i="1"/>
  <c r="G8151" i="1"/>
  <c r="G8150" i="1"/>
  <c r="G8149" i="1"/>
  <c r="G8148" i="1"/>
  <c r="G8147" i="1"/>
  <c r="G8146" i="1"/>
  <c r="G8145" i="1"/>
  <c r="G8144" i="1"/>
  <c r="G8143" i="1"/>
  <c r="G8142" i="1"/>
  <c r="G8141" i="1"/>
  <c r="G8140" i="1"/>
  <c r="G8139" i="1"/>
  <c r="G8138" i="1"/>
  <c r="G8137" i="1"/>
  <c r="G8136" i="1"/>
  <c r="G8135" i="1"/>
  <c r="G8134" i="1"/>
  <c r="G8133" i="1"/>
  <c r="G8132" i="1"/>
  <c r="G8131" i="1"/>
  <c r="G8130" i="1"/>
  <c r="G8129" i="1"/>
  <c r="G8128" i="1"/>
  <c r="G8127" i="1"/>
  <c r="G8126" i="1"/>
  <c r="G8125" i="1"/>
  <c r="G8124" i="1"/>
  <c r="G8123" i="1"/>
  <c r="G8122" i="1"/>
  <c r="G8121" i="1"/>
  <c r="G8120" i="1"/>
  <c r="G8119" i="1"/>
  <c r="G8118" i="1"/>
  <c r="G8117" i="1"/>
  <c r="G8116" i="1"/>
  <c r="G8115" i="1"/>
  <c r="G8114" i="1"/>
  <c r="G8113" i="1"/>
  <c r="G8112" i="1"/>
  <c r="G8111" i="1"/>
  <c r="G8110" i="1"/>
  <c r="G8109" i="1"/>
  <c r="G8108" i="1"/>
  <c r="G8107" i="1"/>
  <c r="G8106" i="1"/>
  <c r="G8105" i="1"/>
  <c r="G8104" i="1"/>
  <c r="G8103" i="1"/>
  <c r="G8102" i="1"/>
  <c r="G8101" i="1"/>
  <c r="G8100" i="1"/>
  <c r="G8099" i="1"/>
  <c r="G8098" i="1"/>
  <c r="G8097" i="1"/>
  <c r="G8096" i="1"/>
  <c r="G8095" i="1"/>
  <c r="G8094" i="1"/>
  <c r="G8093" i="1"/>
  <c r="G8092" i="1"/>
  <c r="G8091" i="1"/>
  <c r="G8090" i="1"/>
  <c r="G8089" i="1"/>
  <c r="G8088" i="1"/>
  <c r="G8087" i="1"/>
  <c r="G8086" i="1"/>
  <c r="G8085" i="1"/>
  <c r="G8084" i="1"/>
  <c r="G8083" i="1"/>
  <c r="G8082" i="1"/>
  <c r="G8081" i="1"/>
  <c r="G8080" i="1"/>
  <c r="G8079" i="1"/>
  <c r="G8078" i="1"/>
  <c r="G8077" i="1"/>
  <c r="G8076" i="1"/>
  <c r="G8075" i="1"/>
  <c r="G8074" i="1"/>
  <c r="G8073" i="1"/>
  <c r="G8072" i="1"/>
  <c r="G8071" i="1"/>
  <c r="G8070" i="1"/>
  <c r="G8069" i="1"/>
  <c r="G8068" i="1"/>
  <c r="G8067" i="1"/>
  <c r="G8066" i="1"/>
  <c r="G8065" i="1"/>
  <c r="G8064" i="1"/>
  <c r="G8063" i="1"/>
  <c r="G8062" i="1"/>
  <c r="G8061" i="1"/>
  <c r="G8060" i="1"/>
  <c r="G8059" i="1"/>
  <c r="G8058" i="1"/>
  <c r="G8057" i="1"/>
  <c r="G8056" i="1"/>
  <c r="G8055" i="1"/>
  <c r="G8054" i="1"/>
  <c r="G8053" i="1"/>
  <c r="G8052" i="1"/>
  <c r="G8051" i="1"/>
  <c r="G8050" i="1"/>
  <c r="G8049" i="1"/>
  <c r="G8048" i="1"/>
  <c r="G8047" i="1"/>
  <c r="G8046" i="1"/>
  <c r="G8045" i="1"/>
  <c r="G8044" i="1"/>
  <c r="G8043" i="1"/>
  <c r="G8042" i="1"/>
  <c r="G8041" i="1"/>
  <c r="G8040" i="1"/>
  <c r="G8039" i="1"/>
  <c r="G8038" i="1"/>
  <c r="G8037" i="1"/>
  <c r="G8036" i="1"/>
  <c r="G8035" i="1"/>
  <c r="G8034" i="1"/>
  <c r="G8033" i="1"/>
  <c r="G8032" i="1"/>
  <c r="G8031" i="1"/>
  <c r="G8030" i="1"/>
  <c r="G8029" i="1"/>
  <c r="G8028" i="1"/>
  <c r="G8027" i="1"/>
  <c r="G8026" i="1"/>
  <c r="G8025" i="1"/>
  <c r="G8024" i="1"/>
  <c r="G8023" i="1"/>
  <c r="G8022" i="1"/>
  <c r="G8021" i="1"/>
  <c r="G8020" i="1"/>
  <c r="G8019" i="1"/>
  <c r="G8018" i="1"/>
  <c r="G8017" i="1"/>
  <c r="G8016" i="1"/>
  <c r="G8015" i="1"/>
  <c r="G8014" i="1"/>
  <c r="G8013" i="1"/>
  <c r="G8012" i="1"/>
  <c r="G8011" i="1"/>
  <c r="G8010" i="1"/>
  <c r="G8009" i="1"/>
  <c r="G8008" i="1"/>
  <c r="G8007" i="1"/>
  <c r="G8006" i="1"/>
  <c r="G8005" i="1"/>
  <c r="G8004" i="1"/>
  <c r="G8003" i="1"/>
  <c r="G8002" i="1"/>
  <c r="G8001" i="1"/>
  <c r="G8000" i="1"/>
  <c r="G7999" i="1"/>
  <c r="G7998" i="1"/>
  <c r="G7997" i="1"/>
  <c r="G7996" i="1"/>
  <c r="G7995" i="1"/>
  <c r="G7994" i="1"/>
  <c r="G7993" i="1"/>
  <c r="G7992" i="1"/>
  <c r="G7991" i="1"/>
  <c r="G7990" i="1"/>
  <c r="G7989" i="1"/>
  <c r="G7988" i="1"/>
  <c r="G7987" i="1"/>
  <c r="G7986" i="1"/>
  <c r="G7985" i="1"/>
  <c r="G7984" i="1"/>
  <c r="G7983" i="1"/>
  <c r="G7982" i="1"/>
  <c r="G7981" i="1"/>
  <c r="G7980" i="1"/>
  <c r="G7979" i="1"/>
  <c r="G7978" i="1"/>
  <c r="G7977" i="1"/>
  <c r="G7976" i="1"/>
  <c r="G7975" i="1"/>
  <c r="G7974" i="1"/>
  <c r="G7973" i="1"/>
  <c r="G7972" i="1"/>
  <c r="G7971" i="1"/>
  <c r="G7970" i="1"/>
  <c r="G7969" i="1"/>
  <c r="G7968" i="1"/>
  <c r="G7967" i="1"/>
  <c r="G7966" i="1"/>
  <c r="G7965" i="1"/>
  <c r="G7964" i="1"/>
  <c r="G7963" i="1"/>
  <c r="G7962" i="1"/>
  <c r="G7961" i="1"/>
  <c r="G7960" i="1"/>
  <c r="G7959" i="1"/>
  <c r="G7958" i="1"/>
  <c r="G7957" i="1"/>
  <c r="G7956" i="1"/>
  <c r="G7955" i="1"/>
  <c r="G7954" i="1"/>
  <c r="G7953" i="1"/>
  <c r="G7952" i="1"/>
  <c r="G7951" i="1"/>
  <c r="G7950" i="1"/>
  <c r="G7949" i="1"/>
  <c r="G7948" i="1"/>
  <c r="G7947" i="1"/>
  <c r="G7946" i="1"/>
  <c r="G7945" i="1"/>
  <c r="G7944" i="1"/>
  <c r="G7943" i="1"/>
  <c r="G7942" i="1"/>
  <c r="G7941" i="1"/>
  <c r="G7940" i="1"/>
  <c r="G7939" i="1"/>
  <c r="G7938" i="1"/>
  <c r="G7937" i="1"/>
  <c r="G7936" i="1"/>
  <c r="G7935" i="1"/>
  <c r="G7934" i="1"/>
  <c r="G7933" i="1"/>
  <c r="G7932" i="1"/>
  <c r="G7931" i="1"/>
  <c r="G7930" i="1"/>
  <c r="G7929" i="1"/>
  <c r="G7928" i="1"/>
  <c r="G7927" i="1"/>
  <c r="G7926" i="1"/>
  <c r="G7925" i="1"/>
  <c r="G7924" i="1"/>
  <c r="G7923" i="1"/>
  <c r="G7922" i="1"/>
  <c r="G7921" i="1"/>
  <c r="G7920" i="1"/>
  <c r="G7919" i="1"/>
  <c r="G7918" i="1"/>
  <c r="G7917" i="1"/>
  <c r="G7916" i="1"/>
  <c r="G7915" i="1"/>
  <c r="G7914" i="1"/>
  <c r="G7913" i="1"/>
  <c r="G7912" i="1"/>
  <c r="G7911" i="1"/>
  <c r="G7910" i="1"/>
  <c r="G7909" i="1"/>
  <c r="G7908" i="1"/>
  <c r="G7907" i="1"/>
  <c r="G7906" i="1"/>
  <c r="G7905" i="1"/>
  <c r="G7904" i="1"/>
  <c r="G7903" i="1"/>
  <c r="G7902" i="1"/>
  <c r="G7901" i="1"/>
  <c r="G7900" i="1"/>
  <c r="G7899" i="1"/>
  <c r="G7898" i="1"/>
  <c r="G7897" i="1"/>
  <c r="G7896" i="1"/>
  <c r="G7895" i="1"/>
  <c r="G7894" i="1"/>
  <c r="G7893" i="1"/>
  <c r="G7892" i="1"/>
  <c r="G7891" i="1"/>
  <c r="G7890" i="1"/>
  <c r="G7889" i="1"/>
  <c r="G7888" i="1"/>
  <c r="G7887" i="1"/>
  <c r="G7886" i="1"/>
  <c r="G7885" i="1"/>
  <c r="G7884" i="1"/>
  <c r="G7883" i="1"/>
  <c r="G7882" i="1"/>
  <c r="G7881" i="1"/>
  <c r="G7880" i="1"/>
  <c r="G7879" i="1"/>
  <c r="G7878" i="1"/>
  <c r="G7877" i="1"/>
  <c r="G7876" i="1"/>
  <c r="G7875" i="1"/>
  <c r="G7874" i="1"/>
  <c r="G7873" i="1"/>
  <c r="G7872" i="1"/>
  <c r="G7871" i="1"/>
  <c r="G7870" i="1"/>
  <c r="G7869" i="1"/>
  <c r="G7868" i="1"/>
  <c r="G7867" i="1"/>
  <c r="G7866" i="1"/>
  <c r="G7865" i="1"/>
  <c r="G7864" i="1"/>
  <c r="G7863" i="1"/>
  <c r="G7862" i="1"/>
  <c r="G7861" i="1"/>
  <c r="G7860" i="1"/>
  <c r="G7859" i="1"/>
  <c r="G7858" i="1"/>
  <c r="G7857" i="1"/>
  <c r="G7856" i="1"/>
  <c r="G7855" i="1"/>
  <c r="G7854" i="1"/>
  <c r="G7853" i="1"/>
  <c r="G7852" i="1"/>
  <c r="G7851" i="1"/>
  <c r="G7850" i="1"/>
  <c r="G7849" i="1"/>
  <c r="G7848" i="1"/>
  <c r="G7847" i="1"/>
  <c r="G7846" i="1"/>
  <c r="G7845" i="1"/>
  <c r="G7844" i="1"/>
  <c r="G7843" i="1"/>
  <c r="G7842" i="1"/>
  <c r="G7841" i="1"/>
  <c r="G7840" i="1"/>
  <c r="G7839" i="1"/>
  <c r="G7838" i="1"/>
  <c r="G7837" i="1"/>
  <c r="G7836" i="1"/>
  <c r="G7835" i="1"/>
  <c r="G7834" i="1"/>
  <c r="G7833" i="1"/>
  <c r="G7832" i="1"/>
  <c r="G7831" i="1"/>
  <c r="G7830" i="1"/>
  <c r="G7829" i="1"/>
  <c r="G7828" i="1"/>
  <c r="G7827" i="1"/>
  <c r="G7826" i="1"/>
  <c r="G7825" i="1"/>
  <c r="G7824" i="1"/>
  <c r="G7823" i="1"/>
  <c r="G7822" i="1"/>
  <c r="G7821" i="1"/>
  <c r="G7820" i="1"/>
  <c r="G7819" i="1"/>
  <c r="G7818" i="1"/>
  <c r="G7817" i="1"/>
  <c r="G7816" i="1"/>
  <c r="G7814" i="1"/>
  <c r="G7813" i="1"/>
  <c r="G7812" i="1"/>
  <c r="G7811" i="1"/>
  <c r="G7810" i="1"/>
  <c r="G7809" i="1"/>
  <c r="G7808" i="1"/>
  <c r="G7807" i="1"/>
  <c r="G7806" i="1"/>
  <c r="G7805" i="1"/>
  <c r="G7804" i="1"/>
  <c r="G7803" i="1"/>
  <c r="G7802" i="1"/>
  <c r="G7801" i="1"/>
  <c r="G7800" i="1"/>
  <c r="G7799" i="1"/>
  <c r="G7798" i="1"/>
  <c r="G7797" i="1"/>
  <c r="G7796" i="1"/>
  <c r="G7795" i="1"/>
  <c r="G7794" i="1"/>
  <c r="G7793" i="1"/>
  <c r="G7792" i="1"/>
  <c r="G7791" i="1"/>
  <c r="G7790" i="1"/>
  <c r="G7789" i="1"/>
  <c r="G7788" i="1"/>
  <c r="G7787" i="1"/>
  <c r="G7786" i="1"/>
  <c r="G7785" i="1"/>
  <c r="G7784" i="1"/>
  <c r="G7783" i="1"/>
  <c r="G7782" i="1"/>
  <c r="G7781" i="1"/>
  <c r="G7780" i="1"/>
  <c r="G7779" i="1"/>
  <c r="G7778" i="1"/>
  <c r="G7777" i="1"/>
  <c r="G7776" i="1"/>
  <c r="G7775" i="1"/>
  <c r="G7774" i="1"/>
  <c r="G7773" i="1"/>
  <c r="G7772" i="1"/>
  <c r="G7771" i="1"/>
  <c r="G7770" i="1"/>
  <c r="G7769" i="1"/>
  <c r="G7768" i="1"/>
  <c r="G7767" i="1"/>
  <c r="G7766" i="1"/>
  <c r="G7765" i="1"/>
  <c r="G7764" i="1"/>
  <c r="G7763" i="1"/>
  <c r="G7762" i="1"/>
  <c r="G7761" i="1"/>
  <c r="G7760" i="1"/>
  <c r="G7759" i="1"/>
  <c r="G7758" i="1"/>
  <c r="G7757" i="1"/>
  <c r="G7756" i="1"/>
  <c r="G7755" i="1"/>
  <c r="G7754" i="1"/>
  <c r="G7753" i="1"/>
  <c r="G7752" i="1"/>
  <c r="G7751" i="1"/>
  <c r="G7750" i="1"/>
  <c r="G7749" i="1"/>
  <c r="G7748" i="1"/>
  <c r="G7747" i="1"/>
  <c r="G7746" i="1"/>
  <c r="G7745" i="1"/>
  <c r="G7744" i="1"/>
  <c r="G7743" i="1"/>
  <c r="G7742" i="1"/>
  <c r="G7741" i="1"/>
  <c r="G7740" i="1"/>
  <c r="G7739" i="1"/>
  <c r="G7738" i="1"/>
  <c r="G7737" i="1"/>
  <c r="G7736" i="1"/>
  <c r="G7735" i="1"/>
  <c r="G7734" i="1"/>
  <c r="G7733" i="1"/>
  <c r="G7732" i="1"/>
  <c r="G7731" i="1"/>
  <c r="G7730" i="1"/>
  <c r="G7729" i="1"/>
  <c r="G7728" i="1"/>
  <c r="G7727" i="1"/>
  <c r="G7726" i="1"/>
  <c r="G7725" i="1"/>
  <c r="G7724" i="1"/>
  <c r="G7723" i="1"/>
  <c r="G7722" i="1"/>
  <c r="G7721" i="1"/>
  <c r="G7720" i="1"/>
  <c r="G7719" i="1"/>
  <c r="G7718" i="1"/>
  <c r="G7717" i="1"/>
  <c r="G7716" i="1"/>
  <c r="G7715" i="1"/>
  <c r="G7714" i="1"/>
  <c r="G7713" i="1"/>
  <c r="G7712" i="1"/>
  <c r="G7711" i="1"/>
  <c r="G7710" i="1"/>
  <c r="G7709" i="1"/>
  <c r="G7708" i="1"/>
  <c r="G7707" i="1"/>
  <c r="G7706" i="1"/>
  <c r="G7705" i="1"/>
  <c r="G7704" i="1"/>
  <c r="G7703" i="1"/>
  <c r="G7702" i="1"/>
  <c r="G7701" i="1"/>
  <c r="G7700" i="1"/>
  <c r="G7699" i="1"/>
  <c r="G7698" i="1"/>
  <c r="G7697" i="1"/>
  <c r="G7696" i="1"/>
  <c r="G7695" i="1"/>
  <c r="G7694" i="1"/>
  <c r="G7693" i="1"/>
  <c r="G7692" i="1"/>
  <c r="G7691" i="1"/>
  <c r="G7690" i="1"/>
  <c r="G7689" i="1"/>
  <c r="G7688" i="1"/>
  <c r="G7687" i="1"/>
  <c r="G7686" i="1"/>
  <c r="G7685" i="1"/>
  <c r="G7684" i="1"/>
  <c r="G7683" i="1"/>
  <c r="G7682" i="1"/>
  <c r="G7681" i="1"/>
  <c r="G7680" i="1"/>
  <c r="G7679" i="1"/>
  <c r="G7678" i="1"/>
  <c r="G7677" i="1"/>
  <c r="G7676" i="1"/>
  <c r="G7675" i="1"/>
  <c r="G7674" i="1"/>
  <c r="G7673" i="1"/>
  <c r="G7672" i="1"/>
  <c r="G7671" i="1"/>
  <c r="G7670" i="1"/>
  <c r="G7669" i="1"/>
  <c r="G7668" i="1"/>
  <c r="G7667" i="1"/>
  <c r="G7666" i="1"/>
  <c r="G7665" i="1"/>
  <c r="G7664" i="1"/>
  <c r="G7663" i="1"/>
  <c r="G7662" i="1"/>
  <c r="G7661" i="1"/>
  <c r="G7660" i="1"/>
  <c r="G7659" i="1"/>
  <c r="G7658" i="1"/>
  <c r="G7657" i="1"/>
  <c r="G7656" i="1"/>
  <c r="G7655" i="1"/>
  <c r="G7654" i="1"/>
  <c r="G7653" i="1"/>
  <c r="G7652" i="1"/>
  <c r="G7651" i="1"/>
  <c r="G7650" i="1"/>
  <c r="G7649" i="1"/>
  <c r="G7648" i="1"/>
  <c r="G7647" i="1"/>
  <c r="G7646" i="1"/>
  <c r="G7645" i="1"/>
  <c r="G7644" i="1"/>
  <c r="G7643" i="1"/>
  <c r="G7642" i="1"/>
  <c r="G7641" i="1"/>
  <c r="G7640" i="1"/>
  <c r="G7639" i="1"/>
  <c r="G7638" i="1"/>
  <c r="G7637" i="1"/>
  <c r="G7636" i="1"/>
  <c r="G7635" i="1"/>
  <c r="G7634" i="1"/>
  <c r="G7633" i="1"/>
  <c r="G7632" i="1"/>
  <c r="G7631" i="1"/>
  <c r="G7630" i="1"/>
  <c r="G7629" i="1"/>
  <c r="G7628" i="1"/>
  <c r="G7627" i="1"/>
  <c r="G7626" i="1"/>
  <c r="G7625" i="1"/>
  <c r="G7624" i="1"/>
  <c r="G7623" i="1"/>
  <c r="G7622" i="1"/>
  <c r="G7621" i="1"/>
  <c r="G7620" i="1"/>
  <c r="G7619" i="1"/>
  <c r="G7618" i="1"/>
  <c r="G7617" i="1"/>
  <c r="G7616" i="1"/>
  <c r="G7615" i="1"/>
  <c r="G7614" i="1"/>
  <c r="G7613" i="1"/>
  <c r="G7612" i="1"/>
  <c r="G7611" i="1"/>
  <c r="G7610" i="1"/>
  <c r="G7609" i="1"/>
  <c r="G7608" i="1"/>
  <c r="G7607" i="1"/>
  <c r="G7606" i="1"/>
  <c r="G7605" i="1"/>
  <c r="G7604" i="1"/>
  <c r="G7603" i="1"/>
  <c r="G7602" i="1"/>
  <c r="G7601" i="1"/>
  <c r="G7600" i="1"/>
  <c r="G7599" i="1"/>
  <c r="G7598" i="1"/>
  <c r="G7597" i="1"/>
  <c r="G7596" i="1"/>
  <c r="G7595" i="1"/>
  <c r="G7594" i="1"/>
  <c r="G7593" i="1"/>
  <c r="G7592" i="1"/>
  <c r="G7591" i="1"/>
  <c r="G7590" i="1"/>
  <c r="G7589" i="1"/>
  <c r="G7588" i="1"/>
  <c r="G7587" i="1"/>
  <c r="G7586" i="1"/>
  <c r="G7585" i="1"/>
  <c r="G7584" i="1"/>
  <c r="G7583" i="1"/>
  <c r="G7582" i="1"/>
  <c r="G7581" i="1"/>
  <c r="G7580" i="1"/>
  <c r="G7579" i="1"/>
  <c r="G7578" i="1"/>
  <c r="G7577" i="1"/>
  <c r="G7576" i="1"/>
  <c r="G7575" i="1"/>
  <c r="G7574" i="1"/>
  <c r="G7573" i="1"/>
  <c r="G7572" i="1"/>
  <c r="G7571" i="1"/>
  <c r="G7570" i="1"/>
  <c r="G7569" i="1"/>
  <c r="G7568" i="1"/>
  <c r="G7567" i="1"/>
  <c r="G7566" i="1"/>
  <c r="G7565" i="1"/>
  <c r="G7564" i="1"/>
  <c r="G7563" i="1"/>
  <c r="G7562" i="1"/>
  <c r="G7561" i="1"/>
  <c r="G7560" i="1"/>
  <c r="G7559" i="1"/>
  <c r="G7558" i="1"/>
  <c r="G7557" i="1"/>
  <c r="G7556" i="1"/>
  <c r="G7555" i="1"/>
  <c r="G7554" i="1"/>
  <c r="G7553" i="1"/>
  <c r="G7552" i="1"/>
  <c r="G7551" i="1"/>
  <c r="G7550" i="1"/>
  <c r="G7549" i="1"/>
  <c r="G7548" i="1"/>
  <c r="G7547" i="1"/>
  <c r="G7546" i="1"/>
  <c r="G7545" i="1"/>
  <c r="G7544" i="1"/>
  <c r="G7543" i="1"/>
  <c r="G7542" i="1"/>
  <c r="G7541" i="1"/>
  <c r="G7540" i="1"/>
  <c r="G7539" i="1"/>
  <c r="G7538" i="1"/>
  <c r="G7537" i="1"/>
  <c r="G7536" i="1"/>
  <c r="G7535" i="1"/>
  <c r="G7534" i="1"/>
  <c r="G7533" i="1"/>
  <c r="G7532" i="1"/>
  <c r="G7531" i="1"/>
  <c r="G7530" i="1"/>
  <c r="G7529" i="1"/>
  <c r="G7528" i="1"/>
  <c r="G7527" i="1"/>
  <c r="G7526" i="1"/>
  <c r="G7525" i="1"/>
  <c r="G7524" i="1"/>
  <c r="G7523" i="1"/>
  <c r="G7522" i="1"/>
  <c r="G7521" i="1"/>
  <c r="G7520" i="1"/>
  <c r="G7519" i="1"/>
  <c r="G7518" i="1"/>
  <c r="G7517" i="1"/>
  <c r="G7516" i="1"/>
  <c r="G7515" i="1"/>
  <c r="G7514" i="1"/>
  <c r="G7513" i="1"/>
  <c r="G7512" i="1"/>
  <c r="G7511" i="1"/>
  <c r="G7510" i="1"/>
  <c r="G7509" i="1"/>
  <c r="G7508" i="1"/>
  <c r="G7507" i="1"/>
  <c r="G7506" i="1"/>
  <c r="G7505" i="1"/>
  <c r="G7504" i="1"/>
  <c r="G7503" i="1"/>
  <c r="G7502" i="1"/>
  <c r="G7501" i="1"/>
  <c r="G7500" i="1"/>
  <c r="G7499" i="1"/>
  <c r="G7498" i="1"/>
  <c r="G7497" i="1"/>
  <c r="G7496" i="1"/>
  <c r="G7495" i="1"/>
  <c r="G7494" i="1"/>
  <c r="G7493" i="1"/>
  <c r="G7492" i="1"/>
  <c r="G7491" i="1"/>
  <c r="G7490" i="1"/>
  <c r="G7489" i="1"/>
  <c r="G7488" i="1"/>
  <c r="G7487" i="1"/>
  <c r="G7486" i="1"/>
  <c r="G7485" i="1"/>
  <c r="G7484" i="1"/>
  <c r="G7483" i="1"/>
  <c r="G7482" i="1"/>
  <c r="G7481" i="1"/>
  <c r="G7480" i="1"/>
  <c r="G7479" i="1"/>
  <c r="G7478" i="1"/>
  <c r="G7477" i="1"/>
  <c r="G7476" i="1"/>
  <c r="G7475" i="1"/>
  <c r="G7474" i="1"/>
  <c r="G7473" i="1"/>
  <c r="G7472" i="1"/>
  <c r="G7471" i="1"/>
  <c r="G7470" i="1"/>
  <c r="G7469" i="1"/>
  <c r="G7468" i="1"/>
  <c r="G7467" i="1"/>
  <c r="G7466" i="1"/>
  <c r="G7465" i="1"/>
  <c r="G7464" i="1"/>
  <c r="G7463" i="1"/>
  <c r="G7462" i="1"/>
  <c r="G7461" i="1"/>
  <c r="G7460" i="1"/>
  <c r="G7459" i="1"/>
  <c r="G7458" i="1"/>
  <c r="G7457" i="1"/>
  <c r="G7456" i="1"/>
  <c r="G7455" i="1"/>
  <c r="G7454" i="1"/>
  <c r="G7453" i="1"/>
  <c r="G7452" i="1"/>
  <c r="G7451" i="1"/>
  <c r="G7450" i="1"/>
  <c r="G7449" i="1"/>
  <c r="G7448" i="1"/>
  <c r="G7447" i="1"/>
  <c r="G7446" i="1"/>
  <c r="G7445" i="1"/>
  <c r="G7444" i="1"/>
  <c r="G7443" i="1"/>
  <c r="G7442" i="1"/>
  <c r="G7441" i="1"/>
  <c r="G7440" i="1"/>
  <c r="G7439" i="1"/>
  <c r="G7438" i="1"/>
  <c r="G7437" i="1"/>
  <c r="G7436" i="1"/>
  <c r="G7435" i="1"/>
  <c r="G7434" i="1"/>
  <c r="G7433" i="1"/>
  <c r="G7432" i="1"/>
  <c r="G7431" i="1"/>
  <c r="G7430" i="1"/>
  <c r="G7429" i="1"/>
  <c r="G7428" i="1"/>
  <c r="G7427" i="1"/>
  <c r="G7426" i="1"/>
  <c r="G7425" i="1"/>
  <c r="G7424" i="1"/>
  <c r="G7423" i="1"/>
  <c r="G7422" i="1"/>
  <c r="G7421" i="1"/>
  <c r="G7420" i="1"/>
  <c r="G7419" i="1"/>
  <c r="G7418" i="1"/>
  <c r="G7417" i="1"/>
  <c r="G7416" i="1"/>
  <c r="G7415" i="1"/>
  <c r="G7414" i="1"/>
  <c r="G7413" i="1"/>
  <c r="G7412" i="1"/>
  <c r="G7411" i="1"/>
  <c r="G7410" i="1"/>
  <c r="G7409" i="1"/>
  <c r="G7408" i="1"/>
  <c r="G7407" i="1"/>
  <c r="G7406" i="1"/>
  <c r="G7405" i="1"/>
  <c r="G7404" i="1"/>
  <c r="G7403" i="1"/>
  <c r="G7402" i="1"/>
  <c r="G7401" i="1"/>
  <c r="G7400" i="1"/>
  <c r="G7399" i="1"/>
  <c r="G7398" i="1"/>
  <c r="G7397" i="1"/>
  <c r="G7396" i="1"/>
  <c r="G7395" i="1"/>
  <c r="G7394" i="1"/>
  <c r="G7393" i="1"/>
  <c r="G7392" i="1"/>
  <c r="G7391" i="1"/>
  <c r="G7390" i="1"/>
  <c r="G7389" i="1"/>
  <c r="G7388" i="1"/>
  <c r="G7387" i="1"/>
  <c r="G7386" i="1"/>
  <c r="G7385" i="1"/>
  <c r="G7384" i="1"/>
  <c r="G7383" i="1"/>
  <c r="G7382" i="1"/>
  <c r="G7381" i="1"/>
  <c r="G7380" i="1"/>
  <c r="G7379" i="1"/>
  <c r="G7378" i="1"/>
  <c r="G7377" i="1"/>
  <c r="G7376" i="1"/>
  <c r="G7375" i="1"/>
  <c r="G7374" i="1"/>
  <c r="G7373" i="1"/>
  <c r="G7372" i="1"/>
  <c r="G7371" i="1"/>
  <c r="G7370" i="1"/>
  <c r="G7369" i="1"/>
  <c r="G7368" i="1"/>
  <c r="G7367" i="1"/>
  <c r="G7366" i="1"/>
  <c r="G7365" i="1"/>
  <c r="G7364" i="1"/>
  <c r="G7363" i="1"/>
  <c r="G7362" i="1"/>
  <c r="G7361" i="1"/>
  <c r="G7360" i="1"/>
  <c r="G7359" i="1"/>
  <c r="G7358" i="1"/>
  <c r="G7357" i="1"/>
  <c r="G7356" i="1"/>
  <c r="G7355" i="1"/>
  <c r="G7354" i="1"/>
  <c r="G7353" i="1"/>
  <c r="G7352" i="1"/>
  <c r="G7351" i="1"/>
  <c r="G7350" i="1"/>
  <c r="G7349" i="1"/>
  <c r="G7348" i="1"/>
  <c r="G7347" i="1"/>
  <c r="G7346" i="1"/>
  <c r="G7345" i="1"/>
  <c r="G7344" i="1"/>
  <c r="G7343" i="1"/>
  <c r="G7342" i="1"/>
  <c r="G7341" i="1"/>
  <c r="G7340" i="1"/>
  <c r="G7339" i="1"/>
  <c r="G7338" i="1"/>
  <c r="G7337" i="1"/>
  <c r="G7336" i="1"/>
  <c r="G7335" i="1"/>
  <c r="G7334" i="1"/>
  <c r="G7333" i="1"/>
  <c r="G7332" i="1"/>
  <c r="G7331" i="1"/>
  <c r="G7330" i="1"/>
  <c r="G7329" i="1"/>
  <c r="G7328" i="1"/>
  <c r="G7327" i="1"/>
  <c r="G7326" i="1"/>
  <c r="G7325" i="1"/>
  <c r="G7324" i="1"/>
  <c r="G7323" i="1"/>
  <c r="G7322" i="1"/>
  <c r="G7321" i="1"/>
  <c r="G7320" i="1"/>
  <c r="G7319" i="1"/>
  <c r="G7318" i="1"/>
  <c r="G7317" i="1"/>
  <c r="G7316" i="1"/>
  <c r="G7315" i="1"/>
  <c r="G7314" i="1"/>
  <c r="G7313" i="1"/>
  <c r="G7312" i="1"/>
  <c r="G7311" i="1"/>
  <c r="G7310" i="1"/>
  <c r="G7309" i="1"/>
  <c r="G7308" i="1"/>
  <c r="G7307" i="1"/>
  <c r="G7306" i="1"/>
  <c r="G7305" i="1"/>
  <c r="G7304" i="1"/>
  <c r="G7303" i="1"/>
  <c r="G7302" i="1"/>
  <c r="G7301" i="1"/>
  <c r="G7300" i="1"/>
  <c r="G7299" i="1"/>
  <c r="G7298" i="1"/>
  <c r="G7297" i="1"/>
  <c r="G7296" i="1"/>
  <c r="G7295" i="1"/>
  <c r="G7294" i="1"/>
  <c r="G7293" i="1"/>
  <c r="G7292" i="1"/>
  <c r="G7291" i="1"/>
  <c r="G7290" i="1"/>
  <c r="G7289" i="1"/>
  <c r="G7288" i="1"/>
  <c r="G7287" i="1"/>
  <c r="G7286" i="1"/>
  <c r="G7285" i="1"/>
  <c r="G7284" i="1"/>
  <c r="G7283" i="1"/>
  <c r="G7282" i="1"/>
  <c r="G7281" i="1"/>
  <c r="G7280" i="1"/>
  <c r="G7279" i="1"/>
  <c r="G7278" i="1"/>
  <c r="G7277" i="1"/>
  <c r="G7276" i="1"/>
  <c r="G7275" i="1"/>
  <c r="G7274" i="1"/>
  <c r="G7273" i="1"/>
  <c r="G7272" i="1"/>
  <c r="G7271" i="1"/>
  <c r="G7270" i="1"/>
  <c r="G7269" i="1"/>
  <c r="G7268" i="1"/>
  <c r="G7267" i="1"/>
  <c r="G7266" i="1"/>
  <c r="G7265" i="1"/>
  <c r="G7264" i="1"/>
  <c r="G7263" i="1"/>
  <c r="G7262" i="1"/>
  <c r="G7261" i="1"/>
  <c r="G7260" i="1"/>
  <c r="G7259" i="1"/>
  <c r="G7258" i="1"/>
  <c r="G7257" i="1"/>
  <c r="G7256" i="1"/>
  <c r="G7255" i="1"/>
  <c r="G7254" i="1"/>
  <c r="G7253" i="1"/>
  <c r="G7252" i="1"/>
  <c r="G7251" i="1"/>
  <c r="G7250" i="1"/>
  <c r="G7249" i="1"/>
  <c r="G7248" i="1"/>
  <c r="G7247" i="1"/>
  <c r="G7246" i="1"/>
  <c r="G7245" i="1"/>
  <c r="G7244" i="1"/>
  <c r="G7243" i="1"/>
  <c r="G7242" i="1"/>
  <c r="G7241" i="1"/>
  <c r="G7240" i="1"/>
  <c r="G7239" i="1"/>
  <c r="G7238" i="1"/>
  <c r="G7237" i="1"/>
  <c r="G7236" i="1"/>
  <c r="G7235" i="1"/>
  <c r="G7234" i="1"/>
  <c r="G7233" i="1"/>
  <c r="G7232" i="1"/>
  <c r="G7231" i="1"/>
  <c r="G7230" i="1"/>
  <c r="G7229" i="1"/>
  <c r="G7228" i="1"/>
  <c r="G7227" i="1"/>
  <c r="G7226" i="1"/>
  <c r="G7225" i="1"/>
  <c r="G7224" i="1"/>
  <c r="G7223" i="1"/>
  <c r="G7222" i="1"/>
  <c r="G7221" i="1"/>
  <c r="G7220" i="1"/>
  <c r="G7219" i="1"/>
  <c r="G7218" i="1"/>
  <c r="G7217" i="1"/>
  <c r="G7216" i="1"/>
  <c r="G7215" i="1"/>
  <c r="G7214" i="1"/>
  <c r="G7213" i="1"/>
  <c r="G7212" i="1"/>
  <c r="G7211" i="1"/>
  <c r="G7210" i="1"/>
  <c r="G7209" i="1"/>
  <c r="G7208" i="1"/>
  <c r="G7207" i="1"/>
  <c r="G7206" i="1"/>
  <c r="G7205" i="1"/>
  <c r="G7204" i="1"/>
  <c r="G7203" i="1"/>
  <c r="G7202" i="1"/>
  <c r="G7201" i="1"/>
  <c r="G7200" i="1"/>
  <c r="G7199" i="1"/>
  <c r="G7198" i="1"/>
  <c r="G7197" i="1"/>
  <c r="G7196" i="1"/>
  <c r="G7195" i="1"/>
  <c r="G7194" i="1"/>
  <c r="G7193" i="1"/>
  <c r="G7192" i="1"/>
  <c r="G7191" i="1"/>
  <c r="G7190" i="1"/>
  <c r="G7189" i="1"/>
  <c r="G7188" i="1"/>
  <c r="G7187" i="1"/>
  <c r="G7186" i="1"/>
  <c r="G7185" i="1"/>
  <c r="G7184" i="1"/>
  <c r="G7183" i="1"/>
  <c r="G7182" i="1"/>
  <c r="G7181" i="1"/>
  <c r="G7180" i="1"/>
  <c r="G7179" i="1"/>
  <c r="G7178" i="1"/>
  <c r="G7177" i="1"/>
  <c r="G7176" i="1"/>
  <c r="G7175" i="1"/>
  <c r="G7174" i="1"/>
  <c r="G7173" i="1"/>
  <c r="G7172" i="1"/>
  <c r="G7171" i="1"/>
  <c r="G7170" i="1"/>
  <c r="G7169" i="1"/>
  <c r="G7168" i="1"/>
  <c r="G7167" i="1"/>
  <c r="G7166" i="1"/>
  <c r="G7165" i="1"/>
  <c r="G7164" i="1"/>
  <c r="G7163" i="1"/>
  <c r="G7162" i="1"/>
  <c r="G7161" i="1"/>
  <c r="G7160" i="1"/>
  <c r="G7159" i="1"/>
  <c r="G7158" i="1"/>
  <c r="G7157" i="1"/>
  <c r="G7156" i="1"/>
  <c r="G7155" i="1"/>
  <c r="G7154" i="1"/>
  <c r="G7153" i="1"/>
  <c r="G7152" i="1"/>
  <c r="G7151" i="1"/>
  <c r="G7150" i="1"/>
  <c r="G7149" i="1"/>
  <c r="G7148" i="1"/>
  <c r="G7147" i="1"/>
  <c r="G7146" i="1"/>
  <c r="G7145" i="1"/>
  <c r="G7144" i="1"/>
  <c r="G7143" i="1"/>
  <c r="G7142" i="1"/>
  <c r="G7141" i="1"/>
  <c r="G7140" i="1"/>
  <c r="G7139" i="1"/>
  <c r="G7138" i="1"/>
  <c r="G7137" i="1"/>
  <c r="G7136" i="1"/>
  <c r="G7135" i="1"/>
  <c r="G7134" i="1"/>
  <c r="G7133" i="1"/>
  <c r="G7132" i="1"/>
  <c r="G7131" i="1"/>
  <c r="G7130" i="1"/>
  <c r="G7129" i="1"/>
  <c r="G7128" i="1"/>
  <c r="G7127" i="1"/>
  <c r="G7126" i="1"/>
  <c r="G7125" i="1"/>
  <c r="G7124" i="1"/>
  <c r="G7123" i="1"/>
  <c r="G7122" i="1"/>
  <c r="G7121" i="1"/>
  <c r="G7120" i="1"/>
  <c r="G7119" i="1"/>
  <c r="G7118" i="1"/>
  <c r="G7117" i="1"/>
  <c r="G7116" i="1"/>
  <c r="G7115" i="1"/>
  <c r="G7114" i="1"/>
  <c r="G7113" i="1"/>
  <c r="G7112" i="1"/>
  <c r="G7111" i="1"/>
  <c r="G7110" i="1"/>
  <c r="G7109" i="1"/>
  <c r="G7108" i="1"/>
  <c r="G7107" i="1"/>
  <c r="G7106" i="1"/>
  <c r="G7105" i="1"/>
  <c r="G7104" i="1"/>
  <c r="G7103" i="1"/>
  <c r="G7102" i="1"/>
  <c r="G7101" i="1"/>
  <c r="G7100" i="1"/>
  <c r="G7099" i="1"/>
  <c r="G7098" i="1"/>
  <c r="G7097" i="1"/>
  <c r="G7096" i="1"/>
  <c r="G7095" i="1"/>
  <c r="G7094" i="1"/>
  <c r="G7093" i="1"/>
  <c r="G7092" i="1"/>
  <c r="G7091" i="1"/>
  <c r="G7090" i="1"/>
  <c r="G7089" i="1"/>
  <c r="G7088" i="1"/>
  <c r="G7087" i="1"/>
  <c r="G7086" i="1"/>
  <c r="G7085" i="1"/>
  <c r="G7084" i="1"/>
  <c r="G7083" i="1"/>
  <c r="G7082" i="1"/>
  <c r="G7081" i="1"/>
  <c r="G7080" i="1"/>
  <c r="G7079" i="1"/>
  <c r="G7078" i="1"/>
  <c r="G7077" i="1"/>
  <c r="G7076" i="1"/>
  <c r="G7075" i="1"/>
  <c r="G7074" i="1"/>
  <c r="G7073" i="1"/>
  <c r="G7072" i="1"/>
  <c r="G7071" i="1"/>
  <c r="G7070" i="1"/>
  <c r="G7069" i="1"/>
  <c r="G7068" i="1"/>
  <c r="G7067" i="1"/>
  <c r="G7066" i="1"/>
  <c r="G7065" i="1"/>
  <c r="G7064" i="1"/>
  <c r="G7063" i="1"/>
  <c r="G7062" i="1"/>
  <c r="G7061" i="1"/>
  <c r="G7060" i="1"/>
  <c r="G7059" i="1"/>
  <c r="G7058" i="1"/>
  <c r="G7057" i="1"/>
  <c r="G7056" i="1"/>
  <c r="G7055" i="1"/>
  <c r="G7054" i="1"/>
  <c r="G7053" i="1"/>
  <c r="G7052" i="1"/>
  <c r="G7051" i="1"/>
  <c r="G7050" i="1"/>
  <c r="G7049" i="1"/>
  <c r="G7048" i="1"/>
  <c r="G7047" i="1"/>
  <c r="G7046" i="1"/>
  <c r="G7045" i="1"/>
  <c r="G7044" i="1"/>
  <c r="G7043" i="1"/>
  <c r="G7042" i="1"/>
  <c r="G7041" i="1"/>
  <c r="G7040" i="1"/>
  <c r="G7039" i="1"/>
  <c r="G7038" i="1"/>
  <c r="G7037" i="1"/>
  <c r="G7036" i="1"/>
  <c r="G7035" i="1"/>
  <c r="G7034" i="1"/>
  <c r="G7033" i="1"/>
  <c r="G7032" i="1"/>
  <c r="G7031" i="1"/>
  <c r="G7030" i="1"/>
  <c r="G7029" i="1"/>
  <c r="G7028" i="1"/>
  <c r="G7027" i="1"/>
  <c r="G7026" i="1"/>
  <c r="G7025" i="1"/>
  <c r="G7024" i="1"/>
  <c r="G7023" i="1"/>
  <c r="G7022" i="1"/>
  <c r="G7021" i="1"/>
  <c r="G7020" i="1"/>
  <c r="G7019" i="1"/>
  <c r="G7018" i="1"/>
  <c r="G7017" i="1"/>
  <c r="G7016" i="1"/>
  <c r="G7015" i="1"/>
  <c r="G7014" i="1"/>
  <c r="G7013" i="1"/>
  <c r="G7012" i="1"/>
  <c r="G7011" i="1"/>
  <c r="G7010" i="1"/>
  <c r="G7009" i="1"/>
  <c r="G7008" i="1"/>
  <c r="G7007" i="1"/>
  <c r="G7006" i="1"/>
  <c r="G7005" i="1"/>
  <c r="G7004" i="1"/>
  <c r="G7003" i="1"/>
  <c r="G7002" i="1"/>
  <c r="G7001" i="1"/>
  <c r="G7000" i="1"/>
  <c r="G6999" i="1"/>
  <c r="G6998" i="1"/>
  <c r="G6997" i="1"/>
  <c r="G6996" i="1"/>
  <c r="G6995" i="1"/>
  <c r="G6994" i="1"/>
  <c r="G6993" i="1"/>
  <c r="G6992" i="1"/>
  <c r="G6991" i="1"/>
  <c r="G6990" i="1"/>
  <c r="G6989" i="1"/>
  <c r="G6988" i="1"/>
  <c r="G6987" i="1"/>
  <c r="G6986" i="1"/>
  <c r="G6985" i="1"/>
  <c r="G6984" i="1"/>
  <c r="G6983" i="1"/>
  <c r="G6982" i="1"/>
  <c r="G6981" i="1"/>
  <c r="G6980" i="1"/>
  <c r="G6979" i="1"/>
  <c r="G6978" i="1"/>
  <c r="G6977" i="1"/>
  <c r="G6976" i="1"/>
  <c r="G6975" i="1"/>
  <c r="G6974" i="1"/>
  <c r="G6973" i="1"/>
  <c r="G6972" i="1"/>
  <c r="G6971" i="1"/>
  <c r="G6970" i="1"/>
  <c r="G6969" i="1"/>
  <c r="G6968" i="1"/>
  <c r="G6967" i="1"/>
  <c r="G6966" i="1"/>
  <c r="G6965" i="1"/>
  <c r="G6964" i="1"/>
  <c r="G6963" i="1"/>
  <c r="G6962" i="1"/>
  <c r="G6961" i="1"/>
  <c r="G6960" i="1"/>
  <c r="G6959" i="1"/>
  <c r="G6958" i="1"/>
  <c r="G6957" i="1"/>
  <c r="G6956" i="1"/>
  <c r="G6955" i="1"/>
  <c r="G6954" i="1"/>
  <c r="G6953" i="1"/>
  <c r="G6952" i="1"/>
  <c r="G6951" i="1"/>
  <c r="G6950" i="1"/>
  <c r="G6949" i="1"/>
  <c r="G6948" i="1"/>
  <c r="G6947" i="1"/>
  <c r="G6946" i="1"/>
  <c r="G6945" i="1"/>
  <c r="G6944" i="1"/>
  <c r="G6943" i="1"/>
  <c r="G6942" i="1"/>
  <c r="G6941" i="1"/>
  <c r="G6940" i="1"/>
  <c r="G6939" i="1"/>
  <c r="G6938" i="1"/>
  <c r="G6937" i="1"/>
  <c r="G6936" i="1"/>
  <c r="G6935" i="1"/>
  <c r="G6934" i="1"/>
  <c r="G6933" i="1"/>
  <c r="G6932" i="1"/>
  <c r="G6931" i="1"/>
  <c r="G6930" i="1"/>
  <c r="G6929" i="1"/>
  <c r="G6928" i="1"/>
  <c r="G6927" i="1"/>
  <c r="G6926" i="1"/>
  <c r="G6925" i="1"/>
  <c r="G6924" i="1"/>
  <c r="G6923" i="1"/>
  <c r="G6922" i="1"/>
  <c r="G6921" i="1"/>
  <c r="G6920" i="1"/>
  <c r="G6919" i="1"/>
  <c r="G6918" i="1"/>
  <c r="G6917" i="1"/>
  <c r="G6916" i="1"/>
  <c r="G6915" i="1"/>
  <c r="G6914" i="1"/>
  <c r="G6913" i="1"/>
  <c r="G6912" i="1"/>
  <c r="G6911" i="1"/>
  <c r="G6910" i="1"/>
  <c r="G6909" i="1"/>
  <c r="G6908" i="1"/>
  <c r="G6907" i="1"/>
  <c r="G6906" i="1"/>
  <c r="G6905" i="1"/>
  <c r="G6904" i="1"/>
  <c r="G6903" i="1"/>
  <c r="G6902" i="1"/>
  <c r="G6901" i="1"/>
  <c r="G6900" i="1"/>
  <c r="G6899" i="1"/>
  <c r="G6898" i="1"/>
  <c r="G6896" i="1"/>
  <c r="G6895" i="1"/>
  <c r="G6894" i="1"/>
  <c r="G6893" i="1"/>
  <c r="G6892" i="1"/>
  <c r="G6891" i="1"/>
  <c r="G6890" i="1"/>
  <c r="G6889" i="1"/>
  <c r="G6888" i="1"/>
  <c r="G6887" i="1"/>
  <c r="G6886" i="1"/>
  <c r="G6885" i="1"/>
  <c r="G6884" i="1"/>
  <c r="G6883" i="1"/>
  <c r="G6882" i="1"/>
  <c r="G6881" i="1"/>
  <c r="G6880" i="1"/>
  <c r="G6879" i="1"/>
  <c r="G6878" i="1"/>
  <c r="G6877" i="1"/>
  <c r="G6876" i="1"/>
  <c r="G6875" i="1"/>
  <c r="G6874" i="1"/>
  <c r="G6873" i="1"/>
  <c r="G6872" i="1"/>
  <c r="G6871" i="1"/>
  <c r="G6870" i="1"/>
  <c r="G6869" i="1"/>
  <c r="G6868" i="1"/>
  <c r="G6867" i="1"/>
  <c r="G6866" i="1"/>
  <c r="G6865" i="1"/>
  <c r="G6864" i="1"/>
  <c r="G6863" i="1"/>
  <c r="G6862" i="1"/>
  <c r="G6861" i="1"/>
  <c r="G6860" i="1"/>
  <c r="G6859" i="1"/>
  <c r="G6858" i="1"/>
  <c r="G6857" i="1"/>
  <c r="G6856" i="1"/>
  <c r="G6855" i="1"/>
  <c r="G6854" i="1"/>
  <c r="G6853" i="1"/>
  <c r="G6852" i="1"/>
  <c r="G6851" i="1"/>
  <c r="G6850" i="1"/>
  <c r="G6849" i="1"/>
  <c r="G6848" i="1"/>
  <c r="G6847" i="1"/>
  <c r="G6846" i="1"/>
  <c r="G6845" i="1"/>
  <c r="G6844" i="1"/>
  <c r="G6843" i="1"/>
  <c r="G6842" i="1"/>
  <c r="G6841" i="1"/>
  <c r="G6840" i="1"/>
  <c r="G6839" i="1"/>
  <c r="G6838" i="1"/>
  <c r="G6837" i="1"/>
  <c r="G6836" i="1"/>
  <c r="G6835" i="1"/>
  <c r="G6834" i="1"/>
  <c r="G6833" i="1"/>
  <c r="G6832" i="1"/>
  <c r="G6831" i="1"/>
  <c r="G6830" i="1"/>
  <c r="G6829" i="1"/>
  <c r="G6828" i="1"/>
  <c r="G6827" i="1"/>
  <c r="G6826" i="1"/>
  <c r="G6825" i="1"/>
  <c r="G6824" i="1"/>
  <c r="G6823" i="1"/>
  <c r="G6822" i="1"/>
  <c r="G6821" i="1"/>
  <c r="G6820" i="1"/>
  <c r="G6819" i="1"/>
  <c r="G6818" i="1"/>
  <c r="G6817" i="1"/>
  <c r="G6816" i="1"/>
  <c r="G6815" i="1"/>
  <c r="G6814" i="1"/>
  <c r="G6813" i="1"/>
  <c r="G6812" i="1"/>
  <c r="G6811" i="1"/>
  <c r="G6810" i="1"/>
  <c r="G6809" i="1"/>
  <c r="G6808" i="1"/>
  <c r="G6807" i="1"/>
  <c r="G6806" i="1"/>
  <c r="G6805" i="1"/>
  <c r="G6804" i="1"/>
  <c r="G6803" i="1"/>
  <c r="G6802" i="1"/>
  <c r="G6801" i="1"/>
  <c r="G6800" i="1"/>
  <c r="G6799" i="1"/>
  <c r="G6798" i="1"/>
  <c r="G6797" i="1"/>
  <c r="G6796" i="1"/>
  <c r="G6795" i="1"/>
  <c r="G6794" i="1"/>
  <c r="G6793" i="1"/>
  <c r="G6792" i="1"/>
  <c r="G6791" i="1"/>
  <c r="G6790" i="1"/>
  <c r="G6789" i="1"/>
  <c r="G6788" i="1"/>
  <c r="G6787" i="1"/>
  <c r="G6786" i="1"/>
  <c r="G6785" i="1"/>
  <c r="G6784" i="1"/>
  <c r="G6783" i="1"/>
  <c r="G6782" i="1"/>
  <c r="G6781" i="1"/>
  <c r="G6780" i="1"/>
  <c r="G6779" i="1"/>
  <c r="G6778" i="1"/>
  <c r="G6777" i="1"/>
  <c r="G6776" i="1"/>
  <c r="G6775" i="1"/>
  <c r="G6774" i="1"/>
  <c r="G6773" i="1"/>
  <c r="G6772" i="1"/>
  <c r="G6771" i="1"/>
  <c r="G6770" i="1"/>
  <c r="G6769" i="1"/>
  <c r="G6768" i="1"/>
  <c r="G6767" i="1"/>
  <c r="G6766" i="1"/>
  <c r="G6765" i="1"/>
  <c r="G6764" i="1"/>
  <c r="G6763" i="1"/>
  <c r="G6762" i="1"/>
  <c r="G6761" i="1"/>
  <c r="G6760" i="1"/>
  <c r="G6759" i="1"/>
  <c r="G6758" i="1"/>
  <c r="G6757" i="1"/>
  <c r="G6756" i="1"/>
  <c r="G6755" i="1"/>
  <c r="G6754" i="1"/>
  <c r="G6753" i="1"/>
  <c r="G6752" i="1"/>
  <c r="G6751" i="1"/>
  <c r="G6750" i="1"/>
  <c r="G6749" i="1"/>
  <c r="G6748" i="1"/>
  <c r="G6747" i="1"/>
  <c r="G6746" i="1"/>
  <c r="G6745" i="1"/>
  <c r="G6744" i="1"/>
  <c r="G6743" i="1"/>
  <c r="G6742" i="1"/>
  <c r="G6741" i="1"/>
  <c r="G6740" i="1"/>
  <c r="G6739" i="1"/>
  <c r="G6738" i="1"/>
  <c r="G6737" i="1"/>
  <c r="G6736" i="1"/>
  <c r="G6735" i="1"/>
  <c r="G6734" i="1"/>
  <c r="G6733" i="1"/>
  <c r="G6732" i="1"/>
  <c r="G6731" i="1"/>
  <c r="G6730" i="1"/>
  <c r="G6729" i="1"/>
  <c r="G6728" i="1"/>
  <c r="G6727" i="1"/>
  <c r="G6726" i="1"/>
  <c r="G6725" i="1"/>
  <c r="G6724" i="1"/>
  <c r="G6723" i="1"/>
  <c r="G6722" i="1"/>
  <c r="G6721" i="1"/>
  <c r="G6720" i="1"/>
  <c r="G6719" i="1"/>
  <c r="G6718" i="1"/>
  <c r="G6717" i="1"/>
  <c r="G6716" i="1"/>
  <c r="G6715" i="1"/>
  <c r="G6714" i="1"/>
  <c r="G6713" i="1"/>
  <c r="G6712" i="1"/>
  <c r="G6711" i="1"/>
  <c r="G6710" i="1"/>
  <c r="G6709" i="1"/>
  <c r="G6708" i="1"/>
  <c r="G6707" i="1"/>
  <c r="G6706" i="1"/>
  <c r="G6705" i="1"/>
  <c r="G6704" i="1"/>
  <c r="G6703" i="1"/>
  <c r="G6702" i="1"/>
  <c r="G6701" i="1"/>
  <c r="G6700" i="1"/>
  <c r="G6699" i="1"/>
  <c r="G6698" i="1"/>
  <c r="G6697" i="1"/>
  <c r="G6696" i="1"/>
  <c r="G6695" i="1"/>
  <c r="G6694" i="1"/>
  <c r="G6693" i="1"/>
  <c r="G6692" i="1"/>
  <c r="G6691" i="1"/>
  <c r="G6690" i="1"/>
  <c r="G6689" i="1"/>
  <c r="G6688" i="1"/>
  <c r="G6687" i="1"/>
  <c r="G6686" i="1"/>
  <c r="G6685" i="1"/>
  <c r="G6684" i="1"/>
  <c r="G6683" i="1"/>
  <c r="G6682" i="1"/>
  <c r="G6681" i="1"/>
  <c r="G6680" i="1"/>
  <c r="G6679" i="1"/>
  <c r="G6678" i="1"/>
  <c r="G6677" i="1"/>
  <c r="G6676" i="1"/>
  <c r="G6675" i="1"/>
  <c r="G6674" i="1"/>
  <c r="G6673" i="1"/>
  <c r="G6672" i="1"/>
  <c r="G6671" i="1"/>
  <c r="G6670" i="1"/>
  <c r="G6669" i="1"/>
  <c r="G6668" i="1"/>
  <c r="G6667" i="1"/>
  <c r="G6666" i="1"/>
  <c r="G6665" i="1"/>
  <c r="G6664" i="1"/>
  <c r="G6663" i="1"/>
  <c r="G6662" i="1"/>
  <c r="G6661" i="1"/>
  <c r="G6660" i="1"/>
  <c r="G6659" i="1"/>
  <c r="G6658" i="1"/>
  <c r="G6657" i="1"/>
  <c r="G6656" i="1"/>
  <c r="G6655" i="1"/>
  <c r="G6654" i="1"/>
  <c r="G6653" i="1"/>
  <c r="G6652" i="1"/>
  <c r="G6651" i="1"/>
  <c r="G6650" i="1"/>
  <c r="G6649" i="1"/>
  <c r="G6648" i="1"/>
  <c r="G6647" i="1"/>
  <c r="G6646" i="1"/>
  <c r="G6645" i="1"/>
  <c r="G6644" i="1"/>
  <c r="G6643" i="1"/>
  <c r="G6642" i="1"/>
  <c r="G6641" i="1"/>
  <c r="G6640" i="1"/>
  <c r="G6639" i="1"/>
  <c r="G6638" i="1"/>
  <c r="G6637" i="1"/>
  <c r="G6636" i="1"/>
  <c r="G6635" i="1"/>
  <c r="G6634" i="1"/>
  <c r="G6633" i="1"/>
  <c r="G6632" i="1"/>
  <c r="G6631" i="1"/>
  <c r="G6630" i="1"/>
  <c r="G6629" i="1"/>
  <c r="G6628" i="1"/>
  <c r="G6627" i="1"/>
  <c r="G6626" i="1"/>
  <c r="G6625" i="1"/>
  <c r="G6624" i="1"/>
  <c r="G6623" i="1"/>
  <c r="G6622" i="1"/>
  <c r="G6621" i="1"/>
  <c r="G6620" i="1"/>
  <c r="G6619" i="1"/>
  <c r="G6618" i="1"/>
  <c r="G6617" i="1"/>
  <c r="G6616" i="1"/>
  <c r="G6615" i="1"/>
  <c r="G6614" i="1"/>
  <c r="G6613" i="1"/>
  <c r="G6612" i="1"/>
  <c r="G6611" i="1"/>
  <c r="G6610" i="1"/>
  <c r="G6609" i="1"/>
  <c r="G6608" i="1"/>
  <c r="G6607" i="1"/>
  <c r="G6606" i="1"/>
  <c r="G6605" i="1"/>
  <c r="G6604" i="1"/>
  <c r="G6603" i="1"/>
  <c r="G6602" i="1"/>
  <c r="G6601" i="1"/>
  <c r="G6600" i="1"/>
  <c r="G6599" i="1"/>
  <c r="G6598" i="1"/>
  <c r="G6597" i="1"/>
  <c r="G6596" i="1"/>
  <c r="G6595" i="1"/>
  <c r="G6594" i="1"/>
  <c r="G6593" i="1"/>
  <c r="G6592" i="1"/>
  <c r="G6591" i="1"/>
  <c r="G6590" i="1"/>
  <c r="G6589" i="1"/>
  <c r="G6588" i="1"/>
  <c r="G6587" i="1"/>
  <c r="G6586" i="1"/>
  <c r="G6585" i="1"/>
  <c r="G6584" i="1"/>
  <c r="G6583" i="1"/>
  <c r="G6582" i="1"/>
  <c r="G6581" i="1"/>
  <c r="G6580" i="1"/>
  <c r="G6579" i="1"/>
  <c r="G6578" i="1"/>
  <c r="G6577" i="1"/>
  <c r="G6576" i="1"/>
  <c r="G6575" i="1"/>
  <c r="G6574" i="1"/>
  <c r="G6573" i="1"/>
  <c r="G6572" i="1"/>
  <c r="G6571" i="1"/>
  <c r="G6570" i="1"/>
  <c r="G6569" i="1"/>
  <c r="G6568" i="1"/>
  <c r="G6567" i="1"/>
  <c r="G6566" i="1"/>
  <c r="G6565" i="1"/>
  <c r="G6564" i="1"/>
  <c r="G6563" i="1"/>
  <c r="G6562" i="1"/>
  <c r="G6561" i="1"/>
  <c r="G6560" i="1"/>
  <c r="G6559" i="1"/>
  <c r="G6558" i="1"/>
  <c r="G6557" i="1"/>
  <c r="G6556" i="1"/>
  <c r="G6555" i="1"/>
  <c r="G6554" i="1"/>
  <c r="G6553" i="1"/>
  <c r="G6552" i="1"/>
  <c r="G6551" i="1"/>
  <c r="G6550" i="1"/>
  <c r="G6549" i="1"/>
  <c r="G6548" i="1"/>
  <c r="G6547" i="1"/>
  <c r="G6546" i="1"/>
  <c r="G6545" i="1"/>
  <c r="G6544" i="1"/>
  <c r="G6543" i="1"/>
  <c r="G6542" i="1"/>
  <c r="G6541" i="1"/>
  <c r="G6540" i="1"/>
  <c r="G6539" i="1"/>
  <c r="G6538" i="1"/>
  <c r="G6537" i="1"/>
  <c r="G6536" i="1"/>
  <c r="G6535" i="1"/>
  <c r="G6534" i="1"/>
  <c r="G6533" i="1"/>
  <c r="G6532" i="1"/>
  <c r="G6531" i="1"/>
  <c r="G6530" i="1"/>
  <c r="G6529" i="1"/>
  <c r="G6528" i="1"/>
  <c r="G6527" i="1"/>
  <c r="G6526" i="1"/>
  <c r="G6525" i="1"/>
  <c r="G6524" i="1"/>
  <c r="G6523" i="1"/>
  <c r="G6522" i="1"/>
  <c r="G6521" i="1"/>
  <c r="G6520" i="1"/>
  <c r="G6519" i="1"/>
  <c r="G6518" i="1"/>
  <c r="G6517" i="1"/>
  <c r="G6516" i="1"/>
  <c r="G6515" i="1"/>
  <c r="G6514" i="1"/>
  <c r="G6513" i="1"/>
  <c r="G6512" i="1"/>
  <c r="G6510" i="1"/>
  <c r="G6509" i="1"/>
  <c r="G6508" i="1"/>
  <c r="G6507" i="1"/>
  <c r="G6506" i="1"/>
  <c r="G6505" i="1"/>
  <c r="G6504" i="1"/>
  <c r="G6503" i="1"/>
  <c r="G6502" i="1"/>
  <c r="G6501" i="1"/>
  <c r="G6500" i="1"/>
  <c r="G6499" i="1"/>
  <c r="G6498" i="1"/>
  <c r="G6497" i="1"/>
  <c r="G6496" i="1"/>
  <c r="G6495" i="1"/>
  <c r="G6494" i="1"/>
  <c r="G6493" i="1"/>
  <c r="G6492" i="1"/>
  <c r="G6491" i="1"/>
  <c r="G6490" i="1"/>
  <c r="G6489" i="1"/>
  <c r="G6488" i="1"/>
  <c r="G6487" i="1"/>
  <c r="G6486" i="1"/>
  <c r="G6485" i="1"/>
  <c r="G6484" i="1"/>
  <c r="G6483" i="1"/>
  <c r="G6482" i="1"/>
  <c r="G6481" i="1"/>
  <c r="G6480" i="1"/>
  <c r="G6479" i="1"/>
  <c r="G6478" i="1"/>
  <c r="G6477" i="1"/>
  <c r="G6476" i="1"/>
  <c r="G6475" i="1"/>
  <c r="G6474" i="1"/>
  <c r="G6473" i="1"/>
  <c r="G6472" i="1"/>
  <c r="G6471" i="1"/>
  <c r="G6470" i="1"/>
  <c r="G6469" i="1"/>
  <c r="G6468" i="1"/>
  <c r="G6467" i="1"/>
  <c r="G6466" i="1"/>
  <c r="G6465" i="1"/>
  <c r="G6464" i="1"/>
  <c r="G6463" i="1"/>
  <c r="G6462" i="1"/>
  <c r="G6461" i="1"/>
  <c r="G6460" i="1"/>
  <c r="G6459" i="1"/>
  <c r="G6458" i="1"/>
  <c r="G6457" i="1"/>
  <c r="G6456" i="1"/>
  <c r="G6455" i="1"/>
  <c r="G6454" i="1"/>
  <c r="G6453" i="1"/>
  <c r="G6452" i="1"/>
  <c r="G6451" i="1"/>
  <c r="G6450" i="1"/>
  <c r="G6449" i="1"/>
  <c r="G6448" i="1"/>
  <c r="G6447" i="1"/>
  <c r="G6446" i="1"/>
  <c r="G6445" i="1"/>
  <c r="G6444" i="1"/>
  <c r="G6443" i="1"/>
  <c r="G6442" i="1"/>
  <c r="G6441" i="1"/>
  <c r="G6440" i="1"/>
  <c r="G6439" i="1"/>
  <c r="G6438" i="1"/>
  <c r="G6437" i="1"/>
  <c r="G6436" i="1"/>
  <c r="G6435" i="1"/>
  <c r="G6434" i="1"/>
  <c r="G6433" i="1"/>
  <c r="G6432" i="1"/>
  <c r="G6431" i="1"/>
  <c r="G6430" i="1"/>
  <c r="G6429" i="1"/>
  <c r="G6428" i="1"/>
  <c r="G6427" i="1"/>
  <c r="G6426" i="1"/>
  <c r="G6425" i="1"/>
  <c r="G6424" i="1"/>
  <c r="G6423" i="1"/>
  <c r="G6422" i="1"/>
  <c r="G6421" i="1"/>
  <c r="G6420" i="1"/>
  <c r="G6419" i="1"/>
  <c r="G6418" i="1"/>
  <c r="G6417" i="1"/>
  <c r="G6416" i="1"/>
  <c r="G6415" i="1"/>
  <c r="G6414" i="1"/>
  <c r="G6413" i="1"/>
  <c r="G6412" i="1"/>
  <c r="G6411" i="1"/>
  <c r="G6410" i="1"/>
  <c r="G6409" i="1"/>
  <c r="G6408" i="1"/>
  <c r="G6407" i="1"/>
  <c r="G6406" i="1"/>
  <c r="G6405" i="1"/>
  <c r="G6404" i="1"/>
  <c r="G6403" i="1"/>
  <c r="G6402" i="1"/>
  <c r="G6401" i="1"/>
  <c r="G6400" i="1"/>
  <c r="G6399" i="1"/>
  <c r="G6398" i="1"/>
  <c r="G6397" i="1"/>
  <c r="G6396" i="1"/>
  <c r="G6395" i="1"/>
  <c r="G6394" i="1"/>
  <c r="G6393" i="1"/>
  <c r="G6392" i="1"/>
  <c r="G6391" i="1"/>
  <c r="G6390" i="1"/>
  <c r="G6389" i="1"/>
  <c r="G6388" i="1"/>
  <c r="G6387" i="1"/>
  <c r="G6386" i="1"/>
  <c r="G6385" i="1"/>
  <c r="G6384" i="1"/>
  <c r="G6383" i="1"/>
  <c r="G6382" i="1"/>
  <c r="G6381" i="1"/>
  <c r="G6380" i="1"/>
  <c r="G6379" i="1"/>
  <c r="G6378" i="1"/>
  <c r="G6377" i="1"/>
  <c r="G6376" i="1"/>
  <c r="G6375" i="1"/>
  <c r="G6374" i="1"/>
  <c r="G6373" i="1"/>
  <c r="G6372" i="1"/>
  <c r="G6371" i="1"/>
  <c r="G6370" i="1"/>
  <c r="G6369" i="1"/>
  <c r="G6368" i="1"/>
  <c r="G6367" i="1"/>
  <c r="G6366" i="1"/>
  <c r="G6365" i="1"/>
  <c r="G6364" i="1"/>
  <c r="G6363" i="1"/>
  <c r="G6362" i="1"/>
  <c r="G6361" i="1"/>
  <c r="G6360" i="1"/>
  <c r="G6359" i="1"/>
  <c r="G6358" i="1"/>
  <c r="G6357" i="1"/>
  <c r="G6356" i="1"/>
  <c r="G6355" i="1"/>
  <c r="G6354" i="1"/>
  <c r="G6353" i="1"/>
  <c r="G6352" i="1"/>
  <c r="G6351" i="1"/>
  <c r="G6350" i="1"/>
  <c r="G6349" i="1"/>
  <c r="G6348" i="1"/>
  <c r="G6347" i="1"/>
  <c r="G6346" i="1"/>
  <c r="G6345" i="1"/>
  <c r="G6344" i="1"/>
  <c r="G6343" i="1"/>
  <c r="G6342" i="1"/>
  <c r="G6341" i="1"/>
  <c r="G6340" i="1"/>
  <c r="G6339" i="1"/>
  <c r="G6338" i="1"/>
  <c r="G6337" i="1"/>
  <c r="G6336" i="1"/>
  <c r="G6335" i="1"/>
  <c r="G6334" i="1"/>
  <c r="G6333" i="1"/>
  <c r="G6332" i="1"/>
  <c r="G6331" i="1"/>
  <c r="G6330" i="1"/>
  <c r="G6329" i="1"/>
  <c r="G6328" i="1"/>
  <c r="G6327" i="1"/>
  <c r="G6326" i="1"/>
  <c r="G6325" i="1"/>
  <c r="G6324" i="1"/>
  <c r="G6323" i="1"/>
  <c r="G6322" i="1"/>
  <c r="G6321" i="1"/>
  <c r="G6320" i="1"/>
  <c r="G6319" i="1"/>
  <c r="G6318" i="1"/>
  <c r="G6317" i="1"/>
  <c r="G6316" i="1"/>
  <c r="G6315" i="1"/>
  <c r="G6314" i="1"/>
  <c r="G6313" i="1"/>
  <c r="G6312" i="1"/>
  <c r="G6311" i="1"/>
  <c r="G6310" i="1"/>
  <c r="G6309" i="1"/>
  <c r="G6308" i="1"/>
  <c r="G6307" i="1"/>
  <c r="G6306" i="1"/>
  <c r="G6305" i="1"/>
  <c r="G6304" i="1"/>
  <c r="G6303" i="1"/>
  <c r="G6302" i="1"/>
  <c r="G6301" i="1"/>
  <c r="G6300" i="1"/>
  <c r="G6299" i="1"/>
  <c r="G6298" i="1"/>
  <c r="G6297" i="1"/>
  <c r="G6296" i="1"/>
  <c r="G6295" i="1"/>
  <c r="G6294" i="1"/>
  <c r="G6293" i="1"/>
  <c r="G6292" i="1"/>
  <c r="G6291" i="1"/>
  <c r="G6290" i="1"/>
  <c r="G6289" i="1"/>
  <c r="G6288" i="1"/>
  <c r="G6287" i="1"/>
  <c r="G6286" i="1"/>
  <c r="G6285" i="1"/>
  <c r="G6284" i="1"/>
  <c r="G6283" i="1"/>
  <c r="G6282" i="1"/>
  <c r="G6281" i="1"/>
  <c r="G6280" i="1"/>
  <c r="G6279" i="1"/>
  <c r="G6278" i="1"/>
  <c r="G6277" i="1"/>
  <c r="G6276" i="1"/>
  <c r="G6275" i="1"/>
  <c r="G6274" i="1"/>
  <c r="G6273" i="1"/>
  <c r="G6272" i="1"/>
  <c r="G6271" i="1"/>
  <c r="G6270" i="1"/>
  <c r="G6269" i="1"/>
  <c r="G6268" i="1"/>
  <c r="G6267" i="1"/>
  <c r="G6266" i="1"/>
  <c r="G6265" i="1"/>
  <c r="G6264" i="1"/>
  <c r="G6263" i="1"/>
  <c r="G6262" i="1"/>
  <c r="G6261" i="1"/>
  <c r="G6260" i="1"/>
  <c r="G6259" i="1"/>
  <c r="G6258" i="1"/>
  <c r="G6257" i="1"/>
  <c r="G6256" i="1"/>
  <c r="G6255" i="1"/>
  <c r="G6254" i="1"/>
  <c r="G6253" i="1"/>
  <c r="G6252" i="1"/>
  <c r="G6251" i="1"/>
  <c r="G6250" i="1"/>
  <c r="G6249" i="1"/>
  <c r="G6248" i="1"/>
  <c r="G6247" i="1"/>
  <c r="G6246" i="1"/>
  <c r="G6245" i="1"/>
  <c r="G6244" i="1"/>
  <c r="G6243" i="1"/>
  <c r="G6242" i="1"/>
  <c r="G6241" i="1"/>
  <c r="G6240" i="1"/>
  <c r="G6239" i="1"/>
  <c r="G6238" i="1"/>
  <c r="G6237" i="1"/>
  <c r="G6236" i="1"/>
  <c r="G6235" i="1"/>
  <c r="G6234" i="1"/>
  <c r="G6233" i="1"/>
  <c r="G6232" i="1"/>
  <c r="G6231" i="1"/>
  <c r="G6230" i="1"/>
  <c r="G6229" i="1"/>
  <c r="G6228" i="1"/>
  <c r="G6227" i="1"/>
  <c r="G6226" i="1"/>
  <c r="G6225" i="1"/>
  <c r="G6224" i="1"/>
  <c r="G6223" i="1"/>
  <c r="G6222" i="1"/>
  <c r="G6221" i="1"/>
  <c r="G6220" i="1"/>
  <c r="G6219" i="1"/>
  <c r="G6218" i="1"/>
  <c r="G6216" i="1"/>
  <c r="G6215" i="1"/>
  <c r="G6214" i="1"/>
  <c r="G6213" i="1"/>
  <c r="G6212" i="1"/>
  <c r="G6211" i="1"/>
  <c r="G6210" i="1"/>
  <c r="G6209" i="1"/>
  <c r="G6208" i="1"/>
  <c r="G6207" i="1"/>
  <c r="G6206" i="1"/>
  <c r="G6205" i="1"/>
  <c r="G6204" i="1"/>
  <c r="G6203" i="1"/>
  <c r="G6202" i="1"/>
  <c r="G6201" i="1"/>
  <c r="G6200" i="1"/>
  <c r="G6199" i="1"/>
  <c r="G6198" i="1"/>
  <c r="G6197" i="1"/>
  <c r="G6196" i="1"/>
  <c r="G6195" i="1"/>
  <c r="G6194" i="1"/>
  <c r="G6193" i="1"/>
  <c r="G6192" i="1"/>
  <c r="G6191" i="1"/>
  <c r="G6190" i="1"/>
  <c r="G6189" i="1"/>
  <c r="G6188" i="1"/>
  <c r="G6187" i="1"/>
  <c r="G6186" i="1"/>
  <c r="G6185" i="1"/>
  <c r="G6184" i="1"/>
  <c r="G6183" i="1"/>
  <c r="G6182" i="1"/>
  <c r="G6181" i="1"/>
  <c r="G6180" i="1"/>
  <c r="G6179" i="1"/>
  <c r="G6178" i="1"/>
  <c r="G6177" i="1"/>
  <c r="G6176" i="1"/>
  <c r="G6175" i="1"/>
  <c r="G6174" i="1"/>
  <c r="G6173" i="1"/>
  <c r="G6172" i="1"/>
  <c r="G6171" i="1"/>
  <c r="G6170" i="1"/>
  <c r="G6169" i="1"/>
  <c r="G6168" i="1"/>
  <c r="G6167" i="1"/>
  <c r="G6166" i="1"/>
  <c r="G6165" i="1"/>
  <c r="G6164" i="1"/>
  <c r="G6163" i="1"/>
  <c r="G6162" i="1"/>
  <c r="G6161" i="1"/>
  <c r="G6160" i="1"/>
  <c r="G6159" i="1"/>
  <c r="G6158" i="1"/>
  <c r="G6157" i="1"/>
  <c r="G6156" i="1"/>
  <c r="G6155" i="1"/>
  <c r="G6154" i="1"/>
  <c r="G6153" i="1"/>
  <c r="G6152" i="1"/>
  <c r="G6151" i="1"/>
  <c r="G6150" i="1"/>
  <c r="G6149" i="1"/>
  <c r="G6148" i="1"/>
  <c r="G6147" i="1"/>
  <c r="G6146" i="1"/>
  <c r="G6145" i="1"/>
  <c r="G6144" i="1"/>
  <c r="G6143" i="1"/>
  <c r="G6142" i="1"/>
  <c r="G6141" i="1"/>
  <c r="G6140" i="1"/>
  <c r="G6139" i="1"/>
  <c r="G6138" i="1"/>
  <c r="G6137" i="1"/>
  <c r="G6136" i="1"/>
  <c r="G6135" i="1"/>
  <c r="G6134" i="1"/>
  <c r="G6133" i="1"/>
  <c r="G6132" i="1"/>
  <c r="G6131" i="1"/>
  <c r="G6130" i="1"/>
  <c r="G6129" i="1"/>
  <c r="G6128" i="1"/>
  <c r="G6127" i="1"/>
  <c r="G6126" i="1"/>
  <c r="G6125" i="1"/>
  <c r="G6124" i="1"/>
  <c r="G6123" i="1"/>
  <c r="G6122" i="1"/>
  <c r="G6121" i="1"/>
  <c r="G6120" i="1"/>
  <c r="G6119" i="1"/>
  <c r="G6118" i="1"/>
  <c r="G6117" i="1"/>
  <c r="G6116" i="1"/>
  <c r="G6114" i="1"/>
  <c r="G6113" i="1"/>
  <c r="G6112" i="1"/>
  <c r="G6111" i="1"/>
  <c r="G6110" i="1"/>
  <c r="G6109" i="1"/>
  <c r="G6108" i="1"/>
  <c r="G6107" i="1"/>
  <c r="G6106" i="1"/>
  <c r="G6105" i="1"/>
  <c r="G6104" i="1"/>
  <c r="G6103" i="1"/>
  <c r="G6102" i="1"/>
  <c r="G6101" i="1"/>
  <c r="G6100" i="1"/>
  <c r="G6099" i="1"/>
  <c r="G6098" i="1"/>
  <c r="G6097" i="1"/>
  <c r="G6096" i="1"/>
  <c r="G6095" i="1"/>
  <c r="G6094" i="1"/>
  <c r="G6093" i="1"/>
  <c r="G6092" i="1"/>
  <c r="G6091" i="1"/>
  <c r="G6090" i="1"/>
  <c r="G6089" i="1"/>
  <c r="G6088" i="1"/>
  <c r="G6087" i="1"/>
  <c r="G6086" i="1"/>
  <c r="G6085" i="1"/>
  <c r="G6084" i="1"/>
  <c r="G6083" i="1"/>
  <c r="G6082" i="1"/>
  <c r="G6081" i="1"/>
  <c r="G6080" i="1"/>
  <c r="G6079" i="1"/>
  <c r="G6077" i="1"/>
  <c r="G6076" i="1"/>
  <c r="G6075" i="1"/>
  <c r="G6074" i="1"/>
  <c r="G6073" i="1"/>
  <c r="G6072" i="1"/>
  <c r="G6071" i="1"/>
  <c r="G6070" i="1"/>
  <c r="G6069" i="1"/>
  <c r="G6068" i="1"/>
  <c r="G6067" i="1"/>
  <c r="G6066" i="1"/>
  <c r="G6065" i="1"/>
  <c r="G6064" i="1"/>
  <c r="G6063" i="1"/>
  <c r="G6062" i="1"/>
  <c r="G6061" i="1"/>
  <c r="G6060" i="1"/>
  <c r="G6059" i="1"/>
  <c r="G6058" i="1"/>
  <c r="G6057" i="1"/>
  <c r="G6056" i="1"/>
  <c r="G6055" i="1"/>
  <c r="G6054" i="1"/>
  <c r="G6053" i="1"/>
  <c r="G6052" i="1"/>
  <c r="G6051" i="1"/>
  <c r="G6050" i="1"/>
  <c r="G6049" i="1"/>
  <c r="G6048" i="1"/>
  <c r="G6047" i="1"/>
  <c r="G6046" i="1"/>
  <c r="G6045" i="1"/>
  <c r="G6044" i="1"/>
  <c r="G6043" i="1"/>
  <c r="G6042" i="1"/>
  <c r="G6041" i="1"/>
  <c r="G6040" i="1"/>
  <c r="G6039" i="1"/>
  <c r="G6038" i="1"/>
  <c r="G6037" i="1"/>
  <c r="G6036" i="1"/>
  <c r="G6035" i="1"/>
  <c r="G6034" i="1"/>
  <c r="G6033" i="1"/>
  <c r="G6032" i="1"/>
  <c r="G6031" i="1"/>
  <c r="G6030" i="1"/>
  <c r="G6029" i="1"/>
  <c r="G6028" i="1"/>
  <c r="G6027" i="1"/>
  <c r="G6026" i="1"/>
  <c r="G6025" i="1"/>
  <c r="G6024" i="1"/>
  <c r="G6023" i="1"/>
  <c r="G6022" i="1"/>
  <c r="G6021" i="1"/>
  <c r="G6020" i="1"/>
  <c r="G6019" i="1"/>
  <c r="G6018" i="1"/>
  <c r="G6017" i="1"/>
  <c r="G6016" i="1"/>
  <c r="G6015" i="1"/>
  <c r="G6014" i="1"/>
  <c r="G6013" i="1"/>
  <c r="G6012" i="1"/>
  <c r="G6011" i="1"/>
  <c r="G6010" i="1"/>
  <c r="G6009" i="1"/>
  <c r="G6008" i="1"/>
  <c r="G6007" i="1"/>
  <c r="G6006" i="1"/>
  <c r="G6005" i="1"/>
  <c r="G6004" i="1"/>
  <c r="G6003" i="1"/>
  <c r="G6002" i="1"/>
  <c r="G6001" i="1"/>
  <c r="G6000" i="1"/>
  <c r="G5999" i="1"/>
  <c r="G5998" i="1"/>
  <c r="G5997" i="1"/>
  <c r="G5996" i="1"/>
  <c r="G5995" i="1"/>
  <c r="G5994" i="1"/>
  <c r="G5993" i="1"/>
  <c r="G5992" i="1"/>
  <c r="G5991" i="1"/>
  <c r="G5990" i="1"/>
  <c r="G5989" i="1"/>
  <c r="G5988" i="1"/>
  <c r="G5987" i="1"/>
  <c r="G5986" i="1"/>
  <c r="G5985" i="1"/>
  <c r="G5984" i="1"/>
  <c r="G5983" i="1"/>
  <c r="G5982" i="1"/>
  <c r="G5981" i="1"/>
  <c r="G5980" i="1"/>
  <c r="G5979" i="1"/>
  <c r="G5978" i="1"/>
  <c r="G5977" i="1"/>
  <c r="G5976" i="1"/>
  <c r="G5975" i="1"/>
  <c r="G5974" i="1"/>
  <c r="G5973" i="1"/>
  <c r="G5972" i="1"/>
  <c r="G5971" i="1"/>
  <c r="G5970" i="1"/>
  <c r="G5969" i="1"/>
  <c r="G5968" i="1"/>
  <c r="G5967" i="1"/>
  <c r="G5966" i="1"/>
  <c r="G5965" i="1"/>
  <c r="G5964" i="1"/>
  <c r="G5963" i="1"/>
  <c r="G5962" i="1"/>
  <c r="G5961" i="1"/>
  <c r="G5960" i="1"/>
  <c r="G5959" i="1"/>
  <c r="G5958" i="1"/>
  <c r="G5957" i="1"/>
  <c r="G5956" i="1"/>
  <c r="G5955" i="1"/>
  <c r="G5954" i="1"/>
  <c r="G5953" i="1"/>
  <c r="G5952" i="1"/>
  <c r="G5951" i="1"/>
  <c r="G5950" i="1"/>
  <c r="G5949" i="1"/>
  <c r="G5948" i="1"/>
  <c r="G5947" i="1"/>
  <c r="G5946" i="1"/>
  <c r="G5945" i="1"/>
  <c r="G5944" i="1"/>
  <c r="G5943" i="1"/>
  <c r="G5942" i="1"/>
  <c r="G5941" i="1"/>
  <c r="G5940" i="1"/>
  <c r="G5939" i="1"/>
  <c r="G5938" i="1"/>
  <c r="G5937" i="1"/>
  <c r="G5936" i="1"/>
  <c r="G5935" i="1"/>
  <c r="G5934" i="1"/>
  <c r="G5933" i="1"/>
  <c r="G5932" i="1"/>
  <c r="G5931" i="1"/>
  <c r="G5930" i="1"/>
  <c r="G5929" i="1"/>
  <c r="G5928" i="1"/>
  <c r="G5927" i="1"/>
  <c r="G5926" i="1"/>
  <c r="G5925" i="1"/>
  <c r="G5924" i="1"/>
  <c r="G5923" i="1"/>
  <c r="G5922" i="1"/>
  <c r="G5921" i="1"/>
  <c r="G5920" i="1"/>
  <c r="G5919" i="1"/>
  <c r="G5918" i="1"/>
  <c r="G5917" i="1"/>
  <c r="G5916" i="1"/>
  <c r="G5915" i="1"/>
  <c r="G5914" i="1"/>
  <c r="G5913" i="1"/>
  <c r="G5912" i="1"/>
  <c r="G5911" i="1"/>
  <c r="G5910" i="1"/>
  <c r="G5909" i="1"/>
  <c r="G5908" i="1"/>
  <c r="G5907" i="1"/>
  <c r="G5906" i="1"/>
  <c r="G5905" i="1"/>
  <c r="G5904" i="1"/>
  <c r="G5903" i="1"/>
  <c r="G5902" i="1"/>
  <c r="G5901" i="1"/>
  <c r="G5900" i="1"/>
  <c r="G5899" i="1"/>
  <c r="G5898" i="1"/>
  <c r="G5897" i="1"/>
  <c r="G5896" i="1"/>
  <c r="G5895" i="1"/>
  <c r="G5894" i="1"/>
  <c r="G5893" i="1"/>
  <c r="G5892" i="1"/>
  <c r="G5891" i="1"/>
  <c r="G5890" i="1"/>
  <c r="G5889" i="1"/>
  <c r="G5888" i="1"/>
  <c r="G5887" i="1"/>
  <c r="G5886" i="1"/>
  <c r="G5885" i="1"/>
  <c r="G5884" i="1"/>
  <c r="G5883" i="1"/>
  <c r="G5882" i="1"/>
  <c r="G5881" i="1"/>
  <c r="G5880" i="1"/>
  <c r="G5879" i="1"/>
  <c r="G5878" i="1"/>
  <c r="G5877" i="1"/>
  <c r="G5876" i="1"/>
  <c r="G5875" i="1"/>
  <c r="G5874" i="1"/>
  <c r="G5873" i="1"/>
  <c r="G5872" i="1"/>
  <c r="G5871" i="1"/>
  <c r="G5870" i="1"/>
  <c r="G5869" i="1"/>
  <c r="G5868" i="1"/>
  <c r="G5867" i="1"/>
  <c r="G5866" i="1"/>
  <c r="G5865" i="1"/>
  <c r="G5864" i="1"/>
  <c r="G5863" i="1"/>
  <c r="G5862" i="1"/>
  <c r="G5861" i="1"/>
  <c r="G5860" i="1"/>
  <c r="G5859" i="1"/>
  <c r="G5858" i="1"/>
  <c r="G5857" i="1"/>
  <c r="G5856" i="1"/>
  <c r="G5855" i="1"/>
  <c r="G5854" i="1"/>
  <c r="G5853" i="1"/>
  <c r="G5852" i="1"/>
  <c r="G5851" i="1"/>
  <c r="G5850" i="1"/>
  <c r="G5849" i="1"/>
  <c r="G5848" i="1"/>
  <c r="G5847" i="1"/>
  <c r="G5846" i="1"/>
  <c r="G5845" i="1"/>
  <c r="G5844" i="1"/>
  <c r="G5843" i="1"/>
  <c r="G5842" i="1"/>
  <c r="G5841" i="1"/>
  <c r="G5840" i="1"/>
  <c r="G5839" i="1"/>
  <c r="G5838" i="1"/>
  <c r="G5837" i="1"/>
  <c r="G5836" i="1"/>
  <c r="G5835" i="1"/>
  <c r="G5834" i="1"/>
  <c r="G5833" i="1"/>
  <c r="G5832" i="1"/>
  <c r="G5831" i="1"/>
  <c r="G5830" i="1"/>
  <c r="G5829" i="1"/>
  <c r="G5828" i="1"/>
  <c r="G5827" i="1"/>
  <c r="G5826" i="1"/>
  <c r="G5825" i="1"/>
  <c r="G5824" i="1"/>
  <c r="G5823" i="1"/>
  <c r="G5822" i="1"/>
  <c r="G5821" i="1"/>
  <c r="G5820" i="1"/>
  <c r="G5819" i="1"/>
  <c r="G5818" i="1"/>
  <c r="G5817" i="1"/>
  <c r="G5816" i="1"/>
  <c r="G5815" i="1"/>
  <c r="G5814" i="1"/>
  <c r="G5813" i="1"/>
  <c r="G5812" i="1"/>
  <c r="G5811" i="1"/>
  <c r="G5810" i="1"/>
  <c r="G5809" i="1"/>
  <c r="G5808" i="1"/>
  <c r="G5807" i="1"/>
  <c r="G5806" i="1"/>
  <c r="G5805" i="1"/>
  <c r="G5804" i="1"/>
  <c r="G5803" i="1"/>
  <c r="G5802" i="1"/>
  <c r="G5801" i="1"/>
  <c r="G5800" i="1"/>
  <c r="G5799" i="1"/>
  <c r="G5798" i="1"/>
  <c r="G5797" i="1"/>
  <c r="G5796" i="1"/>
  <c r="G5795" i="1"/>
  <c r="G5794" i="1"/>
  <c r="G5793" i="1"/>
  <c r="G5792" i="1"/>
  <c r="G5791" i="1"/>
  <c r="G5790" i="1"/>
  <c r="G5789" i="1"/>
  <c r="G5788" i="1"/>
  <c r="G5787" i="1"/>
  <c r="G5786" i="1"/>
  <c r="G5785" i="1"/>
  <c r="G5784" i="1"/>
  <c r="G5783" i="1"/>
  <c r="G5782" i="1"/>
  <c r="G5781" i="1"/>
  <c r="G5780" i="1"/>
  <c r="G5779" i="1"/>
  <c r="G5778" i="1"/>
  <c r="G5777" i="1"/>
  <c r="G5776" i="1"/>
  <c r="G5775" i="1"/>
  <c r="G5774" i="1"/>
  <c r="G5773" i="1"/>
  <c r="G5772" i="1"/>
  <c r="G5771" i="1"/>
  <c r="G5770" i="1"/>
  <c r="G5769" i="1"/>
  <c r="G5768" i="1"/>
  <c r="G5767" i="1"/>
  <c r="G5766" i="1"/>
  <c r="G5765" i="1"/>
  <c r="G5764" i="1"/>
  <c r="G5763" i="1"/>
  <c r="G5762" i="1"/>
  <c r="G5761" i="1"/>
  <c r="G5760" i="1"/>
  <c r="G5759" i="1"/>
  <c r="G5758" i="1"/>
  <c r="G5757" i="1"/>
  <c r="G5756" i="1"/>
  <c r="G5755" i="1"/>
  <c r="G5754" i="1"/>
  <c r="G5753" i="1"/>
  <c r="G5752" i="1"/>
  <c r="G5751" i="1"/>
  <c r="G5750" i="1"/>
  <c r="G5749" i="1"/>
  <c r="G5748" i="1"/>
  <c r="G5747" i="1"/>
  <c r="G5746" i="1"/>
  <c r="G5745" i="1"/>
  <c r="G5744" i="1"/>
  <c r="G5743" i="1"/>
  <c r="G5742" i="1"/>
  <c r="G5741" i="1"/>
  <c r="G5740" i="1"/>
  <c r="G5739" i="1"/>
  <c r="G5738" i="1"/>
  <c r="G5737" i="1"/>
  <c r="G5736" i="1"/>
  <c r="G5735" i="1"/>
  <c r="G5734" i="1"/>
  <c r="G5733" i="1"/>
  <c r="G5732" i="1"/>
  <c r="G5731" i="1"/>
  <c r="G5730" i="1"/>
  <c r="G5729" i="1"/>
  <c r="G5728" i="1"/>
  <c r="G5727" i="1"/>
  <c r="G5726" i="1"/>
  <c r="G5725" i="1"/>
  <c r="G5724" i="1"/>
  <c r="G5723" i="1"/>
  <c r="G5722" i="1"/>
  <c r="G5721" i="1"/>
  <c r="G5720" i="1"/>
  <c r="G5719" i="1"/>
  <c r="G5718" i="1"/>
  <c r="G5717" i="1"/>
  <c r="G5716" i="1"/>
  <c r="G5715" i="1"/>
  <c r="G5714" i="1"/>
  <c r="G5713" i="1"/>
  <c r="G5712" i="1"/>
  <c r="G5711" i="1"/>
  <c r="G5710" i="1"/>
  <c r="G5709" i="1"/>
  <c r="G5708" i="1"/>
  <c r="G5707" i="1"/>
  <c r="G5706" i="1"/>
  <c r="G5705" i="1"/>
  <c r="G5704" i="1"/>
  <c r="G5703" i="1"/>
  <c r="G5702" i="1"/>
  <c r="G5701" i="1"/>
  <c r="G5700" i="1"/>
  <c r="G5699" i="1"/>
  <c r="G5698" i="1"/>
  <c r="G5697" i="1"/>
  <c r="G5696" i="1"/>
  <c r="G5695" i="1"/>
  <c r="G5694" i="1"/>
  <c r="G5693" i="1"/>
  <c r="G5692" i="1"/>
  <c r="G5691" i="1"/>
  <c r="G5690" i="1"/>
  <c r="G5689" i="1"/>
  <c r="G5688" i="1"/>
  <c r="G5687" i="1"/>
  <c r="G5686" i="1"/>
  <c r="G5685" i="1"/>
  <c r="G5684" i="1"/>
  <c r="G5683" i="1"/>
  <c r="G5682" i="1"/>
  <c r="G5681" i="1"/>
  <c r="G5680" i="1"/>
  <c r="G5679" i="1"/>
  <c r="G5678" i="1"/>
  <c r="G5677" i="1"/>
  <c r="G5676" i="1"/>
  <c r="G5675" i="1"/>
  <c r="G5674" i="1"/>
  <c r="G5673" i="1"/>
  <c r="G5672" i="1"/>
  <c r="G5671" i="1"/>
  <c r="G5670" i="1"/>
  <c r="G5669" i="1"/>
  <c r="G5668" i="1"/>
  <c r="G5667" i="1"/>
  <c r="G5666" i="1"/>
  <c r="G5665" i="1"/>
  <c r="G5664" i="1"/>
  <c r="G5663" i="1"/>
  <c r="G5662" i="1"/>
  <c r="G5661" i="1"/>
  <c r="G5660" i="1"/>
  <c r="G5659" i="1"/>
  <c r="G5658" i="1"/>
  <c r="G5657" i="1"/>
  <c r="G5656" i="1"/>
  <c r="G5655" i="1"/>
  <c r="G5654" i="1"/>
  <c r="G5653" i="1"/>
  <c r="G5652" i="1"/>
  <c r="G5651" i="1"/>
  <c r="G5650" i="1"/>
  <c r="G5649" i="1"/>
  <c r="G5648" i="1"/>
  <c r="G5647" i="1"/>
  <c r="G5646" i="1"/>
  <c r="G5645" i="1"/>
  <c r="G5644" i="1"/>
  <c r="G5643" i="1"/>
  <c r="G5642" i="1"/>
  <c r="G5641" i="1"/>
  <c r="G5640" i="1"/>
  <c r="G5639" i="1"/>
  <c r="G5638" i="1"/>
  <c r="G5637" i="1"/>
  <c r="G5636" i="1"/>
  <c r="G5635" i="1"/>
  <c r="G5634" i="1"/>
  <c r="G5633" i="1"/>
  <c r="G5632" i="1"/>
  <c r="G5631" i="1"/>
  <c r="G5630" i="1"/>
  <c r="G5629" i="1"/>
  <c r="G5628" i="1"/>
  <c r="G5627" i="1"/>
  <c r="G5626" i="1"/>
  <c r="G5625" i="1"/>
  <c r="G5624" i="1"/>
  <c r="G5623" i="1"/>
  <c r="G5622" i="1"/>
  <c r="G5621" i="1"/>
  <c r="G5620" i="1"/>
  <c r="G5619" i="1"/>
  <c r="G5618" i="1"/>
  <c r="G5617" i="1"/>
  <c r="G5616" i="1"/>
  <c r="G5615" i="1"/>
  <c r="G5614" i="1"/>
  <c r="G5613" i="1"/>
  <c r="G5612" i="1"/>
  <c r="G5611" i="1"/>
  <c r="G5610" i="1"/>
  <c r="G5609" i="1"/>
  <c r="G5608" i="1"/>
  <c r="G5607" i="1"/>
  <c r="G5606" i="1"/>
  <c r="G5605" i="1"/>
  <c r="G5604" i="1"/>
  <c r="G5603" i="1"/>
  <c r="G5602" i="1"/>
  <c r="G5601" i="1"/>
  <c r="G5600" i="1"/>
  <c r="G5599" i="1"/>
  <c r="G5598" i="1"/>
  <c r="G5597" i="1"/>
  <c r="G5596" i="1"/>
  <c r="G5595" i="1"/>
  <c r="G5594" i="1"/>
  <c r="G5593" i="1"/>
  <c r="G5592" i="1"/>
  <c r="G5591" i="1"/>
  <c r="G5590" i="1"/>
  <c r="G5589" i="1"/>
  <c r="G5588" i="1"/>
  <c r="G5587" i="1"/>
  <c r="G5586" i="1"/>
  <c r="G5585" i="1"/>
  <c r="G5584" i="1"/>
  <c r="G5583" i="1"/>
  <c r="G5582" i="1"/>
  <c r="G5581" i="1"/>
  <c r="G5579" i="1"/>
  <c r="G5578" i="1"/>
  <c r="G5577" i="1"/>
  <c r="G5576" i="1"/>
  <c r="G5575" i="1"/>
  <c r="G5574" i="1"/>
  <c r="G5573" i="1"/>
  <c r="G5572" i="1"/>
  <c r="G5571" i="1"/>
  <c r="G5570" i="1"/>
  <c r="G5569" i="1"/>
  <c r="G5568" i="1"/>
  <c r="G5567" i="1"/>
  <c r="G5566" i="1"/>
  <c r="G5565" i="1"/>
  <c r="G5564" i="1"/>
  <c r="G5563" i="1"/>
  <c r="G5562" i="1"/>
  <c r="G5561" i="1"/>
  <c r="G5560" i="1"/>
  <c r="G5559" i="1"/>
  <c r="G5558" i="1"/>
  <c r="G5557" i="1"/>
  <c r="G5556" i="1"/>
  <c r="G5555" i="1"/>
  <c r="G5554" i="1"/>
  <c r="G5553" i="1"/>
  <c r="G5552" i="1"/>
  <c r="G5551" i="1"/>
  <c r="G5550" i="1"/>
  <c r="G5549" i="1"/>
  <c r="G5548" i="1"/>
  <c r="G5547" i="1"/>
  <c r="G5546" i="1"/>
  <c r="G5545" i="1"/>
  <c r="G5544" i="1"/>
  <c r="G5543" i="1"/>
  <c r="G5542" i="1"/>
  <c r="G5541" i="1"/>
  <c r="G5540" i="1"/>
  <c r="G5539" i="1"/>
  <c r="G5538" i="1"/>
  <c r="G5537" i="1"/>
  <c r="G5536" i="1"/>
  <c r="G5535" i="1"/>
  <c r="G5534" i="1"/>
  <c r="G5533" i="1"/>
  <c r="G5532" i="1"/>
  <c r="G5531" i="1"/>
  <c r="G5530" i="1"/>
  <c r="G5529" i="1"/>
  <c r="G5528" i="1"/>
  <c r="G5527" i="1"/>
  <c r="G5526" i="1"/>
  <c r="G5525" i="1"/>
  <c r="G5524" i="1"/>
  <c r="G5523" i="1"/>
  <c r="G5522" i="1"/>
  <c r="G5521" i="1"/>
  <c r="G5519" i="1"/>
  <c r="G5518" i="1"/>
  <c r="G5517" i="1"/>
  <c r="G5516" i="1"/>
  <c r="G5515" i="1"/>
  <c r="G5514" i="1"/>
  <c r="G5513" i="1"/>
  <c r="G5512" i="1"/>
  <c r="G5511" i="1"/>
  <c r="G5510" i="1"/>
  <c r="G5509" i="1"/>
  <c r="G5508" i="1"/>
  <c r="G5507" i="1"/>
  <c r="G5506" i="1"/>
  <c r="G5505" i="1"/>
  <c r="G5504" i="1"/>
  <c r="G5503" i="1"/>
  <c r="G5502" i="1"/>
  <c r="G5501" i="1"/>
  <c r="G5500" i="1"/>
  <c r="G5499" i="1"/>
  <c r="G5498" i="1"/>
  <c r="G5497" i="1"/>
  <c r="G5496" i="1"/>
  <c r="G5495" i="1"/>
  <c r="G5494" i="1"/>
  <c r="G5493" i="1"/>
  <c r="G5492" i="1"/>
  <c r="G5491" i="1"/>
  <c r="G5490" i="1"/>
  <c r="G5489" i="1"/>
  <c r="G5488" i="1"/>
  <c r="G5487" i="1"/>
  <c r="G5486" i="1"/>
  <c r="G5485" i="1"/>
  <c r="G5484" i="1"/>
  <c r="G5483" i="1"/>
  <c r="G5482" i="1"/>
  <c r="G5481" i="1"/>
  <c r="G5480" i="1"/>
  <c r="G5479" i="1"/>
  <c r="G5478" i="1"/>
  <c r="G5477" i="1"/>
  <c r="G5476" i="1"/>
  <c r="G5475" i="1"/>
  <c r="G5474" i="1"/>
  <c r="G5473" i="1"/>
  <c r="G5472" i="1"/>
  <c r="G5471" i="1"/>
  <c r="G5470" i="1"/>
  <c r="G5469" i="1"/>
  <c r="G5468" i="1"/>
  <c r="G5467" i="1"/>
  <c r="G5466" i="1"/>
  <c r="G5465" i="1"/>
  <c r="G5464" i="1"/>
  <c r="G5463" i="1"/>
  <c r="G5462" i="1"/>
  <c r="G5461" i="1"/>
  <c r="G5460" i="1"/>
  <c r="G5459" i="1"/>
  <c r="G5458" i="1"/>
  <c r="G5457" i="1"/>
  <c r="G5456" i="1"/>
  <c r="G5455" i="1"/>
  <c r="G5454" i="1"/>
  <c r="G5453" i="1"/>
  <c r="G5452" i="1"/>
  <c r="G5451" i="1"/>
  <c r="G5450" i="1"/>
  <c r="G5449" i="1"/>
  <c r="G5448" i="1"/>
  <c r="G5447" i="1"/>
  <c r="G5446" i="1"/>
  <c r="G5445" i="1"/>
  <c r="G5444" i="1"/>
  <c r="G5443" i="1"/>
  <c r="G5442" i="1"/>
  <c r="G5441" i="1"/>
  <c r="G5440" i="1"/>
  <c r="G5439" i="1"/>
  <c r="G5438" i="1"/>
  <c r="G5437" i="1"/>
  <c r="G5436" i="1"/>
  <c r="G5435" i="1"/>
  <c r="G5434" i="1"/>
  <c r="G5433" i="1"/>
  <c r="G5432" i="1"/>
  <c r="G5431" i="1"/>
  <c r="G5430" i="1"/>
  <c r="G5429" i="1"/>
  <c r="G5428" i="1"/>
  <c r="G5427" i="1"/>
  <c r="G5426" i="1"/>
  <c r="G5425" i="1"/>
  <c r="G5424" i="1"/>
  <c r="G5423" i="1"/>
  <c r="G5422" i="1"/>
  <c r="G5421" i="1"/>
  <c r="G5420" i="1"/>
  <c r="G5419" i="1"/>
  <c r="G5418" i="1"/>
  <c r="G5417" i="1"/>
  <c r="G5416" i="1"/>
  <c r="G5415" i="1"/>
  <c r="G5414" i="1"/>
  <c r="G5413" i="1"/>
  <c r="G5412" i="1"/>
  <c r="G5411" i="1"/>
  <c r="G5410" i="1"/>
  <c r="G5409" i="1"/>
  <c r="G5408" i="1"/>
  <c r="G5407" i="1"/>
  <c r="G5406" i="1"/>
  <c r="G5405" i="1"/>
  <c r="G5404" i="1"/>
  <c r="G5403" i="1"/>
  <c r="G5402" i="1"/>
  <c r="G5401" i="1"/>
  <c r="G5400" i="1"/>
  <c r="G5399" i="1"/>
  <c r="G5398" i="1"/>
  <c r="G5397" i="1"/>
  <c r="G5396" i="1"/>
  <c r="G5395" i="1"/>
  <c r="G5394" i="1"/>
  <c r="G5393" i="1"/>
  <c r="G5392" i="1"/>
  <c r="G5391" i="1"/>
  <c r="G5390" i="1"/>
  <c r="G5389" i="1"/>
  <c r="G5388" i="1"/>
  <c r="G5387" i="1"/>
  <c r="G5386" i="1"/>
  <c r="G5385" i="1"/>
  <c r="G5384" i="1"/>
  <c r="G5383" i="1"/>
  <c r="G5382" i="1"/>
  <c r="G5381" i="1"/>
  <c r="G5380" i="1"/>
  <c r="G5379" i="1"/>
  <c r="G5378" i="1"/>
  <c r="G5377" i="1"/>
  <c r="G5376" i="1"/>
  <c r="G5375" i="1"/>
  <c r="G5374" i="1"/>
  <c r="G5373" i="1"/>
  <c r="G5372" i="1"/>
  <c r="G5371" i="1"/>
  <c r="G5370" i="1"/>
  <c r="G5369" i="1"/>
  <c r="G5368" i="1"/>
  <c r="G5367" i="1"/>
  <c r="G5366" i="1"/>
  <c r="G5365" i="1"/>
  <c r="G5364" i="1"/>
  <c r="G5363" i="1"/>
  <c r="G5362" i="1"/>
  <c r="G5361" i="1"/>
  <c r="G5360" i="1"/>
  <c r="G5359" i="1"/>
  <c r="G5358" i="1"/>
  <c r="G5357" i="1"/>
  <c r="G5356" i="1"/>
  <c r="G5355" i="1"/>
  <c r="G5354" i="1"/>
  <c r="G5353" i="1"/>
  <c r="G5352" i="1"/>
  <c r="G5351" i="1"/>
  <c r="G5350" i="1"/>
  <c r="G5349" i="1"/>
  <c r="G5348" i="1"/>
  <c r="G5347" i="1"/>
  <c r="G5346" i="1"/>
  <c r="G5345" i="1"/>
  <c r="G5344" i="1"/>
  <c r="G5343" i="1"/>
  <c r="G5342" i="1"/>
  <c r="G5341" i="1"/>
  <c r="G5340" i="1"/>
  <c r="G5339" i="1"/>
  <c r="G5338" i="1"/>
  <c r="G5337" i="1"/>
  <c r="G5336" i="1"/>
  <c r="G5335" i="1"/>
  <c r="G5334" i="1"/>
  <c r="G5333" i="1"/>
  <c r="G5332" i="1"/>
  <c r="G5331" i="1"/>
  <c r="G5330" i="1"/>
  <c r="G5329" i="1"/>
  <c r="G5328" i="1"/>
  <c r="G5327" i="1"/>
  <c r="G5326" i="1"/>
  <c r="G5325" i="1"/>
  <c r="G5324" i="1"/>
  <c r="G5323" i="1"/>
  <c r="G5322" i="1"/>
  <c r="G5321" i="1"/>
  <c r="G5320" i="1"/>
  <c r="G5319" i="1"/>
  <c r="G5318" i="1"/>
  <c r="G5317" i="1"/>
  <c r="G5316" i="1"/>
  <c r="G5315" i="1"/>
  <c r="G5314" i="1"/>
  <c r="G5313" i="1"/>
  <c r="G5312" i="1"/>
  <c r="G5311" i="1"/>
  <c r="G5310" i="1"/>
  <c r="G5309" i="1"/>
  <c r="G5308" i="1"/>
  <c r="G5307" i="1"/>
  <c r="G5306" i="1"/>
  <c r="G5305" i="1"/>
  <c r="G5304" i="1"/>
  <c r="G5303" i="1"/>
  <c r="G5302" i="1"/>
  <c r="G5301" i="1"/>
  <c r="G5300" i="1"/>
  <c r="G5299" i="1"/>
  <c r="G5298" i="1"/>
  <c r="G5297" i="1"/>
  <c r="G5296" i="1"/>
  <c r="G5295" i="1"/>
  <c r="G5294" i="1"/>
  <c r="G5293" i="1"/>
  <c r="G5292" i="1"/>
  <c r="G5291" i="1"/>
  <c r="G5290" i="1"/>
  <c r="G5289" i="1"/>
  <c r="G5288" i="1"/>
  <c r="G5287" i="1"/>
  <c r="G5286" i="1"/>
  <c r="G5285" i="1"/>
  <c r="G5283" i="1"/>
  <c r="G5282" i="1"/>
  <c r="G5281" i="1"/>
  <c r="G5280" i="1"/>
  <c r="G5279" i="1"/>
  <c r="G5278" i="1"/>
  <c r="G5277" i="1"/>
  <c r="G5276" i="1"/>
  <c r="G5275" i="1"/>
  <c r="G5274" i="1"/>
  <c r="G5273" i="1"/>
  <c r="G5272" i="1"/>
  <c r="G5271" i="1"/>
  <c r="G5270" i="1"/>
  <c r="G5269" i="1"/>
  <c r="G5268" i="1"/>
  <c r="G5267" i="1"/>
  <c r="G5266" i="1"/>
  <c r="G5265" i="1"/>
  <c r="G5264" i="1"/>
  <c r="G5263" i="1"/>
  <c r="G5262" i="1"/>
  <c r="G5261" i="1"/>
  <c r="G5260" i="1"/>
  <c r="G5259" i="1"/>
  <c r="G5258" i="1"/>
  <c r="G5257" i="1"/>
  <c r="G5256" i="1"/>
  <c r="G5255" i="1"/>
  <c r="G5254" i="1"/>
  <c r="G5253" i="1"/>
  <c r="G5252" i="1"/>
  <c r="G5251" i="1"/>
  <c r="G5250" i="1"/>
  <c r="G5249" i="1"/>
  <c r="G5248" i="1"/>
  <c r="G5247" i="1"/>
  <c r="G5246" i="1"/>
  <c r="G5245" i="1"/>
  <c r="G5244" i="1"/>
  <c r="G5243" i="1"/>
  <c r="G5242" i="1"/>
  <c r="G5241" i="1"/>
  <c r="G5240" i="1"/>
  <c r="G5239" i="1"/>
  <c r="G5238" i="1"/>
  <c r="G5237" i="1"/>
  <c r="G5236" i="1"/>
  <c r="G5235" i="1"/>
  <c r="G5234" i="1"/>
  <c r="G5233" i="1"/>
  <c r="G5232" i="1"/>
  <c r="G5231" i="1"/>
  <c r="G5230" i="1"/>
  <c r="G5229" i="1"/>
  <c r="G5228" i="1"/>
  <c r="G5227" i="1"/>
  <c r="G5226" i="1"/>
  <c r="G5225" i="1"/>
  <c r="G5224" i="1"/>
  <c r="G5223" i="1"/>
  <c r="G5222" i="1"/>
  <c r="G5221" i="1"/>
  <c r="G5220" i="1"/>
  <c r="G5219" i="1"/>
  <c r="G5218" i="1"/>
  <c r="G5217" i="1"/>
  <c r="G5216" i="1"/>
  <c r="G5215" i="1"/>
  <c r="G5214" i="1"/>
  <c r="G5213" i="1"/>
  <c r="G5212" i="1"/>
  <c r="G5211" i="1"/>
  <c r="G5210" i="1"/>
  <c r="G5209" i="1"/>
  <c r="G5208" i="1"/>
  <c r="G5207" i="1"/>
  <c r="G5206" i="1"/>
  <c r="G5205" i="1"/>
  <c r="G5204" i="1"/>
  <c r="G5203" i="1"/>
  <c r="G5202" i="1"/>
  <c r="G5201" i="1"/>
  <c r="G5200" i="1"/>
  <c r="G5199" i="1"/>
  <c r="G5198" i="1"/>
  <c r="G5197" i="1"/>
  <c r="G5196" i="1"/>
  <c r="G5195" i="1"/>
  <c r="G5193" i="1"/>
  <c r="G5192" i="1"/>
  <c r="G5191" i="1"/>
  <c r="G5190" i="1"/>
  <c r="G5189" i="1"/>
  <c r="G5188" i="1"/>
  <c r="G5187" i="1"/>
  <c r="G5186" i="1"/>
  <c r="G5185" i="1"/>
  <c r="G5184" i="1"/>
  <c r="G5183" i="1"/>
  <c r="G5182" i="1"/>
  <c r="G5181" i="1"/>
  <c r="G5180" i="1"/>
  <c r="G5179" i="1"/>
  <c r="G5178" i="1"/>
  <c r="G5177" i="1"/>
  <c r="G5176" i="1"/>
  <c r="G5175" i="1"/>
  <c r="G5174" i="1"/>
  <c r="G5173" i="1"/>
  <c r="G5172" i="1"/>
  <c r="G5171" i="1"/>
  <c r="G5170" i="1"/>
  <c r="G5169" i="1"/>
  <c r="G5168" i="1"/>
  <c r="G5167" i="1"/>
  <c r="G5166" i="1"/>
  <c r="G5165" i="1"/>
  <c r="G5164" i="1"/>
  <c r="G5163" i="1"/>
  <c r="G5162" i="1"/>
  <c r="G5161" i="1"/>
  <c r="G5160" i="1"/>
  <c r="G5159" i="1"/>
  <c r="G5158" i="1"/>
  <c r="G5157" i="1"/>
  <c r="G5156" i="1"/>
  <c r="G5155" i="1"/>
  <c r="G5154" i="1"/>
  <c r="G5153" i="1"/>
  <c r="G5152" i="1"/>
  <c r="G5151" i="1"/>
  <c r="G5150" i="1"/>
  <c r="G5149" i="1"/>
  <c r="G5148" i="1"/>
  <c r="G5147" i="1"/>
  <c r="G5146" i="1"/>
  <c r="G5145" i="1"/>
  <c r="G5144" i="1"/>
  <c r="G5143" i="1"/>
  <c r="G5142" i="1"/>
  <c r="G5141" i="1"/>
  <c r="G5140" i="1"/>
  <c r="G5139" i="1"/>
  <c r="G5138" i="1"/>
  <c r="G5137" i="1"/>
  <c r="G5136" i="1"/>
  <c r="G5135" i="1"/>
  <c r="G5134" i="1"/>
  <c r="G5133" i="1"/>
  <c r="G5132" i="1"/>
  <c r="G5131" i="1"/>
  <c r="G5130" i="1"/>
  <c r="G5129" i="1"/>
  <c r="G5128" i="1"/>
  <c r="G5127" i="1"/>
  <c r="G5126" i="1"/>
  <c r="G5125" i="1"/>
  <c r="G5124" i="1"/>
  <c r="G5123" i="1"/>
  <c r="G5122" i="1"/>
  <c r="G5121" i="1"/>
  <c r="G5120" i="1"/>
  <c r="G5119" i="1"/>
  <c r="G5118" i="1"/>
  <c r="G5117" i="1"/>
  <c r="G5116" i="1"/>
  <c r="G5115" i="1"/>
  <c r="G5114" i="1"/>
  <c r="G5113" i="1"/>
  <c r="G5112" i="1"/>
  <c r="G5111" i="1"/>
  <c r="G5110" i="1"/>
  <c r="G5109" i="1"/>
  <c r="G5108" i="1"/>
  <c r="G5107" i="1"/>
  <c r="G5106" i="1"/>
  <c r="G5105" i="1"/>
  <c r="G5104" i="1"/>
  <c r="G5103" i="1"/>
  <c r="G5102" i="1"/>
  <c r="G5101" i="1"/>
  <c r="G5100" i="1"/>
  <c r="G5099" i="1"/>
  <c r="G5098" i="1"/>
  <c r="G5097" i="1"/>
  <c r="G5096" i="1"/>
  <c r="G5095" i="1"/>
  <c r="G5094" i="1"/>
  <c r="G5093" i="1"/>
  <c r="G5092" i="1"/>
  <c r="G5091" i="1"/>
  <c r="G5090" i="1"/>
  <c r="G5089" i="1"/>
  <c r="G5088" i="1"/>
  <c r="G5087" i="1"/>
  <c r="G5086" i="1"/>
  <c r="G5085" i="1"/>
  <c r="G5084" i="1"/>
  <c r="G5083" i="1"/>
  <c r="G5082" i="1"/>
  <c r="G5081" i="1"/>
  <c r="G5080" i="1"/>
  <c r="G5079" i="1"/>
  <c r="G5078" i="1"/>
  <c r="G5077" i="1"/>
  <c r="G5076" i="1"/>
  <c r="G5075" i="1"/>
  <c r="G5074" i="1"/>
  <c r="G5073" i="1"/>
  <c r="G5072" i="1"/>
  <c r="G5071" i="1"/>
  <c r="G5070" i="1"/>
  <c r="G5069" i="1"/>
  <c r="G5068" i="1"/>
  <c r="G5067" i="1"/>
  <c r="G5066" i="1"/>
  <c r="G5065" i="1"/>
  <c r="G5064" i="1"/>
  <c r="G5063" i="1"/>
  <c r="G5062" i="1"/>
  <c r="G5061" i="1"/>
  <c r="G5060" i="1"/>
  <c r="G5059" i="1"/>
  <c r="G5058" i="1"/>
  <c r="G5057" i="1"/>
  <c r="G5056" i="1"/>
  <c r="G5055" i="1"/>
  <c r="G5054" i="1"/>
  <c r="G5053" i="1"/>
  <c r="G5052" i="1"/>
  <c r="G5051" i="1"/>
  <c r="G5050" i="1"/>
  <c r="G5049" i="1"/>
  <c r="G5048" i="1"/>
  <c r="G5047" i="1"/>
  <c r="G5046" i="1"/>
  <c r="G5045" i="1"/>
  <c r="G5044" i="1"/>
  <c r="G5043" i="1"/>
  <c r="G5042" i="1"/>
  <c r="G5041" i="1"/>
  <c r="G5040" i="1"/>
  <c r="G5039" i="1"/>
  <c r="G5038" i="1"/>
  <c r="G5037" i="1"/>
  <c r="G5036" i="1"/>
  <c r="G5035" i="1"/>
  <c r="G5034" i="1"/>
  <c r="G5033" i="1"/>
  <c r="G5032" i="1"/>
  <c r="G5031" i="1"/>
  <c r="G5030" i="1"/>
  <c r="G5029" i="1"/>
  <c r="G5028" i="1"/>
  <c r="G5027" i="1"/>
  <c r="G5026" i="1"/>
  <c r="G5025" i="1"/>
  <c r="G5024" i="1"/>
  <c r="G5023" i="1"/>
  <c r="G5022" i="1"/>
  <c r="G5021" i="1"/>
  <c r="G5020" i="1"/>
  <c r="G5019" i="1"/>
  <c r="G5018" i="1"/>
  <c r="G5017" i="1"/>
  <c r="G5016" i="1"/>
  <c r="G5015" i="1"/>
  <c r="G5014" i="1"/>
  <c r="G5013" i="1"/>
  <c r="G5012" i="1"/>
  <c r="G5011" i="1"/>
  <c r="G5010" i="1"/>
  <c r="G5009" i="1"/>
  <c r="G5008" i="1"/>
  <c r="G5007" i="1"/>
  <c r="G5006" i="1"/>
  <c r="G5005" i="1"/>
  <c r="G5004" i="1"/>
  <c r="G5003" i="1"/>
  <c r="G5002" i="1"/>
  <c r="G5001" i="1"/>
  <c r="G5000" i="1"/>
  <c r="G4999" i="1"/>
  <c r="G4998" i="1"/>
  <c r="G4997" i="1"/>
  <c r="G4996" i="1"/>
  <c r="G4995" i="1"/>
  <c r="G4994" i="1"/>
  <c r="G4993" i="1"/>
  <c r="G4992" i="1"/>
  <c r="G4991" i="1"/>
  <c r="G4990" i="1"/>
  <c r="G4989" i="1"/>
  <c r="G4988" i="1"/>
  <c r="G4987" i="1"/>
  <c r="G4986" i="1"/>
  <c r="G4985" i="1"/>
  <c r="G4984" i="1"/>
  <c r="G4983" i="1"/>
  <c r="G4982" i="1"/>
  <c r="G4981" i="1"/>
  <c r="G4980" i="1"/>
  <c r="G4979" i="1"/>
  <c r="G4978" i="1"/>
  <c r="G4977" i="1"/>
  <c r="G4976" i="1"/>
  <c r="G4975" i="1"/>
  <c r="G4974" i="1"/>
  <c r="G4973" i="1"/>
  <c r="G4972" i="1"/>
  <c r="G4971" i="1"/>
  <c r="G4970" i="1"/>
  <c r="G4969" i="1"/>
  <c r="G4968" i="1"/>
  <c r="G4967" i="1"/>
  <c r="G4966" i="1"/>
  <c r="G4965" i="1"/>
  <c r="G4964" i="1"/>
  <c r="G4963" i="1"/>
  <c r="G4962" i="1"/>
  <c r="G4961" i="1"/>
  <c r="G4960" i="1"/>
  <c r="G4959" i="1"/>
  <c r="G4958" i="1"/>
  <c r="G4957" i="1"/>
  <c r="G4956" i="1"/>
  <c r="G4955" i="1"/>
  <c r="G4954" i="1"/>
  <c r="G4953" i="1"/>
  <c r="G4952" i="1"/>
  <c r="G4951" i="1"/>
  <c r="G4950" i="1"/>
  <c r="G4949" i="1"/>
  <c r="G4948" i="1"/>
  <c r="G4947" i="1"/>
  <c r="G4946" i="1"/>
  <c r="G4945" i="1"/>
  <c r="G4944" i="1"/>
  <c r="G4943" i="1"/>
  <c r="G4942" i="1"/>
  <c r="G4941" i="1"/>
  <c r="G4940" i="1"/>
  <c r="G4939" i="1"/>
  <c r="G4938" i="1"/>
  <c r="G4937" i="1"/>
  <c r="G4936" i="1"/>
  <c r="G4935" i="1"/>
  <c r="G4934" i="1"/>
  <c r="G4933" i="1"/>
  <c r="G4932" i="1"/>
  <c r="G4931" i="1"/>
  <c r="G4930" i="1"/>
  <c r="G4929" i="1"/>
  <c r="G4928" i="1"/>
  <c r="G4927" i="1"/>
  <c r="G4926" i="1"/>
  <c r="G4925" i="1"/>
  <c r="G4924" i="1"/>
  <c r="G4923" i="1"/>
  <c r="G4922" i="1"/>
  <c r="G4921" i="1"/>
  <c r="G4920" i="1"/>
  <c r="G4919" i="1"/>
  <c r="G4918" i="1"/>
  <c r="G4917" i="1"/>
  <c r="G4916" i="1"/>
  <c r="G4915" i="1"/>
  <c r="G4914" i="1"/>
  <c r="G4913" i="1"/>
  <c r="G4912" i="1"/>
  <c r="G4911" i="1"/>
  <c r="G4910" i="1"/>
  <c r="G4909" i="1"/>
  <c r="G4908" i="1"/>
  <c r="G4907" i="1"/>
  <c r="G4906" i="1"/>
  <c r="G4905" i="1"/>
  <c r="G4904" i="1"/>
  <c r="G4903" i="1"/>
  <c r="G4902" i="1"/>
  <c r="G4901" i="1"/>
  <c r="G4900" i="1"/>
  <c r="G4899" i="1"/>
  <c r="G4898" i="1"/>
  <c r="G4897" i="1"/>
  <c r="G4896" i="1"/>
  <c r="G4895" i="1"/>
  <c r="G4894" i="1"/>
  <c r="G4893" i="1"/>
  <c r="G4892" i="1"/>
  <c r="G4891" i="1"/>
  <c r="G4890" i="1"/>
  <c r="G4889" i="1"/>
  <c r="G4888" i="1"/>
  <c r="G4887" i="1"/>
  <c r="G4886" i="1"/>
  <c r="G4885" i="1"/>
  <c r="G4884" i="1"/>
  <c r="G4883" i="1"/>
  <c r="G4882" i="1"/>
  <c r="G4881" i="1"/>
  <c r="G4880" i="1"/>
  <c r="G4879" i="1"/>
  <c r="G4878" i="1"/>
  <c r="G4877" i="1"/>
  <c r="G4876" i="1"/>
  <c r="G4875" i="1"/>
  <c r="G4874" i="1"/>
  <c r="G4873" i="1"/>
  <c r="G4872" i="1"/>
  <c r="G4871" i="1"/>
  <c r="G4870" i="1"/>
  <c r="G4869" i="1"/>
  <c r="G4868" i="1"/>
  <c r="G4867" i="1"/>
  <c r="G4866" i="1"/>
  <c r="G4865" i="1"/>
  <c r="G4864" i="1"/>
  <c r="G4863" i="1"/>
  <c r="G4862" i="1"/>
  <c r="G4861" i="1"/>
  <c r="G4860" i="1"/>
  <c r="G4859" i="1"/>
  <c r="G4858" i="1"/>
  <c r="G4857" i="1"/>
  <c r="G4856" i="1"/>
  <c r="G4855" i="1"/>
  <c r="G4854" i="1"/>
  <c r="G4853" i="1"/>
  <c r="G4852" i="1"/>
  <c r="G4851" i="1"/>
  <c r="G4850" i="1"/>
  <c r="G4849" i="1"/>
  <c r="G4848" i="1"/>
  <c r="G4847" i="1"/>
  <c r="G4846" i="1"/>
  <c r="G4845" i="1"/>
  <c r="G4844" i="1"/>
  <c r="G4843" i="1"/>
  <c r="G4842" i="1"/>
  <c r="G4841" i="1"/>
  <c r="G4840" i="1"/>
  <c r="G4839" i="1"/>
  <c r="G4838" i="1"/>
  <c r="G4837" i="1"/>
  <c r="G4836" i="1"/>
  <c r="G4835" i="1"/>
  <c r="G4834" i="1"/>
  <c r="G4833" i="1"/>
  <c r="G4832" i="1"/>
  <c r="G4831" i="1"/>
  <c r="G4830" i="1"/>
  <c r="G4829" i="1"/>
  <c r="G4828" i="1"/>
  <c r="G4827" i="1"/>
  <c r="G4826" i="1"/>
  <c r="G4825" i="1"/>
  <c r="G4824" i="1"/>
  <c r="G4823" i="1"/>
  <c r="G4822" i="1"/>
  <c r="G4821" i="1"/>
  <c r="G4820" i="1"/>
  <c r="G4819" i="1"/>
  <c r="G4818" i="1"/>
  <c r="G4817" i="1"/>
  <c r="G4816" i="1"/>
  <c r="G4815" i="1"/>
  <c r="G4814" i="1"/>
  <c r="G4813" i="1"/>
  <c r="G4812" i="1"/>
  <c r="G4811" i="1"/>
  <c r="G4810" i="1"/>
  <c r="G4809" i="1"/>
  <c r="G4808" i="1"/>
  <c r="G4807" i="1"/>
  <c r="G4806" i="1"/>
  <c r="G4805" i="1"/>
  <c r="G4804" i="1"/>
  <c r="G4803" i="1"/>
  <c r="G4802" i="1"/>
  <c r="G4801" i="1"/>
  <c r="G4800" i="1"/>
  <c r="G4799" i="1"/>
  <c r="G4798" i="1"/>
  <c r="G4797" i="1"/>
  <c r="G4796" i="1"/>
  <c r="G4795" i="1"/>
  <c r="G4794" i="1"/>
  <c r="G4793" i="1"/>
  <c r="G4792" i="1"/>
  <c r="G4791" i="1"/>
  <c r="G4790" i="1"/>
  <c r="G4789" i="1"/>
  <c r="G4788" i="1"/>
  <c r="G4787" i="1"/>
  <c r="G4786" i="1"/>
  <c r="G4785" i="1"/>
  <c r="G4784" i="1"/>
  <c r="G4783" i="1"/>
  <c r="G4782" i="1"/>
  <c r="G4781" i="1"/>
  <c r="G4780" i="1"/>
  <c r="G4779" i="1"/>
  <c r="G4778" i="1"/>
  <c r="G4777" i="1"/>
  <c r="G4776" i="1"/>
  <c r="G4775" i="1"/>
  <c r="G4774" i="1"/>
  <c r="G4773" i="1"/>
  <c r="G4772" i="1"/>
  <c r="G4771" i="1"/>
  <c r="G4770" i="1"/>
  <c r="G4769" i="1"/>
  <c r="G4768" i="1"/>
  <c r="G4767" i="1"/>
  <c r="G4766" i="1"/>
  <c r="G4765" i="1"/>
  <c r="G4764" i="1"/>
  <c r="G4763" i="1"/>
  <c r="G4762" i="1"/>
  <c r="G4761" i="1"/>
  <c r="G4760" i="1"/>
  <c r="G4759" i="1"/>
  <c r="G4758" i="1"/>
  <c r="G4757" i="1"/>
  <c r="G4756" i="1"/>
  <c r="G4755" i="1"/>
  <c r="G4754" i="1"/>
  <c r="G4753" i="1"/>
  <c r="G4752" i="1"/>
  <c r="G4751" i="1"/>
  <c r="G4750" i="1"/>
  <c r="G4749" i="1"/>
  <c r="G4748" i="1"/>
  <c r="G4747" i="1"/>
  <c r="G4746" i="1"/>
  <c r="G4745" i="1"/>
  <c r="G4744" i="1"/>
  <c r="G4743" i="1"/>
  <c r="G4742" i="1"/>
  <c r="G4741" i="1"/>
  <c r="G4740" i="1"/>
  <c r="G4739" i="1"/>
  <c r="G4738" i="1"/>
  <c r="G4737" i="1"/>
  <c r="G4736" i="1"/>
  <c r="G4735" i="1"/>
  <c r="G4734" i="1"/>
  <c r="G4733" i="1"/>
  <c r="G4732" i="1"/>
  <c r="G4731" i="1"/>
  <c r="G4730" i="1"/>
  <c r="G4729" i="1"/>
  <c r="G4728" i="1"/>
  <c r="G4727" i="1"/>
  <c r="G4726" i="1"/>
  <c r="G4725" i="1"/>
  <c r="G4724" i="1"/>
  <c r="G4722" i="1"/>
  <c r="G4721" i="1"/>
  <c r="G4720" i="1"/>
  <c r="G4719" i="1"/>
  <c r="G4718" i="1"/>
  <c r="G4717" i="1"/>
  <c r="G4716" i="1"/>
  <c r="G4715" i="1"/>
  <c r="G4714" i="1"/>
  <c r="G4713" i="1"/>
  <c r="G4712" i="1"/>
  <c r="G4711" i="1"/>
  <c r="G4710" i="1"/>
  <c r="G4709" i="1"/>
  <c r="G4708" i="1"/>
  <c r="G4707" i="1"/>
  <c r="G4706" i="1"/>
  <c r="G4705" i="1"/>
  <c r="G4704" i="1"/>
  <c r="G4703" i="1"/>
  <c r="G4702" i="1"/>
  <c r="G4701" i="1"/>
  <c r="G4700" i="1"/>
  <c r="G4699" i="1"/>
  <c r="G4698" i="1"/>
  <c r="G4697" i="1"/>
  <c r="G4696" i="1"/>
  <c r="G4695" i="1"/>
  <c r="G4694" i="1"/>
  <c r="G4693" i="1"/>
  <c r="G4692" i="1"/>
  <c r="G4691" i="1"/>
  <c r="G4690" i="1"/>
  <c r="G4689" i="1"/>
  <c r="G4688" i="1"/>
  <c r="G4687" i="1"/>
  <c r="G4686" i="1"/>
  <c r="G4685" i="1"/>
  <c r="G4684" i="1"/>
  <c r="G4683" i="1"/>
  <c r="G4682" i="1"/>
  <c r="G4681" i="1"/>
  <c r="G4680" i="1"/>
  <c r="G4679" i="1"/>
  <c r="G4678" i="1"/>
  <c r="G4677" i="1"/>
  <c r="G4676" i="1"/>
  <c r="G4675" i="1"/>
  <c r="G4674" i="1"/>
  <c r="G4673" i="1"/>
  <c r="G4672" i="1"/>
  <c r="G4671" i="1"/>
  <c r="G4670" i="1"/>
  <c r="G4669" i="1"/>
  <c r="G4668" i="1"/>
  <c r="G4667" i="1"/>
  <c r="G4666" i="1"/>
  <c r="G4665" i="1"/>
  <c r="G4664" i="1"/>
  <c r="G4663" i="1"/>
  <c r="G4662" i="1"/>
  <c r="G4661" i="1"/>
  <c r="G4660" i="1"/>
  <c r="G4659" i="1"/>
  <c r="G4658" i="1"/>
  <c r="G4657" i="1"/>
  <c r="G4656" i="1"/>
  <c r="G4655" i="1"/>
  <c r="G4654" i="1"/>
  <c r="G4653" i="1"/>
  <c r="G4652" i="1"/>
  <c r="G4651" i="1"/>
  <c r="G4650" i="1"/>
  <c r="G4649" i="1"/>
  <c r="G4648" i="1"/>
  <c r="G4647" i="1"/>
  <c r="G4646" i="1"/>
  <c r="G4645" i="1"/>
  <c r="G4644" i="1"/>
  <c r="G4643" i="1"/>
  <c r="G4642" i="1"/>
  <c r="G4641" i="1"/>
  <c r="G4640" i="1"/>
  <c r="G4639" i="1"/>
  <c r="G4638" i="1"/>
  <c r="G4637" i="1"/>
  <c r="G4636" i="1"/>
  <c r="G4635" i="1"/>
  <c r="G4634" i="1"/>
  <c r="G4633" i="1"/>
  <c r="G4632" i="1"/>
  <c r="G4631" i="1"/>
  <c r="G4630" i="1"/>
  <c r="G4629" i="1"/>
  <c r="G4628" i="1"/>
  <c r="G4627" i="1"/>
  <c r="G4626" i="1"/>
  <c r="G4625" i="1"/>
  <c r="G4624" i="1"/>
  <c r="G4623" i="1"/>
  <c r="G4622" i="1"/>
  <c r="G4621" i="1"/>
  <c r="G4620" i="1"/>
  <c r="G4619" i="1"/>
  <c r="G4618" i="1"/>
  <c r="G4617" i="1"/>
  <c r="G4616" i="1"/>
  <c r="G4615" i="1"/>
  <c r="G4614" i="1"/>
  <c r="G4613" i="1"/>
  <c r="G4612" i="1"/>
  <c r="G4611" i="1"/>
  <c r="G4610" i="1"/>
  <c r="G4609" i="1"/>
  <c r="G4608" i="1"/>
  <c r="G4607" i="1"/>
  <c r="G4606" i="1"/>
  <c r="G4605" i="1"/>
  <c r="G4604" i="1"/>
  <c r="G4603" i="1"/>
  <c r="G4602" i="1"/>
  <c r="G4601" i="1"/>
  <c r="G4600" i="1"/>
  <c r="G4599" i="1"/>
  <c r="G4598" i="1"/>
  <c r="G4597" i="1"/>
  <c r="G4596" i="1"/>
  <c r="G4595" i="1"/>
  <c r="G4594" i="1"/>
  <c r="G4593" i="1"/>
  <c r="G4592" i="1"/>
  <c r="G4591" i="1"/>
  <c r="G4590" i="1"/>
  <c r="G4589" i="1"/>
  <c r="G4588" i="1"/>
  <c r="G4587" i="1"/>
  <c r="G4586" i="1"/>
  <c r="G4585" i="1"/>
  <c r="G4584" i="1"/>
  <c r="G4583" i="1"/>
  <c r="G4582" i="1"/>
  <c r="G4581" i="1"/>
  <c r="G4580" i="1"/>
  <c r="G4579" i="1"/>
  <c r="G4578" i="1"/>
  <c r="G4577" i="1"/>
  <c r="G4576" i="1"/>
  <c r="G4575" i="1"/>
  <c r="G4574" i="1"/>
  <c r="G4573" i="1"/>
  <c r="G4572" i="1"/>
  <c r="G4571" i="1"/>
  <c r="G4570" i="1"/>
  <c r="G4569" i="1"/>
  <c r="G4568" i="1"/>
  <c r="G4567" i="1"/>
  <c r="G4566" i="1"/>
  <c r="G4565" i="1"/>
  <c r="G4564" i="1"/>
  <c r="G4563" i="1"/>
  <c r="G4562" i="1"/>
  <c r="G4561" i="1"/>
  <c r="G4560" i="1"/>
  <c r="G4559" i="1"/>
  <c r="G4558" i="1"/>
  <c r="G4557" i="1"/>
  <c r="G4556" i="1"/>
  <c r="G4555" i="1"/>
  <c r="G4554" i="1"/>
  <c r="G4553" i="1"/>
  <c r="G4552" i="1"/>
  <c r="G4551" i="1"/>
  <c r="G4550" i="1"/>
  <c r="G4549" i="1"/>
  <c r="G4548" i="1"/>
  <c r="G4547" i="1"/>
  <c r="G4546" i="1"/>
  <c r="G4545" i="1"/>
  <c r="G4544" i="1"/>
  <c r="G4543" i="1"/>
  <c r="G4542" i="1"/>
  <c r="G4541" i="1"/>
  <c r="G4540" i="1"/>
  <c r="G4539" i="1"/>
  <c r="G4538" i="1"/>
  <c r="G4537" i="1"/>
  <c r="G4536" i="1"/>
  <c r="G4535" i="1"/>
  <c r="G4534" i="1"/>
  <c r="G4533" i="1"/>
  <c r="G4532" i="1"/>
  <c r="G4531" i="1"/>
  <c r="G4530" i="1"/>
  <c r="G4529" i="1"/>
  <c r="G4528" i="1"/>
  <c r="G4527" i="1"/>
  <c r="G4526" i="1"/>
  <c r="G4525" i="1"/>
  <c r="G4524" i="1"/>
  <c r="G4523" i="1"/>
  <c r="G4522" i="1"/>
  <c r="G4521" i="1"/>
  <c r="G4520" i="1"/>
  <c r="G4519" i="1"/>
  <c r="G4518" i="1"/>
  <c r="G4517" i="1"/>
  <c r="G4516" i="1"/>
  <c r="G4515" i="1"/>
  <c r="G4514" i="1"/>
  <c r="G4513" i="1"/>
  <c r="G4512" i="1"/>
  <c r="G4511" i="1"/>
  <c r="G4510" i="1"/>
  <c r="G4509" i="1"/>
  <c r="G4508" i="1"/>
  <c r="G4507" i="1"/>
  <c r="G4506" i="1"/>
  <c r="G4505" i="1"/>
  <c r="G4504" i="1"/>
  <c r="G4503" i="1"/>
  <c r="G4502" i="1"/>
  <c r="G4501" i="1"/>
  <c r="G4500" i="1"/>
  <c r="G4499" i="1"/>
  <c r="G4498" i="1"/>
  <c r="G4497" i="1"/>
  <c r="G4496" i="1"/>
  <c r="G4495" i="1"/>
  <c r="G4494" i="1"/>
  <c r="G4493" i="1"/>
  <c r="G4492" i="1"/>
  <c r="G4491" i="1"/>
  <c r="G4490" i="1"/>
  <c r="G4489" i="1"/>
  <c r="G4488" i="1"/>
  <c r="G4487" i="1"/>
  <c r="G4486" i="1"/>
  <c r="G4485" i="1"/>
  <c r="G4484" i="1"/>
  <c r="G4483" i="1"/>
  <c r="G4482" i="1"/>
  <c r="G4481" i="1"/>
  <c r="G4480" i="1"/>
  <c r="G4479" i="1"/>
  <c r="G4478" i="1"/>
  <c r="G4477" i="1"/>
  <c r="G4476" i="1"/>
  <c r="G4475" i="1"/>
  <c r="G4474" i="1"/>
  <c r="G4473" i="1"/>
  <c r="G4472" i="1"/>
  <c r="G4471" i="1"/>
  <c r="G4470" i="1"/>
  <c r="G4469" i="1"/>
  <c r="G4468" i="1"/>
  <c r="G4467" i="1"/>
  <c r="G4466" i="1"/>
  <c r="G4465" i="1"/>
  <c r="G4464" i="1"/>
  <c r="G4463" i="1"/>
  <c r="G4462" i="1"/>
  <c r="G4461" i="1"/>
  <c r="G4460" i="1"/>
  <c r="G4459" i="1"/>
  <c r="G4458" i="1"/>
  <c r="G4457" i="1"/>
  <c r="G4456" i="1"/>
  <c r="G4455" i="1"/>
  <c r="G4454" i="1"/>
  <c r="G4453" i="1"/>
  <c r="G4452" i="1"/>
  <c r="G4451" i="1"/>
  <c r="G4450" i="1"/>
  <c r="G4449" i="1"/>
  <c r="G4448" i="1"/>
  <c r="G4447" i="1"/>
  <c r="G4446" i="1"/>
  <c r="G4445" i="1"/>
  <c r="G4444" i="1"/>
  <c r="G4443" i="1"/>
  <c r="G4442" i="1"/>
  <c r="G4441" i="1"/>
  <c r="G4440" i="1"/>
  <c r="G4439" i="1"/>
  <c r="G4438" i="1"/>
  <c r="G4437" i="1"/>
  <c r="G4436" i="1"/>
  <c r="G4435" i="1"/>
  <c r="G4434" i="1"/>
  <c r="G4433" i="1"/>
  <c r="G4432" i="1"/>
  <c r="G4431" i="1"/>
  <c r="G4430" i="1"/>
  <c r="G4429" i="1"/>
  <c r="G4428" i="1"/>
  <c r="G4427" i="1"/>
  <c r="G4426" i="1"/>
  <c r="G4425" i="1"/>
  <c r="G4424" i="1"/>
  <c r="G4423" i="1"/>
  <c r="G4422" i="1"/>
  <c r="G4421" i="1"/>
  <c r="G4420" i="1"/>
  <c r="G4419" i="1"/>
  <c r="G4418" i="1"/>
  <c r="G4417" i="1"/>
  <c r="G4416" i="1"/>
  <c r="G4415" i="1"/>
  <c r="G4414" i="1"/>
  <c r="G4413" i="1"/>
  <c r="G4412" i="1"/>
  <c r="G4411" i="1"/>
  <c r="G4410" i="1"/>
  <c r="G4409" i="1"/>
  <c r="G4408" i="1"/>
  <c r="G4407" i="1"/>
  <c r="G4406" i="1"/>
  <c r="G4405" i="1"/>
  <c r="G4404" i="1"/>
  <c r="G4403" i="1"/>
  <c r="G4402" i="1"/>
  <c r="G4401" i="1"/>
  <c r="G4400" i="1"/>
  <c r="G4399" i="1"/>
  <c r="G4398" i="1"/>
  <c r="G4397" i="1"/>
  <c r="G4396" i="1"/>
  <c r="G4395" i="1"/>
  <c r="G4394" i="1"/>
  <c r="G4393" i="1"/>
  <c r="G4392" i="1"/>
  <c r="G4391" i="1"/>
  <c r="G4390" i="1"/>
  <c r="G4389" i="1"/>
  <c r="G4388" i="1"/>
  <c r="G4387" i="1"/>
  <c r="G4386" i="1"/>
  <c r="G4385" i="1"/>
  <c r="G4384" i="1"/>
  <c r="G4383" i="1"/>
  <c r="G4382" i="1"/>
  <c r="G4381" i="1"/>
  <c r="G4380" i="1"/>
  <c r="G4379" i="1"/>
  <c r="G4378" i="1"/>
  <c r="G4377" i="1"/>
  <c r="G4376" i="1"/>
  <c r="G4375" i="1"/>
  <c r="G4374" i="1"/>
  <c r="G4373" i="1"/>
  <c r="G4372" i="1"/>
  <c r="G4371" i="1"/>
  <c r="G4370" i="1"/>
  <c r="G4369" i="1"/>
  <c r="G4368" i="1"/>
  <c r="G4367" i="1"/>
  <c r="G4366" i="1"/>
  <c r="G4365" i="1"/>
  <c r="G4364" i="1"/>
  <c r="G4363" i="1"/>
  <c r="G4362" i="1"/>
  <c r="G4361" i="1"/>
  <c r="G4360" i="1"/>
  <c r="G4359" i="1"/>
  <c r="G4358" i="1"/>
  <c r="G4357" i="1"/>
  <c r="G4356" i="1"/>
  <c r="G4355" i="1"/>
  <c r="G4354" i="1"/>
  <c r="G4353" i="1"/>
  <c r="G4352" i="1"/>
  <c r="G4351" i="1"/>
  <c r="G4350" i="1"/>
  <c r="G4349" i="1"/>
  <c r="G4348" i="1"/>
  <c r="G4347" i="1"/>
  <c r="G4346" i="1"/>
  <c r="G4345" i="1"/>
  <c r="G4344" i="1"/>
  <c r="G4343" i="1"/>
  <c r="G4342" i="1"/>
  <c r="G4341" i="1"/>
  <c r="G4340" i="1"/>
  <c r="G4339" i="1"/>
  <c r="G4338" i="1"/>
  <c r="G4337" i="1"/>
  <c r="G4336" i="1"/>
  <c r="G4335" i="1"/>
  <c r="G4334" i="1"/>
  <c r="G4333" i="1"/>
  <c r="G4332" i="1"/>
  <c r="G4331" i="1"/>
  <c r="G4330" i="1"/>
  <c r="G4329" i="1"/>
  <c r="G4328" i="1"/>
  <c r="G4327" i="1"/>
  <c r="G4326" i="1"/>
  <c r="G4325" i="1"/>
  <c r="G4324" i="1"/>
  <c r="G4323" i="1"/>
  <c r="G4322" i="1"/>
  <c r="G4321" i="1"/>
  <c r="G4320" i="1"/>
  <c r="G4319" i="1"/>
  <c r="G4318" i="1"/>
  <c r="G4317" i="1"/>
  <c r="G4316" i="1"/>
  <c r="G4315" i="1"/>
  <c r="G4314" i="1"/>
  <c r="G4313" i="1"/>
  <c r="G4312" i="1"/>
  <c r="G4311" i="1"/>
  <c r="G4310" i="1"/>
  <c r="G4309" i="1"/>
  <c r="G4308" i="1"/>
  <c r="G4307" i="1"/>
  <c r="G4306" i="1"/>
  <c r="G4305" i="1"/>
  <c r="G4304" i="1"/>
  <c r="G4303" i="1"/>
  <c r="G4302" i="1"/>
  <c r="G4301" i="1"/>
  <c r="G4300" i="1"/>
  <c r="G4299" i="1"/>
  <c r="G4298" i="1"/>
  <c r="G4297" i="1"/>
  <c r="G4296" i="1"/>
  <c r="G4295" i="1"/>
  <c r="G4294" i="1"/>
  <c r="G4293" i="1"/>
  <c r="G4292" i="1"/>
  <c r="G4291" i="1"/>
  <c r="G4290" i="1"/>
  <c r="G4289" i="1"/>
  <c r="G4288" i="1"/>
  <c r="G4287" i="1"/>
  <c r="G4286" i="1"/>
  <c r="G4285" i="1"/>
  <c r="G4284" i="1"/>
  <c r="G4283" i="1"/>
  <c r="G4282" i="1"/>
  <c r="G4281" i="1"/>
  <c r="G4280" i="1"/>
  <c r="G4279" i="1"/>
  <c r="G4278" i="1"/>
  <c r="G4277" i="1"/>
  <c r="G4276" i="1"/>
  <c r="G4274" i="1"/>
  <c r="G4273" i="1"/>
  <c r="G4272" i="1"/>
  <c r="G4271" i="1"/>
  <c r="G4270" i="1"/>
  <c r="G4269" i="1"/>
  <c r="G4268" i="1"/>
  <c r="G4267" i="1"/>
  <c r="G4266" i="1"/>
  <c r="G4265" i="1"/>
  <c r="G4264" i="1"/>
  <c r="G4263" i="1"/>
  <c r="G4262" i="1"/>
  <c r="G4261" i="1"/>
  <c r="G4260" i="1"/>
  <c r="G4259" i="1"/>
  <c r="G4258" i="1"/>
  <c r="G4257" i="1"/>
  <c r="G4256" i="1"/>
  <c r="G4255" i="1"/>
  <c r="G4254" i="1"/>
  <c r="G4253" i="1"/>
  <c r="G4252" i="1"/>
  <c r="G4251" i="1"/>
  <c r="G4250" i="1"/>
  <c r="G4249" i="1"/>
  <c r="G4248" i="1"/>
  <c r="G4247" i="1"/>
  <c r="G4246" i="1"/>
  <c r="G4245" i="1"/>
  <c r="G4244" i="1"/>
  <c r="G4243" i="1"/>
  <c r="G4242" i="1"/>
  <c r="G4241" i="1"/>
  <c r="G4240" i="1"/>
  <c r="G4239" i="1"/>
  <c r="G4238" i="1"/>
  <c r="G4237" i="1"/>
  <c r="G4236" i="1"/>
  <c r="G4235" i="1"/>
  <c r="G4234" i="1"/>
  <c r="G4233" i="1"/>
  <c r="G4232" i="1"/>
  <c r="G4231" i="1"/>
  <c r="G4230" i="1"/>
  <c r="G4229" i="1"/>
  <c r="G4228" i="1"/>
  <c r="G4227" i="1"/>
  <c r="G4226" i="1"/>
  <c r="G4225" i="1"/>
  <c r="G4224" i="1"/>
  <c r="G4223" i="1"/>
  <c r="G4222" i="1"/>
  <c r="G4221" i="1"/>
  <c r="G4220" i="1"/>
  <c r="G4219" i="1"/>
  <c r="G4218" i="1"/>
  <c r="G4217" i="1"/>
  <c r="G4215" i="1"/>
  <c r="G4214" i="1"/>
  <c r="G4213" i="1"/>
  <c r="G4212" i="1"/>
  <c r="G4211" i="1"/>
  <c r="G4210" i="1"/>
  <c r="G4209" i="1"/>
  <c r="G4208" i="1"/>
  <c r="G4207" i="1"/>
  <c r="G4206" i="1"/>
  <c r="G4205" i="1"/>
  <c r="G4204" i="1"/>
  <c r="G4203" i="1"/>
  <c r="G4202" i="1"/>
  <c r="G4201" i="1"/>
  <c r="G4200" i="1"/>
  <c r="G4199" i="1"/>
  <c r="G4198" i="1"/>
  <c r="G4197" i="1"/>
  <c r="G4196" i="1"/>
  <c r="G4195" i="1"/>
  <c r="G4194" i="1"/>
  <c r="G4193" i="1"/>
  <c r="G4192" i="1"/>
  <c r="G4191" i="1"/>
  <c r="G4190" i="1"/>
  <c r="G4189" i="1"/>
  <c r="G4188" i="1"/>
  <c r="G4187" i="1"/>
  <c r="G4186" i="1"/>
  <c r="G4185" i="1"/>
  <c r="G4184" i="1"/>
  <c r="G4183" i="1"/>
  <c r="G4182" i="1"/>
  <c r="G4181" i="1"/>
  <c r="G4180" i="1"/>
  <c r="G4179" i="1"/>
  <c r="G4178" i="1"/>
  <c r="G4177" i="1"/>
  <c r="G4176" i="1"/>
  <c r="G4175" i="1"/>
  <c r="G4174" i="1"/>
  <c r="G4173" i="1"/>
  <c r="G4172" i="1"/>
  <c r="G4171" i="1"/>
  <c r="G4170" i="1"/>
  <c r="G4169" i="1"/>
  <c r="G4168" i="1"/>
  <c r="G4167" i="1"/>
  <c r="G4166" i="1"/>
  <c r="G4165" i="1"/>
  <c r="G4164" i="1"/>
  <c r="G4163" i="1"/>
  <c r="G4162" i="1"/>
  <c r="G4161" i="1"/>
  <c r="G4160" i="1"/>
  <c r="G4159" i="1"/>
  <c r="G4158" i="1"/>
  <c r="G4157" i="1"/>
  <c r="G4156" i="1"/>
  <c r="G4155" i="1"/>
  <c r="G4154" i="1"/>
  <c r="G4153" i="1"/>
  <c r="G4152" i="1"/>
  <c r="G4151" i="1"/>
  <c r="G4150" i="1"/>
  <c r="G4149" i="1"/>
  <c r="G4148" i="1"/>
  <c r="G4147" i="1"/>
  <c r="G4146" i="1"/>
  <c r="G4145" i="1"/>
  <c r="G4144" i="1"/>
  <c r="G4143" i="1"/>
  <c r="G4142" i="1"/>
  <c r="G4141" i="1"/>
  <c r="G4140" i="1"/>
  <c r="G4139" i="1"/>
  <c r="G4138" i="1"/>
  <c r="G4137" i="1"/>
  <c r="G4136" i="1"/>
  <c r="G4135" i="1"/>
  <c r="G4134" i="1"/>
  <c r="G4133" i="1"/>
  <c r="G4132" i="1"/>
  <c r="G4131" i="1"/>
  <c r="G4130" i="1"/>
  <c r="G4129" i="1"/>
  <c r="G4128" i="1"/>
  <c r="G4127" i="1"/>
  <c r="G4126" i="1"/>
  <c r="G4125" i="1"/>
  <c r="G4124" i="1"/>
  <c r="G4123" i="1"/>
  <c r="G4122" i="1"/>
  <c r="G4121" i="1"/>
  <c r="G4120" i="1"/>
  <c r="G4119" i="1"/>
  <c r="G4118" i="1"/>
  <c r="G4117" i="1"/>
  <c r="G4116" i="1"/>
  <c r="G4115" i="1"/>
  <c r="G4114" i="1"/>
  <c r="G4113" i="1"/>
  <c r="G4112" i="1"/>
  <c r="G4111" i="1"/>
  <c r="G4110" i="1"/>
  <c r="G4109" i="1"/>
  <c r="G4108" i="1"/>
  <c r="G4107" i="1"/>
  <c r="G4106" i="1"/>
  <c r="G4105" i="1"/>
  <c r="G4104" i="1"/>
  <c r="G4103" i="1"/>
  <c r="G4102" i="1"/>
  <c r="G4101" i="1"/>
  <c r="G4100" i="1"/>
  <c r="G4099" i="1"/>
  <c r="G4098" i="1"/>
  <c r="G4097" i="1"/>
  <c r="G4096" i="1"/>
  <c r="G4095" i="1"/>
  <c r="G4094" i="1"/>
  <c r="G4093" i="1"/>
  <c r="G4092" i="1"/>
  <c r="G4091" i="1"/>
  <c r="G4090" i="1"/>
  <c r="G4089" i="1"/>
  <c r="G4088" i="1"/>
  <c r="G4087" i="1"/>
  <c r="G4086" i="1"/>
  <c r="G4085" i="1"/>
  <c r="G4084" i="1"/>
  <c r="G4083" i="1"/>
  <c r="G4082" i="1"/>
  <c r="G4081" i="1"/>
  <c r="G4080" i="1"/>
  <c r="G4079" i="1"/>
  <c r="G4078" i="1"/>
  <c r="G4077" i="1"/>
  <c r="G4076" i="1"/>
  <c r="G4075" i="1"/>
  <c r="G4074" i="1"/>
  <c r="G4073" i="1"/>
  <c r="G4072" i="1"/>
  <c r="G4071" i="1"/>
  <c r="G4070" i="1"/>
  <c r="G4069" i="1"/>
  <c r="G4068" i="1"/>
  <c r="G4067" i="1"/>
  <c r="G4066" i="1"/>
  <c r="G4065" i="1"/>
  <c r="G4064" i="1"/>
  <c r="G4063" i="1"/>
  <c r="G4062" i="1"/>
  <c r="G4061" i="1"/>
  <c r="G4060" i="1"/>
  <c r="G4059" i="1"/>
  <c r="G4058" i="1"/>
  <c r="G4057" i="1"/>
  <c r="G4056" i="1"/>
  <c r="G4055" i="1"/>
  <c r="G4054" i="1"/>
  <c r="G4053" i="1"/>
  <c r="G4052" i="1"/>
  <c r="G4051" i="1"/>
  <c r="G4050" i="1"/>
  <c r="G4049" i="1"/>
  <c r="G4048" i="1"/>
  <c r="G4047" i="1"/>
  <c r="G4046" i="1"/>
  <c r="G4045" i="1"/>
  <c r="G4044" i="1"/>
  <c r="G4043" i="1"/>
  <c r="G4042" i="1"/>
  <c r="G4041" i="1"/>
  <c r="G4040" i="1"/>
  <c r="G4039" i="1"/>
  <c r="G4038" i="1"/>
  <c r="G4037" i="1"/>
  <c r="G4036" i="1"/>
  <c r="G4035" i="1"/>
  <c r="G4034" i="1"/>
  <c r="G4033" i="1"/>
  <c r="G4032" i="1"/>
  <c r="G4031" i="1"/>
  <c r="G4030" i="1"/>
  <c r="G4029" i="1"/>
  <c r="G4028" i="1"/>
  <c r="G4027" i="1"/>
  <c r="G4026" i="1"/>
  <c r="G4025" i="1"/>
  <c r="G4024" i="1"/>
  <c r="G4023" i="1"/>
  <c r="G4022" i="1"/>
  <c r="G4021" i="1"/>
  <c r="G4020" i="1"/>
  <c r="G4018" i="1"/>
  <c r="G4017" i="1"/>
  <c r="G4016" i="1"/>
  <c r="G4015" i="1"/>
  <c r="G4014" i="1"/>
  <c r="G4013" i="1"/>
  <c r="G4012" i="1"/>
  <c r="G4011" i="1"/>
  <c r="G4010" i="1"/>
  <c r="G4009" i="1"/>
  <c r="G4008" i="1"/>
  <c r="G4007" i="1"/>
  <c r="G4006" i="1"/>
  <c r="G4005" i="1"/>
  <c r="G4004" i="1"/>
  <c r="G4003" i="1"/>
  <c r="G4002" i="1"/>
  <c r="G4001" i="1"/>
  <c r="G4000" i="1"/>
  <c r="G3999" i="1"/>
  <c r="G3998" i="1"/>
  <c r="G3997" i="1"/>
  <c r="G3996" i="1"/>
  <c r="G3995" i="1"/>
  <c r="G3994" i="1"/>
  <c r="G3993" i="1"/>
  <c r="G3992" i="1"/>
  <c r="G3991" i="1"/>
  <c r="G3990" i="1"/>
  <c r="G3988" i="1"/>
  <c r="G3987" i="1"/>
  <c r="G3986" i="1"/>
  <c r="G3985" i="1"/>
  <c r="G3983" i="1"/>
  <c r="G3982" i="1"/>
  <c r="G3981" i="1"/>
  <c r="G3980" i="1"/>
  <c r="G3979" i="1"/>
  <c r="G3978" i="1"/>
  <c r="G3977" i="1"/>
  <c r="G3976" i="1"/>
  <c r="G3975" i="1"/>
  <c r="G3974" i="1"/>
  <c r="G3973" i="1"/>
  <c r="G3972" i="1"/>
  <c r="G3971" i="1"/>
  <c r="G3970" i="1"/>
  <c r="G3969" i="1"/>
  <c r="G3968" i="1"/>
  <c r="G3967" i="1"/>
  <c r="G3966" i="1"/>
  <c r="G3965" i="1"/>
  <c r="G3964" i="1"/>
  <c r="G3963" i="1"/>
  <c r="G3962" i="1"/>
  <c r="G3961" i="1"/>
  <c r="G3960" i="1"/>
  <c r="G3959" i="1"/>
  <c r="G3958" i="1"/>
  <c r="G3957" i="1"/>
  <c r="G3956" i="1"/>
  <c r="G3955" i="1"/>
  <c r="G3954" i="1"/>
  <c r="G3953" i="1"/>
  <c r="G3952" i="1"/>
  <c r="G3951" i="1"/>
  <c r="G3950" i="1"/>
  <c r="G3949" i="1"/>
  <c r="G3948" i="1"/>
  <c r="G3947" i="1"/>
  <c r="G3946" i="1"/>
  <c r="G3945" i="1"/>
  <c r="G3944" i="1"/>
  <c r="G3943" i="1"/>
  <c r="G3942" i="1"/>
  <c r="G3941" i="1"/>
  <c r="G3940" i="1"/>
  <c r="G3939" i="1"/>
  <c r="G3938" i="1"/>
  <c r="G3937" i="1"/>
  <c r="G3936" i="1"/>
  <c r="G3935" i="1"/>
  <c r="G3934" i="1"/>
  <c r="G3933" i="1"/>
  <c r="G3932" i="1"/>
  <c r="G3931" i="1"/>
  <c r="G3930" i="1"/>
  <c r="G3929" i="1"/>
  <c r="G3928" i="1"/>
  <c r="G3927" i="1"/>
  <c r="G3926" i="1"/>
  <c r="G3925" i="1"/>
  <c r="G3924" i="1"/>
  <c r="G3923" i="1"/>
  <c r="G3922" i="1"/>
  <c r="G3921" i="1"/>
  <c r="G3920" i="1"/>
  <c r="G3919" i="1"/>
  <c r="G3918" i="1"/>
  <c r="G3917" i="1"/>
  <c r="G3916" i="1"/>
  <c r="G3915" i="1"/>
  <c r="G3914" i="1"/>
  <c r="G3913" i="1"/>
  <c r="G3912" i="1"/>
  <c r="G3911" i="1"/>
  <c r="G3910" i="1"/>
  <c r="G3909" i="1"/>
  <c r="G3908" i="1"/>
  <c r="G3907" i="1"/>
  <c r="G3906" i="1"/>
  <c r="G3905" i="1"/>
  <c r="G3904" i="1"/>
  <c r="G3903" i="1"/>
  <c r="G3902" i="1"/>
  <c r="G3901" i="1"/>
  <c r="G3900" i="1"/>
  <c r="G3899" i="1"/>
  <c r="G3898" i="1"/>
  <c r="G3897" i="1"/>
  <c r="G3896" i="1"/>
  <c r="G3895" i="1"/>
  <c r="G3894" i="1"/>
  <c r="G3893" i="1"/>
  <c r="G3892" i="1"/>
  <c r="G3891" i="1"/>
  <c r="G3890" i="1"/>
  <c r="G3889" i="1"/>
  <c r="G3888" i="1"/>
  <c r="G3887" i="1"/>
  <c r="G3886" i="1"/>
  <c r="G3885" i="1"/>
  <c r="G3884" i="1"/>
  <c r="G3883" i="1"/>
  <c r="G3882" i="1"/>
  <c r="G3881" i="1"/>
  <c r="G3880" i="1"/>
  <c r="G3879" i="1"/>
  <c r="G3878" i="1"/>
  <c r="G3877" i="1"/>
  <c r="G3876" i="1"/>
  <c r="G3875" i="1"/>
  <c r="G3874" i="1"/>
  <c r="G3873" i="1"/>
  <c r="G3872" i="1"/>
  <c r="G3871" i="1"/>
  <c r="G3870" i="1"/>
  <c r="G3869" i="1"/>
  <c r="G3868" i="1"/>
  <c r="G3867" i="1"/>
  <c r="G3866" i="1"/>
  <c r="G3865" i="1"/>
  <c r="G3864" i="1"/>
  <c r="G3863" i="1"/>
  <c r="G3862" i="1"/>
  <c r="G3861" i="1"/>
  <c r="G3860" i="1"/>
  <c r="G3859" i="1"/>
  <c r="G3858" i="1"/>
  <c r="G3857" i="1"/>
  <c r="G3856" i="1"/>
  <c r="G3855" i="1"/>
  <c r="G3854" i="1"/>
  <c r="G3853" i="1"/>
  <c r="G3852" i="1"/>
  <c r="G3851" i="1"/>
  <c r="G3850" i="1"/>
  <c r="G3849" i="1"/>
  <c r="G3848" i="1"/>
  <c r="G3847" i="1"/>
  <c r="G3846" i="1"/>
  <c r="G3845" i="1"/>
  <c r="G3844" i="1"/>
  <c r="G3843" i="1"/>
  <c r="G3842" i="1"/>
  <c r="G3841" i="1"/>
  <c r="G3840" i="1"/>
  <c r="G3839" i="1"/>
  <c r="G3838" i="1"/>
  <c r="G3837" i="1"/>
  <c r="G3836" i="1"/>
  <c r="G3835" i="1"/>
  <c r="G3834" i="1"/>
  <c r="G3833" i="1"/>
  <c r="G3832" i="1"/>
  <c r="G3831" i="1"/>
  <c r="G3830" i="1"/>
  <c r="G3829" i="1"/>
  <c r="G3828" i="1"/>
  <c r="G3827" i="1"/>
  <c r="G3826" i="1"/>
  <c r="G3825" i="1"/>
  <c r="G3824" i="1"/>
  <c r="G3823" i="1"/>
  <c r="G3822" i="1"/>
  <c r="G3821" i="1"/>
  <c r="G3820" i="1"/>
  <c r="G3819" i="1"/>
  <c r="G3818" i="1"/>
  <c r="G3817" i="1"/>
  <c r="G3816" i="1"/>
  <c r="G3815" i="1"/>
  <c r="G3814" i="1"/>
  <c r="G3813" i="1"/>
  <c r="G3812" i="1"/>
  <c r="G3811" i="1"/>
  <c r="G3810" i="1"/>
  <c r="G3809" i="1"/>
  <c r="G3808" i="1"/>
  <c r="G3807" i="1"/>
  <c r="G3806" i="1"/>
  <c r="G3805" i="1"/>
  <c r="G3804" i="1"/>
  <c r="G3803" i="1"/>
  <c r="G3802" i="1"/>
  <c r="G3801" i="1"/>
  <c r="G3800" i="1"/>
  <c r="G3799" i="1"/>
  <c r="G3798" i="1"/>
  <c r="G3797" i="1"/>
  <c r="G3796" i="1"/>
  <c r="G3795" i="1"/>
  <c r="G3794" i="1"/>
  <c r="G3793" i="1"/>
  <c r="G3792" i="1"/>
  <c r="G3791" i="1"/>
  <c r="G3790" i="1"/>
  <c r="G3789" i="1"/>
  <c r="G3788" i="1"/>
  <c r="G3787" i="1"/>
  <c r="G3786" i="1"/>
  <c r="G3785" i="1"/>
  <c r="G3784" i="1"/>
  <c r="G3783" i="1"/>
  <c r="G3782" i="1"/>
  <c r="G3781" i="1"/>
  <c r="G3780" i="1"/>
  <c r="G3779" i="1"/>
  <c r="G3778" i="1"/>
  <c r="G3777" i="1"/>
  <c r="G3776" i="1"/>
  <c r="G3775" i="1"/>
  <c r="G3774" i="1"/>
  <c r="G3773" i="1"/>
  <c r="G3772" i="1"/>
  <c r="G3771" i="1"/>
  <c r="G3770" i="1"/>
  <c r="G3769" i="1"/>
  <c r="G3768" i="1"/>
  <c r="G3767" i="1"/>
  <c r="G3766" i="1"/>
  <c r="G3765" i="1"/>
  <c r="G3764" i="1"/>
  <c r="G3763" i="1"/>
  <c r="G3762" i="1"/>
  <c r="G3761" i="1"/>
  <c r="G3760" i="1"/>
  <c r="G3759" i="1"/>
  <c r="G3758" i="1"/>
  <c r="G3757" i="1"/>
  <c r="G3756" i="1"/>
  <c r="G3755" i="1"/>
  <c r="G3754" i="1"/>
  <c r="G3753" i="1"/>
  <c r="G3752" i="1"/>
  <c r="G3751" i="1"/>
  <c r="G3750" i="1"/>
  <c r="G3749" i="1"/>
  <c r="G3748" i="1"/>
  <c r="G3747" i="1"/>
  <c r="G3746" i="1"/>
  <c r="G3745" i="1"/>
  <c r="G3744" i="1"/>
  <c r="G3743" i="1"/>
  <c r="G3742" i="1"/>
  <c r="G3741" i="1"/>
  <c r="G3740" i="1"/>
  <c r="G3739" i="1"/>
  <c r="G3738" i="1"/>
  <c r="G3737" i="1"/>
  <c r="G3736" i="1"/>
  <c r="G3735" i="1"/>
  <c r="G3734" i="1"/>
  <c r="G3733" i="1"/>
  <c r="G3732" i="1"/>
  <c r="G3731" i="1"/>
  <c r="G3730" i="1"/>
  <c r="G3729" i="1"/>
  <c r="G3728" i="1"/>
  <c r="G3727" i="1"/>
  <c r="G3726" i="1"/>
  <c r="G3725" i="1"/>
  <c r="G3724" i="1"/>
  <c r="G3723" i="1"/>
  <c r="G3722" i="1"/>
  <c r="G3721" i="1"/>
  <c r="G3720" i="1"/>
  <c r="G3719" i="1"/>
  <c r="G3718" i="1"/>
  <c r="G3717" i="1"/>
  <c r="G3716" i="1"/>
  <c r="G3715" i="1"/>
  <c r="G3714" i="1"/>
  <c r="G3713" i="1"/>
  <c r="G3712" i="1"/>
  <c r="G3711" i="1"/>
  <c r="G3710" i="1"/>
  <c r="G3709" i="1"/>
  <c r="G3708" i="1"/>
  <c r="G3707" i="1"/>
  <c r="G3706" i="1"/>
  <c r="G3705" i="1"/>
  <c r="G3704" i="1"/>
  <c r="G3703" i="1"/>
  <c r="G3702" i="1"/>
  <c r="G3701" i="1"/>
  <c r="G3700" i="1"/>
  <c r="G3699" i="1"/>
  <c r="G3698" i="1"/>
  <c r="G3697" i="1"/>
  <c r="G3696" i="1"/>
  <c r="G3695" i="1"/>
  <c r="G3694" i="1"/>
  <c r="G3693" i="1"/>
  <c r="G3692" i="1"/>
  <c r="G3691" i="1"/>
  <c r="G3690" i="1"/>
  <c r="G3689" i="1"/>
  <c r="G3688" i="1"/>
  <c r="G3687" i="1"/>
  <c r="G3686" i="1"/>
  <c r="G3685" i="1"/>
  <c r="G3684" i="1"/>
  <c r="G3683" i="1"/>
  <c r="G3682" i="1"/>
  <c r="G3681" i="1"/>
  <c r="G3680" i="1"/>
  <c r="G3679" i="1"/>
  <c r="G3678" i="1"/>
  <c r="G3677" i="1"/>
  <c r="G3676" i="1"/>
  <c r="G3675" i="1"/>
  <c r="G3674" i="1"/>
  <c r="G3673" i="1"/>
  <c r="G3672" i="1"/>
  <c r="G3671" i="1"/>
  <c r="G3670" i="1"/>
  <c r="G3669" i="1"/>
  <c r="G3668" i="1"/>
  <c r="G3667" i="1"/>
  <c r="G3666" i="1"/>
  <c r="G3665" i="1"/>
  <c r="G3664" i="1"/>
  <c r="G3663" i="1"/>
  <c r="G3662" i="1"/>
  <c r="G3661" i="1"/>
  <c r="G3660" i="1"/>
  <c r="G3659" i="1"/>
  <c r="G3658" i="1"/>
  <c r="G3657" i="1"/>
  <c r="G3656" i="1"/>
  <c r="G3655" i="1"/>
  <c r="G3654" i="1"/>
  <c r="G3653" i="1"/>
  <c r="G3652" i="1"/>
  <c r="G3651" i="1"/>
  <c r="G3650" i="1"/>
  <c r="G3649" i="1"/>
  <c r="G3648" i="1"/>
  <c r="G3647" i="1"/>
  <c r="G3646" i="1"/>
  <c r="G3645" i="1"/>
  <c r="G3644" i="1"/>
  <c r="G3643" i="1"/>
  <c r="G3642" i="1"/>
  <c r="G3641" i="1"/>
  <c r="G3640" i="1"/>
  <c r="G3639" i="1"/>
  <c r="G3638" i="1"/>
  <c r="G3637" i="1"/>
  <c r="G3636" i="1"/>
  <c r="G3635" i="1"/>
  <c r="G3634" i="1"/>
  <c r="G3633" i="1"/>
  <c r="G3632" i="1"/>
  <c r="G3631" i="1"/>
  <c r="G3630" i="1"/>
  <c r="G3629" i="1"/>
  <c r="G3628" i="1"/>
  <c r="G3627" i="1"/>
  <c r="G3626" i="1"/>
  <c r="G3625" i="1"/>
  <c r="G3624" i="1"/>
  <c r="G3623" i="1"/>
  <c r="G3622" i="1"/>
  <c r="G3621" i="1"/>
  <c r="G3620" i="1"/>
  <c r="G3619" i="1"/>
  <c r="G3618" i="1"/>
  <c r="G3617" i="1"/>
  <c r="G3616" i="1"/>
  <c r="G3615" i="1"/>
  <c r="G3614" i="1"/>
  <c r="G3613" i="1"/>
  <c r="G3612" i="1"/>
  <c r="G3611" i="1"/>
  <c r="G3610" i="1"/>
  <c r="G3609" i="1"/>
  <c r="G3608" i="1"/>
  <c r="G3607" i="1"/>
  <c r="G3606" i="1"/>
  <c r="G3605" i="1"/>
  <c r="G3604" i="1"/>
  <c r="G3603" i="1"/>
  <c r="G3602" i="1"/>
  <c r="G3601" i="1"/>
  <c r="G3600" i="1"/>
  <c r="G3599" i="1"/>
  <c r="G3598" i="1"/>
  <c r="G3597" i="1"/>
  <c r="G3596" i="1"/>
  <c r="G3595" i="1"/>
  <c r="G3594" i="1"/>
  <c r="G3593" i="1"/>
  <c r="G3592" i="1"/>
  <c r="G3591" i="1"/>
  <c r="G3590" i="1"/>
  <c r="G3589" i="1"/>
  <c r="G3588" i="1"/>
  <c r="G3587" i="1"/>
  <c r="G3586" i="1"/>
  <c r="G3585" i="1"/>
  <c r="G3584" i="1"/>
  <c r="G3583" i="1"/>
  <c r="G3582" i="1"/>
  <c r="G3581" i="1"/>
  <c r="G3580" i="1"/>
  <c r="G3579" i="1"/>
  <c r="G3578" i="1"/>
  <c r="G3577" i="1"/>
  <c r="G3576" i="1"/>
  <c r="G3575" i="1"/>
  <c r="G3574" i="1"/>
  <c r="G3573" i="1"/>
  <c r="G3572" i="1"/>
  <c r="G3571" i="1"/>
  <c r="G3570" i="1"/>
  <c r="G3569" i="1"/>
  <c r="G3568" i="1"/>
  <c r="G3567" i="1"/>
  <c r="G3566" i="1"/>
  <c r="G3565" i="1"/>
  <c r="G3564" i="1"/>
  <c r="G3563" i="1"/>
  <c r="G3562" i="1"/>
  <c r="G3561" i="1"/>
  <c r="G3560" i="1"/>
  <c r="G3559" i="1"/>
  <c r="G3558" i="1"/>
  <c r="G3557" i="1"/>
  <c r="G3556" i="1"/>
  <c r="G3555" i="1"/>
  <c r="G3554" i="1"/>
  <c r="G3553" i="1"/>
  <c r="G3552" i="1"/>
  <c r="G3551" i="1"/>
  <c r="G3550" i="1"/>
  <c r="G3549" i="1"/>
  <c r="G3548" i="1"/>
  <c r="G3547" i="1"/>
  <c r="G3546" i="1"/>
  <c r="G3545" i="1"/>
  <c r="G3544" i="1"/>
  <c r="G3543" i="1"/>
  <c r="G3542" i="1"/>
  <c r="G3541" i="1"/>
  <c r="G3540" i="1"/>
  <c r="G3539" i="1"/>
  <c r="G3538" i="1"/>
  <c r="G3537" i="1"/>
  <c r="G3536" i="1"/>
  <c r="G3535" i="1"/>
  <c r="G3534" i="1"/>
  <c r="G3533" i="1"/>
  <c r="G3532" i="1"/>
  <c r="G3531" i="1"/>
  <c r="G3530" i="1"/>
  <c r="G3529" i="1"/>
  <c r="G3528" i="1"/>
  <c r="G3527" i="1"/>
  <c r="G3526" i="1"/>
  <c r="G3525" i="1"/>
  <c r="G3524" i="1"/>
  <c r="G3523" i="1"/>
  <c r="G3522" i="1"/>
  <c r="G3521" i="1"/>
  <c r="G3520" i="1"/>
  <c r="G3519" i="1"/>
  <c r="G3518" i="1"/>
  <c r="G3517" i="1"/>
  <c r="G3516" i="1"/>
  <c r="G3515" i="1"/>
  <c r="G3514" i="1"/>
  <c r="G3513" i="1"/>
  <c r="G3512" i="1"/>
  <c r="G3511" i="1"/>
  <c r="G3510" i="1"/>
  <c r="G3509" i="1"/>
  <c r="G3508" i="1"/>
  <c r="G3507" i="1"/>
  <c r="G3506" i="1"/>
  <c r="G3505" i="1"/>
  <c r="G3504" i="1"/>
  <c r="G3503" i="1"/>
  <c r="G3502" i="1"/>
  <c r="G3501" i="1"/>
  <c r="G3500" i="1"/>
  <c r="G3499" i="1"/>
  <c r="G3498" i="1"/>
  <c r="G3497" i="1"/>
  <c r="G3496" i="1"/>
  <c r="G3495" i="1"/>
  <c r="G3494" i="1"/>
  <c r="G3493" i="1"/>
  <c r="G3492" i="1"/>
  <c r="G3491" i="1"/>
  <c r="G3490" i="1"/>
  <c r="G3489" i="1"/>
  <c r="G3488" i="1"/>
  <c r="G3487" i="1"/>
  <c r="G3486" i="1"/>
  <c r="G3485" i="1"/>
  <c r="G3484" i="1"/>
  <c r="G3483" i="1"/>
  <c r="G3482" i="1"/>
  <c r="G3481" i="1"/>
  <c r="G3480" i="1"/>
  <c r="G3479" i="1"/>
  <c r="G3478" i="1"/>
  <c r="G3477" i="1"/>
  <c r="G3476" i="1"/>
  <c r="G3475" i="1"/>
  <c r="G3474" i="1"/>
  <c r="G3473" i="1"/>
  <c r="G3472" i="1"/>
  <c r="G3471" i="1"/>
  <c r="G3470" i="1"/>
  <c r="G3469" i="1"/>
  <c r="G3468" i="1"/>
  <c r="G3467" i="1"/>
  <c r="G3466" i="1"/>
  <c r="G3465" i="1"/>
  <c r="G3464" i="1"/>
  <c r="G3463" i="1"/>
  <c r="G3462" i="1"/>
  <c r="G3461" i="1"/>
  <c r="G3460" i="1"/>
  <c r="G3459" i="1"/>
  <c r="G3458" i="1"/>
  <c r="G3457" i="1"/>
  <c r="G3456" i="1"/>
  <c r="G3455" i="1"/>
  <c r="G3454" i="1"/>
  <c r="G3453" i="1"/>
  <c r="G3452" i="1"/>
  <c r="G3451" i="1"/>
  <c r="G3450" i="1"/>
  <c r="G3449" i="1"/>
  <c r="G3448" i="1"/>
  <c r="G3447" i="1"/>
  <c r="G3446" i="1"/>
  <c r="G3445" i="1"/>
  <c r="G3444" i="1"/>
  <c r="G3443" i="1"/>
  <c r="G3442" i="1"/>
  <c r="G3441" i="1"/>
  <c r="G3440" i="1"/>
  <c r="G3439" i="1"/>
  <c r="G3438" i="1"/>
  <c r="G3437" i="1"/>
  <c r="G3436" i="1"/>
  <c r="G3435" i="1"/>
  <c r="G3434" i="1"/>
  <c r="G3433" i="1"/>
  <c r="G3432" i="1"/>
  <c r="G3431" i="1"/>
  <c r="G3430" i="1"/>
  <c r="G3429" i="1"/>
  <c r="G3428" i="1"/>
  <c r="G3427" i="1"/>
  <c r="G3426" i="1"/>
  <c r="G3425" i="1"/>
  <c r="G3424" i="1"/>
  <c r="G3423" i="1"/>
  <c r="G3422" i="1"/>
  <c r="G3421" i="1"/>
  <c r="G3420" i="1"/>
  <c r="G3419" i="1"/>
  <c r="G3418" i="1"/>
  <c r="G3417" i="1"/>
  <c r="G3416" i="1"/>
  <c r="G3415" i="1"/>
  <c r="G3414" i="1"/>
  <c r="G3413" i="1"/>
  <c r="G3412" i="1"/>
  <c r="G3411" i="1"/>
  <c r="G3410" i="1"/>
  <c r="G3409" i="1"/>
  <c r="G3408" i="1"/>
  <c r="G3407" i="1"/>
  <c r="G3406" i="1"/>
  <c r="G3405" i="1"/>
  <c r="G3404" i="1"/>
  <c r="G3403" i="1"/>
  <c r="G3402" i="1"/>
  <c r="G3401" i="1"/>
  <c r="G3400" i="1"/>
  <c r="G3399" i="1"/>
  <c r="G3398" i="1"/>
  <c r="G3397" i="1"/>
  <c r="G3396" i="1"/>
  <c r="G3395" i="1"/>
  <c r="G3394" i="1"/>
  <c r="G3393" i="1"/>
  <c r="G3392" i="1"/>
  <c r="G3391" i="1"/>
  <c r="G3390" i="1"/>
  <c r="G3389" i="1"/>
  <c r="G3388" i="1"/>
  <c r="G3387" i="1"/>
  <c r="G3386" i="1"/>
  <c r="G3385" i="1"/>
  <c r="G3384" i="1"/>
  <c r="G3383" i="1"/>
  <c r="G3382" i="1"/>
  <c r="G3381" i="1"/>
  <c r="G3380" i="1"/>
  <c r="G3379" i="1"/>
  <c r="G3378" i="1"/>
  <c r="G3377" i="1"/>
  <c r="G3376" i="1"/>
  <c r="G3375" i="1"/>
  <c r="G3374" i="1"/>
  <c r="G3373" i="1"/>
  <c r="G3372" i="1"/>
  <c r="G3371" i="1"/>
  <c r="G3370" i="1"/>
  <c r="G3369" i="1"/>
  <c r="G3368" i="1"/>
  <c r="G3367" i="1"/>
  <c r="G3366" i="1"/>
  <c r="G3365" i="1"/>
  <c r="G3364" i="1"/>
  <c r="G3363" i="1"/>
  <c r="G3362" i="1"/>
  <c r="G3361" i="1"/>
  <c r="G3360" i="1"/>
  <c r="G3359" i="1"/>
  <c r="G3358" i="1"/>
  <c r="G3357" i="1"/>
  <c r="G3356" i="1"/>
  <c r="G3355" i="1"/>
  <c r="G3354" i="1"/>
  <c r="G3353" i="1"/>
  <c r="G3352" i="1"/>
  <c r="G3351" i="1"/>
  <c r="G3350" i="1"/>
  <c r="G3349" i="1"/>
  <c r="G3348" i="1"/>
  <c r="G3347" i="1"/>
  <c r="G3346" i="1"/>
  <c r="G3345" i="1"/>
  <c r="G3344" i="1"/>
  <c r="G3343" i="1"/>
  <c r="G3342" i="1"/>
  <c r="G3341" i="1"/>
  <c r="G3340" i="1"/>
  <c r="G3339" i="1"/>
  <c r="G3338" i="1"/>
  <c r="G3337" i="1"/>
  <c r="G3336" i="1"/>
  <c r="G3335" i="1"/>
  <c r="G3334" i="1"/>
  <c r="G3333" i="1"/>
  <c r="G3332" i="1"/>
  <c r="G3331" i="1"/>
  <c r="G3330" i="1"/>
  <c r="G3329" i="1"/>
  <c r="G3328" i="1"/>
  <c r="G3327" i="1"/>
  <c r="G3326" i="1"/>
  <c r="G3325" i="1"/>
  <c r="G3324" i="1"/>
  <c r="G3323" i="1"/>
  <c r="G3322" i="1"/>
  <c r="G3321" i="1"/>
  <c r="G3320" i="1"/>
  <c r="G3319" i="1"/>
  <c r="G3318" i="1"/>
  <c r="G3317" i="1"/>
  <c r="G3316" i="1"/>
  <c r="G3315" i="1"/>
  <c r="G3314" i="1"/>
  <c r="G3313" i="1"/>
  <c r="G3312" i="1"/>
  <c r="G3311" i="1"/>
  <c r="G3310" i="1"/>
  <c r="G3309" i="1"/>
  <c r="G3308" i="1"/>
  <c r="G3307" i="1"/>
  <c r="G3306" i="1"/>
  <c r="G3305" i="1"/>
  <c r="G3304" i="1"/>
  <c r="G3303" i="1"/>
  <c r="G3302" i="1"/>
  <c r="G3301" i="1"/>
  <c r="G3300" i="1"/>
  <c r="G3299" i="1"/>
  <c r="G3298" i="1"/>
  <c r="G3297" i="1"/>
  <c r="G3296" i="1"/>
  <c r="G3295" i="1"/>
  <c r="G3294" i="1"/>
  <c r="G3293" i="1"/>
  <c r="G3292" i="1"/>
  <c r="G3291" i="1"/>
  <c r="G3290" i="1"/>
  <c r="G3289" i="1"/>
  <c r="G3288" i="1"/>
  <c r="G3287" i="1"/>
  <c r="G3286" i="1"/>
  <c r="G3285" i="1"/>
  <c r="G3284" i="1"/>
  <c r="G3283" i="1"/>
  <c r="G3282" i="1"/>
  <c r="G3281" i="1"/>
  <c r="G3280" i="1"/>
  <c r="G3279" i="1"/>
  <c r="G3278" i="1"/>
  <c r="G3277" i="1"/>
  <c r="G3276" i="1"/>
  <c r="G3275" i="1"/>
  <c r="G3274" i="1"/>
  <c r="G3273" i="1"/>
  <c r="G3272" i="1"/>
  <c r="G3271" i="1"/>
  <c r="G3270" i="1"/>
  <c r="G3269" i="1"/>
  <c r="G3268" i="1"/>
  <c r="G3267" i="1"/>
  <c r="G3266" i="1"/>
  <c r="G3265" i="1"/>
  <c r="G3264" i="1"/>
  <c r="G3263" i="1"/>
  <c r="G3262" i="1"/>
  <c r="G3261" i="1"/>
  <c r="G3260" i="1"/>
  <c r="G3259" i="1"/>
  <c r="G3258" i="1"/>
  <c r="G3257" i="1"/>
  <c r="G3256" i="1"/>
  <c r="G3255" i="1"/>
  <c r="G3254" i="1"/>
  <c r="G3253" i="1"/>
  <c r="G3252" i="1"/>
  <c r="G3251" i="1"/>
  <c r="G3250" i="1"/>
  <c r="G3249" i="1"/>
  <c r="G3248" i="1"/>
  <c r="G3247" i="1"/>
  <c r="G3246" i="1"/>
  <c r="G3245" i="1"/>
  <c r="G3244" i="1"/>
  <c r="G3243" i="1"/>
  <c r="G3242" i="1"/>
  <c r="G3241" i="1"/>
  <c r="G3240" i="1"/>
  <c r="G3239" i="1"/>
  <c r="G3238" i="1"/>
  <c r="G3237" i="1"/>
  <c r="G3236" i="1"/>
  <c r="G3235" i="1"/>
  <c r="G3234" i="1"/>
  <c r="G3233" i="1"/>
  <c r="G3232" i="1"/>
  <c r="G3231" i="1"/>
  <c r="G3230" i="1"/>
  <c r="G3229" i="1"/>
  <c r="G3228" i="1"/>
  <c r="G3227" i="1"/>
  <c r="G3226" i="1"/>
  <c r="G3225" i="1"/>
  <c r="G3224" i="1"/>
  <c r="G3223" i="1"/>
  <c r="G3222" i="1"/>
  <c r="G3221" i="1"/>
  <c r="G3220" i="1"/>
  <c r="G3219" i="1"/>
  <c r="G3218" i="1"/>
  <c r="G3217" i="1"/>
  <c r="G3216" i="1"/>
  <c r="G3215" i="1"/>
  <c r="G3214" i="1"/>
  <c r="G3213" i="1"/>
  <c r="G3212" i="1"/>
  <c r="G3211" i="1"/>
  <c r="G3210" i="1"/>
  <c r="G3209" i="1"/>
  <c r="G3208" i="1"/>
  <c r="G3207" i="1"/>
  <c r="G3206" i="1"/>
  <c r="G3205" i="1"/>
  <c r="G3204" i="1"/>
  <c r="G3203" i="1"/>
  <c r="G3202" i="1"/>
  <c r="G3201" i="1"/>
  <c r="G3200" i="1"/>
  <c r="G3199" i="1"/>
  <c r="G3198" i="1"/>
  <c r="G3197" i="1"/>
  <c r="G3196" i="1"/>
  <c r="G3195" i="1"/>
  <c r="G3194" i="1"/>
  <c r="G3193" i="1"/>
  <c r="G3192" i="1"/>
  <c r="G3191" i="1"/>
  <c r="G3190" i="1"/>
  <c r="G3189" i="1"/>
  <c r="G3188" i="1"/>
  <c r="G3187" i="1"/>
  <c r="G3186" i="1"/>
  <c r="G3185" i="1"/>
  <c r="G3184" i="1"/>
  <c r="G3183" i="1"/>
  <c r="G3182" i="1"/>
  <c r="G3181" i="1"/>
  <c r="G3180" i="1"/>
  <c r="G3179" i="1"/>
  <c r="G3178" i="1"/>
  <c r="G3177" i="1"/>
  <c r="G3176" i="1"/>
  <c r="G3175" i="1"/>
  <c r="G3174" i="1"/>
  <c r="G3173" i="1"/>
  <c r="G3172" i="1"/>
  <c r="G3171" i="1"/>
  <c r="G3170" i="1"/>
  <c r="G3169" i="1"/>
  <c r="G3168" i="1"/>
  <c r="G3167" i="1"/>
  <c r="G3166" i="1"/>
  <c r="G3165" i="1"/>
  <c r="G3164" i="1"/>
  <c r="G3163" i="1"/>
  <c r="G3162" i="1"/>
  <c r="G3161" i="1"/>
  <c r="G3160" i="1"/>
  <c r="G3159" i="1"/>
  <c r="G3158" i="1"/>
  <c r="G3157" i="1"/>
  <c r="G3156" i="1"/>
  <c r="G3155" i="1"/>
  <c r="G3154" i="1"/>
  <c r="G3153" i="1"/>
  <c r="G3152" i="1"/>
  <c r="G3151" i="1"/>
  <c r="G3150" i="1"/>
  <c r="G3149" i="1"/>
  <c r="G3148" i="1"/>
  <c r="G3147" i="1"/>
  <c r="G3146" i="1"/>
  <c r="G3145" i="1"/>
  <c r="G3144" i="1"/>
  <c r="G3143" i="1"/>
  <c r="G3142" i="1"/>
  <c r="G3141" i="1"/>
  <c r="G3140" i="1"/>
  <c r="G3139" i="1"/>
  <c r="G3138" i="1"/>
  <c r="G3137" i="1"/>
  <c r="G3136" i="1"/>
  <c r="G3135" i="1"/>
  <c r="G3134" i="1"/>
  <c r="G3133" i="1"/>
  <c r="G3132" i="1"/>
  <c r="G3131" i="1"/>
  <c r="G3130" i="1"/>
  <c r="G3129" i="1"/>
  <c r="G3128" i="1"/>
  <c r="G3127" i="1"/>
  <c r="G3126" i="1"/>
  <c r="G3125" i="1"/>
  <c r="G3124" i="1"/>
  <c r="G3123" i="1"/>
  <c r="G3122" i="1"/>
  <c r="G3121" i="1"/>
  <c r="G3120" i="1"/>
  <c r="G3119" i="1"/>
  <c r="G3118" i="1"/>
  <c r="G3117" i="1"/>
  <c r="G3116" i="1"/>
  <c r="G3115" i="1"/>
  <c r="G3114" i="1"/>
  <c r="G3113" i="1"/>
  <c r="G3112" i="1"/>
  <c r="G3111" i="1"/>
  <c r="G3110" i="1"/>
  <c r="G3109" i="1"/>
  <c r="G3108" i="1"/>
  <c r="G3107" i="1"/>
  <c r="G3106" i="1"/>
  <c r="G3105" i="1"/>
  <c r="G3104" i="1"/>
  <c r="G3103" i="1"/>
  <c r="G3102" i="1"/>
  <c r="G3101" i="1"/>
  <c r="G3100" i="1"/>
  <c r="G3099" i="1"/>
  <c r="G3098" i="1"/>
  <c r="G3097" i="1"/>
  <c r="G3096" i="1"/>
  <c r="G3095" i="1"/>
  <c r="G3094" i="1"/>
  <c r="G3093" i="1"/>
  <c r="G3092" i="1"/>
  <c r="G3091" i="1"/>
  <c r="G3090" i="1"/>
  <c r="G3089" i="1"/>
  <c r="G3088" i="1"/>
  <c r="G3087" i="1"/>
  <c r="G3086" i="1"/>
  <c r="G3085" i="1"/>
  <c r="G3084" i="1"/>
  <c r="G3083" i="1"/>
  <c r="G3082" i="1"/>
  <c r="G3081" i="1"/>
  <c r="G3080" i="1"/>
  <c r="G3079" i="1"/>
  <c r="G3078" i="1"/>
  <c r="G3077" i="1"/>
  <c r="G3076" i="1"/>
  <c r="G3075" i="1"/>
  <c r="G3074" i="1"/>
  <c r="G3073" i="1"/>
  <c r="G3072" i="1"/>
  <c r="G3071" i="1"/>
  <c r="G3070" i="1"/>
  <c r="G3069" i="1"/>
  <c r="G3068" i="1"/>
  <c r="G3067" i="1"/>
  <c r="G3066" i="1"/>
  <c r="G3065" i="1"/>
  <c r="G3064" i="1"/>
  <c r="G3063" i="1"/>
  <c r="G3062" i="1"/>
  <c r="G3061" i="1"/>
  <c r="G3060" i="1"/>
  <c r="G3059" i="1"/>
  <c r="G3058" i="1"/>
  <c r="G3057" i="1"/>
  <c r="G3056" i="1"/>
  <c r="G3055" i="1"/>
  <c r="G3054" i="1"/>
  <c r="G3053" i="1"/>
  <c r="G3052" i="1"/>
  <c r="G3051" i="1"/>
  <c r="G3050" i="1"/>
  <c r="G3049" i="1"/>
  <c r="G3048" i="1"/>
  <c r="G3047" i="1"/>
  <c r="G3046" i="1"/>
  <c r="G3045" i="1"/>
  <c r="G3044" i="1"/>
  <c r="G3043" i="1"/>
  <c r="G3042" i="1"/>
  <c r="G3041" i="1"/>
  <c r="G3040" i="1"/>
  <c r="G3039" i="1"/>
  <c r="G3038" i="1"/>
  <c r="G3037" i="1"/>
  <c r="G3036" i="1"/>
  <c r="G3035" i="1"/>
  <c r="G3034" i="1"/>
  <c r="G3033" i="1"/>
  <c r="G3032" i="1"/>
  <c r="G3031" i="1"/>
  <c r="G3030" i="1"/>
  <c r="G3029" i="1"/>
  <c r="G3028" i="1"/>
  <c r="G3027" i="1"/>
  <c r="G3026" i="1"/>
  <c r="G3025" i="1"/>
  <c r="G3024" i="1"/>
  <c r="G3023" i="1"/>
  <c r="G3022" i="1"/>
  <c r="G3021" i="1"/>
  <c r="G3020" i="1"/>
  <c r="G3019" i="1"/>
  <c r="G3018" i="1"/>
  <c r="G3017" i="1"/>
  <c r="G3016" i="1"/>
  <c r="G3015" i="1"/>
  <c r="G3014" i="1"/>
  <c r="G3013" i="1"/>
  <c r="G3012" i="1"/>
  <c r="G3011" i="1"/>
  <c r="G3010" i="1"/>
  <c r="G3009" i="1"/>
  <c r="G3008" i="1"/>
  <c r="G3007" i="1"/>
  <c r="G3006" i="1"/>
  <c r="G3005" i="1"/>
  <c r="G3004" i="1"/>
  <c r="G3003" i="1"/>
  <c r="G3002" i="1"/>
  <c r="G3001" i="1"/>
  <c r="G3000" i="1"/>
  <c r="G2999" i="1"/>
  <c r="G2998" i="1"/>
  <c r="G2997" i="1"/>
  <c r="G2996" i="1"/>
  <c r="G2995" i="1"/>
  <c r="G2994" i="1"/>
  <c r="G2993" i="1"/>
  <c r="G2992" i="1"/>
  <c r="G2991" i="1"/>
  <c r="G2990" i="1"/>
  <c r="G2989" i="1"/>
  <c r="G2988" i="1"/>
  <c r="G2987" i="1"/>
  <c r="G2986" i="1"/>
  <c r="G2985" i="1"/>
  <c r="G2984" i="1"/>
  <c r="G2983" i="1"/>
  <c r="G2982" i="1"/>
  <c r="G2981" i="1"/>
  <c r="G2980" i="1"/>
  <c r="G2979" i="1"/>
  <c r="G2978" i="1"/>
  <c r="G2977" i="1"/>
  <c r="G2976" i="1"/>
  <c r="G2975" i="1"/>
  <c r="G2974" i="1"/>
  <c r="G2973" i="1"/>
  <c r="G2972" i="1"/>
  <c r="G2971" i="1"/>
  <c r="G2970" i="1"/>
  <c r="G2969" i="1"/>
  <c r="G2968" i="1"/>
  <c r="G2967" i="1"/>
  <c r="G2966" i="1"/>
  <c r="G2965" i="1"/>
  <c r="G2964" i="1"/>
  <c r="G2963" i="1"/>
  <c r="G2962" i="1"/>
  <c r="G2961" i="1"/>
  <c r="G2960" i="1"/>
  <c r="G2959" i="1"/>
  <c r="G2958" i="1"/>
  <c r="G2957" i="1"/>
  <c r="G2956" i="1"/>
  <c r="G2955" i="1"/>
  <c r="G2954" i="1"/>
  <c r="G2953" i="1"/>
  <c r="G2952" i="1"/>
  <c r="G2951" i="1"/>
  <c r="G2950" i="1"/>
  <c r="G2949" i="1"/>
  <c r="G2948" i="1"/>
  <c r="G2947" i="1"/>
  <c r="G2946" i="1"/>
  <c r="G2945" i="1"/>
  <c r="G2944" i="1"/>
  <c r="G2943" i="1"/>
  <c r="G2942" i="1"/>
  <c r="G2941" i="1"/>
  <c r="G2940" i="1"/>
  <c r="G2939" i="1"/>
  <c r="G2938" i="1"/>
  <c r="G2937" i="1"/>
  <c r="G2936" i="1"/>
  <c r="G2935" i="1"/>
  <c r="G2934" i="1"/>
  <c r="G2933" i="1"/>
  <c r="G2932" i="1"/>
  <c r="G2931" i="1"/>
  <c r="G2930" i="1"/>
  <c r="G2929" i="1"/>
  <c r="G2928" i="1"/>
  <c r="G2927" i="1"/>
  <c r="G2926" i="1"/>
  <c r="G2925" i="1"/>
  <c r="G2924" i="1"/>
  <c r="G2923" i="1"/>
  <c r="G2922" i="1"/>
  <c r="G2921" i="1"/>
  <c r="G2920" i="1"/>
  <c r="G2919" i="1"/>
  <c r="G2918" i="1"/>
  <c r="G2917" i="1"/>
  <c r="G2916" i="1"/>
  <c r="G2915" i="1"/>
  <c r="G2914" i="1"/>
  <c r="G2913" i="1"/>
  <c r="G2912" i="1"/>
  <c r="G2911" i="1"/>
  <c r="G2910" i="1"/>
  <c r="G2909" i="1"/>
  <c r="G2908" i="1"/>
  <c r="G2907" i="1"/>
  <c r="G2906" i="1"/>
  <c r="G2905" i="1"/>
  <c r="G2904" i="1"/>
  <c r="G2903" i="1"/>
  <c r="G2902" i="1"/>
  <c r="G2901" i="1"/>
  <c r="G2900" i="1"/>
  <c r="G2899" i="1"/>
  <c r="G2898" i="1"/>
  <c r="G2897" i="1"/>
  <c r="G2896" i="1"/>
  <c r="G2895" i="1"/>
  <c r="G2894" i="1"/>
  <c r="G2893" i="1"/>
  <c r="G2892" i="1"/>
  <c r="G2891" i="1"/>
  <c r="G2890" i="1"/>
  <c r="G2889" i="1"/>
  <c r="G2888" i="1"/>
  <c r="G2887" i="1"/>
  <c r="G2886" i="1"/>
  <c r="G2885" i="1"/>
  <c r="G2884" i="1"/>
  <c r="G2883" i="1"/>
  <c r="G2882" i="1"/>
  <c r="G2881" i="1"/>
  <c r="G2880" i="1"/>
  <c r="G2879" i="1"/>
  <c r="G2878" i="1"/>
  <c r="G2877" i="1"/>
  <c r="G2876" i="1"/>
  <c r="G2875" i="1"/>
  <c r="G2874" i="1"/>
  <c r="G2873" i="1"/>
  <c r="G2872" i="1"/>
  <c r="G2871" i="1"/>
  <c r="G2870" i="1"/>
  <c r="G2869" i="1"/>
  <c r="G2868" i="1"/>
  <c r="G2867" i="1"/>
  <c r="G2866" i="1"/>
  <c r="G2865" i="1"/>
  <c r="G2864" i="1"/>
  <c r="G2863" i="1"/>
  <c r="G2862" i="1"/>
  <c r="G2861" i="1"/>
  <c r="G2860" i="1"/>
  <c r="G2859" i="1"/>
  <c r="G2858" i="1"/>
  <c r="G2857" i="1"/>
  <c r="G2856" i="1"/>
  <c r="G2855" i="1"/>
  <c r="G2854" i="1"/>
  <c r="G2853" i="1"/>
  <c r="G2852" i="1"/>
  <c r="G2851" i="1"/>
  <c r="G2850" i="1"/>
  <c r="G2849" i="1"/>
  <c r="G2848" i="1"/>
  <c r="G2847" i="1"/>
  <c r="G2846" i="1"/>
  <c r="G2845" i="1"/>
  <c r="G2844" i="1"/>
  <c r="G2843" i="1"/>
  <c r="G2842" i="1"/>
  <c r="G2841" i="1"/>
  <c r="G2840" i="1"/>
  <c r="G2839" i="1"/>
  <c r="G2838" i="1"/>
  <c r="G2837" i="1"/>
  <c r="G2836" i="1"/>
  <c r="G2835" i="1"/>
  <c r="G2834" i="1"/>
  <c r="G2833" i="1"/>
  <c r="G2832" i="1"/>
  <c r="G2831" i="1"/>
  <c r="G2830" i="1"/>
  <c r="G2829" i="1"/>
  <c r="G2828" i="1"/>
  <c r="G2827" i="1"/>
  <c r="G2826" i="1"/>
  <c r="G2825" i="1"/>
  <c r="G2824" i="1"/>
  <c r="G2823" i="1"/>
  <c r="G2822" i="1"/>
  <c r="G2821" i="1"/>
  <c r="G2820" i="1"/>
  <c r="G2819" i="1"/>
  <c r="G2818" i="1"/>
  <c r="G2817" i="1"/>
  <c r="G2816" i="1"/>
  <c r="G2815" i="1"/>
  <c r="G2814" i="1"/>
  <c r="G2813" i="1"/>
  <c r="G2812" i="1"/>
  <c r="G2811" i="1"/>
  <c r="G2810" i="1"/>
  <c r="G2809" i="1"/>
  <c r="G2808" i="1"/>
  <c r="G2807" i="1"/>
  <c r="G2806" i="1"/>
  <c r="G2805" i="1"/>
  <c r="G2804" i="1"/>
  <c r="G2803" i="1"/>
  <c r="G2802" i="1"/>
  <c r="G2801" i="1"/>
  <c r="G2800" i="1"/>
  <c r="G2799" i="1"/>
  <c r="G2798" i="1"/>
  <c r="G2797" i="1"/>
  <c r="G2796" i="1"/>
  <c r="G2795" i="1"/>
  <c r="G2794" i="1"/>
  <c r="G2793" i="1"/>
  <c r="G2792" i="1"/>
  <c r="G2791" i="1"/>
  <c r="G2790" i="1"/>
  <c r="G2789" i="1"/>
  <c r="G2788" i="1"/>
  <c r="G2787" i="1"/>
  <c r="G2786" i="1"/>
  <c r="G2785" i="1"/>
  <c r="G2784" i="1"/>
  <c r="G2783" i="1"/>
  <c r="G2782" i="1"/>
  <c r="G2781" i="1"/>
  <c r="G2780" i="1"/>
  <c r="G2779" i="1"/>
  <c r="G2778" i="1"/>
  <c r="G2777" i="1"/>
  <c r="G2776" i="1"/>
  <c r="G2775" i="1"/>
  <c r="G2774" i="1"/>
  <c r="G2773" i="1"/>
  <c r="G2772" i="1"/>
  <c r="G2771" i="1"/>
  <c r="G2770" i="1"/>
  <c r="G2769" i="1"/>
  <c r="G2768" i="1"/>
  <c r="G2767" i="1"/>
  <c r="G2766" i="1"/>
  <c r="G2765" i="1"/>
  <c r="G2764" i="1"/>
  <c r="G2763" i="1"/>
  <c r="G2762" i="1"/>
  <c r="G2761" i="1"/>
  <c r="G2760" i="1"/>
  <c r="G2759" i="1"/>
  <c r="G2758" i="1"/>
  <c r="G2757" i="1"/>
  <c r="G2756" i="1"/>
  <c r="G2755" i="1"/>
  <c r="G2754" i="1"/>
  <c r="G2753" i="1"/>
  <c r="G2752" i="1"/>
  <c r="G2751" i="1"/>
  <c r="G2750" i="1"/>
  <c r="G2749" i="1"/>
  <c r="G2748" i="1"/>
  <c r="G2747" i="1"/>
  <c r="G2746" i="1"/>
  <c r="G2745" i="1"/>
  <c r="G2744" i="1"/>
  <c r="G2743" i="1"/>
  <c r="G2742" i="1"/>
  <c r="G2741" i="1"/>
  <c r="G2740" i="1"/>
  <c r="G2739" i="1"/>
  <c r="G2738" i="1"/>
  <c r="G2737" i="1"/>
  <c r="G2736" i="1"/>
  <c r="G2735" i="1"/>
  <c r="G2734" i="1"/>
  <c r="G2733" i="1"/>
  <c r="G2732" i="1"/>
  <c r="G2731" i="1"/>
  <c r="G2730" i="1"/>
  <c r="G2729" i="1"/>
  <c r="G2728" i="1"/>
  <c r="G2727" i="1"/>
  <c r="G2726" i="1"/>
  <c r="G2725" i="1"/>
  <c r="G2724" i="1"/>
  <c r="G2723" i="1"/>
  <c r="G2722" i="1"/>
  <c r="G2721" i="1"/>
  <c r="G2720" i="1"/>
  <c r="G2719" i="1"/>
  <c r="G2718" i="1"/>
  <c r="G2717" i="1"/>
  <c r="G2716" i="1"/>
  <c r="G2715" i="1"/>
  <c r="G2714" i="1"/>
  <c r="G2713" i="1"/>
  <c r="G2712" i="1"/>
  <c r="G2711" i="1"/>
  <c r="G2710" i="1"/>
  <c r="G2709" i="1"/>
  <c r="G2708" i="1"/>
  <c r="G2707" i="1"/>
  <c r="G2706" i="1"/>
  <c r="G2705" i="1"/>
  <c r="G2704" i="1"/>
  <c r="G2703" i="1"/>
  <c r="G2702" i="1"/>
  <c r="G2701" i="1"/>
  <c r="G2700" i="1"/>
  <c r="G2699" i="1"/>
  <c r="G2698" i="1"/>
  <c r="G2697" i="1"/>
  <c r="G2696" i="1"/>
  <c r="G2695" i="1"/>
  <c r="G2694" i="1"/>
  <c r="G2693" i="1"/>
  <c r="G2692" i="1"/>
  <c r="G2691" i="1"/>
  <c r="G2690" i="1"/>
  <c r="G2689" i="1"/>
  <c r="G2688" i="1"/>
  <c r="G2687" i="1"/>
  <c r="G2686" i="1"/>
  <c r="G2685" i="1"/>
  <c r="G2684" i="1"/>
  <c r="G2683" i="1"/>
  <c r="G2682" i="1"/>
  <c r="G2681" i="1"/>
  <c r="G2680" i="1"/>
  <c r="G2679" i="1"/>
  <c r="G2678" i="1"/>
  <c r="G2677" i="1"/>
  <c r="G2676" i="1"/>
  <c r="G2675" i="1"/>
  <c r="G2674" i="1"/>
  <c r="G2673" i="1"/>
  <c r="G2672" i="1"/>
  <c r="G2671" i="1"/>
  <c r="G2669" i="1"/>
  <c r="G2668" i="1"/>
  <c r="G2667" i="1"/>
  <c r="G2666" i="1"/>
  <c r="G2665" i="1"/>
  <c r="G2664" i="1"/>
  <c r="G2663" i="1"/>
  <c r="G2662" i="1"/>
  <c r="G2661" i="1"/>
  <c r="G2660" i="1"/>
  <c r="G2659" i="1"/>
  <c r="G2658" i="1"/>
  <c r="G2657" i="1"/>
  <c r="G2656" i="1"/>
  <c r="G2655" i="1"/>
  <c r="G2654" i="1"/>
  <c r="G2653" i="1"/>
  <c r="G2652" i="1"/>
  <c r="G2651" i="1"/>
  <c r="G2650" i="1"/>
  <c r="G2649" i="1"/>
  <c r="G2648" i="1"/>
  <c r="G2647" i="1"/>
  <c r="G2646" i="1"/>
  <c r="G2645" i="1"/>
  <c r="G2644" i="1"/>
  <c r="G2643" i="1"/>
  <c r="G2642" i="1"/>
  <c r="G2641" i="1"/>
  <c r="G2640" i="1"/>
  <c r="G2639" i="1"/>
  <c r="G2638" i="1"/>
  <c r="G2637" i="1"/>
  <c r="G2636" i="1"/>
  <c r="G2635" i="1"/>
  <c r="G2634" i="1"/>
  <c r="G2633" i="1"/>
  <c r="G2632" i="1"/>
  <c r="G2631" i="1"/>
  <c r="G2630" i="1"/>
  <c r="G2629" i="1"/>
  <c r="G2628" i="1"/>
  <c r="G2627" i="1"/>
  <c r="G2626" i="1"/>
  <c r="G2625" i="1"/>
  <c r="G2624" i="1"/>
  <c r="G2623" i="1"/>
  <c r="G2622" i="1"/>
  <c r="G2621" i="1"/>
  <c r="G2620" i="1"/>
  <c r="G2619" i="1"/>
  <c r="G2618" i="1"/>
  <c r="G2617" i="1"/>
  <c r="G2616" i="1"/>
  <c r="G2615" i="1"/>
  <c r="G2614" i="1"/>
  <c r="G2613" i="1"/>
  <c r="G2612" i="1"/>
  <c r="G2611" i="1"/>
  <c r="G2610" i="1"/>
  <c r="G2609" i="1"/>
  <c r="G2608" i="1"/>
  <c r="G2607" i="1"/>
  <c r="G2606" i="1"/>
  <c r="G2605" i="1"/>
  <c r="G2604" i="1"/>
  <c r="G2603" i="1"/>
  <c r="G2602" i="1"/>
  <c r="G2601" i="1"/>
  <c r="G2600" i="1"/>
  <c r="G2599" i="1"/>
  <c r="G2598" i="1"/>
  <c r="G2597" i="1"/>
  <c r="G2596" i="1"/>
  <c r="G2595" i="1"/>
  <c r="G2594" i="1"/>
  <c r="G2593" i="1"/>
  <c r="G2592" i="1"/>
  <c r="G2591" i="1"/>
  <c r="G2590" i="1"/>
  <c r="G2589" i="1"/>
  <c r="G2588" i="1"/>
  <c r="G2587" i="1"/>
  <c r="G2586" i="1"/>
  <c r="G2585" i="1"/>
  <c r="G2584" i="1"/>
  <c r="G2583" i="1"/>
  <c r="G2582" i="1"/>
  <c r="G2581" i="1"/>
  <c r="G2580" i="1"/>
  <c r="G2579" i="1"/>
  <c r="G2578" i="1"/>
  <c r="G2577" i="1"/>
  <c r="G2576" i="1"/>
  <c r="G2575" i="1"/>
  <c r="G2574" i="1"/>
  <c r="G2573" i="1"/>
  <c r="G2572" i="1"/>
  <c r="G2571" i="1"/>
  <c r="G2570" i="1"/>
  <c r="G2569" i="1"/>
  <c r="G2568" i="1"/>
  <c r="G2567" i="1"/>
  <c r="G2566" i="1"/>
  <c r="G2565" i="1"/>
  <c r="G2564" i="1"/>
  <c r="G2563" i="1"/>
  <c r="G2562" i="1"/>
  <c r="G2561" i="1"/>
  <c r="G2560" i="1"/>
  <c r="G2559" i="1"/>
  <c r="G2558" i="1"/>
  <c r="G2557" i="1"/>
  <c r="G2556" i="1"/>
  <c r="G2555" i="1"/>
  <c r="G2554" i="1"/>
  <c r="G2553" i="1"/>
  <c r="G2552" i="1"/>
  <c r="G2551" i="1"/>
  <c r="G2550" i="1"/>
  <c r="G2549" i="1"/>
  <c r="G2548" i="1"/>
  <c r="G2547" i="1"/>
  <c r="G2546" i="1"/>
  <c r="G2545" i="1"/>
  <c r="G2544" i="1"/>
  <c r="G2543" i="1"/>
  <c r="G2542" i="1"/>
  <c r="G2541" i="1"/>
  <c r="G2540" i="1"/>
  <c r="G2539" i="1"/>
  <c r="G2538" i="1"/>
  <c r="G2537" i="1"/>
  <c r="G2536" i="1"/>
  <c r="G2535" i="1"/>
  <c r="G2534" i="1"/>
  <c r="G2533" i="1"/>
  <c r="G2532" i="1"/>
  <c r="G2531" i="1"/>
  <c r="G2529" i="1"/>
  <c r="G2528" i="1"/>
  <c r="G2527" i="1"/>
  <c r="G2526" i="1"/>
  <c r="G2525" i="1"/>
  <c r="G2524" i="1"/>
  <c r="G2523" i="1"/>
  <c r="G2522" i="1"/>
  <c r="G2521" i="1"/>
  <c r="G2520" i="1"/>
  <c r="G2519" i="1"/>
  <c r="G2518" i="1"/>
  <c r="G2517" i="1"/>
  <c r="G2516" i="1"/>
  <c r="G2515" i="1"/>
  <c r="G2514" i="1"/>
  <c r="G2513" i="1"/>
  <c r="G2512" i="1"/>
  <c r="G2511" i="1"/>
  <c r="G2510" i="1"/>
  <c r="G2509" i="1"/>
  <c r="G2508" i="1"/>
  <c r="G2507" i="1"/>
  <c r="G2506" i="1"/>
  <c r="G2505" i="1"/>
  <c r="G2504" i="1"/>
  <c r="G2503" i="1"/>
  <c r="G2502" i="1"/>
  <c r="G2501" i="1"/>
  <c r="G2500" i="1"/>
  <c r="G2499" i="1"/>
  <c r="G2498" i="1"/>
  <c r="G2497" i="1"/>
  <c r="G2496" i="1"/>
  <c r="G2495" i="1"/>
  <c r="G2494" i="1"/>
  <c r="G2493" i="1"/>
  <c r="G2492" i="1"/>
  <c r="G2491" i="1"/>
  <c r="G2490" i="1"/>
  <c r="G2489" i="1"/>
  <c r="G2488" i="1"/>
  <c r="G2487" i="1"/>
  <c r="G2486" i="1"/>
  <c r="G2485" i="1"/>
  <c r="G2484" i="1"/>
  <c r="G2483" i="1"/>
  <c r="G2482" i="1"/>
  <c r="G2481" i="1"/>
  <c r="G2480" i="1"/>
  <c r="G2479" i="1"/>
  <c r="G2478" i="1"/>
  <c r="G2477" i="1"/>
  <c r="G2476" i="1"/>
  <c r="G2475" i="1"/>
  <c r="G2474" i="1"/>
  <c r="G2473" i="1"/>
  <c r="G2472" i="1"/>
  <c r="G2471" i="1"/>
  <c r="G2470" i="1"/>
  <c r="G2469" i="1"/>
  <c r="G2468" i="1"/>
  <c r="G2467" i="1"/>
  <c r="G2466" i="1"/>
  <c r="G2465" i="1"/>
  <c r="G2464" i="1"/>
  <c r="G2463" i="1"/>
  <c r="G2462" i="1"/>
  <c r="G2461" i="1"/>
  <c r="G2460" i="1"/>
  <c r="G2459" i="1"/>
  <c r="G2458" i="1"/>
  <c r="G2457" i="1"/>
  <c r="G2456" i="1"/>
  <c r="G2455" i="1"/>
  <c r="G2454" i="1"/>
  <c r="G2453" i="1"/>
  <c r="G2452" i="1"/>
  <c r="G2451" i="1"/>
  <c r="G2450" i="1"/>
  <c r="G2449" i="1"/>
  <c r="G2448" i="1"/>
  <c r="G2447" i="1"/>
  <c r="G2446" i="1"/>
  <c r="G2445" i="1"/>
  <c r="G2444" i="1"/>
  <c r="G2442" i="1"/>
  <c r="G2441" i="1"/>
  <c r="G2440" i="1"/>
  <c r="G2439" i="1"/>
  <c r="G2438" i="1"/>
  <c r="G2437" i="1"/>
  <c r="G2436" i="1"/>
  <c r="G2435" i="1"/>
  <c r="G2434" i="1"/>
  <c r="G2433" i="1"/>
  <c r="G2432" i="1"/>
  <c r="G2431" i="1"/>
  <c r="G2430" i="1"/>
  <c r="G2429" i="1"/>
  <c r="G2428" i="1"/>
  <c r="G2427" i="1"/>
  <c r="G2426" i="1"/>
  <c r="G2425" i="1"/>
  <c r="G2424" i="1"/>
  <c r="G2423" i="1"/>
  <c r="G2422" i="1"/>
  <c r="G2421" i="1"/>
  <c r="G2420" i="1"/>
  <c r="G2419" i="1"/>
  <c r="G2418" i="1"/>
  <c r="G2417" i="1"/>
  <c r="G2416" i="1"/>
  <c r="G2415" i="1"/>
  <c r="G2414" i="1"/>
  <c r="G2413" i="1"/>
  <c r="G2411" i="1"/>
  <c r="G2410" i="1"/>
  <c r="G2409" i="1"/>
  <c r="G2408" i="1"/>
  <c r="G2407" i="1"/>
  <c r="G2406" i="1"/>
  <c r="G2405" i="1"/>
  <c r="G2404" i="1"/>
  <c r="G2403" i="1"/>
  <c r="G2402" i="1"/>
  <c r="G2401" i="1"/>
  <c r="G2400" i="1"/>
  <c r="G2399" i="1"/>
  <c r="G2398" i="1"/>
  <c r="G2397" i="1"/>
  <c r="G2396" i="1"/>
  <c r="G2395" i="1"/>
  <c r="G2394" i="1"/>
  <c r="G2393" i="1"/>
  <c r="G2392" i="1"/>
  <c r="G2391" i="1"/>
  <c r="G2390" i="1"/>
  <c r="G2389" i="1"/>
  <c r="G2388" i="1"/>
  <c r="G2387" i="1"/>
  <c r="G2386" i="1"/>
  <c r="G2385" i="1"/>
  <c r="G2384" i="1"/>
  <c r="G2383" i="1"/>
  <c r="G2382" i="1"/>
  <c r="G2381" i="1"/>
  <c r="G2380" i="1"/>
  <c r="G2379" i="1"/>
  <c r="G2378" i="1"/>
  <c r="G2377" i="1"/>
  <c r="G2376" i="1"/>
  <c r="G2375" i="1"/>
  <c r="G2374" i="1"/>
  <c r="G2373" i="1"/>
  <c r="G2372" i="1"/>
  <c r="G2371" i="1"/>
  <c r="G2370" i="1"/>
  <c r="G2369" i="1"/>
  <c r="G2368" i="1"/>
  <c r="G2367" i="1"/>
  <c r="G2366" i="1"/>
  <c r="G2365" i="1"/>
  <c r="G2364" i="1"/>
  <c r="G2363" i="1"/>
  <c r="G2362" i="1"/>
  <c r="G2361" i="1"/>
  <c r="G2360" i="1"/>
  <c r="G2359" i="1"/>
  <c r="G2358" i="1"/>
  <c r="G2357" i="1"/>
  <c r="G2356" i="1"/>
  <c r="G2355" i="1"/>
  <c r="G2354" i="1"/>
  <c r="G2353" i="1"/>
  <c r="G2352" i="1"/>
  <c r="G2351" i="1"/>
  <c r="G2350" i="1"/>
  <c r="G2349" i="1"/>
  <c r="G2348" i="1"/>
  <c r="G2347" i="1"/>
  <c r="G2346" i="1"/>
  <c r="G2345" i="1"/>
  <c r="G2344" i="1"/>
  <c r="G2343" i="1"/>
  <c r="G2342" i="1"/>
  <c r="G2341" i="1"/>
  <c r="G2340" i="1"/>
  <c r="G2339" i="1"/>
  <c r="G2338" i="1"/>
  <c r="G2337" i="1"/>
  <c r="G2336" i="1"/>
  <c r="G2335" i="1"/>
  <c r="G2334" i="1"/>
  <c r="G2333" i="1"/>
  <c r="G2332" i="1"/>
  <c r="G2331" i="1"/>
  <c r="G2330" i="1"/>
  <c r="G2329" i="1"/>
  <c r="G2328" i="1"/>
  <c r="G2327" i="1"/>
  <c r="G2326" i="1"/>
  <c r="G2325" i="1"/>
  <c r="G2323" i="1"/>
  <c r="G2322" i="1"/>
  <c r="G2321" i="1"/>
  <c r="G2320" i="1"/>
  <c r="G2319" i="1"/>
  <c r="G2318" i="1"/>
  <c r="G2317" i="1"/>
  <c r="G2316" i="1"/>
  <c r="G2315" i="1"/>
  <c r="G2314" i="1"/>
  <c r="G2313" i="1"/>
  <c r="G2312" i="1"/>
  <c r="G2311" i="1"/>
  <c r="G2310" i="1"/>
  <c r="G2309" i="1"/>
  <c r="G2308" i="1"/>
  <c r="G2307" i="1"/>
  <c r="G2306" i="1"/>
  <c r="G2305" i="1"/>
  <c r="G2304" i="1"/>
  <c r="G2303" i="1"/>
  <c r="G2302" i="1"/>
  <c r="G2301" i="1"/>
  <c r="G2300" i="1"/>
  <c r="G2299" i="1"/>
  <c r="G2298" i="1"/>
  <c r="G2297" i="1"/>
  <c r="G2296" i="1"/>
  <c r="G2295" i="1"/>
  <c r="G2294" i="1"/>
  <c r="G2293" i="1"/>
  <c r="G2292" i="1"/>
  <c r="G2291" i="1"/>
  <c r="G2290" i="1"/>
  <c r="G2289" i="1"/>
  <c r="G2288" i="1"/>
  <c r="G2287" i="1"/>
  <c r="G2286" i="1"/>
  <c r="G2285" i="1"/>
  <c r="G2284" i="1"/>
  <c r="G2283" i="1"/>
  <c r="G2282" i="1"/>
  <c r="G2281" i="1"/>
  <c r="G2280" i="1"/>
  <c r="G2279" i="1"/>
  <c r="G2278" i="1"/>
  <c r="G2277" i="1"/>
  <c r="G2276" i="1"/>
  <c r="G2275" i="1"/>
  <c r="G2274" i="1"/>
  <c r="G2273" i="1"/>
  <c r="G2272" i="1"/>
  <c r="G2271" i="1"/>
  <c r="G2270" i="1"/>
  <c r="G2269" i="1"/>
  <c r="G2268" i="1"/>
  <c r="G2267" i="1"/>
  <c r="G2266" i="1"/>
  <c r="G2265" i="1"/>
  <c r="G2264" i="1"/>
  <c r="G2263" i="1"/>
  <c r="G2262" i="1"/>
  <c r="G2261" i="1"/>
  <c r="G2260" i="1"/>
  <c r="G2259" i="1"/>
  <c r="G2258" i="1"/>
  <c r="G2257" i="1"/>
  <c r="G2256" i="1"/>
  <c r="G2255" i="1"/>
  <c r="G2254" i="1"/>
  <c r="G2253" i="1"/>
  <c r="G2252" i="1"/>
  <c r="G2251" i="1"/>
  <c r="G2250" i="1"/>
  <c r="G2249" i="1"/>
  <c r="G2248" i="1"/>
  <c r="G2247" i="1"/>
  <c r="G2246" i="1"/>
  <c r="G2245" i="1"/>
  <c r="G2244" i="1"/>
  <c r="G2243" i="1"/>
  <c r="G2242" i="1"/>
  <c r="G2241" i="1"/>
  <c r="G2240" i="1"/>
  <c r="G2239" i="1"/>
  <c r="G2238" i="1"/>
  <c r="G2237" i="1"/>
  <c r="G2236" i="1"/>
  <c r="G2235" i="1"/>
  <c r="G2234" i="1"/>
  <c r="G2233" i="1"/>
  <c r="G2232" i="1"/>
  <c r="G2231" i="1"/>
  <c r="G2230" i="1"/>
  <c r="G2229" i="1"/>
  <c r="G2228" i="1"/>
  <c r="G2227" i="1"/>
  <c r="G2226" i="1"/>
  <c r="G2225" i="1"/>
  <c r="G2224" i="1"/>
  <c r="G2223" i="1"/>
  <c r="G2222" i="1"/>
  <c r="G2221" i="1"/>
  <c r="G2220" i="1"/>
  <c r="G2219" i="1"/>
  <c r="G2218" i="1"/>
  <c r="G2217" i="1"/>
  <c r="G2216" i="1"/>
  <c r="G2215" i="1"/>
  <c r="G2214" i="1"/>
  <c r="G2213" i="1"/>
  <c r="G2212" i="1"/>
  <c r="G2211" i="1"/>
  <c r="G2210" i="1"/>
  <c r="G2209" i="1"/>
  <c r="G2208" i="1"/>
  <c r="G2207" i="1"/>
  <c r="G2206" i="1"/>
  <c r="G2205" i="1"/>
  <c r="G2204" i="1"/>
  <c r="G2203" i="1"/>
  <c r="G2202" i="1"/>
  <c r="G2201" i="1"/>
  <c r="G2200" i="1"/>
  <c r="G2199" i="1"/>
  <c r="G2198" i="1"/>
  <c r="G2197" i="1"/>
  <c r="G2196" i="1"/>
  <c r="G2195" i="1"/>
  <c r="G2194" i="1"/>
  <c r="G2193" i="1"/>
  <c r="G2192" i="1"/>
  <c r="G2191" i="1"/>
  <c r="G2190" i="1"/>
  <c r="G2189" i="1"/>
  <c r="G2188" i="1"/>
  <c r="G2187" i="1"/>
  <c r="G2186" i="1"/>
  <c r="G2185" i="1"/>
  <c r="G2184" i="1"/>
  <c r="G2183" i="1"/>
  <c r="G2182" i="1"/>
  <c r="G2181" i="1"/>
  <c r="G2180" i="1"/>
  <c r="G2179" i="1"/>
  <c r="G2178" i="1"/>
  <c r="G2177" i="1"/>
  <c r="G2176" i="1"/>
  <c r="G2175" i="1"/>
  <c r="G2174" i="1"/>
  <c r="G2173" i="1"/>
  <c r="G2172" i="1"/>
  <c r="G2171" i="1"/>
  <c r="G2170" i="1"/>
  <c r="G2169" i="1"/>
  <c r="G2168" i="1"/>
  <c r="G2167" i="1"/>
  <c r="G2166" i="1"/>
  <c r="G2165" i="1"/>
  <c r="G2164" i="1"/>
  <c r="G2163" i="1"/>
  <c r="G2162" i="1"/>
  <c r="G2161" i="1"/>
  <c r="G2160" i="1"/>
  <c r="G2159" i="1"/>
  <c r="G2158" i="1"/>
  <c r="G2157" i="1"/>
  <c r="G2156" i="1"/>
  <c r="G2155" i="1"/>
  <c r="G2154" i="1"/>
  <c r="G2153" i="1"/>
  <c r="G2152" i="1"/>
  <c r="G2151" i="1"/>
  <c r="G2150" i="1"/>
  <c r="G2149" i="1"/>
  <c r="G2148" i="1"/>
  <c r="G2147" i="1"/>
  <c r="G2146" i="1"/>
  <c r="G2145" i="1"/>
  <c r="G2144" i="1"/>
  <c r="G2143" i="1"/>
  <c r="G2142" i="1"/>
  <c r="G2141" i="1"/>
  <c r="G2140" i="1"/>
  <c r="G2139" i="1"/>
  <c r="G2138" i="1"/>
  <c r="G2137" i="1"/>
  <c r="G2136" i="1"/>
  <c r="G2135" i="1"/>
  <c r="G2134" i="1"/>
  <c r="G2133" i="1"/>
  <c r="G2132" i="1"/>
  <c r="G2131" i="1"/>
  <c r="G2130" i="1"/>
  <c r="G2129" i="1"/>
  <c r="G2128" i="1"/>
  <c r="G2127" i="1"/>
  <c r="G2126" i="1"/>
  <c r="G2125" i="1"/>
  <c r="G2124" i="1"/>
  <c r="G2123" i="1"/>
  <c r="G2122" i="1"/>
  <c r="G2121" i="1"/>
  <c r="G2120" i="1"/>
  <c r="G2119" i="1"/>
  <c r="G2118" i="1"/>
  <c r="G2117" i="1"/>
  <c r="G2116" i="1"/>
  <c r="G2115" i="1"/>
  <c r="G2114" i="1"/>
  <c r="G2113" i="1"/>
  <c r="G2112" i="1"/>
  <c r="G2111" i="1"/>
  <c r="G2110" i="1"/>
  <c r="G2109" i="1"/>
  <c r="G2108" i="1"/>
  <c r="G2107" i="1"/>
  <c r="G2106" i="1"/>
  <c r="G2105" i="1"/>
  <c r="G2104" i="1"/>
  <c r="G2103" i="1"/>
  <c r="G2102" i="1"/>
  <c r="G2101" i="1"/>
  <c r="G2100" i="1"/>
  <c r="G2099" i="1"/>
  <c r="G2098" i="1"/>
  <c r="G2097" i="1"/>
  <c r="G2096" i="1"/>
  <c r="G2095" i="1"/>
  <c r="G2094" i="1"/>
  <c r="G2093" i="1"/>
  <c r="G2092" i="1"/>
  <c r="G2091" i="1"/>
  <c r="G2090" i="1"/>
  <c r="G2089" i="1"/>
  <c r="G2088" i="1"/>
  <c r="G2087" i="1"/>
  <c r="G2086" i="1"/>
  <c r="G2085" i="1"/>
  <c r="G2084" i="1"/>
  <c r="G2083" i="1"/>
  <c r="G2082" i="1"/>
  <c r="G2081" i="1"/>
  <c r="G2080" i="1"/>
  <c r="G2079" i="1"/>
  <c r="G2078" i="1"/>
  <c r="G2077" i="1"/>
  <c r="G2076" i="1"/>
  <c r="G2075" i="1"/>
  <c r="G2074" i="1"/>
  <c r="G2073" i="1"/>
  <c r="G2072" i="1"/>
  <c r="G2071" i="1"/>
  <c r="G2070" i="1"/>
  <c r="G2069" i="1"/>
  <c r="G2068" i="1"/>
  <c r="G2066" i="1"/>
  <c r="G2065" i="1"/>
  <c r="G2064" i="1"/>
  <c r="G2063" i="1"/>
  <c r="G2062" i="1"/>
  <c r="G2061" i="1"/>
  <c r="G2060" i="1"/>
  <c r="G2059" i="1"/>
  <c r="G2058" i="1"/>
  <c r="G2057" i="1"/>
  <c r="G2056" i="1"/>
  <c r="G2055" i="1"/>
  <c r="G2054" i="1"/>
  <c r="G2053" i="1"/>
  <c r="G2052" i="1"/>
  <c r="G2051" i="1"/>
  <c r="G2050" i="1"/>
  <c r="G2049" i="1"/>
  <c r="G2048" i="1"/>
  <c r="G2047" i="1"/>
  <c r="G2046" i="1"/>
  <c r="G2045" i="1"/>
  <c r="G2044" i="1"/>
  <c r="G2043" i="1"/>
  <c r="G2042" i="1"/>
  <c r="G2041" i="1"/>
  <c r="G2040" i="1"/>
  <c r="G2039" i="1"/>
  <c r="G2038" i="1"/>
  <c r="G2037" i="1"/>
  <c r="G2036" i="1"/>
  <c r="G2035" i="1"/>
  <c r="G2034" i="1"/>
  <c r="G2033" i="1"/>
  <c r="G2032" i="1"/>
  <c r="G2031" i="1"/>
  <c r="G2030" i="1"/>
  <c r="G2029" i="1"/>
  <c r="G2028" i="1"/>
  <c r="G2027" i="1"/>
  <c r="G2026" i="1"/>
  <c r="G2025" i="1"/>
  <c r="G2024" i="1"/>
  <c r="G2023" i="1"/>
  <c r="G2022" i="1"/>
  <c r="G2021" i="1"/>
  <c r="G2020" i="1"/>
  <c r="G2019" i="1"/>
  <c r="G2018" i="1"/>
  <c r="G2017" i="1"/>
  <c r="G2016" i="1"/>
  <c r="G2015" i="1"/>
  <c r="G2014" i="1"/>
  <c r="G2013" i="1"/>
  <c r="G2012" i="1"/>
  <c r="G2011" i="1"/>
  <c r="G2010" i="1"/>
  <c r="G2009" i="1"/>
  <c r="G2008" i="1"/>
  <c r="G2007" i="1"/>
  <c r="G2006" i="1"/>
  <c r="G2005" i="1"/>
  <c r="G2004" i="1"/>
  <c r="G2003" i="1"/>
  <c r="G2002" i="1"/>
  <c r="G2001" i="1"/>
  <c r="G2000" i="1"/>
  <c r="G1999" i="1"/>
  <c r="G1998" i="1"/>
  <c r="G1997" i="1"/>
  <c r="G1996" i="1"/>
  <c r="G1995" i="1"/>
  <c r="G1994" i="1"/>
  <c r="G1993" i="1"/>
  <c r="G1992" i="1"/>
  <c r="G1991" i="1"/>
  <c r="G1990" i="1"/>
  <c r="G1989" i="1"/>
  <c r="G1988" i="1"/>
  <c r="G1987" i="1"/>
  <c r="G1986" i="1"/>
  <c r="G1985" i="1"/>
  <c r="G1984" i="1"/>
  <c r="G1983" i="1"/>
  <c r="G1982" i="1"/>
  <c r="G1981" i="1"/>
  <c r="G1980" i="1"/>
  <c r="G1979" i="1"/>
  <c r="G1978" i="1"/>
  <c r="G1977" i="1"/>
  <c r="G1976" i="1"/>
  <c r="G1975" i="1"/>
  <c r="G1974" i="1"/>
  <c r="G1973" i="1"/>
  <c r="G1972" i="1"/>
  <c r="G1971" i="1"/>
  <c r="G1970" i="1"/>
  <c r="G1969" i="1"/>
  <c r="G1968" i="1"/>
  <c r="G1967" i="1"/>
  <c r="G1966" i="1"/>
  <c r="G1965" i="1"/>
  <c r="G1964" i="1"/>
  <c r="G1963" i="1"/>
  <c r="G1962" i="1"/>
  <c r="G1961" i="1"/>
  <c r="G1960" i="1"/>
  <c r="G1959" i="1"/>
  <c r="G1958" i="1"/>
  <c r="G1957" i="1"/>
  <c r="G1956" i="1"/>
  <c r="G1955" i="1"/>
  <c r="G1954" i="1"/>
  <c r="G1953" i="1"/>
  <c r="G1952" i="1"/>
  <c r="G1951" i="1"/>
  <c r="G1950" i="1"/>
  <c r="G1949" i="1"/>
  <c r="G1948" i="1"/>
  <c r="G1947" i="1"/>
  <c r="G1946" i="1"/>
  <c r="G1945" i="1"/>
  <c r="G1944" i="1"/>
  <c r="G1943" i="1"/>
  <c r="G1942" i="1"/>
  <c r="G1941" i="1"/>
  <c r="G1940" i="1"/>
  <c r="G1939" i="1"/>
  <c r="G1938" i="1"/>
  <c r="G1937" i="1"/>
  <c r="G1936" i="1"/>
  <c r="G1935" i="1"/>
  <c r="G1934" i="1"/>
  <c r="G1933" i="1"/>
  <c r="G1932" i="1"/>
  <c r="G1931" i="1"/>
  <c r="G1930" i="1"/>
  <c r="G1929" i="1"/>
  <c r="G1928" i="1"/>
  <c r="G1927" i="1"/>
  <c r="G1926" i="1"/>
  <c r="G1925" i="1"/>
  <c r="G1924" i="1"/>
  <c r="G1923" i="1"/>
  <c r="G1922" i="1"/>
  <c r="G1921" i="1"/>
  <c r="G1920" i="1"/>
  <c r="G1919" i="1"/>
  <c r="G1918" i="1"/>
  <c r="G1917" i="1"/>
  <c r="G1916" i="1"/>
  <c r="G1915" i="1"/>
  <c r="G1914" i="1"/>
  <c r="G1913" i="1"/>
  <c r="G1912" i="1"/>
  <c r="G1911" i="1"/>
  <c r="G1910" i="1"/>
  <c r="G1909" i="1"/>
  <c r="G1908" i="1"/>
  <c r="G1907" i="1"/>
  <c r="G1906" i="1"/>
  <c r="G1905" i="1"/>
  <c r="G1904" i="1"/>
  <c r="G1903" i="1"/>
  <c r="G1902" i="1"/>
  <c r="G1901" i="1"/>
  <c r="G1900" i="1"/>
  <c r="G1899" i="1"/>
  <c r="G1898" i="1"/>
  <c r="G1897" i="1"/>
  <c r="G1896" i="1"/>
  <c r="G1895" i="1"/>
  <c r="G1894" i="1"/>
  <c r="G1893" i="1"/>
  <c r="G1892" i="1"/>
  <c r="G1891" i="1"/>
  <c r="G1890" i="1"/>
  <c r="G1889" i="1"/>
  <c r="G1888" i="1"/>
  <c r="G1887" i="1"/>
  <c r="G1886" i="1"/>
  <c r="G1885" i="1"/>
  <c r="G1884" i="1"/>
  <c r="G1883" i="1"/>
  <c r="G1882" i="1"/>
  <c r="G1881" i="1"/>
  <c r="G1880" i="1"/>
  <c r="G1879" i="1"/>
  <c r="G1878" i="1"/>
  <c r="G1877" i="1"/>
  <c r="G1876" i="1"/>
  <c r="G1875" i="1"/>
  <c r="G1874" i="1"/>
  <c r="G1873" i="1"/>
  <c r="G1872" i="1"/>
  <c r="G1871" i="1"/>
  <c r="G1870" i="1"/>
  <c r="G1869" i="1"/>
  <c r="G1868" i="1"/>
  <c r="G1867" i="1"/>
  <c r="G1866" i="1"/>
  <c r="G1865" i="1"/>
  <c r="G1864" i="1"/>
  <c r="G1863" i="1"/>
  <c r="G1862" i="1"/>
  <c r="G1861" i="1"/>
  <c r="G1860" i="1"/>
  <c r="G1859" i="1"/>
  <c r="G1858" i="1"/>
  <c r="G1857" i="1"/>
  <c r="G1856" i="1"/>
  <c r="G1855" i="1"/>
  <c r="G1854" i="1"/>
  <c r="G1853" i="1"/>
  <c r="G1852" i="1"/>
  <c r="G1851" i="1"/>
  <c r="G1850" i="1"/>
  <c r="G1849" i="1"/>
  <c r="G1848" i="1"/>
  <c r="G1847" i="1"/>
  <c r="G1846" i="1"/>
  <c r="G1845" i="1"/>
  <c r="G1844" i="1"/>
  <c r="G1843" i="1"/>
  <c r="G1842" i="1"/>
  <c r="G1841" i="1"/>
  <c r="G1840" i="1"/>
  <c r="G1839" i="1"/>
  <c r="G1838" i="1"/>
  <c r="G1837" i="1"/>
  <c r="G1836" i="1"/>
  <c r="G1835" i="1"/>
  <c r="G1834" i="1"/>
  <c r="G1833" i="1"/>
  <c r="G1832" i="1"/>
  <c r="G1831" i="1"/>
  <c r="G1830" i="1"/>
  <c r="G1829" i="1"/>
  <c r="G1828" i="1"/>
  <c r="G1827" i="1"/>
  <c r="G1826" i="1"/>
  <c r="G1825" i="1"/>
  <c r="G1824" i="1"/>
  <c r="G1823" i="1"/>
  <c r="G1822" i="1"/>
  <c r="G1821" i="1"/>
  <c r="G1820" i="1"/>
  <c r="G1819" i="1"/>
  <c r="G1818" i="1"/>
  <c r="G1817" i="1"/>
  <c r="G1816" i="1"/>
  <c r="G1815" i="1"/>
  <c r="G1814" i="1"/>
  <c r="G1813" i="1"/>
  <c r="G1812" i="1"/>
  <c r="G1811" i="1"/>
  <c r="G1810" i="1"/>
  <c r="G1809" i="1"/>
  <c r="G1808" i="1"/>
  <c r="G1807" i="1"/>
  <c r="G1806" i="1"/>
  <c r="G1805" i="1"/>
  <c r="G1804" i="1"/>
  <c r="G1803" i="1"/>
  <c r="G1802" i="1"/>
  <c r="G1801" i="1"/>
  <c r="G1800" i="1"/>
  <c r="G1799" i="1"/>
  <c r="G1798" i="1"/>
  <c r="G1797" i="1"/>
  <c r="G1796" i="1"/>
  <c r="G1795" i="1"/>
  <c r="G1794" i="1"/>
  <c r="G1793" i="1"/>
  <c r="G1792" i="1"/>
  <c r="G1791" i="1"/>
  <c r="G1790" i="1"/>
  <c r="G1789" i="1"/>
  <c r="G1788" i="1"/>
  <c r="G1787" i="1"/>
  <c r="G1786" i="1"/>
  <c r="G1785" i="1"/>
  <c r="G1784" i="1"/>
  <c r="G1783" i="1"/>
  <c r="G1782" i="1"/>
  <c r="G1781" i="1"/>
  <c r="G1780" i="1"/>
  <c r="G1779" i="1"/>
  <c r="G1778" i="1"/>
  <c r="G1777" i="1"/>
  <c r="G1776" i="1"/>
  <c r="G1775" i="1"/>
  <c r="G1774" i="1"/>
  <c r="G1773" i="1"/>
  <c r="G1772" i="1"/>
  <c r="G1771" i="1"/>
  <c r="G1770" i="1"/>
  <c r="G1769" i="1"/>
  <c r="G1768" i="1"/>
  <c r="G1767" i="1"/>
  <c r="G1766" i="1"/>
  <c r="G1765" i="1"/>
  <c r="G1764" i="1"/>
  <c r="G1763" i="1"/>
  <c r="G1762" i="1"/>
  <c r="G1761" i="1"/>
  <c r="G1760" i="1"/>
  <c r="G1759" i="1"/>
  <c r="G1758" i="1"/>
  <c r="G1757" i="1"/>
  <c r="G1756" i="1"/>
  <c r="G1755" i="1"/>
  <c r="G1754" i="1"/>
  <c r="G1753" i="1"/>
  <c r="G1752" i="1"/>
  <c r="G1751" i="1"/>
  <c r="G1750" i="1"/>
  <c r="G1749" i="1"/>
  <c r="G1748" i="1"/>
  <c r="G1747" i="1"/>
  <c r="G1746" i="1"/>
  <c r="G1745" i="1"/>
  <c r="G1744" i="1"/>
  <c r="G1743" i="1"/>
  <c r="G1742" i="1"/>
  <c r="G1741" i="1"/>
  <c r="G1740" i="1"/>
  <c r="G1739" i="1"/>
  <c r="G1738" i="1"/>
  <c r="G1737" i="1"/>
  <c r="G1736" i="1"/>
  <c r="G1735" i="1"/>
  <c r="G1734" i="1"/>
  <c r="G1733" i="1"/>
  <c r="G1732" i="1"/>
  <c r="G1731" i="1"/>
  <c r="G1730" i="1"/>
  <c r="G1729" i="1"/>
  <c r="G1728" i="1"/>
  <c r="G1727" i="1"/>
  <c r="G1726" i="1"/>
  <c r="G1725" i="1"/>
  <c r="G1724" i="1"/>
  <c r="G1723" i="1"/>
  <c r="G1722" i="1"/>
  <c r="G1721" i="1"/>
  <c r="G1720" i="1"/>
  <c r="G1719" i="1"/>
  <c r="G1718" i="1"/>
  <c r="G1717" i="1"/>
  <c r="G1716" i="1"/>
  <c r="G1715" i="1"/>
  <c r="G1714" i="1"/>
  <c r="G1713" i="1"/>
  <c r="G1712" i="1"/>
  <c r="G1711" i="1"/>
  <c r="G1710" i="1"/>
  <c r="G1709" i="1"/>
  <c r="G1708" i="1"/>
  <c r="G1707" i="1"/>
  <c r="G1706" i="1"/>
  <c r="G1705" i="1"/>
  <c r="G1704" i="1"/>
  <c r="G1703" i="1"/>
  <c r="G1702" i="1"/>
  <c r="G1701" i="1"/>
  <c r="G1700" i="1"/>
  <c r="G1699" i="1"/>
  <c r="G1698" i="1"/>
  <c r="G1697" i="1"/>
  <c r="G1696" i="1"/>
  <c r="G1695" i="1"/>
  <c r="G1694" i="1"/>
  <c r="G1693" i="1"/>
  <c r="G1692" i="1"/>
  <c r="G1691" i="1"/>
  <c r="G1690" i="1"/>
  <c r="G1689" i="1"/>
  <c r="G1688" i="1"/>
  <c r="G1687" i="1"/>
  <c r="G1686" i="1"/>
  <c r="G1685" i="1"/>
  <c r="G1684" i="1"/>
  <c r="G1683" i="1"/>
  <c r="G1682" i="1"/>
  <c r="G1681" i="1"/>
  <c r="G1680" i="1"/>
  <c r="G1679" i="1"/>
  <c r="G1678" i="1"/>
  <c r="G1677" i="1"/>
  <c r="G1676" i="1"/>
  <c r="G1675" i="1"/>
  <c r="G1674" i="1"/>
  <c r="G1673" i="1"/>
  <c r="G1672" i="1"/>
  <c r="G1671" i="1"/>
  <c r="G1670" i="1"/>
  <c r="G1669" i="1"/>
  <c r="G1668" i="1"/>
  <c r="G1667" i="1"/>
  <c r="G1666" i="1"/>
  <c r="G1665" i="1"/>
  <c r="G1664" i="1"/>
  <c r="G1663" i="1"/>
  <c r="G1662" i="1"/>
  <c r="G1661" i="1"/>
  <c r="G1660" i="1"/>
  <c r="G1659" i="1"/>
  <c r="G1658" i="1"/>
  <c r="G1657" i="1"/>
  <c r="G1656" i="1"/>
  <c r="G1655" i="1"/>
  <c r="G1654" i="1"/>
  <c r="G1653" i="1"/>
  <c r="G1652" i="1"/>
  <c r="G1651" i="1"/>
  <c r="G1650" i="1"/>
  <c r="G1649" i="1"/>
  <c r="G1648" i="1"/>
  <c r="G1647" i="1"/>
  <c r="G1646" i="1"/>
  <c r="G1645" i="1"/>
  <c r="G1644" i="1"/>
  <c r="G1643" i="1"/>
  <c r="G1642" i="1"/>
  <c r="G1641" i="1"/>
  <c r="G1640" i="1"/>
  <c r="G1639" i="1"/>
  <c r="G1638" i="1"/>
  <c r="G1637" i="1"/>
  <c r="G1636" i="1"/>
  <c r="G1635" i="1"/>
  <c r="G1634" i="1"/>
  <c r="G1633" i="1"/>
  <c r="G1632" i="1"/>
  <c r="G1631" i="1"/>
  <c r="G1630" i="1"/>
  <c r="G1629" i="1"/>
  <c r="G1628" i="1"/>
  <c r="G1627" i="1"/>
  <c r="G1626" i="1"/>
  <c r="G1625" i="1"/>
  <c r="G1624" i="1"/>
  <c r="G1623" i="1"/>
  <c r="G1622" i="1"/>
  <c r="G1621" i="1"/>
  <c r="G1620" i="1"/>
  <c r="G1619" i="1"/>
  <c r="G1618" i="1"/>
  <c r="G1617" i="1"/>
  <c r="G1616" i="1"/>
  <c r="G1615" i="1"/>
  <c r="G1614" i="1"/>
  <c r="G1613" i="1"/>
  <c r="G1612" i="1"/>
  <c r="G1611" i="1"/>
  <c r="G1610" i="1"/>
  <c r="G1609" i="1"/>
  <c r="G1608" i="1"/>
  <c r="G1607" i="1"/>
  <c r="G1606" i="1"/>
  <c r="G1605" i="1"/>
  <c r="G1604" i="1"/>
  <c r="G1603" i="1"/>
  <c r="G1602" i="1"/>
  <c r="G1601" i="1"/>
  <c r="G1600" i="1"/>
  <c r="G1599" i="1"/>
  <c r="G1598" i="1"/>
  <c r="G1597" i="1"/>
  <c r="G1596" i="1"/>
  <c r="G1595" i="1"/>
  <c r="G1594" i="1"/>
  <c r="G1593" i="1"/>
  <c r="G1592" i="1"/>
  <c r="G1591" i="1"/>
  <c r="G1590" i="1"/>
  <c r="G1589" i="1"/>
  <c r="G1588" i="1"/>
  <c r="G1587" i="1"/>
  <c r="G1586" i="1"/>
  <c r="G1585" i="1"/>
  <c r="G1584" i="1"/>
  <c r="G1583" i="1"/>
  <c r="G1582" i="1"/>
  <c r="G1581" i="1"/>
  <c r="G1580" i="1"/>
  <c r="G1579" i="1"/>
  <c r="G1578" i="1"/>
  <c r="G1577" i="1"/>
  <c r="G1576" i="1"/>
  <c r="G1575" i="1"/>
  <c r="G1574" i="1"/>
  <c r="G1573" i="1"/>
  <c r="G1572" i="1"/>
  <c r="G1571" i="1"/>
  <c r="G1570" i="1"/>
  <c r="G1569" i="1"/>
  <c r="G1568" i="1"/>
  <c r="G1567" i="1"/>
  <c r="G1566" i="1"/>
  <c r="G1565" i="1"/>
  <c r="G1564" i="1"/>
  <c r="G1563" i="1"/>
  <c r="G1562" i="1"/>
  <c r="G1561" i="1"/>
  <c r="G1560" i="1"/>
  <c r="G1559" i="1"/>
  <c r="G1558" i="1"/>
  <c r="G1557" i="1"/>
  <c r="G1556" i="1"/>
  <c r="G1555" i="1"/>
  <c r="G1554" i="1"/>
  <c r="G1553" i="1"/>
  <c r="G1552" i="1"/>
  <c r="G1551" i="1"/>
  <c r="G1550" i="1"/>
  <c r="G1549" i="1"/>
  <c r="G1548" i="1"/>
  <c r="G1547" i="1"/>
  <c r="G1546" i="1"/>
  <c r="G1545" i="1"/>
  <c r="G1544" i="1"/>
  <c r="G1543" i="1"/>
  <c r="G1542" i="1"/>
  <c r="G1541" i="1"/>
  <c r="G1540" i="1"/>
  <c r="G1539" i="1"/>
  <c r="G1538" i="1"/>
  <c r="G1537" i="1"/>
  <c r="G1536" i="1"/>
  <c r="G1535" i="1"/>
  <c r="G1534" i="1"/>
  <c r="G1533" i="1"/>
  <c r="G1532" i="1"/>
  <c r="G1531" i="1"/>
  <c r="G1530" i="1"/>
  <c r="G1529" i="1"/>
  <c r="G1528" i="1"/>
  <c r="G1527" i="1"/>
  <c r="G1526" i="1"/>
  <c r="G1525" i="1"/>
  <c r="G1524" i="1"/>
  <c r="G1523" i="1"/>
  <c r="G1522" i="1"/>
  <c r="G1521" i="1"/>
  <c r="G1520" i="1"/>
  <c r="G1519" i="1"/>
  <c r="G1518" i="1"/>
  <c r="G1517" i="1"/>
  <c r="G1516" i="1"/>
  <c r="G1515" i="1"/>
  <c r="G1514" i="1"/>
  <c r="G1513" i="1"/>
  <c r="G1512" i="1"/>
  <c r="G1511" i="1"/>
  <c r="G1510" i="1"/>
  <c r="G1509" i="1"/>
  <c r="G1508" i="1"/>
  <c r="G1507" i="1"/>
  <c r="G1506" i="1"/>
  <c r="G1505" i="1"/>
  <c r="G1504" i="1"/>
  <c r="G1503" i="1"/>
  <c r="G1502" i="1"/>
  <c r="G1501" i="1"/>
  <c r="G1500" i="1"/>
  <c r="G1499" i="1"/>
  <c r="G1498" i="1"/>
  <c r="G1497" i="1"/>
  <c r="G1496" i="1"/>
  <c r="G1495" i="1"/>
  <c r="G1494" i="1"/>
  <c r="G1493" i="1"/>
  <c r="G1492" i="1"/>
  <c r="G1491" i="1"/>
  <c r="G1490" i="1"/>
  <c r="G1489" i="1"/>
  <c r="G1488" i="1"/>
  <c r="G1487" i="1"/>
  <c r="G1486" i="1"/>
  <c r="G1485" i="1"/>
  <c r="G1484" i="1"/>
  <c r="G1483" i="1"/>
  <c r="G1482" i="1"/>
  <c r="G1481" i="1"/>
  <c r="G1480" i="1"/>
  <c r="G1479" i="1"/>
  <c r="G1478" i="1"/>
  <c r="G1477" i="1"/>
  <c r="G1476" i="1"/>
  <c r="G1475" i="1"/>
  <c r="G1474" i="1"/>
  <c r="G1473" i="1"/>
  <c r="G1472" i="1"/>
  <c r="G1471" i="1"/>
  <c r="G1470" i="1"/>
  <c r="G1469" i="1"/>
  <c r="G1468" i="1"/>
  <c r="G1467" i="1"/>
  <c r="G1466" i="1"/>
  <c r="G1465" i="1"/>
  <c r="G1464" i="1"/>
  <c r="G1463" i="1"/>
  <c r="G1462" i="1"/>
  <c r="G1461" i="1"/>
  <c r="G1460" i="1"/>
  <c r="G1459" i="1"/>
  <c r="G1458" i="1"/>
  <c r="G1457" i="1"/>
  <c r="G1456" i="1"/>
  <c r="G1455" i="1"/>
  <c r="G1454" i="1"/>
  <c r="G1453" i="1"/>
  <c r="G1452" i="1"/>
  <c r="G1451"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402" i="1"/>
  <c r="G1401" i="1"/>
  <c r="G1400" i="1"/>
  <c r="G1399" i="1"/>
  <c r="G1398" i="1"/>
  <c r="G1397"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60"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<sst xmlns="http://schemas.openxmlformats.org/spreadsheetml/2006/main" count="64979" uniqueCount="26952">
  <si>
    <t>검색어</t>
  </si>
  <si>
    <t>계정명</t>
  </si>
  <si>
    <t>복사율</t>
  </si>
  <si>
    <t>이데일리</t>
  </si>
  <si>
    <t>안경잡이</t>
  </si>
  <si>
    <t>[연구] 인터뷰 등</t>
  </si>
  <si>
    <t>https://blog.naver.com/PostView.naver?blogId=leedaehaw&amp;logNo=223917117430&amp;redirect=Dlog&amp;widgetTypeCall=true&amp;directAccess=false</t>
  </si>
  <si>
    <t>2025-06-30</t>
  </si>
  <si>
    <t>김재연</t>
  </si>
  <si>
    <t>2025.06.30의료계주요뉴스</t>
  </si>
  <si>
    <t>https://blog.naver.com/PostView.naver?blogId=k202904&amp;logNo=223917038179&amp;redirect=Dlog&amp;widgetTypeCall=true&amp;directAccess=false</t>
  </si>
  <si>
    <t>이광재</t>
  </si>
  <si>
    <t>[25.06.30 이광재 언론보도]</t>
  </si>
  <si>
    <t>https://blog.naver.com/PostView.naver?blogId=lee_kwang_jae&amp;logNo=223917031441&amp;redirect=Dlog&amp;widgetTypeCall=true&amp;directAccess=false</t>
  </si>
  <si>
    <t>먹둥이</t>
  </si>
  <si>
    <t>1억씩 호가 올렸지만.."노도강도 매수 문의 뚝 끊겼다"</t>
  </si>
  <si>
    <t>https://blog.naver.com/PostView.naver?blogId=foodie-monkey&amp;logNo=223916969963&amp;redirect=Dlog&amp;widgetTypeCall=true&amp;directAccess=false</t>
  </si>
  <si>
    <t>내 돈 넣으면, 정부도 돈 넣어준다..'연9.54%'적금은?</t>
  </si>
  <si>
    <t>https://blog.naver.com/PostView.naver?blogId=foodie-monkey&amp;logNo=223916959738&amp;redirect=Dlog&amp;widgetTypeCall=true&amp;directAccess=false</t>
  </si>
  <si>
    <t>배움과나눔</t>
  </si>
  <si>
    <t>JTC(950170) _ 초고속 성장단계</t>
  </si>
  <si>
    <t>https://blog.naver.com/PostView.naver?blogId=learning_and_sharing&amp;logNo=223916878288&amp;redirect=Dlog&amp;widgetTypeCall=true&amp;directAccess=false</t>
  </si>
  <si>
    <t>NEW 궁금이</t>
  </si>
  <si>
    <t>신림동 빌라 흉기난동 칼부림 벨 누르고 이웃 흉기로 찔러 2명 부상 30대 용의자 투신 사망</t>
  </si>
  <si>
    <t>https://blog.naver.com/PostView.naver?blogId=fritz01&amp;logNo=223916704793&amp;redirect=Dlog&amp;widgetTypeCall=true&amp;directAccess=false</t>
  </si>
  <si>
    <t>다시 경제</t>
  </si>
  <si>
    <t>대신증권,"PBR 정상화만으로도 코스피 3400선 진입전망"....3분기 단기 과열해소, 매물소화 국면 진입시,지지선으로 2770~2820선 제시....</t>
  </si>
  <si>
    <t>https://blog.naver.com/PostView.naver?blogId=kkkmhyun&amp;logNo=223916688778&amp;redirect=Dlog&amp;widgetTypeCall=true&amp;directAccess=false</t>
  </si>
  <si>
    <t>제이에스</t>
  </si>
  <si>
    <t>2025. 6. 30.(월) 장 종료 후 뉴스 정리</t>
  </si>
  <si>
    <t>https://blog.naver.com/PostView.naver?blogId=wind3849&amp;logNo=223916624903&amp;redirect=Dlog&amp;widgetTypeCall=true&amp;directAccess=false</t>
  </si>
  <si>
    <t>미스타큐</t>
  </si>
  <si>
    <t>📌 국가유산청 '전통조경대전' 공모…수상작은 덕수궁 전시</t>
  </si>
  <si>
    <t>https://blog.naver.com/PostView.naver?blogId=mrqu&amp;logNo=223916411455&amp;redirect=Dlog&amp;widgetTypeCall=true&amp;directAccess=false</t>
  </si>
  <si>
    <t>오닐제자</t>
  </si>
  <si>
    <t>[디앤디파마텍] 주가는 왜 여기에 있는가?</t>
  </si>
  <si>
    <t>https://blog.naver.com/PostView.naver?blogId=chris201&amp;logNo=223916329386&amp;redirect=Dlog&amp;widgetTypeCall=true&amp;directAccess=false</t>
  </si>
  <si>
    <t>내도해선</t>
  </si>
  <si>
    <t>S&amp;P·나스닥 ‘사상 최고’...트럼프 감세법안, 상원 첫 관문 넘어[뉴스새벽배송]</t>
  </si>
  <si>
    <t>https://blog.naver.com/PostView.naver?blogId=dbtjwns92&amp;logNo=223916281366&amp;redirect=Dlog&amp;widgetTypeCall=true&amp;directAccess=false</t>
  </si>
  <si>
    <t>케이알타임즈</t>
  </si>
  <si>
    <t>자율주행 택시 미래는?ㅣ이호근 대덕대 미래자동차학과 교수</t>
  </si>
  <si>
    <t>https://blog.naver.com/PostView.naver?blogId=miraee05&amp;logNo=223916218664&amp;redirect=Dlog&amp;widgetTypeCall=true&amp;directAccess=false</t>
  </si>
  <si>
    <t>나스닥과 S&amp;P500이 최고치 돌파한 이유 2가지!</t>
  </si>
  <si>
    <t>https://blog.naver.com/PostView.naver?blogId=miraee05&amp;logNo=223916216824&amp;redirect=Dlog&amp;widgetTypeCall=true&amp;directAccess=false</t>
  </si>
  <si>
    <t>Mark</t>
  </si>
  <si>
    <t>‘4살에 7kg’ 미라 된 채 사망…이날도 친모는 성매매 [그해 오늘]</t>
  </si>
  <si>
    <t>https://blog.naver.com/PostView.naver?blogId=mark-s&amp;logNo=223916205036&amp;redirect=Dlog&amp;widgetTypeCall=true&amp;directAccess=false</t>
  </si>
  <si>
    <t>꽃배낭 여행자</t>
  </si>
  <si>
    <t>부동산개발 동향 (2025.06.30, 월)</t>
  </si>
  <si>
    <t>https://blog.naver.com/PostView.naver?blogId=pistospidion&amp;logNo=223916199578&amp;redirect=Dlog&amp;widgetTypeCall=true&amp;directAccess=false</t>
  </si>
  <si>
    <t>녹두와콩</t>
  </si>
  <si>
    <t>경제현황 (2025-06-30)</t>
  </si>
  <si>
    <t>https://blog.naver.com/PostView.naver?blogId=good-mylife&amp;logNo=223916177183&amp;redirect=Dlog&amp;widgetTypeCall=true&amp;directAccess=false</t>
  </si>
  <si>
    <t>each</t>
  </si>
  <si>
    <t>2025년 6월 30일(월)  24~30°C ⛅️ (강수60%) 미세,초미세 좋음😊🙂</t>
  </si>
  <si>
    <t>https://blog.naver.com/PostView.naver?blogId=jaeeunjung&amp;logNo=223916155833&amp;redirect=Dlog&amp;widgetTypeCall=true&amp;directAccess=false</t>
  </si>
  <si>
    <t>fr1972</t>
  </si>
  <si>
    <t>6월 30일 증권뉴스(06:20기준)</t>
  </si>
  <si>
    <t>https://blog.naver.com/PostView.naver?blogId=fr1972&amp;logNo=223916147263&amp;redirect=Dlog&amp;widgetTypeCall=true&amp;directAccess=false</t>
  </si>
  <si>
    <t>제이우</t>
  </si>
  <si>
    <t>일간 시황 정리(2025.06.30)</t>
  </si>
  <si>
    <t>https://blog.naver.com/PostView.naver?blogId=banjwoo&amp;logNo=223916135500&amp;redirect=Dlog&amp;widgetTypeCall=true&amp;directAccess=false</t>
  </si>
  <si>
    <t>파워레드</t>
  </si>
  <si>
    <t>📌  김정은과 매우 잘 지내고 있다 …이란 휴전 후 트럼프 北에 유화적 메시지 (2025.06.28)</t>
  </si>
  <si>
    <t>https://blog.naver.com/PostView.naver?blogId=phkw7272&amp;logNo=223915826873&amp;redirect=Dlog&amp;widgetTypeCall=true&amp;directAccess=false</t>
  </si>
  <si>
    <t>2025-06-29</t>
  </si>
  <si>
    <t>Atom</t>
  </si>
  <si>
    <t>25.06.25. ~ 29. 크립토 시황 브리핑</t>
  </si>
  <si>
    <t>https://blog.naver.com/PostView.naver?blogId=heojh90&amp;logNo=223915595163&amp;redirect=Dlog&amp;widgetTypeCall=true&amp;directAccess=false</t>
  </si>
  <si>
    <t>자산관리개발연구원</t>
  </si>
  <si>
    <t>2025년 7월, 다시 꿈틀대는 도시와 시장 — 부동산 시장 동향 종합 분석</t>
  </si>
  <si>
    <t>https://blog.naver.com/PostView.naver?blogId=skrlaqkrtk&amp;logNo=223915491993&amp;redirect=Dlog&amp;widgetTypeCall=true&amp;directAccess=false</t>
  </si>
  <si>
    <t>새돌보석</t>
  </si>
  <si>
    <t>2025-06-28</t>
  </si>
  <si>
    <t>이천칠년</t>
  </si>
  <si>
    <t>피라맥스! 드디어 국내특허 😍</t>
  </si>
  <si>
    <t>https://blog.naver.com/PostView.naver?blogId=bigmouth978&amp;logNo=223914976921&amp;redirect=Dlog&amp;widgetTypeCall=true&amp;directAccess=false</t>
  </si>
  <si>
    <t>가계약금 지급'매매계약으로 인정 받으려면?</t>
  </si>
  <si>
    <t>https://blog.naver.com/PostView.naver?blogId=foodie-monkey&amp;logNo=223914949847&amp;redirect=Dlog&amp;widgetTypeCall=true&amp;directAccess=false</t>
  </si>
  <si>
    <t>2025.06.28 의료계주요뉴스</t>
  </si>
  <si>
    <t>https://blog.naver.com/PostView.naver?blogId=k202904&amp;logNo=223914798282&amp;redirect=Dlog&amp;widgetTypeCall=true&amp;directAccess=false</t>
  </si>
  <si>
    <t>news-dotcom</t>
  </si>
  <si>
    <t>[주식 &amp; 코인] 비트코인 숨 고르기…10만7000달러대 유지</t>
  </si>
  <si>
    <t>https://blog.naver.com/PostView.naver?blogId=news-dotcom&amp;logNo=223914555054&amp;redirect=Dlog&amp;widgetTypeCall=true&amp;directAccess=false</t>
  </si>
  <si>
    <t>오뜨리</t>
  </si>
  <si>
    <t>발레 춘향전</t>
  </si>
  <si>
    <t>https://blog.naver.com/PostView.naver?blogId=flammette&amp;logNo=223914521304&amp;redirect=Dlog&amp;widgetTypeCall=true&amp;directAccess=false</t>
  </si>
  <si>
    <t>차트읽는사람</t>
  </si>
  <si>
    <t>허이준</t>
  </si>
  <si>
    <t>푸른신호등</t>
  </si>
  <si>
    <t>📌 [오늘의 '상승''급등''공급계약''정부''수출' 관련 뉴스 - 2025.06.28]</t>
  </si>
  <si>
    <t>https://blog.naver.com/PostView.naver?blogId=kms21084&amp;logNo=223914417216&amp;redirect=Dlog&amp;widgetTypeCall=true&amp;directAccess=false</t>
  </si>
  <si>
    <t>Makers Friend</t>
  </si>
  <si>
    <t>부동산 증여취소소송의 법리와 실무사례[김용일의 부동산톡]</t>
  </si>
  <si>
    <t>https://blog.naver.com/PostView.naver?blogId=3d4utech&amp;logNo=223914362785&amp;redirect=Dlog&amp;widgetTypeCall=true&amp;directAccess=false</t>
  </si>
  <si>
    <t>쎄렉스</t>
  </si>
  <si>
    <t>다음.~~~주요뉴~스.2025년6월28일</t>
  </si>
  <si>
    <t>https://blog.naver.com/PostView.naver?blogId=c1c1b1b1&amp;logNo=223914328904&amp;redirect=Dlog&amp;widgetTypeCall=true&amp;directAccess=false</t>
  </si>
  <si>
    <t>플래드낵</t>
  </si>
  <si>
    <t>트럼프, 캐나다와 무역협상 전면 중단…디지털세 보복 관세 예고</t>
  </si>
  <si>
    <t>https://blog.naver.com/PostView.naver?blogId=mong4445&amp;logNo=223914321670&amp;redirect=Dlog&amp;widgetTypeCall=true&amp;directAccess=false</t>
  </si>
  <si>
    <t>정림부동산중개</t>
  </si>
  <si>
    <t>25.06.26.목   [일일시장동향]</t>
  </si>
  <si>
    <t>https://blog.naver.com/PostView.naver?blogId=gangnam5570600&amp;logNo=223914050612&amp;redirect=Dlog&amp;widgetTypeCall=true&amp;directAccess=false</t>
  </si>
  <si>
    <t>2025-06-27</t>
  </si>
  <si>
    <t>가장 작은자</t>
  </si>
  <si>
    <t>[사설] ‘회계공시 중단’ 요구 양대 노총, ‘대선 청구서’는 곤란</t>
  </si>
  <si>
    <t>https://blog.naver.com/PostView.naver?blogId=wangbee-&amp;logNo=223913972919&amp;redirect=Dlog&amp;widgetTypeCall=true&amp;directAccess=false</t>
  </si>
  <si>
    <t>첫 부동산 정책과 반응들</t>
  </si>
  <si>
    <t>https://blog.naver.com/PostView.naver?blogId=good-mylife&amp;logNo=223913940201&amp;redirect=Dlog&amp;widgetTypeCall=true&amp;directAccess=false</t>
  </si>
  <si>
    <t>나그네</t>
  </si>
  <si>
    <t>힐링토끼11</t>
  </si>
  <si>
    <t>데이식스, DAY6 영화 '식스데이즈' 8월 개봉 -&gt; SCREENX, 4DX 등 특별관 상영!</t>
  </si>
  <si>
    <t>https://blog.naver.com/PostView.naver?blogId=myday_light&amp;logNo=223913858573&amp;redirect=Dlog&amp;widgetTypeCall=true&amp;directAccess=false</t>
  </si>
  <si>
    <t>수호 아빠</t>
  </si>
  <si>
    <t>● 부실채권 3.4조 털어낸 2금융권…하반기도 '3조+α' 정리한다(이데일리,2025.06.26.)</t>
  </si>
  <si>
    <t>https://blog.naver.com/PostView.naver?blogId=kky7103&amp;logNo=223913567522&amp;redirect=Dlog&amp;widgetTypeCall=true&amp;directAccess=false</t>
  </si>
  <si>
    <t>heresyj</t>
  </si>
  <si>
    <t>위드인뉴스</t>
  </si>
  <si>
    <t>스티븐</t>
  </si>
  <si>
    <t>중국 선관위가 우리나라 선거개잎 국제선거단 기자회견에서 폭로</t>
  </si>
  <si>
    <t>https://blog.naver.com/PostView.naver?blogId=praying_man1980&amp;logNo=223913232415&amp;redirect=Dlog&amp;widgetTypeCall=true&amp;directAccess=false</t>
  </si>
  <si>
    <t>sjj300_kf</t>
  </si>
  <si>
    <t>25.6.27(금)</t>
  </si>
  <si>
    <t>https://blog.naver.com/PostView.naver?blogId=sjj300_kf&amp;logNo=223913224817&amp;redirect=Dlog&amp;widgetTypeCall=true&amp;directAccess=false</t>
  </si>
  <si>
    <t>정림</t>
  </si>
  <si>
    <t>250627</t>
  </si>
  <si>
    <t>https://blog.naver.com/PostView.naver?blogId=gdpw79&amp;logNo=223913224299&amp;redirect=Dlog&amp;widgetTypeCall=true&amp;directAccess=false</t>
  </si>
  <si>
    <t>6월 27일 증권뉴스(05:00기준)</t>
  </si>
  <si>
    <t>https://blog.naver.com/PostView.naver?blogId=fr1972&amp;logNo=223913190896&amp;redirect=Dlog&amp;widgetTypeCall=true&amp;directAccess=false</t>
  </si>
  <si>
    <t>2025.06.26의료계주요뉴스</t>
  </si>
  <si>
    <t>https://blog.naver.com/PostView.naver?blogId=k202904&amp;logNo=223912973117&amp;redirect=Dlog&amp;widgetTypeCall=true&amp;directAccess=false</t>
  </si>
  <si>
    <t>2025-06-26</t>
  </si>
  <si>
    <t>Yeoung</t>
  </si>
  <si>
    <t>[네이버 뉴스] 이재명 대통령, 주요 부처 차관급 '내부 전문가'로 임명 / 김광현 국세청장 후보자, 탈세 적발에 잔뼈 굵은 ‘조사 통’ 비례의원 /  포토라인 거부한 尹에…특검</t>
  </si>
  <si>
    <t>https://blog.naver.com/PostView.naver?blogId=kangyeou&amp;logNo=223912928739&amp;redirect=Dlog&amp;widgetTypeCall=true&amp;directAccess=false</t>
  </si>
  <si>
    <t>SNC</t>
  </si>
  <si>
    <t>오늘의 S&amp;C 6/28 (토) 조민재</t>
  </si>
  <si>
    <t>https://blog.naver.com/PostView.naver?blogId=sncspeech&amp;logNo=223912864201&amp;redirect=Dlog&amp;widgetTypeCall=true&amp;directAccess=false</t>
  </si>
  <si>
    <t>covid19trj</t>
  </si>
  <si>
    <t>인공지능(AI) 인프라 경쟁 심화, 아마존 앤트로픽을 위한 대규모 데이터 센터 구축</t>
  </si>
  <si>
    <t>https://blog.naver.com/PostView.naver?blogId=lkyj8ch&amp;logNo=223912804428&amp;redirect=Dlog&amp;widgetTypeCall=true&amp;directAccess=false</t>
  </si>
  <si>
    <t>화성 비봉면 살인사건 택시기사 살해 후 훔친 차로 사람 2명 들이받은 20대 남성 체포</t>
  </si>
  <si>
    <t>https://blog.naver.com/PostView.naver?blogId=fritz01&amp;logNo=223912503763&amp;redirect=Dlog&amp;widgetTypeCall=true&amp;directAccess=false</t>
  </si>
  <si>
    <t>어반에스비 매니저</t>
  </si>
  <si>
    <t>"2025년 6월 24일 간추린 셀러 뉴스"</t>
  </si>
  <si>
    <t>https://blog.naver.com/PostView.naver?blogId=urban-sb1&amp;logNo=223912474427&amp;redirect=Dlog&amp;widgetTypeCall=true&amp;directAccess=false</t>
  </si>
  <si>
    <t>법유희장</t>
  </si>
  <si>
    <t>&lt;무능,무책임 좌경용공 민주팔이가 새상 쉽게 살아가는 방법..기사무관&gt;김병기 "'이재명 죽이기' 실체 드러나…대북송금 재수사 필요"</t>
  </si>
  <si>
    <t>https://blog.naver.com/PostView.naver?blogId=yesktj&amp;logNo=223912195821&amp;redirect=Dlog&amp;widgetTypeCall=true&amp;directAccess=false</t>
  </si>
  <si>
    <t>바나바 BarNaba</t>
  </si>
  <si>
    <t>인도네시아, 대대적 마약 단속…285명 체포·4t 마약 압수 외 (6/26)</t>
  </si>
  <si>
    <t>https://blog.naver.com/PostView.naver?blogId=khchojh&amp;logNo=223912151685&amp;redirect=Dlog&amp;widgetTypeCall=true&amp;directAccess=false</t>
  </si>
  <si>
    <t>엔비디아 '1위 탈환'... 테슬라 '연속 하락'</t>
  </si>
  <si>
    <t>https://blog.naver.com/PostView.naver?blogId=miraee05&amp;logNo=223912032582&amp;redirect=Dlog&amp;widgetTypeCall=true&amp;directAccess=false</t>
  </si>
  <si>
    <t>[국제 외교] 트럼프 “이란과 핵 협상 불필요…모두 파괴했다”</t>
  </si>
  <si>
    <t>https://blog.naver.com/PostView.naver?blogId=news-dotcom&amp;logNo=223912032329&amp;redirect=Dlog&amp;widgetTypeCall=true&amp;directAccess=false</t>
  </si>
  <si>
    <t>나키무시</t>
  </si>
  <si>
    <t>정도건</t>
  </si>
  <si>
    <t>부끄러버</t>
  </si>
  <si>
    <t>제주 한 달 살기' 떠난 일가족, 완도 바다서 싸늘한 주검으로</t>
  </si>
  <si>
    <t>https://blog.naver.com/PostView.naver?blogId=yfish66&amp;logNo=223911992428&amp;redirect=Dlog&amp;widgetTypeCall=true&amp;directAccess=false</t>
  </si>
  <si>
    <t>BB</t>
  </si>
  <si>
    <t>디앤디파마텍 : 집중투자</t>
  </si>
  <si>
    <t>https://blog.naver.com/PostView.naver?blogId=winerofwiner&amp;logNo=223911952017&amp;redirect=Dlog&amp;widgetTypeCall=true&amp;directAccess=false</t>
  </si>
  <si>
    <t>머니닥터</t>
  </si>
  <si>
    <t>[Daily News, 6/26(목)]</t>
  </si>
  <si>
    <t>https://blog.naver.com/PostView.naver?blogId=ydkyusung386&amp;logNo=223911606529&amp;redirect=Dlog&amp;widgetTypeCall=true&amp;directAccess=false</t>
  </si>
  <si>
    <t>연준, SLR 하향 개정안 발표</t>
  </si>
  <si>
    <t>https://blog.naver.com/PostView.naver?blogId=mong4445&amp;logNo=223911940690&amp;redirect=Dlog&amp;widgetTypeCall=true&amp;directAccess=false</t>
  </si>
  <si>
    <t>박기자</t>
  </si>
  <si>
    <t>2025-06-25</t>
  </si>
  <si>
    <t>2025.06.25의료계주요뉴스</t>
  </si>
  <si>
    <t>https://blog.naver.com/PostView.naver?blogId=k202904&amp;logNo=223911471895&amp;redirect=Dlog&amp;widgetTypeCall=true&amp;directAccess=false</t>
  </si>
  <si>
    <t>별빛햄쥐</t>
  </si>
  <si>
    <t>하이템스</t>
  </si>
  <si>
    <t>하이템스, 배터리 폭발 원천차단 기술 개발</t>
  </si>
  <si>
    <t>https://blog.naver.com/PostView.naver?blogId=hitems_&amp;logNo=223910998912&amp;redirect=Dlog&amp;widgetTypeCall=true&amp;directAccess=false</t>
  </si>
  <si>
    <t>Jeremy</t>
  </si>
  <si>
    <t>국내외 경제 동향 및 주요 뉴스('25.06.25)_美 정보당국 "이란 핵시설 완전 파괴 못해, 핵 프로그램만 수개월 지연됐을 뿐”…트럼프 "가짜뉴스" 발끈</t>
  </si>
  <si>
    <t>https://blog.naver.com/PostView.naver?blogId=pbs6609&amp;logNo=223910887326&amp;redirect=Dlog&amp;widgetTypeCall=true&amp;directAccess=false</t>
  </si>
  <si>
    <t>이재명 대통령 경제공약은? 코스피 5000간다!</t>
  </si>
  <si>
    <t>https://blog.naver.com/PostView.naver?blogId=miraee05&amp;logNo=223910800770&amp;redirect=Dlog&amp;widgetTypeCall=true&amp;directAccess=false</t>
  </si>
  <si>
    <t>꽃 그리고 거북</t>
  </si>
  <si>
    <t>"올 여름 버티면 '8만전자' 가나요?"…'반전' 전망 나왔다</t>
  </si>
  <si>
    <t>https://blog.naver.com/PostView.naver?blogId=samo2001&amp;logNo=223910821390&amp;redirect=Dlog&amp;widgetTypeCall=true&amp;directAccess=false</t>
  </si>
  <si>
    <t>낭만을찾아서</t>
  </si>
  <si>
    <t>디앤디파마텍 - 초대형기술이전 기사관련</t>
  </si>
  <si>
    <t>https://blog.naver.com/PostView.naver?blogId=kijaw1&amp;logNo=223910811125&amp;redirect=Dlog&amp;widgetTypeCall=true&amp;directAccess=false</t>
  </si>
  <si>
    <t>trim9134</t>
  </si>
  <si>
    <t>정책지식 2025.6.25.</t>
  </si>
  <si>
    <t>https://blog.naver.com/PostView.naver?blogId=trim9134&amp;logNo=223910771033&amp;redirect=Dlog&amp;widgetTypeCall=true&amp;directAccess=false</t>
  </si>
  <si>
    <t>먹우리</t>
  </si>
  <si>
    <t>25년 6월 2,3주 일상</t>
  </si>
  <si>
    <t>https://blog.naver.com/PostView.naver?blogId=lets_eat_together&amp;logNo=223910501408&amp;redirect=Dlog&amp;widgetTypeCall=true&amp;directAccess=false</t>
  </si>
  <si>
    <t>2025-06-24</t>
  </si>
  <si>
    <t>shinswoong75</t>
  </si>
  <si>
    <t>2025년 6월 23일, "외환 자본시장 불안정...신속히 조치해 주길"에 대한 X 반응</t>
  </si>
  <si>
    <t>https://blog.naver.com/PostView.naver?blogId=shinswoong75&amp;logNo=223910471014&amp;redirect=Dlog&amp;widgetTypeCall=true&amp;directAccess=false</t>
  </si>
  <si>
    <t>oricms</t>
  </si>
  <si>
    <t>[Who Is ?] 김영부 큐알티 대표이사 어록</t>
  </si>
  <si>
    <t>https://blog.naver.com/PostView.naver?blogId=oricms&amp;logNo=223910363790&amp;redirect=Dlog&amp;widgetTypeCall=true&amp;directAccess=false</t>
  </si>
  <si>
    <t>문화 17시40분 ...뉴~스</t>
  </si>
  <si>
    <t>https://blog.naver.com/PostView.naver?blogId=c1c1b1b1&amp;logNo=223910215704&amp;redirect=Dlog&amp;widgetTypeCall=true&amp;directAccess=false</t>
  </si>
  <si>
    <t>또실이</t>
  </si>
  <si>
    <t>나는솔로' 출연자, 택시 승차 문제로 승객 폭행한 혐의로 벌금형 선고</t>
  </si>
  <si>
    <t>https://blog.naver.com/PostView.naver?blogId=krsongc2&amp;logNo=223910118195&amp;redirect=Dlog&amp;widgetTypeCall=true&amp;directAccess=false</t>
  </si>
  <si>
    <t>월간빌딩</t>
  </si>
  <si>
    <t>[이데일리] 미분양 해소 ‘주택매수청구권’ 돌파구될까…학계 주목</t>
  </si>
  <si>
    <t>https://blog.naver.com/PostView.naver?blogId=bdmonth&amp;logNo=223910047216&amp;redirect=Dlog&amp;widgetTypeCall=true&amp;directAccess=false</t>
  </si>
  <si>
    <t>dbenfl23</t>
  </si>
  <si>
    <t>원아이드잭</t>
  </si>
  <si>
    <t>나는솔로 출연한 30대 남성 성폭행 혐의 구속 누구? 서교동서 20대 여성 준강간 혐의 긴급체포</t>
  </si>
  <si>
    <t>https://blog.naver.com/PostView.naver?blogId=elqlqhk&amp;logNo=223909939143&amp;redirect=Dlog&amp;widgetTypeCall=true&amp;directAccess=false</t>
  </si>
  <si>
    <t>곽프로</t>
  </si>
  <si>
    <t>조용익 부천시장 “소사역 KTX 정차 추진…3개역 중심 개발”</t>
  </si>
  <si>
    <t>https://blog.naver.com/PostView.naver?blogId=ganaria3&amp;logNo=223909118087&amp;redirect=Dlog&amp;widgetTypeCall=true&amp;directAccess=false</t>
  </si>
  <si>
    <t>테슬라 로보택시... 말은 갈려도, 주가는 폭등!</t>
  </si>
  <si>
    <t>https://blog.naver.com/PostView.naver?blogId=miraee05&amp;logNo=223909545738&amp;redirect=Dlog&amp;widgetTypeCall=true&amp;directAccess=false</t>
  </si>
  <si>
    <t>2025년 6월 23일, "현 정부 첫 수석·보좌관 합동 회의"에 대한 X 반응</t>
  </si>
  <si>
    <t>https://blog.naver.com/PostView.naver?blogId=shinswoong75&amp;logNo=223909321622&amp;redirect=Dlog&amp;widgetTypeCall=true&amp;directAccess=false</t>
  </si>
  <si>
    <t>2025년 6월 23일, "총리실 국무조정실장 임명"에 대한 X 반응</t>
  </si>
  <si>
    <t>https://blog.naver.com/PostView.naver?blogId=shinswoong75&amp;logNo=223909315753&amp;redirect=Dlog&amp;widgetTypeCall=true&amp;directAccess=false</t>
  </si>
  <si>
    <t>2025년 6월 23일, "이재명 대통령, 오늘 11개 부처 장관 후보자 지명"에 대한 X 반응</t>
  </si>
  <si>
    <t>https://blog.naver.com/PostView.naver?blogId=shinswoong75&amp;logNo=223909312238&amp;redirect=Dlog&amp;widgetTypeCall=true&amp;directAccess=false</t>
  </si>
  <si>
    <t>2025년 6월 23일, "다양한 계기에 활발히 교류하고 소통하기로"에 대한 X 반응</t>
  </si>
  <si>
    <t>https://blog.naver.com/PostView.naver?blogId=shinswoong75&amp;logNo=223909308071&amp;redirect=Dlog&amp;widgetTypeCall=true&amp;directAccess=false</t>
  </si>
  <si>
    <t>2025년 6월 23일, "양정상, FTA 타결 포함 다양한 분야서 실질 협력 확대되길"에 대한 X 반응</t>
  </si>
  <si>
    <t>https://blog.naver.com/PostView.naver?blogId=shinswoong75&amp;logNo=223909302354&amp;redirect=Dlog&amp;widgetTypeCall=true&amp;directAccess=false</t>
  </si>
  <si>
    <t>2025-06-23</t>
  </si>
  <si>
    <t>2025년 6월 23일, "양국간 전략적 동반 관계발전 위해 긴밀히 협력할 것 기대"에 대한 X  반응</t>
  </si>
  <si>
    <t>https://blog.naver.com/PostView.naver?blogId=shinswoong75&amp;logNo=223909299566&amp;redirect=Dlog&amp;widgetTypeCall=true&amp;directAccess=false</t>
  </si>
  <si>
    <t>2025년 6월 23일, "이재명 대통령, 오늘 오전 말레이시아 총리와 통화"에 대한 X 반응</t>
  </si>
  <si>
    <t>https://blog.naver.com/PostView.naver?blogId=shinswoong75&amp;logNo=223909296572&amp;redirect=Dlog&amp;widgetTypeCall=true&amp;directAccess=false</t>
  </si>
  <si>
    <t>달리</t>
  </si>
  <si>
    <t>대구 문화 베뉴 앤 콘텐츠 정리, 박태준재발견. 청라언덕과 근대로 투어 못한 아쉬움. 청춘과 노년은 넘실대며 행복함을 나름 누리는듯, 다만 거리청결은 사각지대처럼 아픈 손가락</t>
  </si>
  <si>
    <t>https://blog.naver.com/PostView.naver?blogId=differance-dolly&amp;logNo=223909251677&amp;redirect=Dlog&amp;widgetTypeCall=true&amp;directAccess=false</t>
  </si>
  <si>
    <t>2025.06.23 의료계주요뉴스</t>
  </si>
  <si>
    <t>https://blog.naver.com/PostView.naver?blogId=k202904&amp;logNo=223909153462&amp;redirect=Dlog&amp;widgetTypeCall=true&amp;directAccess=false</t>
  </si>
  <si>
    <t>거금도 Mitochondria</t>
  </si>
  <si>
    <t>Dollar 불신에서 Fox America 불신의 시대로</t>
  </si>
  <si>
    <t>https://blog.naver.com/PostView.naver?blogId=pops2303&amp;logNo=223909120152&amp;redirect=Dlog&amp;widgetTypeCall=true&amp;directAccess=false</t>
  </si>
  <si>
    <t>원용불</t>
  </si>
  <si>
    <t>한국은 미국이 아니다</t>
  </si>
  <si>
    <t>https://blog.naver.com/PostView.naver?blogId=ds1sku&amp;logNo=223908801211&amp;redirect=Dlog&amp;widgetTypeCall=true&amp;directAccess=false</t>
  </si>
  <si>
    <t>얍</t>
  </si>
  <si>
    <t>美 이란 공습에 금융사 비상체제 가동…모니터링 강화</t>
  </si>
  <si>
    <t>https://blog.naver.com/PostView.naver?blogId=2muchtalker_y&amp;logNo=223908716832&amp;redirect=Dlog&amp;widgetTypeCall=true&amp;directAccess=false</t>
  </si>
  <si>
    <t>&lt;윤대통령에 대한 헌재의 위헌불법인 탄핵결정과 더불당 내란 배설질로 선전선동하는 무능,무책임 좌경용공 민주팔이의 과대망상 대국민 사기극..기사무관&gt;문형배 "대법원장 지명권 폐지하고</t>
  </si>
  <si>
    <t>https://blog.naver.com/PostView.naver?blogId=yesktj&amp;logNo=223908610567&amp;redirect=Dlog&amp;widgetTypeCall=true&amp;directAccess=false</t>
  </si>
  <si>
    <t>fixersolution</t>
  </si>
  <si>
    <t>대부업 '퇴짜', 이자 1200%에 '비명'... 사채 내몰린 서민들</t>
  </si>
  <si>
    <t>https://blog.naver.com/PostView.naver?blogId=fixersolution&amp;logNo=223908417834&amp;redirect=Dlog&amp;widgetTypeCall=true&amp;directAccess=false</t>
  </si>
  <si>
    <t>📌 [오늘의 '상승''급등''공급계약'정부''수출' 관련 뉴스 - 2025.06.23]</t>
  </si>
  <si>
    <t>https://blog.naver.com/PostView.naver?blogId=kms21084&amp;logNo=223908328041&amp;redirect=Dlog&amp;widgetTypeCall=true&amp;directAccess=false</t>
  </si>
  <si>
    <t>현미의부동산이야기</t>
  </si>
  <si>
    <t>6월 23일 부동산 뉴스</t>
  </si>
  <si>
    <t>https://blog.naver.com/PostView.naver?blogId=cogusal11&amp;logNo=223908320757&amp;redirect=Dlog&amp;widgetTypeCall=true&amp;directAccess=false</t>
  </si>
  <si>
    <t>6월 23일 증권뉴스(08:00기준)</t>
  </si>
  <si>
    <t>https://blog.naver.com/PostView.naver?blogId=fr1972&amp;logNo=223908297790&amp;redirect=Dlog&amp;widgetTypeCall=true&amp;directAccess=false</t>
  </si>
  <si>
    <t>무적캔디2043</t>
  </si>
  <si>
    <t>이건 정답이 없음 대통령 고유 권한임 가고 말고는</t>
  </si>
  <si>
    <t>https://blog.naver.com/PostView.naver?blogId=nix2041&amp;logNo=223908278199&amp;redirect=Dlog&amp;widgetTypeCall=true&amp;directAccess=false</t>
  </si>
  <si>
    <t>주식 몬스터</t>
  </si>
  <si>
    <t>어린 놈(다윗)에게 디지게 맞은 놈(골리앗)을 다시 때리는건 쫌 그렇지 않냐... 영화 "거룩한 계보" 정 재영의 극중 대사로 갈음한다... "어째, 얼굴이 니답다이....."</t>
  </si>
  <si>
    <t>https://blog.naver.com/PostView.naver?blogId=samsongeko1&amp;logNo=223908068637&amp;redirect=Dlog&amp;widgetTypeCall=true&amp;directAccess=false</t>
  </si>
  <si>
    <t>2025-06-22</t>
  </si>
  <si>
    <t>술이부작</t>
  </si>
  <si>
    <t>2025.06.22의료계주요뉴스</t>
  </si>
  <si>
    <t>https://blog.naver.com/PostView.naver?blogId=k202904&amp;logNo=223908013361&amp;redirect=Dlog&amp;widgetTypeCall=true&amp;directAccess=false</t>
  </si>
  <si>
    <t>꽃샘</t>
  </si>
  <si>
    <t>[2025 이데일리 포럼] 노후에 필요한 생활비와 연금, 중장년이 따면 좋은 자격증은 무엇일까?</t>
  </si>
  <si>
    <t>https://blog.naver.com/PostView.naver?blogId=run_through_the_star&amp;logNo=223907967434&amp;redirect=Dlog&amp;widgetTypeCall=true&amp;directAccess=false</t>
  </si>
  <si>
    <t>재민</t>
  </si>
  <si>
    <t>[단독] 퇴직연금 DC·IRP '갈아타기' 허용 논의 속도전</t>
  </si>
  <si>
    <t>https://blog.naver.com/PostView.naver?blogId=jaemin7362&amp;logNo=223907927392&amp;redirect=Dlog&amp;widgetTypeCall=true&amp;directAccess=false</t>
  </si>
  <si>
    <t>부자덕후</t>
  </si>
  <si>
    <t>이재명 대통령 나토 불참.</t>
  </si>
  <si>
    <t>https://blog.naver.com/PostView.naver?blogId=kikuruku&amp;logNo=223907903987&amp;redirect=Dlog&amp;widgetTypeCall=true&amp;directAccess=false</t>
  </si>
  <si>
    <t>2025-06-21</t>
  </si>
  <si>
    <t>2025년 6월 21일, "민주당, 윤석열 코드 인사 공공기관장, 즉각 사퇴해야”에 대한 X 반응</t>
  </si>
  <si>
    <t>https://blog.naver.com/PostView.naver?blogId=shinswoong75&amp;logNo=223907144485&amp;redirect=Dlog&amp;widgetTypeCall=true&amp;directAccess=false</t>
  </si>
  <si>
    <t>[Who Is ?] 최창훈 미래에셋자산운용 대표이사 부회장 어록</t>
  </si>
  <si>
    <t>https://blog.naver.com/PostView.naver?blogId=oricms&amp;logNo=223907016169&amp;redirect=Dlog&amp;widgetTypeCall=true&amp;directAccess=false</t>
  </si>
  <si>
    <t>XRP ETF 전격 승인! JP모건도 뛰어든다</t>
  </si>
  <si>
    <t>https://blog.naver.com/PostView.naver?blogId=miraee05&amp;logNo=223906980005&amp;redirect=Dlog&amp;widgetTypeCall=true&amp;directAccess=false</t>
  </si>
  <si>
    <t>문제는 물가(Inflation)가 아니고 실업율(Unemployment)이다</t>
  </si>
  <si>
    <t>https://blog.naver.com/PostView.naver?blogId=pops2303&amp;logNo=223906972580&amp;redirect=Dlog&amp;widgetTypeCall=true&amp;directAccess=false</t>
  </si>
  <si>
    <t>재테크로 부자</t>
  </si>
  <si>
    <t>부수공개제도 언론의 힘, 부수가 좌우한다</t>
  </si>
  <si>
    <t>https://blog.naver.com/PostView.naver?blogId=leather11230&amp;logNo=223906969812&amp;redirect=Dlog&amp;widgetTypeCall=true&amp;directAccess=false</t>
  </si>
  <si>
    <t>2025.06.21의료계주요뉴스</t>
  </si>
  <si>
    <t>https://blog.naver.com/PostView.naver?blogId=k202904&amp;logNo=223906951899&amp;redirect=Dlog&amp;widgetTypeCall=true&amp;directAccess=false</t>
  </si>
  <si>
    <t>[이데일리] 용산정비창 시공사선정 D-1…총회 앞두고 막판 경쟁</t>
  </si>
  <si>
    <t>https://blog.naver.com/PostView.naver?blogId=bdmonth&amp;logNo=223906942186&amp;redirect=Dlog&amp;widgetTypeCall=true&amp;directAccess=false</t>
  </si>
  <si>
    <t>부산 해운대구 아파트 화단 여고생 3명 사망사건 발생 경찰 경위 파악 중</t>
  </si>
  <si>
    <t>https://blog.naver.com/PostView.naver?blogId=elqlqhk&amp;logNo=223906865394&amp;redirect=Dlog&amp;widgetTypeCall=true&amp;directAccess=false</t>
  </si>
  <si>
    <t>씨울프</t>
  </si>
  <si>
    <t>20250621 연준의 분열과 각국의 키맞추기</t>
  </si>
  <si>
    <t>https://blog.naver.com/PostView.naver?blogId=lgs6674&amp;logNo=223906806002&amp;redirect=Dlog&amp;widgetTypeCall=true&amp;directAccess=false</t>
  </si>
  <si>
    <t>가람슬기</t>
  </si>
  <si>
    <t>"넌 학벌도 안 좋지?" 시민 비하 시의원의 징계를 추진한다</t>
  </si>
  <si>
    <t>https://blog.naver.com/PostView.naver?blogId=ilsangrace&amp;logNo=223906687077&amp;redirect=Dlog&amp;widgetTypeCall=true&amp;directAccess=false</t>
  </si>
  <si>
    <t>톰하디</t>
  </si>
  <si>
    <t>상위투자</t>
  </si>
  <si>
    <t>6조 과징금 날아든 구글 vs 출시 연기에도 웃는 테슬라</t>
  </si>
  <si>
    <t>https://blog.naver.com/PostView.naver?blogId=miraee05&amp;logNo=223906636899&amp;redirect=Dlog&amp;widgetTypeCall=true&amp;directAccess=false</t>
  </si>
  <si>
    <t>이란 "국가적 복수 이제 시작" 이스라엘 "무거운 대가 치를 것"</t>
  </si>
  <si>
    <t>https://blog.naver.com/PostView.naver?blogId=miraee05&amp;logNo=223906626635&amp;redirect=Dlog&amp;widgetTypeCall=true&amp;directAccess=false</t>
  </si>
  <si>
    <t>대탐소실</t>
  </si>
  <si>
    <t>&lt;미국 시장 마감 6/21(有口無言)&gt;</t>
  </si>
  <si>
    <t>https://blog.naver.com/PostView.naver?blogId=daeshy1&amp;logNo=223906546051&amp;redirect=Dlog&amp;widgetTypeCall=true&amp;directAccess=false</t>
  </si>
  <si>
    <t>2025-06-20</t>
  </si>
  <si>
    <t>DOMINO</t>
  </si>
  <si>
    <t>3-41 [2025 이데일리 전략 포럼] "축의 전환, 길을 찾다." 방문후기</t>
  </si>
  <si>
    <t>https://blog.naver.com/PostView.naver?blogId=marronisland&amp;logNo=223906246597&amp;redirect=Dlog&amp;widgetTypeCall=true&amp;directAccess=false</t>
  </si>
  <si>
    <t>jkwoo561115</t>
  </si>
  <si>
    <t>이스라엘, 이란 최고 핵 과학자 9명 동시 제거 어떻게 했나2025.06.20. 오후 3:57  수정2025.06.20.  4:55김윤지 기자49</t>
  </si>
  <si>
    <t>https://blog.naver.com/PostView.naver?blogId=jkwoo561115&amp;logNo=223906088342&amp;redirect=Dlog&amp;widgetTypeCall=true&amp;directAccess=false</t>
  </si>
  <si>
    <t>2025년 6월 20일, "지난달 카드론 잔액 42조7천억원. 2개월 연속 소폭 증가"에 대한 X 반응</t>
  </si>
  <si>
    <t>https://blog.naver.com/PostView.naver?blogId=shinswoong75&amp;logNo=223906068119&amp;redirect=Dlog&amp;widgetTypeCall=true&amp;directAccess=false</t>
  </si>
  <si>
    <t>궁금이</t>
  </si>
  <si>
    <t>세종시 새뜸마을 아파트 주차장 사망사고 차량이 벽 들이받아 뒷좌석 탑승한 아내 2명 사망 남편들 중상</t>
  </si>
  <si>
    <t>https://blog.naver.com/PostView.naver?blogId=eternity_lvs&amp;logNo=223906024694&amp;redirect=Dlog&amp;widgetTypeCall=true&amp;directAccess=false</t>
  </si>
  <si>
    <t>이스라엘, 이란 최고 핵 과학자 9명 동시 제거 어떻게 했나</t>
  </si>
  <si>
    <t>https://blog.naver.com/PostView.naver?blogId=wangbee-&amp;logNo=223905970165&amp;redirect=Dlog&amp;widgetTypeCall=true&amp;directAccess=false</t>
  </si>
  <si>
    <t>왕호떡 LV 7</t>
  </si>
  <si>
    <t>상위 10% 소득, 무엇이 문제인가?</t>
  </si>
  <si>
    <t>https://blog.naver.com/PostView.naver?blogId=dbghwns4&amp;logNo=223905965738&amp;redirect=Dlog&amp;widgetTypeCall=true&amp;directAccess=false</t>
  </si>
  <si>
    <t>2025.06.20의료계주요뉴스</t>
  </si>
  <si>
    <t>https://blog.naver.com/PostView.naver?blogId=k202904&amp;logNo=223905964577&amp;redirect=Dlog&amp;widgetTypeCall=true&amp;directAccess=false</t>
  </si>
  <si>
    <t>rfkang49</t>
  </si>
  <si>
    <t>에쓰오일 - 최근 주가가 5년 내 최저가를 기록했다며 중장기적으로 정제마진이 상승하면서 주가도 반등하리라고 예상</t>
  </si>
  <si>
    <t>https://blog.naver.com/PostView.naver?blogId=rfkang49&amp;logNo=223905944240&amp;redirect=Dlog&amp;widgetTypeCall=true&amp;directAccess=false</t>
  </si>
  <si>
    <t>현꾸</t>
  </si>
  <si>
    <t>250620 일일뉴스</t>
  </si>
  <si>
    <t>https://blog.naver.com/PostView.naver?blogId=zmdkwo&amp;logNo=223905912568&amp;redirect=Dlog&amp;widgetTypeCall=true&amp;directAccess=false</t>
  </si>
  <si>
    <t>인천 부평 살인사건 접근금지명령 종료 일주일 만에 아내 흉기 살해한 60대 남편 현행범 체포</t>
  </si>
  <si>
    <t>https://blog.naver.com/PostView.naver?blogId=dbenfl23&amp;logNo=223905903065&amp;redirect=Dlog&amp;widgetTypeCall=true&amp;directAccess=false</t>
  </si>
  <si>
    <t>“이재명의 마지막 히든카드 'AI 수석' 공개에 국힘도 화들짝 놀라 인정하며 고개 숙여 반성.. "尹 정부와 차원이 다른 행보입니다" (김정호) #끝내주는경제 (0619_목)” 의</t>
  </si>
  <si>
    <t>https://blog.naver.com/PostView.naver?blogId=lucidjun&amp;logNo=223905826554&amp;redirect=Dlog&amp;widgetTypeCall=true&amp;directAccess=false</t>
  </si>
  <si>
    <t>yulhachungdahm</t>
  </si>
  <si>
    <t>Daily News</t>
  </si>
  <si>
    <t>https://blog.naver.com/PostView.naver?blogId=yulha-chungdahm&amp;logNo=223905776772&amp;redirect=Dlog&amp;widgetTypeCall=true&amp;directAccess=false</t>
  </si>
  <si>
    <t>Hyun</t>
  </si>
  <si>
    <t>[ESF 2025] 제16회 이데일리 전략포럼 참석 후기</t>
  </si>
  <si>
    <t>https://blog.naver.com/PostView.naver?blogId=euphoria_82&amp;logNo=223905702287&amp;redirect=Dlog&amp;widgetTypeCall=true&amp;directAccess=false</t>
  </si>
  <si>
    <t>6월 20일 증권뉴스(05:50기준)</t>
  </si>
  <si>
    <t>https://blog.naver.com/PostView.naver?blogId=fr1972&amp;logNo=223905361569&amp;redirect=Dlog&amp;widgetTypeCall=true&amp;directAccess=false</t>
  </si>
  <si>
    <t>딴스취</t>
  </si>
  <si>
    <t>[이데일리전략포럼 2025] AI 실시간 동시통역과 인간통역사의 자존감</t>
  </si>
  <si>
    <t>https://blog.naver.com/PostView.naver?blogId=professionalstranger&amp;logNo=223905243168&amp;redirect=Dlog&amp;widgetTypeCall=true&amp;directAccess=false</t>
  </si>
  <si>
    <t>인천 설명 원장</t>
  </si>
  <si>
    <t>검단신도시의 배짱과 포부 (검단 메가시티, 곧 됩니다!)</t>
  </si>
  <si>
    <t>https://blog.naver.com/PostView.naver?blogId=kubo_kmd&amp;logNo=223905041682&amp;redirect=Dlog&amp;widgetTypeCall=true&amp;directAccess=false</t>
  </si>
  <si>
    <t>2025-06-19</t>
  </si>
  <si>
    <t>2025.06.19의료계주요뉴스</t>
  </si>
  <si>
    <t>https://blog.naver.com/PostView.naver?blogId=k202904&amp;logNo=223904912781&amp;redirect=Dlog&amp;widgetTypeCall=true&amp;directAccess=false</t>
  </si>
  <si>
    <t>올드카 삼총사</t>
  </si>
  <si>
    <t>이스라엘·이란 '충돌'에 금값 또 들썩…사상 최고치 찍을까</t>
  </si>
  <si>
    <t>https://blog.naver.com/PostView.naver?blogId=2muchtalker_y&amp;logNo=223904575677&amp;redirect=Dlog&amp;widgetTypeCall=true&amp;directAccess=false</t>
  </si>
  <si>
    <t>진학캐스터</t>
  </si>
  <si>
    <t>#Z세대 | Z세대 트렌드 전반</t>
  </si>
  <si>
    <t>https://blog.naver.com/PostView.naver?blogId=5win10&amp;logNo=223904519143&amp;redirect=Dlog&amp;widgetTypeCall=true&amp;directAccess=false</t>
  </si>
  <si>
    <t>"2025년 6월 18일 간추린 셀러 뉴스"</t>
  </si>
  <si>
    <t>https://blog.naver.com/PostView.naver?blogId=urban-sb1&amp;logNo=223904420541&amp;redirect=Dlog&amp;widgetTypeCall=true&amp;directAccess=false</t>
  </si>
  <si>
    <t>한국근육장애인협회</t>
  </si>
  <si>
    <t>듀센근이영양증 치료에 새 가능성… EZH2 억제제로 근육 섬유화·근력 저하 개선</t>
  </si>
  <si>
    <t>https://blog.naver.com/PostView.naver?blogId=hlog_k00074&amp;logNo=223904343763&amp;redirect=Dlog&amp;widgetTypeCall=true&amp;directAccess=false</t>
  </si>
  <si>
    <t>한국과총</t>
  </si>
  <si>
    <t>[현장탐방] ‘2025 오사카·간사이 세계 엑스포’ 가보니(과학과기술, 2025.6)</t>
  </si>
  <si>
    <t>https://blog.naver.com/PostView.naver?blogId=kofst_news&amp;logNo=223903084769&amp;redirect=Dlog&amp;widgetTypeCall=true&amp;directAccess=false</t>
  </si>
  <si>
    <t>메트로타임즈</t>
  </si>
  <si>
    <t>용인문화재단, 연극 《장녀들》 9월 공연 티켓 오픈</t>
  </si>
  <si>
    <t>https://blog.naver.com/PostView.naver?blogId=metrotimes&amp;logNo=223904250758&amp;redirect=Dlog&amp;widgetTypeCall=true&amp;directAccess=false</t>
  </si>
  <si>
    <t>유니온</t>
  </si>
  <si>
    <t>[ 뉴스클리핑 ] 2025년 06월 19일(목)</t>
  </si>
  <si>
    <t>https://blog.naver.com/PostView.naver?blogId=valueinstory&amp;logNo=223904234145&amp;redirect=Dlog&amp;widgetTypeCall=true&amp;directAccess=false</t>
  </si>
  <si>
    <t>감사하면 풍족해진다</t>
  </si>
  <si>
    <t>용인문화재단, 극단 프로젝트 아일랜드 연극 장녀들 티켓 오픈</t>
  </si>
  <si>
    <t>https://blog.naver.com/PostView.naver?blogId=pressman0520&amp;logNo=223904215472&amp;redirect=Dlog&amp;widgetTypeCall=true&amp;directAccess=false</t>
  </si>
  <si>
    <t>일간 시황 정리(2025.06.19)</t>
  </si>
  <si>
    <t>https://blog.naver.com/PostView.naver?blogId=banjwoo&amp;logNo=223904198089&amp;redirect=Dlog&amp;widgetTypeCall=true&amp;directAccess=false</t>
  </si>
  <si>
    <t>6월 19일 증권뉴스(06:30기준)</t>
  </si>
  <si>
    <t>https://blog.naver.com/PostView.naver?blogId=fr1972&amp;logNo=223904195784&amp;redirect=Dlog&amp;widgetTypeCall=true&amp;directAccess=false</t>
  </si>
  <si>
    <t>알곡님</t>
  </si>
  <si>
    <t>하루 실천 체크리스트(3)</t>
  </si>
  <si>
    <t>https://blog.naver.com/PostView.naver?blogId=gissele7&amp;logNo=223904181406&amp;redirect=Dlog&amp;widgetTypeCall=true&amp;directAccess=false</t>
  </si>
  <si>
    <t>해외서 공짜 와이파이 썼다가 '탈탈'…개인정보 '다 털린다'</t>
  </si>
  <si>
    <t>https://blog.naver.com/PostView.naver?blogId=samo2001&amp;logNo=223904164791&amp;redirect=Dlog&amp;widgetTypeCall=true&amp;directAccess=false</t>
  </si>
  <si>
    <t>싱글파이어 김씨</t>
  </si>
  <si>
    <t>에스엠씨지 VIP자산운용 5.56% 지분 신규 공시(2025.06.17)</t>
  </si>
  <si>
    <t>https://blog.naver.com/PostView.naver?blogId=walkaroundtheearth&amp;logNo=223903829130&amp;redirect=Dlog&amp;widgetTypeCall=true&amp;directAccess=false</t>
  </si>
  <si>
    <t>2025-06-18</t>
  </si>
  <si>
    <t>아마존 CEO, “AI 도입으로 인력 감축 불가피”, 글로벌 대기업 속속 감원 행렬</t>
  </si>
  <si>
    <t>https://blog.naver.com/PostView.naver?blogId=lkyj8ch&amp;logNo=223903810844&amp;redirect=Dlog&amp;widgetTypeCall=true&amp;directAccess=false</t>
  </si>
  <si>
    <t>SweetClara</t>
  </si>
  <si>
    <t>[중년일기] 장충동 나들이</t>
  </si>
  <si>
    <t>https://blog.naver.com/PostView.naver?blogId=sweetclara23&amp;logNo=223903808436&amp;redirect=Dlog&amp;widgetTypeCall=true&amp;directAccess=false</t>
  </si>
  <si>
    <t>2025.06.18의료계주요뉴스</t>
  </si>
  <si>
    <t>https://blog.naver.com/PostView.naver?blogId=k202904&amp;logNo=223903677708&amp;redirect=Dlog&amp;widgetTypeCall=true&amp;directAccess=false</t>
  </si>
  <si>
    <t>필옵틱스 - 반도체·디스플레이 장비 전문기업</t>
  </si>
  <si>
    <t>https://blog.naver.com/PostView.naver?blogId=rfkang49&amp;logNo=223903561411&amp;redirect=Dlog&amp;widgetTypeCall=true&amp;directAccess=false</t>
  </si>
  <si>
    <t>Rich4mom</t>
  </si>
  <si>
    <t>유리기판 관련주 피아이이 한빛레이저 특징주</t>
  </si>
  <si>
    <t>https://blog.naver.com/PostView.naver?blogId=rich4mom&amp;logNo=223903477426&amp;redirect=Dlog&amp;widgetTypeCall=true&amp;directAccess=false</t>
  </si>
  <si>
    <t>릴리</t>
  </si>
  <si>
    <t>크르타</t>
  </si>
  <si>
    <t>#나노실리칸첨단소재 는 지난 4월말 #자회사 #솔트라이트 #대표이사 #최재권 통해 #인천 지역에서 추진하는 #데이터센터 사업을  국내 #대기업 #건설사 G사와 공동으로 진행</t>
  </si>
  <si>
    <t>https://blog.naver.com/PostView.naver?blogId=acamos&amp;logNo=223903108333&amp;redirect=Dlog&amp;widgetTypeCall=true&amp;directAccess=false</t>
  </si>
  <si>
    <t>만물박사님</t>
  </si>
  <si>
    <t>두산에너빌리티, 원전·SMR 확대 수혜 기대…목표가 70%↑-KB</t>
  </si>
  <si>
    <t>https://blog.naver.com/PostView.naver?blogId=cavin419&amp;logNo=223903022694&amp;redirect=Dlog&amp;widgetTypeCall=true&amp;directAccess=false</t>
  </si>
  <si>
    <t>일간 시황 정리(2025.06.18)</t>
  </si>
  <si>
    <t>https://blog.naver.com/PostView.naver?blogId=banjwoo&amp;logNo=223902957630&amp;redirect=Dlog&amp;widgetTypeCall=true&amp;directAccess=false</t>
  </si>
  <si>
    <t>2025년 6월 17일, 공주 무령왕릉과 왕릉원 100여 년 만의 재조사 성과 보고회. X 반응.</t>
  </si>
  <si>
    <t>https://blog.naver.com/PostView.naver?blogId=shinswoong75&amp;logNo=223902726026&amp;redirect=Dlog&amp;widgetTypeCall=true&amp;directAccess=false</t>
  </si>
  <si>
    <t>2025-06-17</t>
  </si>
  <si>
    <t>챠챠</t>
  </si>
  <si>
    <t>2025/06/17 상한가 종목</t>
  </si>
  <si>
    <t>https://blog.naver.com/PostView.naver?blogId=intheriverck&amp;logNo=223902625544&amp;redirect=Dlog&amp;widgetTypeCall=true&amp;directAccess=false</t>
  </si>
  <si>
    <t>구루</t>
  </si>
  <si>
    <t>오픈AI, 美 국방 안보 임무에 AI 기술 제공…국방부서 첫 수주_이데일리</t>
  </si>
  <si>
    <t>https://blog.naver.com/PostView.naver?blogId=gur0&amp;logNo=223902596403&amp;redirect=Dlog&amp;widgetTypeCall=true&amp;directAccess=false</t>
  </si>
  <si>
    <t>ADdictor</t>
  </si>
  <si>
    <t>ADdict Weekly Report 2025년 6월 2주차</t>
  </si>
  <si>
    <t>https://blog.naver.com/PostView.naver?blogId=addictad&amp;logNo=223902585678&amp;redirect=Dlog&amp;widgetTypeCall=true&amp;directAccess=false</t>
  </si>
  <si>
    <t>2025.06.17의료계주요뉴스</t>
  </si>
  <si>
    <t>https://blog.naver.com/PostView.naver?blogId=k202904&amp;logNo=223902449461&amp;redirect=Dlog&amp;widgetTypeCall=true&amp;directAccess=false</t>
  </si>
  <si>
    <t>써리콩</t>
  </si>
  <si>
    <t>[주식공부] AI</t>
  </si>
  <si>
    <t>https://blog.naver.com/PostView.naver?blogId=tjdbfl7204&amp;logNo=223902354616&amp;redirect=Dlog&amp;widgetTypeCall=true&amp;directAccess=false</t>
  </si>
  <si>
    <t>250617) '25만닉스' 벽 뚫었다…SK하이닉스 연일 신고가</t>
  </si>
  <si>
    <t>https://blog.naver.com/PostView.naver?blogId=mudita22&amp;logNo=223902108678&amp;redirect=Dlog&amp;widgetTypeCall=true&amp;directAccess=false</t>
  </si>
  <si>
    <t>미디어온</t>
  </si>
  <si>
    <t>롯데건설 ‘하도급법 위반’ 혐의…공정위 제재</t>
  </si>
  <si>
    <t>https://blog.naver.com/PostView.naver?blogId=media-on-2&amp;logNo=223901872903&amp;redirect=Dlog&amp;widgetTypeCall=true&amp;directAccess=false</t>
  </si>
  <si>
    <t>국립극장</t>
  </si>
  <si>
    <t>어디에도 없지만, 우리 안에 있는 존재</t>
  </si>
  <si>
    <t>https://blog.naver.com/PostView.naver?blogId=ntok2010&amp;logNo=223901971557&amp;redirect=Dlog&amp;widgetTypeCall=true&amp;directAccess=false</t>
  </si>
  <si>
    <t>피스메이커</t>
  </si>
  <si>
    <t>세라피나</t>
  </si>
  <si>
    <t>6.17</t>
  </si>
  <si>
    <t>https://blog.naver.com/PostView.naver?blogId=arsjj&amp;logNo=223901827402&amp;redirect=Dlog&amp;widgetTypeCall=true&amp;directAccess=false</t>
  </si>
  <si>
    <t>일간 시황 정리(2025.06.17)</t>
  </si>
  <si>
    <t>https://blog.naver.com/PostView.naver?blogId=banjwoo&amp;logNo=223901745835&amp;redirect=Dlog&amp;widgetTypeCall=true&amp;directAccess=false</t>
  </si>
  <si>
    <t>원더짐</t>
  </si>
  <si>
    <t>신안 허니문 박람회 일정 및 꿀팁</t>
  </si>
  <si>
    <t>https://blog.naver.com/PostView.naver?blogId=cj8e5u0ayy&amp;logNo=223901707463&amp;redirect=Dlog&amp;widgetTypeCall=true&amp;directAccess=false</t>
  </si>
  <si>
    <t>2025/06/16 거래량 천만주 종목</t>
  </si>
  <si>
    <t>https://blog.naver.com/PostView.naver?blogId=intheriverck&amp;logNo=223901549899&amp;redirect=Dlog&amp;widgetTypeCall=true&amp;directAccess=false</t>
  </si>
  <si>
    <t>2025-06-16</t>
  </si>
  <si>
    <t>하모되지</t>
  </si>
  <si>
    <t>2025.06.16 사설</t>
  </si>
  <si>
    <t>https://blog.naver.com/PostView.naver?blogId=kbs650604&amp;logNo=223901546232&amp;redirect=Dlog&amp;widgetTypeCall=true&amp;directAccess=false</t>
  </si>
  <si>
    <t>하여튼 월가의 주요 "빅테크"들과 엔비디아등 인공지능(AI) 업체들이 뻠뿌질을 계속해대는데, 난 천문학적 비용이상으로 수익성 지표를 어디에서도 찾아볼수가 없다...</t>
  </si>
  <si>
    <t>https://blog.naver.com/PostView.naver?blogId=samsongeko1&amp;logNo=223900763406&amp;redirect=Dlog&amp;widgetTypeCall=true&amp;directAccess=false</t>
  </si>
  <si>
    <t>2025/06/16 상한가 종목</t>
  </si>
  <si>
    <t>https://blog.naver.com/PostView.naver?blogId=intheriverck&amp;logNo=223901463219&amp;redirect=Dlog&amp;widgetTypeCall=true&amp;directAccess=false</t>
  </si>
  <si>
    <t>ILove열매</t>
  </si>
  <si>
    <t>[버스 폭행 영상][20대 남성][80대 폭행][억울 남성]버스서 80대 폭행하는 男 말리려다 '폭행죄'…억울 [영상]</t>
  </si>
  <si>
    <t>https://blog.naver.com/PostView.naver?blogId=eithty2&amp;logNo=223901449060&amp;redirect=Dlog&amp;widgetTypeCall=true&amp;directAccess=false</t>
  </si>
  <si>
    <t>2025년 6월 15일, 제네시스 르망24 참가. X 반응</t>
  </si>
  <si>
    <t>https://blog.naver.com/PostView.naver?blogId=shinswoong75&amp;logNo=223901440125&amp;redirect=Dlog&amp;widgetTypeCall=true&amp;directAccess=false</t>
  </si>
  <si>
    <t>2025년 6월 16일, 김건희 여사, 특검 앞두고 서울아산병원 입원. X 반응.</t>
  </si>
  <si>
    <t>https://blog.naver.com/PostView.naver?blogId=shinswoong75&amp;logNo=223901367474&amp;redirect=Dlog&amp;widgetTypeCall=true&amp;directAccess=false</t>
  </si>
  <si>
    <t>청청수</t>
  </si>
  <si>
    <t>“내 뒤에 미국” 전한길, 트럼프 훈장은 ‘조작’ 사진. 아직도 미국 팔면서 사나?</t>
  </si>
  <si>
    <t>https://blog.naver.com/PostView.naver?blogId=lkl7383&amp;logNo=223901331697&amp;redirect=Dlog&amp;widgetTypeCall=true&amp;directAccess=false</t>
  </si>
  <si>
    <t>[이데일리] 조합원 돈 줄줄 샌다…조합장 비리 근절 ‘다수 동의’ 제도화해야</t>
  </si>
  <si>
    <t>https://blog.naver.com/PostView.naver?blogId=bdmonth&amp;logNo=223901014694&amp;redirect=Dlog&amp;widgetTypeCall=true&amp;directAccess=false</t>
  </si>
  <si>
    <t>제주노동권익센터</t>
  </si>
  <si>
    <t>[고용노동뉴스 ]노동계 숙원 ‘정년연장’ ‘노란봉투법’ 등 추진[이재명 정부 노동정책] ‘주 4.5일제 도입’ ‘근기법 적용 확대’</t>
  </si>
  <si>
    <t>https://blog.naver.com/PostView.naver?blogId=jejucwsc&amp;logNo=223900854254&amp;redirect=Dlog&amp;widgetTypeCall=true&amp;directAccess=false</t>
  </si>
  <si>
    <t>6월 16일 부동산 뉴스</t>
  </si>
  <si>
    <t>https://blog.naver.com/PostView.naver?blogId=cogusal11&amp;logNo=223900598835&amp;redirect=Dlog&amp;widgetTypeCall=true&amp;directAccess=false</t>
  </si>
  <si>
    <t>일간 시황 정리(2025.06.16)</t>
  </si>
  <si>
    <t>https://blog.naver.com/PostView.naver?blogId=banjwoo&amp;logNo=223900489329&amp;redirect=Dlog&amp;widgetTypeCall=true&amp;directAccess=false</t>
  </si>
  <si>
    <t>2025.06.15의료계주요뉴스</t>
  </si>
  <si>
    <t>https://blog.naver.com/PostView.naver?blogId=k202904&amp;logNo=223900248201&amp;redirect=Dlog&amp;widgetTypeCall=true&amp;directAccess=false</t>
  </si>
  <si>
    <t>2025-06-15</t>
  </si>
  <si>
    <t>채옹</t>
  </si>
  <si>
    <t>[이데일리 전략포럼 서포터즈] D-3.... 이제 얼마 안 남았다.... 이..데..일리.. 전략... 포럼...</t>
  </si>
  <si>
    <t>https://blog.naver.com/PostView.naver?blogId=re__onee&amp;logNo=223900166772&amp;redirect=Dlog&amp;widgetTypeCall=true&amp;directAccess=false</t>
  </si>
  <si>
    <t>CBI - 미래 산업 중심의 신사업 재편에 본격 나선다는 분석</t>
  </si>
  <si>
    <t>https://blog.naver.com/PostView.naver?blogId=rfkang49&amp;logNo=223899960994&amp;redirect=Dlog&amp;widgetTypeCall=true&amp;directAccess=false</t>
  </si>
  <si>
    <t>정치장인</t>
  </si>
  <si>
    <t>네이버클라우드 센터장 하정우 프로필 나이 고향 학력 경력 "AI수석 임명"</t>
  </si>
  <si>
    <t>https://blog.naver.com/PostView.naver?blogId=happyair4&amp;logNo=223899928910&amp;redirect=Dlog&amp;widgetTypeCall=true&amp;directAccess=false</t>
  </si>
  <si>
    <t>떠오르는해</t>
  </si>
  <si>
    <t>이재명 대통령 "남북 상생하는 미래 열자"</t>
  </si>
  <si>
    <t>https://blog.naver.com/PostView.naver?blogId=standby11&amp;logNo=223899885499&amp;redirect=Dlog&amp;widgetTypeCall=true&amp;directAccess=false</t>
  </si>
  <si>
    <t>아리웅</t>
  </si>
  <si>
    <t>임영웅 팬카페 '영웅시대 광주전남', 소아암 치료비 700만 원 기부[포토]</t>
  </si>
  <si>
    <t>https://blog.naver.com/PostView.naver?blogId=blj8888&amp;logNo=223899879607&amp;redirect=Dlog&amp;widgetTypeCall=true&amp;directAccess=false</t>
  </si>
  <si>
    <t>Bliss</t>
  </si>
  <si>
    <t>“영등포도 25평이 곧 14억” 서울 아파트, 강남만 오른 게 아니었다</t>
  </si>
  <si>
    <t>https://blog.naver.com/PostView.naver?blogId=seodooo&amp;logNo=223899237878&amp;redirect=Dlog&amp;widgetTypeCall=true&amp;directAccess=false</t>
  </si>
  <si>
    <t>hopseung</t>
  </si>
  <si>
    <t>상법 개정안 통과시 중소형 지주사도 상승랠리 동참</t>
  </si>
  <si>
    <t>https://blog.naver.com/PostView.naver?blogId=hopseung&amp;logNo=223899388785&amp;redirect=Dlog&amp;widgetTypeCall=true&amp;directAccess=false</t>
  </si>
  <si>
    <t>2025-06-14</t>
  </si>
  <si>
    <t>다음  연예</t>
  </si>
  <si>
    <t>https://blog.naver.com/PostView.naver?blogId=c1c1b1b1&amp;logNo=223898943195&amp;redirect=Dlog&amp;widgetTypeCall=true&amp;directAccess=false</t>
  </si>
  <si>
    <t>자비에르</t>
  </si>
  <si>
    <t>2025년 6월 14일, 오늘의 주요 경제뉴스 스크랩(국내 글로벌)</t>
  </si>
  <si>
    <t>https://blog.naver.com/PostView.naver?blogId=promising_people&amp;logNo=223898918447&amp;redirect=Dlog&amp;widgetTypeCall=true&amp;directAccess=false</t>
  </si>
  <si>
    <t>다음 10년은 자율주행과 로봇의 시대</t>
  </si>
  <si>
    <t>https://blog.naver.com/PostView.naver?blogId=miraee05&amp;logNo=223898896362&amp;redirect=Dlog&amp;widgetTypeCall=true&amp;directAccess=false</t>
  </si>
  <si>
    <t>생활정보연구소</t>
  </si>
  <si>
    <t>(2025년 6월 14일 10시) 따끈따끈한 오늘의 언론사별 헤드라인 뉴스 어떤 내용일까요?</t>
  </si>
  <si>
    <t>https://blog.naver.com/PostView.naver?blogId=1999pdh&amp;logNo=223898873719&amp;redirect=Dlog&amp;widgetTypeCall=true&amp;directAccess=false</t>
  </si>
  <si>
    <t>부동산에 대한 단상</t>
  </si>
  <si>
    <t>https://blog.naver.com/PostView.naver?blogId=good-mylife&amp;logNo=223898844005&amp;redirect=Dlog&amp;widgetTypeCall=true&amp;directAccess=false</t>
  </si>
  <si>
    <t>2025년 6월14일(토) 오늘의 주요뉴스</t>
  </si>
  <si>
    <t>https://blog.naver.com/PostView.naver?blogId=cavin419&amp;logNo=223898814187&amp;redirect=Dlog&amp;widgetTypeCall=true&amp;directAccess=false</t>
  </si>
  <si>
    <t>2025-06-13</t>
  </si>
  <si>
    <t>싸이티처</t>
  </si>
  <si>
    <t>&lt;Kor-Eng&gt; 분단 후 처음, 남북 정상 만난 날 [그해 오늘]</t>
  </si>
  <si>
    <t>https://blog.naver.com/PostView.naver?blogId=lee2621&amp;logNo=223898155864&amp;redirect=Dlog&amp;widgetTypeCall=true&amp;directAccess=false</t>
  </si>
  <si>
    <t>한친구</t>
  </si>
  <si>
    <t>[속보] 강남 은마아파트 공사장서 작업자 2명 매몰…1명 심정지</t>
  </si>
  <si>
    <t>https://blog.naver.com/PostView.naver?blogId=meangju2020&amp;logNo=223898058660&amp;redirect=Dlog&amp;widgetTypeCall=true&amp;directAccess=false</t>
  </si>
  <si>
    <t>美증시, 하루 만에 반등...금리인하 기대 확산[뉴스새벽배송]</t>
  </si>
  <si>
    <t>https://blog.naver.com/PostView.naver?blogId=dbtjwns92&amp;logNo=223897760450&amp;redirect=Dlog&amp;widgetTypeCall=true&amp;directAccess=false</t>
  </si>
  <si>
    <t>"달러 하락세 지속 가능성" 시장에서 보내온 시그널</t>
  </si>
  <si>
    <t>https://blog.naver.com/PostView.naver?blogId=miraee05&amp;logNo=223897684526&amp;redirect=Dlog&amp;widgetTypeCall=true&amp;directAccess=false</t>
  </si>
  <si>
    <t>대구 스토킹 살인 용의자 추적 나흘째, 사건 장기화 우려, 청주 잠입 가능성도..</t>
  </si>
  <si>
    <t>https://blog.naver.com/PostView.naver?blogId=krsongc2&amp;logNo=223897679758&amp;redirect=Dlog&amp;widgetTypeCall=true&amp;directAccess=false</t>
  </si>
  <si>
    <t>pokara61</t>
  </si>
  <si>
    <t>&lt;뉴욕 증시&gt; 관세 불확실성 지속, 증시는 소폭 상승</t>
  </si>
  <si>
    <t>https://blog.naver.com/PostView.naver?blogId=pokara61&amp;logNo=223897662347&amp;redirect=Dlog&amp;widgetTypeCall=true&amp;directAccess=false</t>
  </si>
  <si>
    <t>6월 13일 증권뉴스(06:20기준)</t>
  </si>
  <si>
    <t>https://blog.naver.com/PostView.naver?blogId=fr1972&amp;logNo=223897628511&amp;redirect=Dlog&amp;widgetTypeCall=true&amp;directAccess=false</t>
  </si>
  <si>
    <t>김정현소장</t>
  </si>
  <si>
    <t>고양은평선 설계·시공 일괄입찰로 사업 추진 '속도'</t>
  </si>
  <si>
    <t>https://blog.naver.com/PostView.naver?blogId=myhyun2004&amp;logNo=223897372792&amp;redirect=Dlog&amp;widgetTypeCall=true&amp;directAccess=false</t>
  </si>
  <si>
    <t>2025-06-12</t>
  </si>
  <si>
    <t>밍금</t>
  </si>
  <si>
    <t>신문 스크랩 6일차 - 케이뱅크 고객수 급증, 그 이유는?</t>
  </si>
  <si>
    <t>https://blog.naver.com/PostView.naver?blogId=thnkbank&amp;logNo=223897358281&amp;redirect=Dlog&amp;widgetTypeCall=true&amp;directAccess=false</t>
  </si>
  <si>
    <t>온세상</t>
  </si>
  <si>
    <t>걷기운동 017일차</t>
  </si>
  <si>
    <t>https://blog.naver.com/PostView.naver?blogId=a2007&amp;logNo=223897325247&amp;redirect=Dlog&amp;widgetTypeCall=true&amp;directAccess=false</t>
  </si>
  <si>
    <t>#정봉진 #케이엔에스 대표이사는 “ #중국산 부품에 대한 규제가 강화되고 있는 만큼 국내 #생산거점 확보는 #글로벌 #OEM #테슬라 #협업 확대에도 중요한 #전략적 자산이 될</t>
  </si>
  <si>
    <t>https://blog.naver.com/PostView.naver?blogId=acamos&amp;logNo=223897256160&amp;redirect=Dlog&amp;widgetTypeCall=true&amp;directAccess=false</t>
  </si>
  <si>
    <t>2025.06.12의료계주요뉴스</t>
  </si>
  <si>
    <t>https://blog.naver.com/PostView.naver?blogId=k202904&amp;logNo=223897182722&amp;redirect=Dlog&amp;widgetTypeCall=true&amp;directAccess=false</t>
  </si>
  <si>
    <t>포올</t>
  </si>
  <si>
    <t>이창용 총재 기념사 발언에 국고채 3년물 금리↑…“부동산 우려”</t>
  </si>
  <si>
    <t>https://blog.naver.com/PostView.naver?blogId=anaishan0723&amp;logNo=223896890607&amp;redirect=Dlog&amp;widgetTypeCall=true&amp;directAccess=false</t>
  </si>
  <si>
    <t>트럼프 특사, 15일 이란 외무장관과 회담…"핵협상 논의"</t>
  </si>
  <si>
    <t>https://blog.naver.com/PostView.naver?blogId=anaishan0723&amp;logNo=223896889150&amp;redirect=Dlog&amp;widgetTypeCall=true&amp;directAccess=false</t>
  </si>
  <si>
    <t>베센트 "스테이블 코인 시총 2700조원 전망은 합리적"</t>
  </si>
  <si>
    <t>https://blog.naver.com/PostView.naver?blogId=anaishan0723&amp;logNo=223896708970&amp;redirect=Dlog&amp;widgetTypeCall=true&amp;directAccess=false</t>
  </si>
  <si>
    <t>솔티</t>
  </si>
  <si>
    <t>250612)  한투증권 "하반기 코스피 3,000 돌파…등락 범위 2,600∼3,150"</t>
  </si>
  <si>
    <t>https://blog.naver.com/PostView.naver?blogId=soeona&amp;logNo=223896546508&amp;redirect=Dlog&amp;widgetTypeCall=true&amp;directAccess=false</t>
  </si>
  <si>
    <t>이루다</t>
  </si>
  <si>
    <t>증시 레벨업' 시작됐다... 코스피 5000의 조건</t>
  </si>
  <si>
    <t>https://blog.naver.com/PostView.naver?blogId=ilis26&amp;logNo=223896531495&amp;redirect=Dlog&amp;widgetTypeCall=true&amp;directAccess=false</t>
  </si>
  <si>
    <t>트럼프 "무역협상 연장 필요하지 않을 것…조만간 서한 발송"(상보)</t>
  </si>
  <si>
    <t>https://blog.naver.com/PostView.naver?blogId=anaishan0723&amp;logNo=223896521011&amp;redirect=Dlog&amp;widgetTypeCall=true&amp;directAccess=false</t>
  </si>
  <si>
    <t>꿈꾸는 낙타</t>
  </si>
  <si>
    <t>테슬라 로보택시 출시임박?</t>
  </si>
  <si>
    <t>https://blog.naver.com/PostView.naver?blogId=economy2025&amp;logNo=223895701502&amp;redirect=Dlog&amp;widgetTypeCall=true&amp;directAccess=false</t>
  </si>
  <si>
    <t>General Investor</t>
  </si>
  <si>
    <t>교환사채 발행 봇물</t>
  </si>
  <si>
    <t>https://blog.naver.com/PostView.naver?blogId=tobesmartrich&amp;logNo=223896437747&amp;redirect=Dlog&amp;widgetTypeCall=true&amp;directAccess=false</t>
  </si>
  <si>
    <t>2025년 6월 11일, "민생지원금 전국민 일괄 지급" 국정기획위 유력 검토에 대한 X 반응.</t>
  </si>
  <si>
    <t>https://blog.naver.com/PostView.naver?blogId=shinswoong75&amp;logNo=223896261982&amp;redirect=Dlog&amp;widgetTypeCall=true&amp;directAccess=false</t>
  </si>
  <si>
    <t>2025-06-11</t>
  </si>
  <si>
    <t>내오리</t>
  </si>
  <si>
    <t>"내가 대통령 됐을 땐 미국서 바로 전화"...윤석열 대통령님, 전한길에 한 말, “내 뒤에 미국·일본 있다, 건들면 국제 문제”…전한길, 정부·여당에 경고</t>
  </si>
  <si>
    <t>https://blog.naver.com/PostView.naver?blogId=myduck1206&amp;logNo=223896257165&amp;redirect=Dlog&amp;widgetTypeCall=true&amp;directAccess=false</t>
  </si>
  <si>
    <t>바이르마</t>
  </si>
  <si>
    <t>현대차, 1분기 매출 역대치 기록…"허리띠 조이고 생산 효율화"(종합)</t>
  </si>
  <si>
    <t>https://blog.naver.com/PostView.naver?blogId=altjs1013&amp;logNo=223895989440&amp;redirect=Dlog&amp;widgetTypeCall=true&amp;directAccess=false</t>
  </si>
  <si>
    <t>구글엔 있고 애플엔 없었던 것! 애플, AI 골든타임 놓쳤나?</t>
  </si>
  <si>
    <t>https://blog.naver.com/PostView.naver?blogId=miraee05&amp;logNo=223895740032&amp;redirect=Dlog&amp;widgetTypeCall=true&amp;directAccess=false</t>
  </si>
  <si>
    <t>다시 시장 이끄는 빅테크! 삼성전자‧SK하이닉스 투자 전략은?</t>
  </si>
  <si>
    <t>https://blog.naver.com/PostView.naver?blogId=miraee05&amp;logNo=223895563579&amp;redirect=Dlog&amp;widgetTypeCall=true&amp;directAccess=false</t>
  </si>
  <si>
    <t>Ian</t>
  </si>
  <si>
    <t>애드바이오텍 3연상 후 쏟아지는 기사들 속에서 판단해야 할 것들</t>
  </si>
  <si>
    <t>https://blog.naver.com/PostView.naver?blogId=ifree20&amp;logNo=223895560972&amp;redirect=Dlog&amp;widgetTypeCall=true&amp;directAccess=false</t>
  </si>
  <si>
    <t>예스24, 사흘째 접속 오류…뮤지컬 등 공연 관람 피해 속출</t>
  </si>
  <si>
    <t>https://blog.naver.com/PostView.naver?blogId=mrqu&amp;logNo=223895543005&amp;redirect=Dlog&amp;widgetTypeCall=true&amp;directAccess=false</t>
  </si>
  <si>
    <t>ok man</t>
  </si>
  <si>
    <t>김민지 관련 최근 이슈: 뉴진스 민지와 동명이인 논란</t>
  </si>
  <si>
    <t>https://blog.naver.com/PostView.naver?blogId=creta22&amp;logNo=223895482825&amp;redirect=Dlog&amp;widgetTypeCall=true&amp;directAccess=false</t>
  </si>
  <si>
    <t>美 반도체 '훈풍'…'6만전자' 다시 터치[특징주]</t>
  </si>
  <si>
    <t>https://blog.naver.com/PostView.naver?blogId=anaishan0723&amp;logNo=223895388397&amp;redirect=Dlog&amp;widgetTypeCall=true&amp;directAccess=false</t>
  </si>
  <si>
    <t>맹아제</t>
  </si>
  <si>
    <t>2025.6.11 - '정의선 픽' 보스턴다이내믹스, IPO 대신 몸만들기</t>
  </si>
  <si>
    <t>https://blog.naver.com/PostView.naver?blogId=gvox&amp;logNo=223895343556&amp;redirect=Dlog&amp;widgetTypeCall=true&amp;directAccess=false</t>
  </si>
  <si>
    <t>영국·캐나다 등 5개국, 이스라엘 극우 장관 2명 제재 발표(수정)</t>
  </si>
  <si>
    <t>https://blog.naver.com/PostView.naver?blogId=anaishan0723&amp;logNo=223895332970&amp;redirect=Dlog&amp;widgetTypeCall=true&amp;directAccess=false</t>
  </si>
  <si>
    <t>국내법인, 스테이블코인 발행 허용 대통령 직속 '디지털자산위원회' 설치</t>
  </si>
  <si>
    <t>https://blog.naver.com/PostView.naver?blogId=miraee05&amp;logNo=223895333035&amp;redirect=Dlog&amp;widgetTypeCall=true&amp;directAccess=false</t>
  </si>
  <si>
    <t>헥토르</t>
  </si>
  <si>
    <t>"엄빠보다 불행... 우리 얘기는 아무도 안 들어줘"</t>
  </si>
  <si>
    <t>https://blog.naver.com/PostView.naver?blogId=pym78&amp;logNo=223894303762&amp;redirect=Dlog&amp;widgetTypeCall=true&amp;directAccess=false</t>
  </si>
  <si>
    <t>2025년 6월 11일, 오늘의 주요 경제뉴스 스크랩(국내 글로벌)</t>
  </si>
  <si>
    <t>https://blog.naver.com/PostView.naver?blogId=promising_people&amp;logNo=223895143151&amp;redirect=Dlog&amp;widgetTypeCall=true&amp;directAccess=false</t>
  </si>
  <si>
    <t>HD현대인프라코어(아세안 시장 점유율 확대 기대)---외국인 순매수 상위/ 시가총액 2조 1,127억원</t>
  </si>
  <si>
    <t>https://blog.naver.com/PostView.naver?blogId=recsy&amp;logNo=223895144290&amp;redirect=Dlog&amp;widgetTypeCall=true&amp;directAccess=false</t>
  </si>
  <si>
    <t>암호화폐 길 열리나?</t>
  </si>
  <si>
    <t>https://blog.naver.com/PostView.naver?blogId=miraee05&amp;logNo=223895049587&amp;redirect=Dlog&amp;widgetTypeCall=true&amp;directAccess=false</t>
  </si>
  <si>
    <t>2025-06-10</t>
  </si>
  <si>
    <t>조정식 1타 강사, 현직 교사로부터 수능 모의고사 문항 구매 혐의로 검찰 송치</t>
  </si>
  <si>
    <t>https://blog.naver.com/PostView.naver?blogId=krsongc2&amp;logNo=223894919153&amp;redirect=Dlog&amp;widgetTypeCall=true&amp;directAccess=false</t>
  </si>
  <si>
    <t>[이데일리] 재초환 폐지 물건너갔나…재건축 단지 '긴장'</t>
  </si>
  <si>
    <t>https://blog.naver.com/PostView.naver?blogId=bdmonth&amp;logNo=223894821329&amp;redirect=Dlog&amp;widgetTypeCall=true&amp;directAccess=false</t>
  </si>
  <si>
    <t>[이데일리] “10조 깜깜이 시장 ‘부동산 중개’…AI로 투명하게”</t>
  </si>
  <si>
    <t>https://blog.naver.com/PostView.naver?blogId=bdmonth&amp;logNo=223894817064&amp;redirect=Dlog&amp;widgetTypeCall=true&amp;directAccess=false</t>
  </si>
  <si>
    <t>대구 달서구 아파트 살인사건 가스배관 타고 침입해 50대 여성 살해 후 도주한 용의자 추적</t>
  </si>
  <si>
    <t>https://blog.naver.com/PostView.naver?blogId=fritz01&amp;logNo=223894767706&amp;redirect=Dlog&amp;widgetTypeCall=true&amp;directAccess=false</t>
  </si>
  <si>
    <t>테슬라, ‘극과 극’ 평가... 기대 vs 리스크</t>
  </si>
  <si>
    <t>https://blog.naver.com/PostView.naver?blogId=miraee05&amp;logNo=223894758185&amp;redirect=Dlog&amp;widgetTypeCall=true&amp;directAccess=false</t>
  </si>
  <si>
    <t>"너는 나한테 영감을 줬어"</t>
  </si>
  <si>
    <t>https://blog.naver.com/PostView.naver?blogId=pym78&amp;logNo=223894255637&amp;redirect=Dlog&amp;widgetTypeCall=true&amp;directAccess=false</t>
  </si>
  <si>
    <t>리치한 오렌지</t>
  </si>
  <si>
    <t>2025. 6. 10.</t>
  </si>
  <si>
    <t>https://blog.naver.com/PostView.naver?blogId=yuzuliha&amp;logNo=223894656891&amp;redirect=Dlog&amp;widgetTypeCall=true&amp;directAccess=false</t>
  </si>
  <si>
    <t>카자마</t>
  </si>
  <si>
    <t>250610 부동산 주요뉴스</t>
  </si>
  <si>
    <t>https://blog.naver.com/PostView.naver?blogId=ebdn0083&amp;logNo=223894495137&amp;redirect=Dlog&amp;widgetTypeCall=true&amp;directAccess=false</t>
  </si>
  <si>
    <t>하드민</t>
  </si>
  <si>
    <t>한국화 거장' 홍석창 화백 별세…향년 84세</t>
  </si>
  <si>
    <t>https://blog.naver.com/PostView.naver?blogId=mrqu&amp;logNo=223894355371&amp;redirect=Dlog&amp;widgetTypeCall=true&amp;directAccess=false</t>
  </si>
  <si>
    <t>디지털자산위 설치·스테이블코인 사전인가제···‘디지털자산기본법’ 발의</t>
  </si>
  <si>
    <t>https://blog.naver.com/PostView.naver?blogId=anaishan0723&amp;logNo=223894322602&amp;redirect=Dlog&amp;widgetTypeCall=true&amp;directAccess=false</t>
  </si>
  <si>
    <t>美 의회예산국 "8월 중순~9월 말 부채 한도 바닥난다"</t>
  </si>
  <si>
    <t>https://blog.naver.com/PostView.naver?blogId=anaishan0723&amp;logNo=223894279937&amp;redirect=Dlog&amp;widgetTypeCall=true&amp;directAccess=false</t>
  </si>
  <si>
    <t>바보부동산</t>
  </si>
  <si>
    <t>집값과 세금의 딜레마, 현 정부에서는 어떻게 다를까?</t>
  </si>
  <si>
    <t>https://blog.naver.com/PostView.naver?blogId=hunnnnnn&amp;logNo=223893522799&amp;redirect=Dlog&amp;widgetTypeCall=true&amp;directAccess=false</t>
  </si>
  <si>
    <t>6월 10일 부동산 뉴스</t>
  </si>
  <si>
    <t>https://blog.naver.com/PostView.naver?blogId=cogusal11&amp;logNo=223894235155&amp;redirect=Dlog&amp;widgetTypeCall=true&amp;directAccess=false</t>
  </si>
  <si>
    <t>코스피, 강보합권 출발 후 등락…최고치 또 찍고 차익매물 출회</t>
  </si>
  <si>
    <t>https://blog.naver.com/PostView.naver?blogId=anaishan0723&amp;logNo=223894220923&amp;redirect=Dlog&amp;widgetTypeCall=true&amp;directAccess=false</t>
  </si>
  <si>
    <t>노란감자</t>
  </si>
  <si>
    <t>하이트진로 : 참이슬, 진로 등 국내 주류 브랜드 압도적인 1위 기업</t>
  </si>
  <si>
    <t>https://blog.naver.com/PostView.naver?blogId=yellowpotato12&amp;logNo=223884945092&amp;redirect=Dlog&amp;widgetTypeCall=true&amp;directAccess=false</t>
  </si>
  <si>
    <t>중국→미국 컨테이너 물동량 반등…美증시 ‘재고 보충’ 기대↑</t>
  </si>
  <si>
    <t>https://blog.naver.com/PostView.naver?blogId=anaishan0723&amp;logNo=223894194675&amp;redirect=Dlog&amp;widgetTypeCall=true&amp;directAccess=false</t>
  </si>
  <si>
    <t>[ 뉴스클리핑 ] 2025년 06월 10일(화)</t>
  </si>
  <si>
    <t>https://blog.naver.com/PostView.naver?blogId=valueinstory&amp;logNo=223894152679&amp;redirect=Dlog&amp;widgetTypeCall=true&amp;directAccess=false</t>
  </si>
  <si>
    <t>6월 10일 증권뉴스(06:10기준)</t>
  </si>
  <si>
    <t>https://blog.naver.com/PostView.naver?blogId=fr1972&amp;logNo=223894104879&amp;redirect=Dlog&amp;widgetTypeCall=true&amp;directAccess=false</t>
  </si>
  <si>
    <t>2025/06/09 거래량 천만주 종목</t>
  </si>
  <si>
    <t>https://blog.naver.com/PostView.naver?blogId=intheriverck&amp;logNo=223893704031&amp;redirect=Dlog&amp;widgetTypeCall=true&amp;directAccess=false</t>
  </si>
  <si>
    <t>2025-06-09</t>
  </si>
  <si>
    <t>[네이버 뉴스] 與, '이재명 정부' 지원사격…추경 준비·거부권 법안 재추진 / 李 취임 열흘 만에 재계 총수 만난다 / 민주당-의협, 이재명 정부 의정 갈등 협상 테이블 앉았다.</t>
  </si>
  <si>
    <t>https://blog.naver.com/PostView.naver?blogId=kangyeou&amp;logNo=223893624180&amp;redirect=Dlog&amp;widgetTypeCall=true&amp;directAccess=false</t>
  </si>
  <si>
    <t>2025/06/09 상한가 종목</t>
  </si>
  <si>
    <t>https://blog.naver.com/PostView.naver?blogId=intheriverck&amp;logNo=223893471214&amp;redirect=Dlog&amp;widgetTypeCall=true&amp;directAccess=false</t>
  </si>
  <si>
    <t>부자아빠 강프로</t>
  </si>
  <si>
    <t>내츄럴엔도텍(168330)</t>
  </si>
  <si>
    <t>https://blog.naver.com/PostView.naver?blogId=kang-pro1023&amp;logNo=223893449030&amp;redirect=Dlog&amp;widgetTypeCall=true&amp;directAccess=false</t>
  </si>
  <si>
    <t>아도니스</t>
  </si>
  <si>
    <t>기아 ‘PV5′ 출시...택시·화물차·캠핑카로 변신한다</t>
  </si>
  <si>
    <t>https://blog.naver.com/PostView.naver?blogId=jch4512&amp;logNo=223893381035&amp;redirect=Dlog&amp;widgetTypeCall=true&amp;directAccess=false</t>
  </si>
  <si>
    <t>트럼프, 이러니 내가 세금 반하나 안 반하나?</t>
  </si>
  <si>
    <t>https://blog.naver.com/PostView.naver?blogId=miraee05&amp;logNo=223893318799&amp;redirect=Dlog&amp;widgetTypeCall=true&amp;directAccess=false</t>
  </si>
  <si>
    <t>김시정</t>
  </si>
  <si>
    <t>Daily News와 시장함께 읽기(6/9~6/20)</t>
  </si>
  <si>
    <t>https://blog.naver.com/PostView.naver?blogId=seejeongkim&amp;logNo=223893114202&amp;redirect=Dlog&amp;widgetTypeCall=true&amp;directAccess=false</t>
  </si>
  <si>
    <t>국가무형유산 '자수장' '궁중채화' 보유자 새로 나왔다</t>
  </si>
  <si>
    <t>https://blog.naver.com/PostView.naver?blogId=mrqu&amp;logNo=223893108588&amp;redirect=Dlog&amp;widgetTypeCall=true&amp;directAccess=false</t>
  </si>
  <si>
    <t>작심스터디카페</t>
  </si>
  <si>
    <t>[25.06.06 | 이데일리] ‘작심오피스 시청역점’ 성황리 오픈… KFC 키테넨트 효과에 이어 ‘작심라운지 시청역점’도 6월 오픈 예정</t>
  </si>
  <si>
    <t>https://blog.naver.com/PostView.naver?blogId=zaksimlibrary&amp;logNo=223893076427&amp;redirect=Dlog&amp;widgetTypeCall=true&amp;directAccess=false</t>
  </si>
  <si>
    <t>VAD</t>
  </si>
  <si>
    <t>[Weekly News] 2025년 6월 1주차 반도체&amp;디스플레이 산업 이슈 몰아보기</t>
  </si>
  <si>
    <t>https://blog.naver.com/PostView.naver?blogId=vadinstrument&amp;logNo=223892983235&amp;redirect=Dlog&amp;widgetTypeCall=true&amp;directAccess=false</t>
  </si>
  <si>
    <t>지노김</t>
  </si>
  <si>
    <t>6월 9일 증권뉴스(06:30기준)</t>
  </si>
  <si>
    <t>https://blog.naver.com/PostView.naver?blogId=fr1972&amp;logNo=223892872826&amp;redirect=Dlog&amp;widgetTypeCall=true&amp;directAccess=false</t>
  </si>
  <si>
    <t>문송아재</t>
  </si>
  <si>
    <t>2025년 6월 9일 조간신문 AI 관련 뉴스 종합 - AI 수석 신설부터 특화 냉장고까지, 산업을 재편하는 인공지능 전선</t>
  </si>
  <si>
    <t>https://blog.naver.com/PostView.naver?blogId=lionkimnews&amp;logNo=223892863289&amp;redirect=Dlog&amp;widgetTypeCall=true&amp;directAccess=false</t>
  </si>
  <si>
    <t>보너스포인트</t>
  </si>
  <si>
    <t>투자 끝! 자회사 반전! 공장 풀가동! 에스티팜, 진짜 성장 시작됐다(feat.팜이데일리)</t>
  </si>
  <si>
    <t>https://blog.naver.com/PostView.naver?blogId=bonuspoint1994&amp;logNo=223892834282&amp;redirect=Dlog&amp;widgetTypeCall=true&amp;directAccess=false</t>
  </si>
  <si>
    <t>다내꺼</t>
  </si>
  <si>
    <t>전광훈, 오늘도 "윤 돌아올것"…'만델라' 비유도</t>
  </si>
  <si>
    <t>https://blog.naver.com/PostView.naver?blogId=jjw6022&amp;logNo=223892708977&amp;redirect=Dlog&amp;widgetTypeCall=true&amp;directAccess=false</t>
  </si>
  <si>
    <t>SevenWrite</t>
  </si>
  <si>
    <t>[펩트론] 하한가, 그리고 Keep Going</t>
  </si>
  <si>
    <t>https://blog.naver.com/PostView.naver?blogId=kim4bu_&amp;logNo=223892625476&amp;redirect=Dlog&amp;widgetTypeCall=true&amp;directAccess=false</t>
  </si>
  <si>
    <t>2025-06-08</t>
  </si>
  <si>
    <t>네트</t>
  </si>
  <si>
    <t>이재명에 검사 150명  , 특검에 120명  . 뭐가 과한건지 생각해 보자</t>
  </si>
  <si>
    <t>https://blog.naver.com/PostView.naver?blogId=haha98&amp;logNo=223892343460&amp;redirect=Dlog&amp;widgetTypeCall=true&amp;directAccess=false</t>
  </si>
  <si>
    <t>땡땡씨</t>
  </si>
  <si>
    <t>[6월7일~8일] 대통령실 인선·조직개편 관련 모음zip</t>
  </si>
  <si>
    <t>https://blog.naver.com/PostView.naver?blogId=luvme8_8&amp;logNo=223892244084&amp;redirect=Dlog&amp;widgetTypeCall=true&amp;directAccess=false</t>
  </si>
  <si>
    <t>글로벌 B2B 제휴포럼</t>
  </si>
  <si>
    <t>데이터시티위마켓 RWA (Real World Asset)  국내 처음 행사 6월 진행한다.</t>
  </si>
  <si>
    <t>https://blog.naver.com/PostView.naver?blogId=jangjwjangjw&amp;logNo=223892189704&amp;redirect=Dlog&amp;widgetTypeCall=true&amp;directAccess=false</t>
  </si>
  <si>
    <t>이재명 대통령... 증시관련 공약 정리!</t>
  </si>
  <si>
    <t>https://blog.naver.com/PostView.naver?blogId=miraee05&amp;logNo=223892173619&amp;redirect=Dlog&amp;widgetTypeCall=true&amp;directAccess=false</t>
  </si>
  <si>
    <t>현대바이오사이언스 - 경구용 코로나19 치료제 ‘제프티’(Xafty)의 글로벌 2/3상에 본격적으로 나선다는 언론보도</t>
  </si>
  <si>
    <t>https://blog.naver.com/PostView.naver?blogId=rfkang49&amp;logNo=223892063074&amp;redirect=Dlog&amp;widgetTypeCall=true&amp;directAccess=false</t>
  </si>
  <si>
    <t>audioamp</t>
  </si>
  <si>
    <t>집값 12억 넘어도 주택연금 가입 가능해진다①</t>
  </si>
  <si>
    <t>https://blog.naver.com/PostView.naver?blogId=audioamp&amp;logNo=223879459351&amp;redirect=Dlog&amp;widgetTypeCall=true&amp;directAccess=false</t>
  </si>
  <si>
    <t>코스피 5000 시대! 암호화폐 육성 본격화?</t>
  </si>
  <si>
    <t>https://blog.naver.com/PostView.naver?blogId=miraee05&amp;logNo=223892005328&amp;redirect=Dlog&amp;widgetTypeCall=true&amp;directAccess=false</t>
  </si>
  <si>
    <t>2025-06-07</t>
  </si>
  <si>
    <t>공대 사업가</t>
  </si>
  <si>
    <t>대한민국 경제전망 (2025년 6월 5일, 목요일)</t>
  </si>
  <si>
    <t>https://blog.naver.com/PostView.naver?blogId=gongdaesaupga&amp;logNo=223891603303&amp;redirect=Dlog&amp;widgetTypeCall=true&amp;directAccess=false</t>
  </si>
  <si>
    <t>이과장</t>
  </si>
  <si>
    <t>영종 미단시티 복합리조트 사업 무산</t>
  </si>
  <si>
    <t>https://blog.naver.com/PostView.naver?blogId=iyhs1828&amp;logNo=223891574823&amp;redirect=Dlog&amp;widgetTypeCall=true&amp;directAccess=false</t>
  </si>
  <si>
    <t>채리</t>
  </si>
  <si>
    <t>이데일리 [200자 책꽂이]마케팅한다는 착각 外 신간 도서 추천 / 30대 책 추천</t>
  </si>
  <si>
    <t>https://blog.naver.com/PostView.naver?blogId=gypsophoon&amp;logNo=223891447338&amp;redirect=Dlog&amp;widgetTypeCall=true&amp;directAccess=false</t>
  </si>
  <si>
    <t>BYD 유럽에서 테슬라 추월? 글로벌 전기차 시장 판세는?</t>
  </si>
  <si>
    <t>https://blog.naver.com/PostView.naver?blogId=miraee05&amp;logNo=223891345946&amp;redirect=Dlog&amp;widgetTypeCall=true&amp;directAccess=false</t>
  </si>
  <si>
    <t>&lt;미국 시장 마감 6/7(有口無言)&gt;</t>
  </si>
  <si>
    <t>https://blog.naver.com/PostView.naver?blogId=daeshy1&amp;logNo=223891146204&amp;redirect=Dlog&amp;widgetTypeCall=true&amp;directAccess=false</t>
  </si>
  <si>
    <t>2025-06-06</t>
  </si>
  <si>
    <t>오늘몽글</t>
  </si>
  <si>
    <t>뉴스일기 6월 1주차 (ft. 매일 매일 다른 세상)</t>
  </si>
  <si>
    <t>https://blog.naver.com/PostView.naver?blogId=insight_j_e&amp;logNo=223890480655&amp;redirect=Dlog&amp;widgetTypeCall=true&amp;directAccess=false</t>
  </si>
  <si>
    <t>layeonnii</t>
  </si>
  <si>
    <t>경제 정리</t>
  </si>
  <si>
    <t>https://blog.naver.com/PostView.naver?blogId=victorias444&amp;logNo=223890261523&amp;redirect=Dlog&amp;widgetTypeCall=true&amp;directAccess=false</t>
  </si>
  <si>
    <t>자작나무</t>
  </si>
  <si>
    <t>대통령실에서 벌어진 아주 사소한 일</t>
  </si>
  <si>
    <t>https://blog.naver.com/PostView.naver?blogId=mrsanahi&amp;logNo=223890202350&amp;redirect=Dlog&amp;widgetTypeCall=true&amp;directAccess=false</t>
  </si>
  <si>
    <t>트럼프-머스크 ‘전면 충돌’…정부 계약 중단 시사에 주가 15% 폭락(종합)</t>
  </si>
  <si>
    <t>https://blog.naver.com/PostView.naver?blogId=cavin419&amp;logNo=223890192580&amp;redirect=Dlog&amp;widgetTypeCall=true&amp;directAccess=false</t>
  </si>
  <si>
    <t>자연요법연구회</t>
  </si>
  <si>
    <t>166. 신종전염병 소식1; 독해진 김문수 사실상, 이재명과 사생결사 전쟁 불사 예고:  국민의힘 전 대선 후보 김문수 “국민 대부분 원치 않는 이재명 취임”;</t>
  </si>
  <si>
    <t>https://blog.naver.com/PostView.naver?blogId=chkwkim&amp;logNo=223889909740&amp;redirect=Dlog&amp;widgetTypeCall=true&amp;directAccess=false</t>
  </si>
  <si>
    <t>상도15구역 시행자 지정·고시…3204가구 대단지 재개발 '급물살'</t>
  </si>
  <si>
    <t>https://blog.naver.com/PostView.naver?blogId=myhyun2004&amp;logNo=223889990268&amp;redirect=Dlog&amp;widgetTypeCall=true&amp;directAccess=false</t>
  </si>
  <si>
    <t>2025-06-05</t>
  </si>
  <si>
    <t>올카는고래</t>
  </si>
  <si>
    <t>슬기로운 인턴 생활 (둘째 주)</t>
  </si>
  <si>
    <t>https://blog.naver.com/PostView.naver?blogId=zoe0613&amp;logNo=223889954764&amp;redirect=Dlog&amp;widgetTypeCall=true&amp;directAccess=false</t>
  </si>
  <si>
    <t>상법개정안 재추진! 딱 정리해드립니다!</t>
  </si>
  <si>
    <t>https://blog.naver.com/PostView.naver?blogId=miraee05&amp;logNo=223889913015&amp;redirect=Dlog&amp;widgetTypeCall=true&amp;directAccess=false</t>
  </si>
  <si>
    <t>2025.06.05의료계주요뉴스</t>
  </si>
  <si>
    <t>https://blog.naver.com/PostView.naver?blogId=k202904&amp;logNo=223889853000&amp;redirect=Dlog&amp;widgetTypeCall=true&amp;directAccess=false</t>
  </si>
  <si>
    <t>테슬라, 목표주가 500달러로 상향! 제2의 전성기 맞이하나?</t>
  </si>
  <si>
    <t>https://blog.naver.com/PostView.naver?blogId=miraee05&amp;logNo=223889705342&amp;redirect=Dlog&amp;widgetTypeCall=true&amp;directAccess=false</t>
  </si>
  <si>
    <t>“홍콩, 사실상 미국 금리 궤도 이탈…달러 페그제는 이름뿐?”</t>
  </si>
  <si>
    <t>https://blog.naver.com/PostView.naver?blogId=anaishan0723&amp;logNo=223889587305&amp;redirect=Dlog&amp;widgetTypeCall=true&amp;directAccess=false</t>
  </si>
  <si>
    <t>우리산업홀딩스(072470)</t>
  </si>
  <si>
    <t>https://blog.naver.com/PostView.naver?blogId=kang-pro1023&amp;logNo=223889586296&amp;redirect=Dlog&amp;widgetTypeCall=true&amp;directAccess=false</t>
  </si>
  <si>
    <t>250605 부동산 주요뉴스</t>
  </si>
  <si>
    <t>https://blog.naver.com/PostView.naver?blogId=ebdn0083&amp;logNo=223889576076&amp;redirect=Dlog&amp;widgetTypeCall=true&amp;directAccess=false</t>
  </si>
  <si>
    <t>250605) 글로벌 ‘큰 손’ 투자자들 美시장 떠난다…유럽·亞로 눈돌려</t>
  </si>
  <si>
    <t>https://blog.naver.com/PostView.naver?blogId=mudita22&amp;logNo=223889572605&amp;redirect=Dlog&amp;widgetTypeCall=true&amp;directAccess=false</t>
  </si>
  <si>
    <t>https://blog.naver.com/PostView.naver?blogId=miraee05&amp;logNo=223889473186&amp;redirect=Dlog&amp;widgetTypeCall=true&amp;directAccess=false</t>
  </si>
  <si>
    <t>sseung</t>
  </si>
  <si>
    <t>도넘은 교육활동 침해</t>
  </si>
  <si>
    <t>https://blog.naver.com/PostView.naver?blogId=sseung1621&amp;logNo=223889448317&amp;redirect=Dlog&amp;widgetTypeCall=true&amp;directAccess=false</t>
  </si>
  <si>
    <t>산타요</t>
  </si>
  <si>
    <t>삼성·SSG닷컴·롯데 물류센터 줄줄이 매물로…투자 수요·사업 재편 맞물려</t>
  </si>
  <si>
    <t>https://blog.naver.com/PostView.naver?blogId=ytkim4141&amp;logNo=223889406547&amp;redirect=Dlog&amp;widgetTypeCall=true&amp;directAccess=false</t>
  </si>
  <si>
    <t>파란 지구</t>
  </si>
  <si>
    <t>[공유] 권성동, 원내대표 사퇴 선언 “보수 재건 백지서 논의해야”(상보)출처 : 이데일리 | 네이버</t>
  </si>
  <si>
    <t>https://blog.naver.com/PostView.naver?blogId=uniworkp&amp;logNo=223889372215&amp;redirect=Dlog&amp;widgetTypeCall=true&amp;directAccess=false</t>
  </si>
  <si>
    <t>문화' 12번 언급…문화 재정 확대 등 K컬처 전폭지원</t>
  </si>
  <si>
    <t>https://blog.naver.com/PostView.naver?blogId=mrqu&amp;logNo=223889301594&amp;redirect=Dlog&amp;widgetTypeCall=true&amp;directAccess=false</t>
  </si>
  <si>
    <t>美 물가 통계 품질 저하 논란…트럼프 구조조정 여파</t>
  </si>
  <si>
    <t>https://blog.naver.com/PostView.naver?blogId=anaishan0723&amp;logNo=223889280370&amp;redirect=Dlog&amp;widgetTypeCall=true&amp;directAccess=false</t>
  </si>
  <si>
    <t>&lt;뉴욕 증시&gt; 경기둔화 우려에 국채 수익률 하락세</t>
  </si>
  <si>
    <t>https://blog.naver.com/PostView.naver?blogId=pokara61&amp;logNo=223889102007&amp;redirect=Dlog&amp;widgetTypeCall=true&amp;directAccess=false</t>
  </si>
  <si>
    <t>아련한 추억</t>
  </si>
  <si>
    <t>이화영 대법원 선고 임박…이재명 대통령 방북비 대납 혐의의 분수령? 정국 향방 가를 대북송금 재판</t>
  </si>
  <si>
    <t>https://blog.naver.com/PostView.naver?blogId=underwind-&amp;logNo=223889087985&amp;redirect=Dlog&amp;widgetTypeCall=true&amp;directAccess=false</t>
  </si>
  <si>
    <t>소셜미디어 정</t>
  </si>
  <si>
    <t>김문수 “국민 대부분 원치 않는 이재명 취임”</t>
  </si>
  <si>
    <t>https://blog.naver.com/PostView.naver?blogId=clean127&amp;logNo=223889079663&amp;redirect=Dlog&amp;widgetTypeCall=true&amp;directAccess=false</t>
  </si>
  <si>
    <t>jaemo_master</t>
  </si>
  <si>
    <t>[25.06.05] 재개발 재건축 주요뉴스</t>
  </si>
  <si>
    <t>https://blog.naver.com/PostView.naver?blogId=jaemo_master&amp;logNo=223889079780&amp;redirect=Dlog&amp;widgetTypeCall=true&amp;directAccess=false</t>
  </si>
  <si>
    <t>도연스님</t>
  </si>
  <si>
    <t>2025.06.05 랭킹</t>
  </si>
  <si>
    <t>https://blog.naver.com/PostView.naver?blogId=kbs651027&amp;logNo=223889058659&amp;redirect=Dlog&amp;widgetTypeCall=true&amp;directAccess=false</t>
  </si>
  <si>
    <t>2025.06.05 사회</t>
  </si>
  <si>
    <t>https://blog.naver.com/PostView.naver?blogId=kbs651027&amp;logNo=223889056922&amp;redirect=Dlog&amp;widgetTypeCall=true&amp;directAccess=false</t>
  </si>
  <si>
    <t>2025.06.05 시사</t>
  </si>
  <si>
    <t>https://blog.naver.com/PostView.naver?blogId=kbs651027&amp;logNo=223889054970&amp;redirect=Dlog&amp;widgetTypeCall=true&amp;directAccess=false</t>
  </si>
  <si>
    <t>2025.06.05 사설</t>
  </si>
  <si>
    <t>https://blog.naver.com/PostView.naver?blogId=kbs650604&amp;logNo=223889050001&amp;redirect=Dlog&amp;widgetTypeCall=true&amp;directAccess=false</t>
  </si>
  <si>
    <t>2025.06.05 경제</t>
  </si>
  <si>
    <t>https://blog.naver.com/PostView.naver?blogId=kbs650604&amp;logNo=223889048483&amp;redirect=Dlog&amp;widgetTypeCall=true&amp;directAccess=false</t>
  </si>
  <si>
    <t>조정웅의 뒤뜰</t>
  </si>
  <si>
    <t>[대통령 만든 사람들 관련기사 셋] ■李대통령 손발 '성남 3인방' 대통령실 전진 배치…조직 장악 속도 ■이재명 당내 인맥…7인회·신친명 핵심 ■'이재명 대통령' 만든 공신그룹</t>
  </si>
  <si>
    <t>https://blog.naver.com/PostView.naver?blogId=cskw11&amp;logNo=223888773807&amp;redirect=Dlog&amp;widgetTypeCall=true&amp;directAccess=false</t>
  </si>
  <si>
    <t>2025-06-04</t>
  </si>
  <si>
    <t>Grace Kim</t>
  </si>
  <si>
    <t>[초등]#초등의대반' 전국 3곳뿐? 영어유치원 '787곳'인데…교육청 "현황없다"</t>
  </si>
  <si>
    <t>https://blog.naver.com/PostView.naver?blogId=royalting90&amp;logNo=223888667239&amp;redirect=Dlog&amp;widgetTypeCall=true&amp;directAccess=false</t>
  </si>
  <si>
    <t>2025.06.04의료계주요뉴스</t>
  </si>
  <si>
    <t>https://blog.naver.com/PostView.naver?blogId=k202904&amp;logNo=223888584927&amp;redirect=Dlog&amp;widgetTypeCall=true&amp;directAccess=false</t>
  </si>
  <si>
    <t>정외철</t>
  </si>
  <si>
    <t>‘3만 명 육박’ 서울, 최다 관중상... ‘팬 친화’ 대전·‘잔디 우수’ 광주</t>
  </si>
  <si>
    <t>https://blog.naver.com/PostView.naver?blogId=eremoval&amp;logNo=223888557259&amp;redirect=Dlog&amp;widgetTypeCall=true&amp;directAccess=false</t>
  </si>
  <si>
    <t>인디앤임팩트미디어</t>
  </si>
  <si>
    <t>2022.03.16 #008 - [동향] 독립예술영화 전문OTT 오비드 TV 3년, 여전히 실험은 진행중</t>
  </si>
  <si>
    <t>https://blog.naver.com/PostView.naver?blogId=indiemedialab&amp;logNo=223888511507&amp;redirect=Dlog&amp;widgetTypeCall=true&amp;directAccess=false</t>
  </si>
  <si>
    <t>에너지</t>
  </si>
  <si>
    <t>6/4 오늘의 상한가 종목, 주식 테마</t>
  </si>
  <si>
    <t>https://blog.naver.com/PostView.naver?blogId=lovingyou10&amp;logNo=223888478002&amp;redirect=Dlog&amp;widgetTypeCall=true&amp;directAccess=false</t>
  </si>
  <si>
    <t>cksemfk-</t>
  </si>
  <si>
    <t>이재명 정부, AI컨트롤타워 설치…부총리급 AI부 논의 본격화</t>
  </si>
  <si>
    <t>https://blog.naver.com/PostView.naver?blogId=cksemfk-&amp;logNo=223888370265&amp;redirect=Dlog&amp;widgetTypeCall=true&amp;directAccess=false</t>
  </si>
  <si>
    <t>기자</t>
  </si>
  <si>
    <t>백지영 "평양 공연에서 '총 맞은 것처럼' 불러"</t>
  </si>
  <si>
    <t>https://blog.naver.com/PostView.naver?blogId=lsb3002&amp;logNo=223888245110&amp;redirect=Dlog&amp;widgetTypeCall=true&amp;directAccess=false</t>
  </si>
  <si>
    <t>250604) 이재명 대통령 첫날…코스피 상위 50종목 중 41종목 '빨간불'</t>
  </si>
  <si>
    <t>https://blog.naver.com/PostView.naver?blogId=soeona&amp;logNo=223888131225&amp;redirect=Dlog&amp;widgetTypeCall=true&amp;directAccess=false</t>
  </si>
  <si>
    <t>(2025년 6월 04일 10시) 따끈따끈한 오늘의 언론사별 헤드라인 뉴스 어떤 내용일까요?​</t>
  </si>
  <si>
    <t>https://blog.naver.com/PostView.naver?blogId=1999pdh&amp;logNo=223888015407&amp;redirect=Dlog&amp;widgetTypeCall=true&amp;directAccess=false</t>
  </si>
  <si>
    <t>펩트론, ‘下’…일라이릴리·카무루스 비만 장기 지속형 약물 전달 계약체결 영향</t>
  </si>
  <si>
    <t>https://blog.naver.com/PostView.naver?blogId=recsy&amp;logNo=223887964766&amp;redirect=Dlog&amp;widgetTypeCall=true&amp;directAccess=false</t>
  </si>
  <si>
    <t>엔투이N2E</t>
  </si>
  <si>
    <t>🔋 6월 4일 돈되는 반도체/AI/디스플레이/자동차/배터리 이슈 및 투자전략 🤖_feat. ChatGPT</t>
  </si>
  <si>
    <t>https://blog.naver.com/PostView.naver?blogId=blhsd&amp;logNo=223887950037&amp;redirect=Dlog&amp;widgetTypeCall=true&amp;directAccess=false</t>
  </si>
  <si>
    <t>2025.06.04 세계</t>
  </si>
  <si>
    <t>https://blog.naver.com/PostView.naver?blogId=kbs650604&amp;logNo=223887935903&amp;redirect=Dlog&amp;widgetTypeCall=true&amp;directAccess=false</t>
  </si>
  <si>
    <t>[ 뉴스클리핑 ] 2025년 06월 04일(수)</t>
  </si>
  <si>
    <t>https://blog.naver.com/PostView.naver?blogId=valueinstory&amp;logNo=223887902230&amp;redirect=Dlog&amp;widgetTypeCall=true&amp;directAccess=false</t>
  </si>
  <si>
    <t>6월 4일 증권뉴스(06:40기준)</t>
  </si>
  <si>
    <t>https://blog.naver.com/PostView.naver?blogId=fr1972&amp;logNo=223887863402&amp;redirect=Dlog&amp;widgetTypeCall=true&amp;directAccess=false</t>
  </si>
  <si>
    <t>250604</t>
  </si>
  <si>
    <t>https://blog.naver.com/PostView.naver?blogId=gdpw79&amp;logNo=223887859570&amp;redirect=Dlog&amp;widgetTypeCall=true&amp;directAccess=false</t>
  </si>
  <si>
    <t>해와달 이소장</t>
  </si>
  <si>
    <t>청년 울리는 '깜깜이 관리비'…대선 후보들 내놓은 공약 보니</t>
  </si>
  <si>
    <t>https://blog.naver.com/PostView.naver?blogId=qqpp333&amp;logNo=223887641437&amp;redirect=Dlog&amp;widgetTypeCall=true&amp;directAccess=false</t>
  </si>
  <si>
    <t>2025-06-03</t>
  </si>
  <si>
    <t>2025.06.03 세계2</t>
  </si>
  <si>
    <t>https://blog.naver.com/PostView.naver?blogId=kbs650604&amp;logNo=223887580532&amp;redirect=Dlog&amp;widgetTypeCall=true&amp;directAccess=false</t>
  </si>
  <si>
    <t>스토너</t>
  </si>
  <si>
    <t>[디앤디파마텍] 어안이 벙벙한 딜들이 계속되다. (Feat. 리제레론의 참전)</t>
  </si>
  <si>
    <t>https://blog.naver.com/PostView.naver?blogId=stoner0328&amp;logNo=223887418004&amp;redirect=Dlog&amp;widgetTypeCall=true&amp;directAccess=false</t>
  </si>
  <si>
    <t>세상을 보는 사진가</t>
  </si>
  <si>
    <t>2025.06.03. 경제</t>
  </si>
  <si>
    <t>https://blog.naver.com/PostView.naver?blogId=kbs651027&amp;logNo=223886881316&amp;redirect=Dlog&amp;widgetTypeCall=true&amp;directAccess=false</t>
  </si>
  <si>
    <t>2025.06.03 정치</t>
  </si>
  <si>
    <t>https://blog.naver.com/PostView.naver?blogId=kbs651027&amp;logNo=223886880420&amp;redirect=Dlog&amp;widgetTypeCall=true&amp;directAccess=false</t>
  </si>
  <si>
    <t>2025.06.03 세계</t>
  </si>
  <si>
    <t>https://blog.naver.com/PostView.naver?blogId=kbs650604&amp;logNo=223886869110&amp;redirect=Dlog&amp;widgetTypeCall=true&amp;directAccess=false</t>
  </si>
  <si>
    <t>2025.06.03 날씨</t>
  </si>
  <si>
    <t>https://blog.naver.com/PostView.naver?blogId=kbs650604&amp;logNo=223886868746&amp;redirect=Dlog&amp;widgetTypeCall=true&amp;directAccess=false</t>
  </si>
  <si>
    <t>2025.06.03 사설</t>
  </si>
  <si>
    <t>https://blog.naver.com/PostView.naver?blogId=kbs650604&amp;logNo=223886867273&amp;redirect=Dlog&amp;widgetTypeCall=true&amp;directAccess=false</t>
  </si>
  <si>
    <t>theblock101</t>
  </si>
  <si>
    <t>2025년 6월 3일 (화) 이데일리 지면기사</t>
  </si>
  <si>
    <t>https://blog.naver.com/PostView.naver?blogId=theblock101&amp;logNo=223886826598&amp;redirect=Dlog&amp;widgetTypeCall=true&amp;directAccess=false</t>
  </si>
  <si>
    <t>2025-06-02</t>
  </si>
  <si>
    <t>홍보관 모델하우스</t>
  </si>
  <si>
    <t>외국인 부동산 매입 늘자..오세훈 "시장교란 없게 대책 마련".../     현대 힐스테이트 곤지암역 최종분...</t>
  </si>
  <si>
    <t>https://blog.naver.com/PostView.naver?blogId=ggbs7010&amp;logNo=223886350156&amp;redirect=Dlog&amp;widgetTypeCall=true&amp;directAccess=false</t>
  </si>
  <si>
    <t>2025.06.02의료계주요뉴스</t>
  </si>
  <si>
    <t>https://blog.naver.com/PostView.naver?blogId=k202904&amp;logNo=223886334786&amp;redirect=Dlog&amp;widgetTypeCall=true&amp;directAccess=false</t>
  </si>
  <si>
    <t>리진주</t>
  </si>
  <si>
    <t>2025년 6월 02일 가상자산 시장뉴스(코인뉴스)</t>
  </si>
  <si>
    <t>https://blog.naver.com/PostView.naver?blogId=tone123&amp;logNo=223886329388&amp;redirect=Dlog&amp;widgetTypeCall=true&amp;directAccess=false</t>
  </si>
  <si>
    <t>낙성거사</t>
  </si>
  <si>
    <t>● 배우고 연구하고 노력하는 실력있는 여성 정치인</t>
  </si>
  <si>
    <t>https://blog.naver.com/PostView.naver?blogId=pyungkook&amp;logNo=223886295489&amp;redirect=Dlog&amp;widgetTypeCall=true&amp;directAccess=false</t>
  </si>
  <si>
    <t>2025/06/02 거래량 천만주 종목</t>
  </si>
  <si>
    <t>https://blog.naver.com/PostView.naver?blogId=intheriverck&amp;logNo=223886250847&amp;redirect=Dlog&amp;widgetTypeCall=true&amp;directAccess=false</t>
  </si>
  <si>
    <t>노을</t>
  </si>
  <si>
    <t>김호중 노래 네순도르마   이데일리 프런티어상 수상 및 축하 공연무대</t>
  </si>
  <si>
    <t>https://blog.naver.com/PostView.naver?blogId=mam570330&amp;logNo=223886025146&amp;redirect=Dlog&amp;widgetTypeCall=true&amp;directAccess=false</t>
  </si>
  <si>
    <t>250602 부동산 주요뉴스</t>
  </si>
  <si>
    <t>https://blog.naver.com/PostView.naver?blogId=ebdn0083&amp;logNo=223885824700&amp;redirect=Dlog&amp;widgetTypeCall=true&amp;directAccess=false</t>
  </si>
  <si>
    <t>mtreekorea</t>
  </si>
  <si>
    <t>짐 로저스 지지설, 사실은 없었다</t>
  </si>
  <si>
    <t>https://blog.naver.com/PostView.naver?blogId=mtreekorea&amp;logNo=223885825575&amp;redirect=Dlog&amp;widgetTypeCall=true&amp;directAccess=false</t>
  </si>
  <si>
    <t>📌 문체부, 8월까지 국제 한류콘텐츠 공모전 '토크토크 코리아'</t>
  </si>
  <si>
    <t>https://blog.naver.com/PostView.naver?blogId=mrqu&amp;logNo=223885791490&amp;redirect=Dlog&amp;widgetTypeCall=true&amp;directAccess=false</t>
  </si>
  <si>
    <t>美재무 "디폴트 절대 없다"…백악관 감세안 우려 달래기</t>
  </si>
  <si>
    <t>https://blog.naver.com/PostView.naver?blogId=anaishan0723&amp;logNo=223885706052&amp;redirect=Dlog&amp;widgetTypeCall=true&amp;directAccess=false</t>
  </si>
  <si>
    <t>미하일</t>
  </si>
  <si>
    <t>[25.06.02] 주요 이슈 + 뉴스 기록</t>
  </si>
  <si>
    <t>https://blog.naver.com/PostView.naver?blogId=mikhail33&amp;logNo=223885685560&amp;redirect=Dlog&amp;widgetTypeCall=true&amp;directAccess=false</t>
  </si>
  <si>
    <t>서울시, 노량진6구역 공사비 증액 조정 합의</t>
  </si>
  <si>
    <t>https://blog.naver.com/PostView.naver?blogId=krsongc2&amp;logNo=223885643388&amp;redirect=Dlog&amp;widgetTypeCall=true&amp;directAccess=false</t>
  </si>
  <si>
    <t>[ 뉴스클리핑 ] 2025년 06월 02일(월)</t>
  </si>
  <si>
    <t>https://blog.naver.com/PostView.naver?blogId=valueinstory&amp;logNo=223885615501&amp;redirect=Dlog&amp;widgetTypeCall=true&amp;directAccess=false</t>
  </si>
  <si>
    <t>하도급 행정심판 전문</t>
  </si>
  <si>
    <t>25.6.2(월) 공정위 관련 뉴스</t>
  </si>
  <si>
    <t>https://blog.naver.com/PostView.naver?blogId=kmwhan&amp;logNo=223884921223&amp;redirect=Dlog&amp;widgetTypeCall=true&amp;directAccess=false</t>
  </si>
  <si>
    <t>[25.06.02] 재개발 재건축 주요뉴스</t>
  </si>
  <si>
    <t>https://blog.naver.com/PostView.naver?blogId=jaemo_master&amp;logNo=223885582443&amp;redirect=Dlog&amp;widgetTypeCall=true&amp;directAccess=false</t>
  </si>
  <si>
    <t>슬로우스타터</t>
  </si>
  <si>
    <t>2025년6월2일(월) 주요 뉴스 요약 정리 (뉴스 클리핑/뉴스 브리핑)</t>
  </si>
  <si>
    <t>https://blog.naver.com/PostView.naver?blogId=hope4life&amp;logNo=223882418042&amp;redirect=Dlog&amp;widgetTypeCall=true&amp;directAccess=false</t>
  </si>
  <si>
    <t>2025.06.01 랭킹</t>
  </si>
  <si>
    <t>https://blog.naver.com/PostView.naver?blogId=kbs651027&amp;logNo=223885379390&amp;redirect=Dlog&amp;widgetTypeCall=true&amp;directAccess=false</t>
  </si>
  <si>
    <t>2025-06-01</t>
  </si>
  <si>
    <t>2025.06.01 경제</t>
  </si>
  <si>
    <t>https://blog.naver.com/PostView.naver?blogId=kbs651027&amp;logNo=223885370392&amp;redirect=Dlog&amp;widgetTypeCall=true&amp;directAccess=false</t>
  </si>
  <si>
    <t>2025.06.01 정치</t>
  </si>
  <si>
    <t>https://blog.naver.com/PostView.naver?blogId=kbs651027&amp;logNo=223885368469&amp;redirect=Dlog&amp;widgetTypeCall=true&amp;directAccess=false</t>
  </si>
  <si>
    <t>2025.06.01 시사</t>
  </si>
  <si>
    <t>https://blog.naver.com/PostView.naver?blogId=kbs651027&amp;logNo=223885366282&amp;redirect=Dlog&amp;widgetTypeCall=true&amp;directAccess=false</t>
  </si>
  <si>
    <t>이강기</t>
  </si>
  <si>
    <t>AI시대에 데이터센터가 지속적으로 무엇이 필요한가? 그리고 25.06 기사를 공유하다 39탄</t>
  </si>
  <si>
    <t>https://blog.naver.com/PostView.naver?blogId=lkg5626&amp;logNo=223884956043&amp;redirect=Dlog&amp;widgetTypeCall=true&amp;directAccess=false</t>
  </si>
  <si>
    <t>머니투데이</t>
  </si>
  <si>
    <t>주식에서 살아남기</t>
  </si>
  <si>
    <t>[시장정리] 2025년 6월 주도 섹터 정리</t>
  </si>
  <si>
    <t>https://blog.naver.com/PostView.naver?blogId=seanhong99&amp;logNo=223917210388&amp;redirect=Dlog&amp;widgetTypeCall=true&amp;directAccess=false</t>
  </si>
  <si>
    <t>독해</t>
  </si>
  <si>
    <t>노바렉스 관련 최근 뉴스 기사 모음</t>
  </si>
  <si>
    <t>https://blog.naver.com/PostView.naver?blogId=asrda404&amp;logNo=223916556481&amp;redirect=Dlog&amp;widgetTypeCall=true&amp;directAccess=false</t>
  </si>
  <si>
    <t>채니</t>
  </si>
  <si>
    <t>대전탈모관리 대전두피관리 꼼꼼하고 개운한 릴렉싱 헤드스파 모어블랙</t>
  </si>
  <si>
    <t>https://blog.naver.com/PostView.naver?blogId=mycookis&amp;logNo=223916492335&amp;redirect=Dlog&amp;widgetTypeCall=true&amp;directAccess=false</t>
  </si>
  <si>
    <t>내란 특검, '국무회의 거짓초안 의혹' 강의구 전 실장 소환 조사</t>
  </si>
  <si>
    <t>https://blog.naver.com/PostView.naver?blogId=eremoval&amp;logNo=223916417038&amp;redirect=Dlog&amp;widgetTypeCall=true&amp;directAccess=false</t>
  </si>
  <si>
    <t>2025년 6월 30일 (월) 머니투데이</t>
  </si>
  <si>
    <t>https://blog.naver.com/PostView.naver?blogId=theblock101&amp;logNo=223916186986&amp;redirect=Dlog&amp;widgetTypeCall=true&amp;directAccess=false</t>
  </si>
  <si>
    <t>[ 뉴스클리핑 ] 2025년 06월 30일(월)</t>
  </si>
  <si>
    <t>https://blog.naver.com/PostView.naver?blogId=valueinstory&amp;logNo=223916181177&amp;redirect=Dlog&amp;widgetTypeCall=true&amp;directAccess=false</t>
  </si>
  <si>
    <t>이재명 정부 신임 민정수석 봉욱, 균형감과 기획력을 겸비한 법조계 전략가</t>
  </si>
  <si>
    <t>https://blog.naver.com/PostView.naver?blogId=underwind-&amp;logNo=223915701467&amp;redirect=Dlog&amp;widgetTypeCall=true&amp;directAccess=false</t>
  </si>
  <si>
    <t>이진숙 교육부장관 후보자 지명…충남대 첫 여성 총장 출신의 의미 있는 발탁</t>
  </si>
  <si>
    <t>https://blog.naver.com/PostView.naver?blogId=underwind-&amp;logNo=223915605003&amp;redirect=Dlog&amp;widgetTypeCall=true&amp;directAccess=false</t>
  </si>
  <si>
    <t>이재명 대통령, 정성호 의원을 초대 법무부 장관 후보자로 지명</t>
  </si>
  <si>
    <t>https://blog.naver.com/PostView.naver?blogId=underwind-&amp;logNo=223915601256&amp;redirect=Dlog&amp;widgetTypeCall=true&amp;directAccess=false</t>
  </si>
  <si>
    <t>책운동여행</t>
  </si>
  <si>
    <t>메모) 12년 6/28 직장인 10명 중 6명 "사내에서 불의 보면 참는다"</t>
  </si>
  <si>
    <t>https://blog.naver.com/PostView.naver?blogId=hanapsk91&amp;logNo=223915376397&amp;redirect=Dlog&amp;widgetTypeCall=true&amp;directAccess=false</t>
  </si>
  <si>
    <t>사람...네이버(언론사제공) 2025년6월29일</t>
  </si>
  <si>
    <t>https://blog.naver.com/PostView.naver?blogId=c1c1b1b1&amp;logNo=223915194291&amp;redirect=Dlog&amp;widgetTypeCall=true&amp;directAccess=false</t>
  </si>
  <si>
    <t>죠죠</t>
  </si>
  <si>
    <t>긴급 가계부채 대책, 나한테도 영향 있을까?</t>
  </si>
  <si>
    <t>https://blog.naver.com/PostView.naver?blogId=jojodayy&amp;logNo=223915020701&amp;redirect=Dlog&amp;widgetTypeCall=true&amp;directAccess=false</t>
  </si>
  <si>
    <t>고덕일번지공인중개사</t>
  </si>
  <si>
    <t>[머니투데이] 농림지역 단독주택 누구나 지을 수 있다_2025.06.25_머니투데이 김효정 기자</t>
  </si>
  <si>
    <t>https://blog.naver.com/PostView.naver?blogId=kho3680682&amp;logNo=223914534540&amp;redirect=Dlog&amp;widgetTypeCall=true&amp;directAccess=false</t>
  </si>
  <si>
    <t>청년내일저축계좌 최대 5000만원 일시납 가능해진다</t>
  </si>
  <si>
    <t>https://blog.naver.com/PostView.naver?blogId=ganaria3&amp;logNo=223913338351&amp;redirect=Dlog&amp;widgetTypeCall=true&amp;directAccess=false</t>
  </si>
  <si>
    <t>페더혼</t>
  </si>
  <si>
    <t>상조회사 예다함 주목받는 이유</t>
  </si>
  <si>
    <t>https://blog.naver.com/PostView.naver?blogId=jriden&amp;logNo=223913988635&amp;redirect=Dlog&amp;widgetTypeCall=true&amp;directAccess=false</t>
  </si>
  <si>
    <t>향해항해</t>
  </si>
  <si>
    <t>3주차 경제단어 인증 5</t>
  </si>
  <si>
    <t>https://blog.naver.com/PostView.naver?blogId=kyuhaeart&amp;logNo=223914128389&amp;redirect=Dlog&amp;widgetTypeCall=true&amp;directAccess=false</t>
  </si>
  <si>
    <t>나는 나를 응원한다</t>
  </si>
  <si>
    <t>공유 [머니투데이 25.06.27.]수도권 주담대 6억까지만, 유주택자는 대출 막힌다…초강력 규제</t>
  </si>
  <si>
    <t>https://blog.naver.com/PostView.naver?blogId=aptseller888&amp;logNo=223913899966&amp;redirect=Dlog&amp;widgetTypeCall=true&amp;directAccess=false</t>
  </si>
  <si>
    <t>주공몰 추세를 타다</t>
  </si>
  <si>
    <t>2025/06/27:상한가종목/ 상승률 상위종목/ 오늘의 주요 상승테마</t>
  </si>
  <si>
    <t>https://blog.naver.com/PostView.naver?blogId=timeinvestment&amp;logNo=223913839755&amp;redirect=Dlog&amp;widgetTypeCall=true&amp;directAccess=false</t>
  </si>
  <si>
    <t>김기자</t>
  </si>
  <si>
    <t>낭만정치</t>
  </si>
  <si>
    <t>심뫼만이</t>
  </si>
  <si>
    <t>HFMD(Causes and How It Spreads)수족구병</t>
  </si>
  <si>
    <t>https://blog.naver.com/PostView.naver?blogId=kmba99&amp;logNo=223913502740&amp;redirect=Dlog&amp;widgetTypeCall=true&amp;directAccess=false</t>
  </si>
  <si>
    <t>[ 뉴스클리핑 ] 2025년 06월 27일(금)</t>
  </si>
  <si>
    <t>https://blog.naver.com/PostView.naver?blogId=valueinstory&amp;logNo=223913256620&amp;redirect=Dlog&amp;widgetTypeCall=true&amp;directAccess=false</t>
  </si>
  <si>
    <t>harururu</t>
  </si>
  <si>
    <t>중국의 민주주의 국가 개입에 반대한다</t>
  </si>
  <si>
    <t>https://blog.naver.com/PostView.naver?blogId=mydairy_book&amp;logNo=223912989928&amp;redirect=Dlog&amp;widgetTypeCall=true&amp;directAccess=false</t>
  </si>
  <si>
    <t>hanryang1000</t>
  </si>
  <si>
    <t>[상천주] 2025년 6월 26일</t>
  </si>
  <si>
    <t>https://blog.naver.com/PostView.naver?blogId=hanryang1000&amp;logNo=223912876942&amp;redirect=Dlog&amp;widgetTypeCall=true&amp;directAccess=false</t>
  </si>
  <si>
    <t>건부메</t>
  </si>
  <si>
    <t>"2025년 6월 26일 간추린 셀러 뉴스"</t>
  </si>
  <si>
    <t>https://blog.naver.com/PostView.naver?blogId=urban-sb1&amp;logNo=223912492120&amp;redirect=Dlog&amp;widgetTypeCall=true&amp;directAccess=false</t>
  </si>
  <si>
    <t>"2025년 6월 25일 간추린 셀러 뉴스"</t>
  </si>
  <si>
    <t>https://blog.naver.com/PostView.naver?blogId=urban-sb1&amp;logNo=223912486319&amp;redirect=Dlog&amp;widgetTypeCall=true&amp;directAccess=false</t>
  </si>
  <si>
    <t>바른정보기술</t>
  </si>
  <si>
    <t>영일중, 경북교육청 전자출입 관리 시범학교 중 첫 '스쿨패스' 도입</t>
  </si>
  <si>
    <t>https://blog.naver.com/PostView.naver?blogId=doceancokr&amp;logNo=223911435819&amp;redirect=Dlog&amp;widgetTypeCall=true&amp;directAccess=false</t>
  </si>
  <si>
    <t>도하걸홍콩걸</t>
  </si>
  <si>
    <t>경제윗미 / Day 19 / 민간 청약 일반 공급</t>
  </si>
  <si>
    <t>https://blog.naver.com/PostView.naver?blogId=dohagirl&amp;logNo=223912209910&amp;redirect=Dlog&amp;widgetTypeCall=true&amp;directAccess=false</t>
  </si>
  <si>
    <t>6월 26일 부동산 뉴스</t>
  </si>
  <si>
    <t>https://blog.naver.com/PostView.naver?blogId=cogusal11&amp;logNo=223912095925&amp;redirect=Dlog&amp;widgetTypeCall=true&amp;directAccess=false</t>
  </si>
  <si>
    <t>에이치원래디오</t>
  </si>
  <si>
    <t>[보도자료] 에이치원래디오㈜, kt와 128억 원 규모 와이파이 공유기 공급 계약 체결</t>
  </si>
  <si>
    <t>https://blog.naver.com/PostView.naver?blogId=h1radio&amp;logNo=223912072242&amp;redirect=Dlog&amp;widgetTypeCall=true&amp;directAccess=false</t>
  </si>
  <si>
    <t>라블류</t>
  </si>
  <si>
    <t>[ICT 뉴스_20250626] AI판, 빅테크 주도 M&amp;A 확산...업계 재편 탄력</t>
  </si>
  <si>
    <t>https://blog.naver.com/PostView.naver?blogId=mangocart&amp;logNo=223912042078&amp;redirect=Dlog&amp;widgetTypeCall=true&amp;directAccess=false</t>
  </si>
  <si>
    <t>정책지식 2025.6.26.</t>
  </si>
  <si>
    <t>https://blog.naver.com/PostView.naver?blogId=trim9134&amp;logNo=223912019833&amp;redirect=Dlog&amp;widgetTypeCall=true&amp;directAccess=false</t>
  </si>
  <si>
    <t>[ 뉴스클리핑 ] 2025년 06월 26일(목)</t>
  </si>
  <si>
    <t>https://blog.naver.com/PostView.naver?blogId=valueinstory&amp;logNo=223912013961&amp;redirect=Dlog&amp;widgetTypeCall=true&amp;directAccess=false</t>
  </si>
  <si>
    <t>JLEE</t>
  </si>
  <si>
    <t>250625 기록</t>
  </si>
  <si>
    <t>https://blog.naver.com/PostView.naver?blogId=anything_by_j&amp;logNo=223911804844&amp;redirect=Dlog&amp;widgetTypeCall=true&amp;directAccess=false</t>
  </si>
  <si>
    <t>금손자영</t>
  </si>
  <si>
    <t>토메이로</t>
  </si>
  <si>
    <t>📍 2025년 6월 25일, 오늘을 기록하다.</t>
  </si>
  <si>
    <t>https://blog.naver.com/PostView.naver?blogId=wleogus610&amp;logNo=223911758642&amp;redirect=Dlog&amp;widgetTypeCall=true&amp;directAccess=false</t>
  </si>
  <si>
    <t>&lt;무능,무책임 좌경용공 민주팔이가 새상 쉽게 살아가는 방법..기사무관&gt;김민석 "조국 사면, 어떤 수준으로 접근할지 토론의 여지 있어"</t>
  </si>
  <si>
    <t>https://blog.naver.com/PostView.naver?blogId=yesktj&amp;logNo=223911628316&amp;redirect=Dlog&amp;widgetTypeCall=true&amp;directAccess=false</t>
  </si>
  <si>
    <t>들둘이</t>
  </si>
  <si>
    <t>국정위 "집값 오를 때마다 단기 대책, 바람직하지 않아"</t>
  </si>
  <si>
    <t>https://blog.naver.com/PostView.naver?blogId=whkim0408&amp;logNo=223911359055&amp;redirect=Dlog&amp;widgetTypeCall=true&amp;directAccess=false</t>
  </si>
  <si>
    <t>[주식 &amp; 코인] 삼성운용, KODEX ETF 순자산 80조 첫 돌파</t>
  </si>
  <si>
    <t>https://blog.naver.com/PostView.naver?blogId=news-dotcom&amp;logNo=223910975562&amp;redirect=Dlog&amp;widgetTypeCall=true&amp;directAccess=false</t>
  </si>
  <si>
    <t>국내유일 경제정책지</t>
  </si>
  <si>
    <t>[KDI 나라경제_혁신을 만나다] 인터폴·FBI도 인정···세계가 찾는 보안기술, 알고 보니 한국 스타트업</t>
  </si>
  <si>
    <t>https://blog.naver.com/PostView.naver?blogId=kdi_nara&amp;logNo=223904461746&amp;redirect=Dlog&amp;widgetTypeCall=true&amp;directAccess=false</t>
  </si>
  <si>
    <t>OATC 오에이티씨</t>
  </si>
  <si>
    <t>OATC 피부임상시험센터 인코스메틱스 코리아 참가 화장품 임상 컨설팅 사전예약 접수</t>
  </si>
  <si>
    <t>https://blog.naver.com/PostView.naver?blogId=biolab_oatc&amp;logNo=223910872355&amp;redirect=Dlog&amp;widgetTypeCall=true&amp;directAccess=false</t>
  </si>
  <si>
    <t>[ 뉴스클리핑 ] 2025년 06월 25일(수)</t>
  </si>
  <si>
    <t>https://blog.naver.com/PostView.naver?blogId=valueinstory&amp;logNo=223910793434&amp;redirect=Dlog&amp;widgetTypeCall=true&amp;directAccess=false</t>
  </si>
  <si>
    <t>임</t>
  </si>
  <si>
    <t>6/24 장마감 ( 주도테마 : 스테이블코인)</t>
  </si>
  <si>
    <t>https://blog.naver.com/PostView.naver?blogId=not_money_wisdom&amp;logNo=223910651203&amp;redirect=Dlog&amp;widgetTypeCall=true&amp;directAccess=false</t>
  </si>
  <si>
    <t>도저희</t>
  </si>
  <si>
    <t>염승환 염블리와 함께 시장함께 읽기(250624)</t>
  </si>
  <si>
    <t>https://blog.naver.com/PostView.naver?blogId=jt3429do&amp;logNo=223910617432&amp;redirect=Dlog&amp;widgetTypeCall=true&amp;directAccess=false</t>
  </si>
  <si>
    <t>["암세포만 골라 죽였다"…방사선보다 더 효과 보인 이 치료법] 정심교.머니투데이 -[요약] 온열치료. 또 올립니다만 이 기사에는 열원이 고주파라는 사실과 내용이 상세합니다.</t>
  </si>
  <si>
    <t>https://blog.naver.com/PostView.naver?blogId=cskw11&amp;logNo=223910424575&amp;redirect=Dlog&amp;widgetTypeCall=true&amp;directAccess=false</t>
  </si>
  <si>
    <t>부자지망생</t>
  </si>
  <si>
    <t>근황 및 읽은 책</t>
  </si>
  <si>
    <t>https://blog.naver.com/PostView.naver?blogId=investing_1414&amp;logNo=223910408852&amp;redirect=Dlog&amp;widgetTypeCall=true&amp;directAccess=false</t>
  </si>
  <si>
    <t>김민석 국무총리 후보자 논문 표절 논란과 해명…"주석 부족 인정"</t>
  </si>
  <si>
    <t>https://blog.naver.com/PostView.naver?blogId=underwind-&amp;logNo=223910270526&amp;redirect=Dlog&amp;widgetTypeCall=true&amp;directAccess=false</t>
  </si>
  <si>
    <t>2025년 6월 24일 가상자산 시장뉴스(코인뉴스)</t>
  </si>
  <si>
    <t>https://blog.naver.com/PostView.naver?blogId=tone123&amp;logNo=223910240316&amp;redirect=Dlog&amp;widgetTypeCall=true&amp;directAccess=false</t>
  </si>
  <si>
    <t>밍기</t>
  </si>
  <si>
    <t>이스라엘-이란 충돌, 미국의 개입으로 확전 가능성은 낮다</t>
  </si>
  <si>
    <t>https://blog.naver.com/PostView.naver?blogId=mingyum119&amp;logNo=223910125486&amp;redirect=Dlog&amp;widgetTypeCall=true&amp;directAccess=false</t>
  </si>
  <si>
    <t>이스라엘 - 이란 - 미국</t>
  </si>
  <si>
    <t>https://blog.naver.com/PostView.naver?blogId=good-mylife&amp;logNo=223909916319&amp;redirect=Dlog&amp;widgetTypeCall=true&amp;directAccess=false</t>
  </si>
  <si>
    <t>금탑부동산대표정연길</t>
  </si>
  <si>
    <t>■1.왜! 브랜드를 더 선호할까?불안하거나, 정보의 불신과 건설업</t>
  </si>
  <si>
    <t>https://blog.naver.com/PostView.naver?blogId=tapeda&amp;logNo=223909643101&amp;redirect=Dlog&amp;widgetTypeCall=true&amp;directAccess=false</t>
  </si>
  <si>
    <t>전남 ‘기초학력 미도달 중학생’, 3년 새 24배 증가 외 (6/24)</t>
  </si>
  <si>
    <t>https://blog.naver.com/PostView.naver?blogId=khchojh&amp;logNo=223909618554&amp;redirect=Dlog&amp;widgetTypeCall=true&amp;directAccess=false</t>
  </si>
  <si>
    <t>국내외 경제 동향 및 주요 뉴스('25.06.24)_이란 핵 시설 완파 진위 여부 불확실, 향후 시나리오···①협상 통한 합의②호르무즈 해협 봉쇄③전면전 돌입, 트럼프는 휴전 발표</t>
  </si>
  <si>
    <t>https://blog.naver.com/PostView.naver?blogId=pbs6609&amp;logNo=223909616701&amp;redirect=Dlog&amp;widgetTypeCall=true&amp;directAccess=false</t>
  </si>
  <si>
    <t>우공이산 의 나침반</t>
  </si>
  <si>
    <t>[영상] 얼굴만 한 돌 들고 무인점포 계산기 쾅쾅…구속 기각 왜? - 머니투데이</t>
  </si>
  <si>
    <t>https://blog.naver.com/PostView.naver?blogId=bh801203&amp;logNo=223909565603&amp;redirect=Dlog&amp;widgetTypeCall=true&amp;directAccess=false</t>
  </si>
  <si>
    <t>6월 24일 부동산 뉴스</t>
  </si>
  <si>
    <t>https://blog.naver.com/PostView.naver?blogId=cogusal11&amp;logNo=223909554631&amp;redirect=Dlog&amp;widgetTypeCall=true&amp;directAccess=false</t>
  </si>
  <si>
    <t>BbB</t>
  </si>
  <si>
    <t>나미니</t>
  </si>
  <si>
    <t>2025.06.24 아침 뉴스 모음</t>
  </si>
  <si>
    <t>https://blog.naver.com/PostView.naver?blogId=oneslow2&amp;logNo=223909500003&amp;redirect=Dlog&amp;widgetTypeCall=true&amp;directAccess=false</t>
  </si>
  <si>
    <t>머니투데이방송</t>
  </si>
  <si>
    <t>솔리드마크</t>
  </si>
  <si>
    <t>20250623 - 뉴스체크</t>
  </si>
  <si>
    <t>https://blog.naver.com/PostView.naver?blogId=solidmark&amp;logNo=223909266508&amp;redirect=Dlog&amp;widgetTypeCall=true&amp;directAccess=false</t>
  </si>
  <si>
    <t>[시장정리] 2025년 6월23일 오늘의 급등주는?</t>
  </si>
  <si>
    <t>https://blog.naver.com/PostView.naver?blogId=seanhong99&amp;logNo=223909252914&amp;redirect=Dlog&amp;widgetTypeCall=true&amp;directAccess=false</t>
  </si>
  <si>
    <t>유목민</t>
  </si>
  <si>
    <t>오늘 개인 순 매수 1조 5천억 원 기록/과거 개인들의 순 매수 기록은 어떠했을까? 그리고 증시는 어떠했을까?/상위 개인 순 매수 50위 중에서 문재인 정부 때 40회 기록</t>
  </si>
  <si>
    <t>https://blog.naver.com/PostView.naver?blogId=silluel&amp;logNo=223909233441&amp;redirect=Dlog&amp;widgetTypeCall=true&amp;directAccess=false</t>
  </si>
  <si>
    <t>금융공학도</t>
  </si>
  <si>
    <t>동성제약 회생절차 개시결정 주식 거래정지 해제 거래재개 주가 기준가격</t>
  </si>
  <si>
    <t>https://blog.naver.com/PostView.naver?blogId=linaegedhfps&amp;logNo=223909189075&amp;redirect=Dlog&amp;widgetTypeCall=true&amp;directAccess=false</t>
  </si>
  <si>
    <t>[네이버 뉴스] 이재명 대통령, 오늘 민주당 지도부 초청 만찬…"선출 축하 자리" /  정부 첫 중소벤처기업부 장관에 한성숙… / 국민의힘 "해수부 부산 이전 중단하라…李 행정수도</t>
  </si>
  <si>
    <t>https://blog.naver.com/PostView.naver?blogId=kangyeou&amp;logNo=223909051123&amp;redirect=Dlog&amp;widgetTypeCall=true&amp;directAccess=false</t>
  </si>
  <si>
    <t>250622 부동산 주요뉴스</t>
  </si>
  <si>
    <t>https://blog.naver.com/PostView.naver?blogId=ebdn0083&amp;logNo=223908782329&amp;redirect=Dlog&amp;widgetTypeCall=true&amp;directAccess=false</t>
  </si>
  <si>
    <t>센시오</t>
  </si>
  <si>
    <t>위대한 투자는 훌륭한 책에서 시작된다 -워런 버핏- &lt;주식투자 필독서 40&gt;</t>
  </si>
  <si>
    <t>https://blog.naver.com/PostView.naver?blogId=sensio2018&amp;logNo=223908729076&amp;redirect=Dlog&amp;widgetTypeCall=true&amp;directAccess=false</t>
  </si>
  <si>
    <t>"2025년 6월 20일 간추린 셀러 뉴스"</t>
  </si>
  <si>
    <t>https://blog.naver.com/PostView.naver?blogId=urban-sb1&amp;logNo=223908644188&amp;redirect=Dlog&amp;widgetTypeCall=true&amp;directAccess=false</t>
  </si>
  <si>
    <t>Daily News와 시장함께읽기(6/23~6/30)</t>
  </si>
  <si>
    <t>https://blog.naver.com/PostView.naver?blogId=seejeongkim&amp;logNo=223908520166&amp;redirect=Dlog&amp;widgetTypeCall=true&amp;directAccess=false</t>
  </si>
  <si>
    <t>250620 부동산 주요뉴스</t>
  </si>
  <si>
    <t>https://blog.naver.com/PostView.naver?blogId=ebdn0083&amp;logNo=223908500721&amp;redirect=Dlog&amp;widgetTypeCall=true&amp;directAccess=false</t>
  </si>
  <si>
    <t>크래프톤 - 올해 하반기 글로벌 IP로 본격 성과가 기대돼 매수의견을 유지</t>
  </si>
  <si>
    <t>https://blog.naver.com/PostView.naver?blogId=rfkang49&amp;logNo=223908446798&amp;redirect=Dlog&amp;widgetTypeCall=true&amp;directAccess=false</t>
  </si>
  <si>
    <t>기업분석 - 002. 베스트리포트: 머니투데이 (2025년 06월 둘째주)</t>
  </si>
  <si>
    <t>https://blog.naver.com/PostView.naver?blogId=a2007&amp;logNo=223907434792&amp;redirect=Dlog&amp;widgetTypeCall=true&amp;directAccess=false</t>
  </si>
  <si>
    <t>파동여우</t>
  </si>
  <si>
    <t>열정희망용기</t>
  </si>
  <si>
    <t>경제 단어 공부 9</t>
  </si>
  <si>
    <t>https://blog.naver.com/PostView.naver?blogId=k3zero&amp;logNo=223908083898&amp;redirect=Dlog&amp;widgetTypeCall=true&amp;directAccess=false</t>
  </si>
  <si>
    <t>Bigtory</t>
  </si>
  <si>
    <t>미국의 이란 공격과 중동지역 긴장</t>
  </si>
  <si>
    <t>https://blog.naver.com/PostView.naver?blogId=thebigtory&amp;logNo=223908079801&amp;redirect=Dlog&amp;widgetTypeCall=true&amp;directAccess=false</t>
  </si>
  <si>
    <t>인생살이</t>
  </si>
  <si>
    <t>호르무즈 해협 봉쇄되면 대한민국은 어떻게 되나? (이란 의회의 봉쇄 결의, 우리 경제가 받게 될 영향 총정리)</t>
  </si>
  <si>
    <t>https://blog.naver.com/PostView.naver?blogId=gs2304&amp;logNo=223908068091&amp;redirect=Dlog&amp;widgetTypeCall=true&amp;directAccess=false</t>
  </si>
  <si>
    <t>브리핑 STOCK</t>
  </si>
  <si>
    <t>구름</t>
  </si>
  <si>
    <t>위험한? 코스피 종합지수 3000</t>
  </si>
  <si>
    <t>https://blog.naver.com/PostView.naver?blogId=jjoodol&amp;logNo=223907679956&amp;redirect=Dlog&amp;widgetTypeCall=true&amp;directAccess=false</t>
  </si>
  <si>
    <t>올림피아</t>
  </si>
  <si>
    <t>AI정책기획</t>
  </si>
  <si>
    <t>트럼프 대통령, 이란 핵 시설 군사 공격에 따른 대응 시나리오</t>
  </si>
  <si>
    <t>https://blog.naver.com/PostView.naver?blogId=police1965&amp;logNo=223907476663&amp;redirect=Dlog&amp;widgetTypeCall=true&amp;directAccess=false</t>
  </si>
  <si>
    <t>뱅크맨</t>
  </si>
  <si>
    <t>미래 설계 기술</t>
  </si>
  <si>
    <t>https://blog.naver.com/PostView.naver?blogId=nonstop0404&amp;logNo=223907207774&amp;redirect=Dlog&amp;widgetTypeCall=true&amp;directAccess=false</t>
  </si>
  <si>
    <t>[머니투데이] "며칠만에 1억, 2억 오르는 건 예삿일"…성동·송파 아파트 '가속페달'</t>
  </si>
  <si>
    <t>https://blog.naver.com/PostView.naver?blogId=bdmonth&amp;logNo=223906935528&amp;redirect=Dlog&amp;widgetTypeCall=true&amp;directAccess=false</t>
  </si>
  <si>
    <t>21일 오후 15시30분 주요뉴~스</t>
  </si>
  <si>
    <t>https://blog.naver.com/PostView.naver?blogId=c1c1b1b1&amp;logNo=223906874969&amp;redirect=Dlog&amp;widgetTypeCall=true&amp;directAccess=false</t>
  </si>
  <si>
    <t>모래모래시계</t>
  </si>
  <si>
    <t>곰씨인쇄공장책공장</t>
  </si>
  <si>
    <t>이란 집속탄 공격에 북한의 흔적... 北·이란 미사일 커넥션</t>
  </si>
  <si>
    <t>https://blog.naver.com/PostView.naver?blogId=cscg6472&amp;logNo=223906733807&amp;redirect=Dlog&amp;widgetTypeCall=true&amp;directAccess=false</t>
  </si>
  <si>
    <t>[머니투데이] 삼성 평택캠퍼스 P4 공사재개 시동건_2025.06.20_머니투데이 김남이, 김호빈 기자</t>
  </si>
  <si>
    <t>https://blog.naver.com/PostView.naver?blogId=kho3680682&amp;logNo=223906696888&amp;redirect=Dlog&amp;widgetTypeCall=true&amp;directAccess=false</t>
  </si>
  <si>
    <t>■1. 이렇게 재건축을 한다면...</t>
  </si>
  <si>
    <t>https://blog.naver.com/PostView.naver?blogId=tapeda&amp;logNo=223906573035&amp;redirect=Dlog&amp;widgetTypeCall=true&amp;directAccess=false</t>
  </si>
  <si>
    <t>사마중달</t>
  </si>
  <si>
    <t>작년보다 집 두 배 이상 팔렸다...서울에서만 8700건 늘어 - 부동산뉴스와 블로그모음 6월21일 토요일</t>
  </si>
  <si>
    <t>https://blog.naver.com/PostView.naver?blogId=baekilee&amp;logNo=223906530372&amp;redirect=Dlog&amp;widgetTypeCall=true&amp;directAccess=false</t>
  </si>
  <si>
    <t>부동산은 결국 심리..</t>
  </si>
  <si>
    <t>https://blog.naver.com/PostView.naver?blogId=good-mylife&amp;logNo=223906362110&amp;redirect=Dlog&amp;widgetTypeCall=true&amp;directAccess=false</t>
  </si>
  <si>
    <t>AI 챗봇이 클라우드 먹여 살린다. 시장규모 900조원, 미국 빅테크 3사 시장 점유율 65%</t>
  </si>
  <si>
    <t>https://blog.naver.com/PostView.naver?blogId=lkyj8ch&amp;logNo=223906322005&amp;redirect=Dlog&amp;widgetTypeCall=true&amp;directAccess=false</t>
  </si>
  <si>
    <t>샤르메</t>
  </si>
  <si>
    <t>나는 어떤 부자가 되고 싶은가</t>
  </si>
  <si>
    <t>https://blog.naver.com/PostView.naver?blogId=uicee&amp;logNo=223906161794&amp;redirect=Dlog&amp;widgetTypeCall=true&amp;directAccess=false</t>
  </si>
  <si>
    <t>써니여니파</t>
  </si>
  <si>
    <t>[2025.06.20] 오늘의 유통 뉴스</t>
  </si>
  <si>
    <t>https://blog.naver.com/PostView.naver?blogId=sunnyyeonypa&amp;logNo=223905714000&amp;redirect=Dlog&amp;widgetTypeCall=true&amp;directAccess=false</t>
  </si>
  <si>
    <t>250620) '이재명 랠리'에 삼천피 탈환…"오천피도 간다" 깜짝 전망</t>
  </si>
  <si>
    <t>https://blog.naver.com/PostView.naver?blogId=mudita22&amp;logNo=223905712886&amp;redirect=Dlog&amp;widgetTypeCall=true&amp;directAccess=false</t>
  </si>
  <si>
    <t>4년전 3천피 이후 개미 "반토막" 비명…잘 보고 하자.</t>
  </si>
  <si>
    <t>https://blog.naver.com/PostView.naver?blogId=lkl7383&amp;logNo=223905614955&amp;redirect=Dlog&amp;widgetTypeCall=true&amp;directAccess=false</t>
  </si>
  <si>
    <t>s_ryong</t>
  </si>
  <si>
    <t>[113만명 빚 탕감] 하나님이 되어 버린 이재명</t>
  </si>
  <si>
    <t>https://blog.naver.com/PostView.naver?blogId=s_ryong&amp;logNo=223905588875&amp;redirect=Dlog&amp;widgetTypeCall=true&amp;directAccess=false</t>
  </si>
  <si>
    <t>우람스</t>
  </si>
  <si>
    <t>현실적인 부자론</t>
  </si>
  <si>
    <t>https://blog.naver.com/PostView.naver?blogId=silverspiri5&amp;logNo=223905554930&amp;redirect=Dlog&amp;widgetTypeCall=true&amp;directAccess=false</t>
  </si>
  <si>
    <t>대한민국 경제전망 (2025년 6월 19일, 목요일)</t>
  </si>
  <si>
    <t>https://blog.naver.com/PostView.naver?blogId=gongdaesaupga&amp;logNo=223905447014&amp;redirect=Dlog&amp;widgetTypeCall=true&amp;directAccess=false</t>
  </si>
  <si>
    <t>6월 20일 부동산 뉴스</t>
  </si>
  <si>
    <t>https://blog.naver.com/PostView.naver?blogId=cogusal11&amp;logNo=223905420887&amp;redirect=Dlog&amp;widgetTypeCall=true&amp;directAccess=false</t>
  </si>
  <si>
    <t>김승동</t>
  </si>
  <si>
    <t>[김승동의 봄톡스(25.06.20)]</t>
  </si>
  <si>
    <t>https://blog.naver.com/PostView.naver?blogId=insuoasis&amp;logNo=223905410135&amp;redirect=Dlog&amp;widgetTypeCall=true&amp;directAccess=false</t>
  </si>
  <si>
    <t>정책지식 2025.6.20.</t>
  </si>
  <si>
    <t>https://blog.naver.com/PostView.naver?blogId=trim9134&amp;logNo=223905396346&amp;redirect=Dlog&amp;widgetTypeCall=true&amp;directAccess=false</t>
  </si>
  <si>
    <t>[ 뉴스클리핑 ] 2025년 06월 20일(금)</t>
  </si>
  <si>
    <t>https://blog.naver.com/PostView.naver?blogId=valueinstory&amp;logNo=223905396009&amp;redirect=Dlog&amp;widgetTypeCall=true&amp;directAccess=false</t>
  </si>
  <si>
    <t>yty4409</t>
  </si>
  <si>
    <t>Christian Thinking</t>
  </si>
  <si>
    <t>이란 핵 수십개 만들 수 있다... 농축 우라늄 408kg 비축... 1주일에 한 개씩 생산 가능...</t>
  </si>
  <si>
    <t>https://blog.naver.com/PostView.naver?blogId=sabbaton&amp;logNo=223905095451&amp;redirect=Dlog&amp;widgetTypeCall=true&amp;directAccess=false</t>
  </si>
  <si>
    <t>[머니투데이] 압구정2구역 '100억 클럽' 입성…주변 아파트도 10억씩 껑충껑충</t>
  </si>
  <si>
    <t>https://blog.naver.com/PostView.naver?blogId=bdmonth&amp;logNo=223905093444&amp;redirect=Dlog&amp;widgetTypeCall=true&amp;directAccess=false</t>
  </si>
  <si>
    <t>1300조 원. 그 안에 숨어 있는 건, 죽은 고목에 쏟아지는 국민 세금이었다. — 추경, 회생, 그리고 단 한 수의 경제학</t>
  </si>
  <si>
    <t>https://blog.naver.com/PostView.naver?blogId=eremoval&amp;logNo=223905033577&amp;redirect=Dlog&amp;widgetTypeCall=true&amp;directAccess=false</t>
  </si>
  <si>
    <t>학교 출입 보안 바른정보기술, 2년 연속 제품혁신 기업 선정</t>
  </si>
  <si>
    <t>https://blog.naver.com/PostView.naver?blogId=doceancokr&amp;logNo=223904900038&amp;redirect=Dlog&amp;widgetTypeCall=true&amp;directAccess=false</t>
  </si>
  <si>
    <t>250619 부동산 주요뉴스</t>
  </si>
  <si>
    <t>https://blog.naver.com/PostView.naver?blogId=ebdn0083&amp;logNo=223904569271&amp;redirect=Dlog&amp;widgetTypeCall=true&amp;directAccess=false</t>
  </si>
  <si>
    <t>바넬로피</t>
  </si>
  <si>
    <t>부자 기준 - 자산 &amp; 라이프스타일</t>
  </si>
  <si>
    <t>https://blog.naver.com/PostView.naver?blogId=clazz2020&amp;logNo=223904555124&amp;redirect=Dlog&amp;widgetTypeCall=true&amp;directAccess=false</t>
  </si>
  <si>
    <t>부자의 기준</t>
  </si>
  <si>
    <t>https://blog.naver.com/PostView.naver?blogId=clazz2020&amp;logNo=223904531622&amp;redirect=Dlog&amp;widgetTypeCall=true&amp;directAccess=false</t>
  </si>
  <si>
    <t>정책지식 2025.6.19.</t>
  </si>
  <si>
    <t>https://blog.naver.com/PostView.naver?blogId=trim9134&amp;logNo=223904227030&amp;redirect=Dlog&amp;widgetTypeCall=true&amp;directAccess=false</t>
  </si>
  <si>
    <t>건강한 부자 젬마</t>
  </si>
  <si>
    <t>6/19 &lt;존경받는 부자 1위&gt;</t>
  </si>
  <si>
    <t>https://blog.naver.com/PostView.naver?blogId=alth1318&amp;logNo=223904194312&amp;redirect=Dlog&amp;widgetTypeCall=true&amp;directAccess=false</t>
  </si>
  <si>
    <t>seolae</t>
  </si>
  <si>
    <t>충분히 괜찮은 삶</t>
  </si>
  <si>
    <t>https://blog.naver.com/PostView.naver?blogId=seolae929&amp;logNo=223903974898&amp;redirect=Dlog&amp;widgetTypeCall=true&amp;directAccess=false</t>
  </si>
  <si>
    <t>2025년 6월 18일, "이재명 정부 첫 추경"에 대한 X 반응.</t>
  </si>
  <si>
    <t>https://blog.naver.com/PostView.naver?blogId=shinswoong75&amp;logNo=223903973682&amp;redirect=Dlog&amp;widgetTypeCall=true&amp;directAccess=false</t>
  </si>
  <si>
    <t>2025년 6월 18일, 이재명 대통령, 영국 총리과 회담에 대한 X반응.</t>
  </si>
  <si>
    <t>https://blog.naver.com/PostView.naver?blogId=shinswoong75&amp;logNo=223903880137&amp;redirect=Dlog&amp;widgetTypeCall=true&amp;directAccess=false</t>
  </si>
  <si>
    <t>오름걸음</t>
  </si>
  <si>
    <t>2025년 6월 18일 주식테마/특징종목</t>
  </si>
  <si>
    <t>https://blog.naver.com/PostView.naver?blogId=oreumgureum&amp;logNo=223903828771&amp;redirect=Dlog&amp;widgetTypeCall=true&amp;directAccess=false</t>
  </si>
  <si>
    <t>P2ACH AI</t>
  </si>
  <si>
    <t>피치에이아이, AI 옥외광고 솔루션으로 '스타트업대상' 수상(P2ACH AI Wins ‘Startup Award’ for AI DOOH Solution)</t>
  </si>
  <si>
    <t>https://blog.naver.com/PostView.naver?blogId=p2ach_ai&amp;logNo=223903406949&amp;redirect=Dlog&amp;widgetTypeCall=true&amp;directAccess=false</t>
  </si>
  <si>
    <t>그림먹는공인중개사</t>
  </si>
  <si>
    <t>25.06.18. 부동산 뉴스</t>
  </si>
  <si>
    <t>https://blog.naver.com/PostView.naver?blogId=poohhwaid&amp;logNo=223903344848&amp;redirect=Dlog&amp;widgetTypeCall=true&amp;directAccess=false</t>
  </si>
  <si>
    <t>두마리</t>
  </si>
  <si>
    <t>경제쌤</t>
  </si>
  <si>
    <t>뉴욕증시에 상장된 한국 주식 ETF(feat. MSCI 코리아 25/50 지수)</t>
  </si>
  <si>
    <t>https://blog.naver.com/PostView.naver?blogId=economyyyy&amp;logNo=223903223780&amp;redirect=Dlog&amp;widgetTypeCall=true&amp;directAccess=false</t>
  </si>
  <si>
    <t>사자가온다</t>
  </si>
  <si>
    <t>사자가온다-우리덜, AI 직업카드 공동개발 협약</t>
  </si>
  <si>
    <t>https://blog.naver.com/PostView.naver?blogId=jc_lab&amp;logNo=223903165877&amp;redirect=Dlog&amp;widgetTypeCall=true&amp;directAccess=false</t>
  </si>
  <si>
    <t>다큐문 맹순이 맹식이</t>
  </si>
  <si>
    <t>자신을 집에 데려다 주려는 여성 경찰관을 폭행한 50대가 체포됐다./사진=임종철 디자인기자 자신을 집에 데려다 주려는 여성 경찰관을 폭행한 50대가 체포됐다. 6월18일 뉴스1</t>
  </si>
  <si>
    <t>https://blog.naver.com/PostView.naver?blogId=59misookpak&amp;logNo=223903090229&amp;redirect=Dlog&amp;widgetTypeCall=true&amp;directAccess=false</t>
  </si>
  <si>
    <t>NAVER(홈피드·AI 서비스 확대로 실적 예상치↑)---1억 원 이상 체결 상위/ 시가총액 34조 8,561억원</t>
  </si>
  <si>
    <t>https://blog.naver.com/PostView.naver?blogId=recsy&amp;logNo=223903084617&amp;redirect=Dlog&amp;widgetTypeCall=true&amp;directAccess=false</t>
  </si>
  <si>
    <t>[ 뉴스클리핑 ] 2025년 06월 18일(수)</t>
  </si>
  <si>
    <t>https://blog.naver.com/PostView.naver?blogId=valueinstory&amp;logNo=223903022170&amp;redirect=Dlog&amp;widgetTypeCall=true&amp;directAccess=false</t>
  </si>
  <si>
    <t>케페우스</t>
  </si>
  <si>
    <t>MIYEON</t>
  </si>
  <si>
    <t>2025년 6월 17일(화) 상한가 및 거래량 천만주 종목 정리</t>
  </si>
  <si>
    <t>https://blog.naver.com/PostView.naver?blogId=meiran63&amp;logNo=223902764854&amp;redirect=Dlog&amp;widgetTypeCall=true&amp;directAccess=false</t>
  </si>
  <si>
    <t>김빡스KimBox</t>
  </si>
  <si>
    <t>J모텔</t>
  </si>
  <si>
    <t>6월17일 증권경제방송</t>
  </si>
  <si>
    <t>https://blog.naver.com/PostView.naver?blogId=busanjmotel&amp;logNo=223902461369&amp;redirect=Dlog&amp;widgetTypeCall=true&amp;directAccess=false</t>
  </si>
  <si>
    <t>녹색고양이</t>
  </si>
  <si>
    <t>“부동산 지금 안 사면 더 비싸진다” 소비자 인식 서울뿐 아니라 전국 확대</t>
  </si>
  <si>
    <t>https://blog.naver.com/PostView.naver?blogId=whkim0408&amp;logNo=223902270739&amp;redirect=Dlog&amp;widgetTypeCall=true&amp;directAccess=false</t>
  </si>
  <si>
    <t>이란 '그만하자'는데...'13.6t' 초대형 벙커버스터...트럼프, 결국 이란 핵시설에 투하?</t>
  </si>
  <si>
    <t>https://blog.naver.com/PostView.naver?blogId=cscg6472&amp;logNo=223902255229&amp;redirect=Dlog&amp;widgetTypeCall=true&amp;directAccess=false</t>
  </si>
  <si>
    <t>250617 부동산 주요뉴스</t>
  </si>
  <si>
    <t>https://blog.naver.com/PostView.naver?blogId=ebdn0083&amp;logNo=223901947973&amp;redirect=Dlog&amp;widgetTypeCall=true&amp;directAccess=false</t>
  </si>
  <si>
    <t>국내외 경제 동향 및 주요 뉴스('25.06.17)_무섭게 오르는 집값과 가계대출 급증에 전 은행 주담대 만기 40년→30년으로 축소…금감원, 가계대출 현장점검도 진행</t>
  </si>
  <si>
    <t>https://blog.naver.com/PostView.naver?blogId=pbs6609&amp;logNo=223901895410&amp;redirect=Dlog&amp;widgetTypeCall=true&amp;directAccess=false</t>
  </si>
  <si>
    <t>서울시자원봉사센터</t>
  </si>
  <si>
    <t>(0616) 서울시, 기업·기업재단과 손잡고 안동 산불피해 마을 3차 바로봉사단 파견</t>
  </si>
  <si>
    <t>https://blog.naver.com/PostView.naver?blogId=svc_1365&amp;logNo=223901844608&amp;redirect=Dlog&amp;widgetTypeCall=true&amp;directAccess=false</t>
  </si>
  <si>
    <t>열공하는 병아리</t>
  </si>
  <si>
    <t>[2025.06.16] 한국의료분쟁조정중재원 (1)</t>
  </si>
  <si>
    <t>https://blog.naver.com/PostView.naver?blogId=victory0hj&amp;logNo=223901450213&amp;redirect=Dlog&amp;widgetTypeCall=true&amp;directAccess=false</t>
  </si>
  <si>
    <t>2025년 6월 16일(월) 상한가 및 거래량 천만주 종목 정리</t>
  </si>
  <si>
    <t>https://blog.naver.com/PostView.naver?blogId=meiran63&amp;logNo=223901424224&amp;redirect=Dlog&amp;widgetTypeCall=true&amp;directAccess=false</t>
  </si>
  <si>
    <t>흰빛여우</t>
  </si>
  <si>
    <t>일반 국민 25만원, 취약계층 50만원?…소비쿠폰 어떻게 지급되나</t>
  </si>
  <si>
    <t>https://blog.naver.com/PostView.naver?blogId=kadimn&amp;logNo=223901415557&amp;redirect=Dlog&amp;widgetTypeCall=true&amp;directAccess=false</t>
  </si>
  <si>
    <t>디던</t>
  </si>
  <si>
    <t>상한가&amp;천만주 / 25년 6월 16 일 / 디앤디파마텍 롯데이노베이트 우리기술 흥아해운 동양철관 유니슨 더즌 두산에너빌리티 한화시스템 흥구석유</t>
  </si>
  <si>
    <t>https://blog.naver.com/PostView.naver?blogId=ujisun93&amp;logNo=223901412526&amp;redirect=Dlog&amp;widgetTypeCall=true&amp;directAccess=false</t>
  </si>
  <si>
    <t>GKite</t>
  </si>
  <si>
    <t>민쌤</t>
  </si>
  <si>
    <t>김민석 총리 후보자의 해명으로 본 재산, 아들, 학위 등 쟁점 살피기</t>
  </si>
  <si>
    <t>https://blog.naver.com/PostView.naver?blogId=minssem1980&amp;logNo=223901078612&amp;redirect=Dlog&amp;widgetTypeCall=true&amp;directAccess=false</t>
  </si>
  <si>
    <t>6o_o3-</t>
  </si>
  <si>
    <t>IP사업 이전의 콘텐츠 사업(만화&amp;웹툰, 웹소설)</t>
  </si>
  <si>
    <t>https://blog.naver.com/PostView.naver?blogId=6o_o3-&amp;logNo=223900946617&amp;redirect=Dlog&amp;widgetTypeCall=true&amp;directAccess=false</t>
  </si>
  <si>
    <t>(주)바른정보기술, 학교 출입보안 솔루션 '스쿨패스', 리딩기업대상 수상</t>
  </si>
  <si>
    <t>https://blog.naver.com/PostView.naver?blogId=doceancokr&amp;logNo=223900856309&amp;redirect=Dlog&amp;widgetTypeCall=true&amp;directAccess=false</t>
  </si>
  <si>
    <t>esuccess</t>
  </si>
  <si>
    <t>비은행 주체의 원화 스테이블코인 발행 가능성 논의정책 구체화되지 않아, 한국은행 반대도 변수, 업계는 '관망중'</t>
  </si>
  <si>
    <t>https://blog.naver.com/PostView.naver?blogId=differance-dolly&amp;logNo=223900252147&amp;redirect=Dlog&amp;widgetTypeCall=true&amp;directAccess=false</t>
  </si>
  <si>
    <t>국내외 경제 동향 및 주요 뉴스('25.06.16)_"서울 집값 과열" 새 정부도 초긴장 상태…규제지역 확대, 핀셋 대출 규제, 구체적 공급 확대 방안 등 전망</t>
  </si>
  <si>
    <t>https://blog.naver.com/PostView.naver?blogId=pbs6609&amp;logNo=223900640872&amp;redirect=Dlog&amp;widgetTypeCall=true&amp;directAccess=false</t>
  </si>
  <si>
    <t>플라스틱 화학 환경</t>
  </si>
  <si>
    <t>[머니투데이]내 혈액 속 미세플라스틱을 검사해봤다. 결과는 예상과 달랐다.</t>
  </si>
  <si>
    <t>https://blog.naver.com/PostView.naver?blogId=jh3370&amp;logNo=223900534962&amp;redirect=Dlog&amp;widgetTypeCall=true&amp;directAccess=false</t>
  </si>
  <si>
    <t>[ 뉴스클리핑 ] 2025년 06월 16일(월)</t>
  </si>
  <si>
    <t>https://blog.naver.com/PostView.naver?blogId=valueinstory&amp;logNo=223900523015&amp;redirect=Dlog&amp;widgetTypeCall=true&amp;directAccess=false</t>
  </si>
  <si>
    <t>7과 1LV 왕호떡</t>
  </si>
  <si>
    <t>[속보] 제1176회 로또 1등 발표: '7, 9, 11, 21, 30, 35'… 보너스 '29'</t>
  </si>
  <si>
    <t>https://blog.naver.com/PostView.naver?blogId=dbghwns2&amp;logNo=223900060668&amp;redirect=Dlog&amp;widgetTypeCall=true&amp;directAccess=false</t>
  </si>
  <si>
    <t>아이지넷 - 마이데이터 기반 AI 인슈어테크 기업</t>
  </si>
  <si>
    <t>https://blog.naver.com/PostView.naver?blogId=rfkang49&amp;logNo=223899965434&amp;redirect=Dlog&amp;widgetTypeCall=true&amp;directAccess=false</t>
  </si>
  <si>
    <t>띵똥</t>
  </si>
  <si>
    <t>뷰티/관광 관련 몇가지 뉴스들</t>
  </si>
  <si>
    <t>https://blog.naver.com/PostView.naver?blogId=normal_life_dream&amp;logNo=223899347807&amp;redirect=Dlog&amp;widgetTypeCall=true&amp;directAccess=false</t>
  </si>
  <si>
    <t>루디맘</t>
  </si>
  <si>
    <t>대전두피관리, 탈모관리 '모어블랙 두피 탈모 전문센터 대전본점'</t>
  </si>
  <si>
    <t>https://blog.naver.com/PostView.naver?blogId=aprdami&amp;logNo=223899113647&amp;redirect=Dlog&amp;widgetTypeCall=true&amp;directAccess=false</t>
  </si>
  <si>
    <t>언댕</t>
  </si>
  <si>
    <t>"주택 수요는 증가하는데, 공급 엇박자"로 따라 가지 못하는 이유..</t>
  </si>
  <si>
    <t>https://blog.naver.com/PostView.naver?blogId=puppyunh&amp;logNo=223898906047&amp;redirect=Dlog&amp;widgetTypeCall=true&amp;directAccess=false</t>
  </si>
  <si>
    <t>차곡차곡 리뷰</t>
  </si>
  <si>
    <t>돌곰팡이</t>
  </si>
  <si>
    <t>정치평론가 고성국씨 병원서 검사중 .. ..</t>
  </si>
  <si>
    <t>https://blog.naver.com/PostView.naver?blogId=tbyn7182&amp;logNo=223898862450&amp;redirect=Dlog&amp;widgetTypeCall=true&amp;directAccess=false</t>
  </si>
  <si>
    <t>250613 부동산 주요뉴스</t>
  </si>
  <si>
    <t>https://blog.naver.com/PostView.naver?blogId=ebdn0083&amp;logNo=223898800969&amp;redirect=Dlog&amp;widgetTypeCall=true&amp;directAccess=false</t>
  </si>
  <si>
    <t>[종목분석 리포트] 💃신성델타테크 (Feat. 초전도체, AI, 로봇, 2차전지, 양자컴퓨터, 가전, 물류/유통, 금융등 팔방미인 종목)</t>
  </si>
  <si>
    <t>https://blog.naver.com/PostView.naver?blogId=mtn202404&amp;logNo=223898512246&amp;redirect=Dlog&amp;widgetTypeCall=true&amp;directAccess=false</t>
  </si>
  <si>
    <t>눌림해</t>
  </si>
  <si>
    <t>2025.6.13-금요일</t>
  </si>
  <si>
    <t>https://blog.naver.com/PostView.naver?blogId=my-dream-&amp;logNo=223898469243&amp;redirect=Dlog&amp;widgetTypeCall=true&amp;directAccess=false</t>
  </si>
  <si>
    <t>re</t>
  </si>
  <si>
    <t>현대 한국 사회의 다층적 긴장: 세대, 젠더, 그리고 미디어 담론 분석</t>
  </si>
  <si>
    <t>https://blog.naver.com/PostView.naver?blogId=newyorkmanhattan&amp;logNo=223898402610&amp;redirect=Dlog&amp;widgetTypeCall=true&amp;directAccess=false</t>
  </si>
  <si>
    <t>[머니투데이] 카카오, 남양주에 'AI 허브' 구축…6000억 투입</t>
  </si>
  <si>
    <t>https://blog.naver.com/PostView.naver?blogId=bdmonth&amp;logNo=223898179553&amp;redirect=Dlog&amp;widgetTypeCall=true&amp;directAccess=false</t>
  </si>
  <si>
    <t>(주)바른정보기술 '스쿨패스', '2025 대한민국 리딩기업대상' 학교 출입보안 부문 대상 수상</t>
  </si>
  <si>
    <t>https://blog.naver.com/PostView.naver?blogId=doceancokr&amp;logNo=223898172551&amp;redirect=Dlog&amp;widgetTypeCall=true&amp;directAccess=false</t>
  </si>
  <si>
    <t>새 정부 첫 주, 서울 아파트값 올 들어 최대폭 상승</t>
  </si>
  <si>
    <t>https://blog.naver.com/PostView.naver?blogId=seodooo&amp;logNo=223898047165&amp;redirect=Dlog&amp;widgetTypeCall=true&amp;directAccess=false</t>
  </si>
  <si>
    <t>짱주</t>
  </si>
  <si>
    <t>전 국민의힘 국회의원 황보승희 프로필 나이 고향 학력 경력 "정치자금법 위반 2심도 유죄"</t>
  </si>
  <si>
    <t>https://blog.naver.com/PostView.naver?blogId=happyair4&amp;logNo=223897956216&amp;redirect=Dlog&amp;widgetTypeCall=true&amp;directAccess=false</t>
  </si>
  <si>
    <t>좋은마음</t>
  </si>
  <si>
    <t>성추행·사기' 허경영 구속기소…범죄수익 389억 추징보전</t>
  </si>
  <si>
    <t>https://blog.naver.com/PostView.naver?blogId=finemind&amp;logNo=223897810587&amp;redirect=Dlog&amp;widgetTypeCall=true&amp;directAccess=false</t>
  </si>
  <si>
    <t>25.06.13.잠시 생각할 시간이 필요하다.</t>
  </si>
  <si>
    <t>https://blog.naver.com/PostView.naver?blogId=rogwa&amp;logNo=223897802751&amp;redirect=Dlog&amp;widgetTypeCall=true&amp;directAccess=false</t>
  </si>
  <si>
    <t>LGU+, 유튜브 팬페스트서 AI 기술 '익시오' 선봬</t>
  </si>
  <si>
    <t>https://blog.naver.com/PostView.naver?blogId=jch4512&amp;logNo=223897785960&amp;redirect=Dlog&amp;widgetTypeCall=true&amp;directAccess=false</t>
  </si>
  <si>
    <t>[ICT 뉴스_20250613] 랜섬웨어 공격에 멈춰선 예스24…기업들 "한 번 걸리면 답이 없다"</t>
  </si>
  <si>
    <t>https://blog.naver.com/PostView.naver?blogId=mangocart&amp;logNo=223897714263&amp;redirect=Dlog&amp;widgetTypeCall=true&amp;directAccess=false</t>
  </si>
  <si>
    <t>인쇄하는채부장</t>
  </si>
  <si>
    <t>올해부터 서울지역 학생 _ AI·디지털 역량 _ 진단검사 치른다</t>
  </si>
  <si>
    <t>https://blog.naver.com/PostView.naver?blogId=printingconsultant&amp;logNo=223897627066&amp;redirect=Dlog&amp;widgetTypeCall=true&amp;directAccess=false</t>
  </si>
  <si>
    <t>📌 [오늘의 삼성전자 뉴스 - 2025.06.13]</t>
  </si>
  <si>
    <t>https://blog.naver.com/PostView.naver?blogId=kms21084&amp;logNo=223897612230&amp;redirect=Dlog&amp;widgetTypeCall=true&amp;directAccess=false</t>
  </si>
  <si>
    <t>nrrtive5490</t>
  </si>
  <si>
    <t>투자 시 주의할 회계 이슈와 재무 조작 신호</t>
  </si>
  <si>
    <t>https://blog.naver.com/PostView.naver?blogId=nrrtive5490&amp;logNo=223897555301&amp;redirect=Dlog&amp;widgetTypeCall=true&amp;directAccess=false</t>
  </si>
  <si>
    <t>중국 장성자동차, 왜 한국 배터리 핵심 기술 유출을 전두지휘하는가</t>
  </si>
  <si>
    <t>https://blog.naver.com/PostView.naver?blogId=newyorkmanhattan&amp;logNo=223897508357&amp;redirect=Dlog&amp;widgetTypeCall=true&amp;directAccess=false</t>
  </si>
  <si>
    <t>specially1985</t>
  </si>
  <si>
    <t>정인아, 이모가 잊을까봐 찾아온거야?</t>
  </si>
  <si>
    <t>https://blog.naver.com/PostView.naver?blogId=specially1985&amp;logNo=223897449559&amp;redirect=Dlog&amp;widgetTypeCall=true&amp;directAccess=false</t>
  </si>
  <si>
    <t>2025.6.12-목요일</t>
  </si>
  <si>
    <t>https://blog.naver.com/PostView.naver?blogId=my-dream-&amp;logNo=223897346173&amp;redirect=Dlog&amp;widgetTypeCall=true&amp;directAccess=false</t>
  </si>
  <si>
    <t>오늘의 S&amp;C 6/14 (토) 김혜연</t>
  </si>
  <si>
    <t>https://blog.naver.com/PostView.naver?blogId=sncspeech&amp;logNo=223897305390&amp;redirect=Dlog&amp;widgetTypeCall=true&amp;directAccess=false</t>
  </si>
  <si>
    <t>2025년 6월 12일(목) 상한가 및 거래량 천만주 종목 정리</t>
  </si>
  <si>
    <t>https://blog.naver.com/PostView.naver?blogId=meiran63&amp;logNo=223897280356&amp;redirect=Dlog&amp;widgetTypeCall=true&amp;directAccess=false</t>
  </si>
  <si>
    <t>정원사</t>
  </si>
  <si>
    <t>연예한줄정리</t>
  </si>
  <si>
    <t>부부젤리</t>
  </si>
  <si>
    <t>이촌동 렉스아파트 재건축 탄력</t>
  </si>
  <si>
    <t>https://blog.naver.com/PostView.naver?blogId=2minlight&amp;logNo=223897213241&amp;redirect=Dlog&amp;widgetTypeCall=true&amp;directAccess=false</t>
  </si>
  <si>
    <t>중개사제트</t>
  </si>
  <si>
    <t>외국인의 부동산소유 현황(中国人在韩国拥有房地产)</t>
  </si>
  <si>
    <t>https://blog.naver.com/PostView.naver?blogId=zehyun7777&amp;logNo=223896990140&amp;redirect=Dlog&amp;widgetTypeCall=true&amp;directAccess=false</t>
  </si>
  <si>
    <t>“하이브 방시혁 사기 논란, 4천억 어떻게 챙겼나 (머니투데이방송 기업경제센터 김수헌 센터장)” 의 영상 요약</t>
  </si>
  <si>
    <t>https://blog.naver.com/PostView.naver?blogId=lucidjun&amp;logNo=223896981496&amp;redirect=Dlog&amp;widgetTypeCall=true&amp;directAccess=false</t>
  </si>
  <si>
    <t>스타맨</t>
  </si>
  <si>
    <t>국회의원 서미화</t>
  </si>
  <si>
    <t>[머니투데이] "의대정원, 공공의대 신설 전제로 최소 1000명 증원해야"(25.06.12)</t>
  </si>
  <si>
    <t>https://blog.naver.com/PostView.naver?blogId=m2hwaseo&amp;logNo=223896711920&amp;redirect=Dlog&amp;widgetTypeCall=true&amp;directAccess=false</t>
  </si>
  <si>
    <t>6월 12일 부동산 뉴스</t>
  </si>
  <si>
    <t>https://blog.naver.com/PostView.naver?blogId=cogusal11&amp;logNo=223896596685&amp;redirect=Dlog&amp;widgetTypeCall=true&amp;directAccess=false</t>
  </si>
  <si>
    <t>gosu1696</t>
  </si>
  <si>
    <t>ㅅㄷㆍㅅ</t>
  </si>
  <si>
    <t>https://blog.naver.com/PostView.naver?blogId=gosu1696&amp;logNo=223896581802&amp;redirect=Dlog&amp;widgetTypeCall=true&amp;directAccess=false</t>
  </si>
  <si>
    <t>아기천사 텅이</t>
  </si>
  <si>
    <t>25.6.12(목) 공정위 관련 뉴스</t>
  </si>
  <si>
    <t>https://blog.naver.com/PostView.naver?blogId=kmwhan&amp;logNo=223895989988&amp;redirect=Dlog&amp;widgetTypeCall=true&amp;directAccess=false</t>
  </si>
  <si>
    <t>[ 뉴스클리핑 ] 2025년 06월 12일(목)</t>
  </si>
  <si>
    <t>https://blog.naver.com/PostView.naver?blogId=valueinstory&amp;logNo=223896495941&amp;redirect=Dlog&amp;widgetTypeCall=true&amp;directAccess=false</t>
  </si>
  <si>
    <t>Koo</t>
  </si>
  <si>
    <t>6/12 목요일 뉴스읽기</t>
  </si>
  <si>
    <t>https://blog.naver.com/PostView.naver?blogId=hmkoo00&amp;logNo=223896477290&amp;redirect=Dlog&amp;widgetTypeCall=true&amp;directAccess=false</t>
  </si>
  <si>
    <t>2025년 6월 11일, 특검·검찰개혁 동시 앞둔 검찰‥태세전환?에 대한 반응.</t>
  </si>
  <si>
    <t>https://blog.naver.com/PostView.naver?blogId=shinswoong75&amp;logNo=223896254051&amp;redirect=Dlog&amp;widgetTypeCall=true&amp;directAccess=false</t>
  </si>
  <si>
    <t>250611 부동산 주요뉴스</t>
  </si>
  <si>
    <t>https://blog.naver.com/PostView.naver?blogId=ebdn0083&amp;logNo=223896197353&amp;redirect=Dlog&amp;widgetTypeCall=true&amp;directAccess=false</t>
  </si>
  <si>
    <t>2025년 6월 11일(수) 상한가 및 거래량 천만주 종목 정리</t>
  </si>
  <si>
    <t>https://blog.naver.com/PostView.naver?blogId=meiran63&amp;logNo=223896141309&amp;redirect=Dlog&amp;widgetTypeCall=true&amp;directAccess=false</t>
  </si>
  <si>
    <t>이 대통령 “주식으로 국민 생활비 벌 수 있게…배당촉진제 준비”/코스피 2900 돌파한날 이재명 대통령 한국 거래소 방문/코스피2900을 찍은 이유/이재명 테마주는 코스피이다.</t>
  </si>
  <si>
    <t>https://blog.naver.com/PostView.naver?blogId=silluel&amp;logNo=223896116202&amp;redirect=Dlog&amp;widgetTypeCall=true&amp;directAccess=false</t>
  </si>
  <si>
    <t>2025.6.11-수요일</t>
  </si>
  <si>
    <t>https://blog.naver.com/PostView.naver?blogId=my-dream-&amp;logNo=223896082666&amp;redirect=Dlog&amp;widgetTypeCall=true&amp;directAccess=false</t>
  </si>
  <si>
    <t>&lt;5천년 빈국의 허허벌판에 눈물로 국제차관을 빌려 중화학공업,철강산업 육성하고 고속도로 짓고 끼니걱정하는 국민 개개인에 하면된다 정신에 기한 근면,자조,협동을 부르짖던 박정희 대통</t>
  </si>
  <si>
    <t>https://blog.naver.com/PostView.naver?blogId=yesktj&amp;logNo=223896079189&amp;redirect=Dlog&amp;widgetTypeCall=true&amp;directAccess=false</t>
  </si>
  <si>
    <t>[6월 11일 HOT News] 中장성차, 직접 산업스파이 지휘…'K배터리' 핵심기술 털렸다 (종합)</t>
  </si>
  <si>
    <t>https://blog.naver.com/PostView.naver?blogId=why1213&amp;logNo=223895937986&amp;redirect=Dlog&amp;widgetTypeCall=true&amp;directAccess=false</t>
  </si>
  <si>
    <t>[단독]中장성차, 직접 산업스파이 지휘…'K배터리' 핵심기술 털렸다</t>
  </si>
  <si>
    <t>https://blog.naver.com/PostView.naver?blogId=eremoval&amp;logNo=223895894657&amp;redirect=Dlog&amp;widgetTypeCall=true&amp;directAccess=false</t>
  </si>
  <si>
    <t>2025/06/11 상한가 종목</t>
  </si>
  <si>
    <t>https://blog.naver.com/PostView.naver?blogId=intheriverck&amp;logNo=223895844499&amp;redirect=Dlog&amp;widgetTypeCall=true&amp;directAccess=false</t>
  </si>
  <si>
    <t>새누리신문 YUJUHYUNG</t>
  </si>
  <si>
    <t>김예지 의원, 제5회 대한민국 국회 의정대상 수상</t>
  </si>
  <si>
    <t>https://blog.naver.com/PostView.naver?blogId=inu958&amp;logNo=223895799007&amp;redirect=Dlog&amp;widgetTypeCall=true&amp;directAccess=false</t>
  </si>
  <si>
    <t>예로니모</t>
  </si>
  <si>
    <t>암환자들 왜 치료 포기하나 했더니…"'억대' 신약, 암보다 더 두려워"</t>
  </si>
  <si>
    <t>https://blog.naver.com/PostView.naver?blogId=taek1069&amp;logNo=223895790902&amp;redirect=Dlog&amp;widgetTypeCall=true&amp;directAccess=false</t>
  </si>
  <si>
    <t>라이프데저트</t>
  </si>
  <si>
    <t>Good bye 로또 청약</t>
  </si>
  <si>
    <t>https://blog.naver.com/PostView.naver?blogId=junyfa45&amp;logNo=223895761790&amp;redirect=Dlog&amp;widgetTypeCall=true&amp;directAccess=false</t>
  </si>
  <si>
    <t>lovelovetv0</t>
  </si>
  <si>
    <t>월드오브스트릿우먼파이터, 언어장벽 느낀 허니제이...엄청 소외감 느껴!</t>
  </si>
  <si>
    <t>https://blog.naver.com/PostView.naver?blogId=lovelovetv0&amp;logNo=223895736714&amp;redirect=Dlog&amp;widgetTypeCall=true&amp;directAccess=false</t>
  </si>
  <si>
    <t>정서정</t>
  </si>
  <si>
    <t>2025 05월 24일 土 ~ 05월 30일 金 소식들 정리</t>
  </si>
  <si>
    <t>https://blog.naver.com/PostView.naver?blogId=wjdtjghks&amp;logNo=223895713022&amp;redirect=Dlog&amp;widgetTypeCall=true&amp;directAccess=false</t>
  </si>
  <si>
    <t>유자몽</t>
  </si>
  <si>
    <t>픽클뉴스</t>
  </si>
  <si>
    <t>체외진단전문가</t>
  </si>
  <si>
    <t>코바이오, 日 iBody와 체외진단제 공동 연구·개발 착수</t>
  </si>
  <si>
    <t>https://blog.naver.com/PostView.naver?blogId=ivd_specialist&amp;logNo=223895299759&amp;redirect=Dlog&amp;widgetTypeCall=true&amp;directAccess=false</t>
  </si>
  <si>
    <t>2025년6월11일(수) 주요 뉴스 요약 정리 (뉴스 클리핑/뉴스 브리핑)</t>
  </si>
  <si>
    <t>https://blog.naver.com/PostView.naver?blogId=hope4life&amp;logNo=223887499601&amp;redirect=Dlog&amp;widgetTypeCall=true&amp;directAccess=false</t>
  </si>
  <si>
    <t>[상천주] 2025년 6월 10일 스테이블코인</t>
  </si>
  <si>
    <t>https://blog.naver.com/PostView.naver?blogId=hanryang1000&amp;logNo=223894998213&amp;redirect=Dlog&amp;widgetTypeCall=true&amp;directAccess=false</t>
  </si>
  <si>
    <t>이동현 이북도민작가</t>
  </si>
  <si>
    <t>한국전쟁 격전지를 '안보공원'으로…경기도, 가평 군관리계획 승인, '미·영연방 관광안보공원'</t>
  </si>
  <si>
    <t>https://blog.naver.com/PostView.naver?blogId=donghlee1001&amp;logNo=223894822215&amp;redirect=Dlog&amp;widgetTypeCall=true&amp;directAccess=false</t>
  </si>
  <si>
    <t>[머니투데이] "네? 12억이요?" 일주일 새 5억원 뛰었다…전셋값 폭등한 이 동네</t>
  </si>
  <si>
    <t>https://blog.naver.com/PostView.naver?blogId=bdmonth&amp;logNo=223894812494&amp;redirect=Dlog&amp;widgetTypeCall=true&amp;directAccess=false</t>
  </si>
  <si>
    <t>송무 최강 막강 자문</t>
  </si>
  <si>
    <t>법무법인 바른, '새정부 출범에 따른 주요 정책 전망 및 분석' 발간</t>
  </si>
  <si>
    <t>https://blog.naver.com/PostView.naver?blogId=barunlaw7&amp;logNo=223894350076&amp;redirect=Dlog&amp;widgetTypeCall=true&amp;directAccess=false</t>
  </si>
  <si>
    <t>엔지</t>
  </si>
  <si>
    <t>이렇게 오르는데...허탈감 '이차전지주'</t>
  </si>
  <si>
    <t>https://blog.naver.com/PostView.naver?blogId=hkc0929&amp;logNo=223894270894&amp;redirect=Dlog&amp;widgetTypeCall=true&amp;directAccess=false</t>
  </si>
  <si>
    <t>휴젤 25년 매출 4000억 돌파 예상 춘천 제2공장 증설 보톡스 필러 케이뷰티 붐</t>
  </si>
  <si>
    <t>https://blog.naver.com/PostView.naver?blogId=esuccess&amp;logNo=223894269781&amp;redirect=Dlog&amp;widgetTypeCall=true&amp;directAccess=false</t>
  </si>
  <si>
    <t>Joker</t>
  </si>
  <si>
    <t>원바이오젠 뉴스 정리 / Perplexity</t>
  </si>
  <si>
    <t>https://blog.naver.com/PostView.naver?blogId=circleofcompetence&amp;logNo=223894243669&amp;redirect=Dlog&amp;widgetTypeCall=true&amp;directAccess=false</t>
  </si>
  <si>
    <t>호땍</t>
  </si>
  <si>
    <t>25.06.10 매매일지</t>
  </si>
  <si>
    <t>https://blog.naver.com/PostView.naver?blogId=hoeddug&amp;logNo=223894242431&amp;redirect=Dlog&amp;widgetTypeCall=true&amp;directAccess=false</t>
  </si>
  <si>
    <t>뉴스곰</t>
  </si>
  <si>
    <t>[방탄소년단 뷔] "큰 거 온다" BTS 뷔, 박찬욱 감독과 만났다…전역 하루 앞두고 '깜짝' (마이데일리 기사전문)</t>
  </si>
  <si>
    <t>https://blog.naver.com/PostView.naver?blogId=ysyangel59&amp;logNo=223893798663&amp;redirect=Dlog&amp;widgetTypeCall=true&amp;directAccess=false</t>
  </si>
  <si>
    <t>스마트부자</t>
  </si>
  <si>
    <t>🔔YG 블랙핑크, 신곡 뮤직비디오 촬영…"완전체 컴백 본격 시동"</t>
  </si>
  <si>
    <t>https://blog.naver.com/PostView.naver?blogId=smarthumanlife&amp;logNo=223893693645&amp;redirect=Dlog&amp;widgetTypeCall=true&amp;directAccess=false</t>
  </si>
  <si>
    <t>서해에 저게 뭐지?…착착 쌓은 구조물 뒤에 숨은 중국, 왜 우리는 아무도, 아무 것도 하지 않나?</t>
  </si>
  <si>
    <t>https://blog.naver.com/PostView.naver?blogId=lkl7383&amp;logNo=223893467749&amp;redirect=Dlog&amp;widgetTypeCall=true&amp;directAccess=false</t>
  </si>
  <si>
    <t>"2025년 6월 5일 간추린 셀러 뉴스"</t>
  </si>
  <si>
    <t>https://blog.naver.com/PostView.naver?blogId=urban-sb1&amp;logNo=223893272734&amp;redirect=Dlog&amp;widgetTypeCall=true&amp;directAccess=false</t>
  </si>
  <si>
    <t>기업분석 - 001. 베스트리포트: 머니투데이 (2025년 06월 첫째주)</t>
  </si>
  <si>
    <t>https://blog.naver.com/PostView.naver?blogId=a2007&amp;logNo=223892449808&amp;redirect=Dlog&amp;widgetTypeCall=true&amp;directAccess=false</t>
  </si>
  <si>
    <t>꿈꾸는 달타냥</t>
  </si>
  <si>
    <t>포털 개혁 방안</t>
  </si>
  <si>
    <t>https://blog.naver.com/PostView.naver?blogId=nagnae386-&amp;logNo=223892888553&amp;redirect=Dlog&amp;widgetTypeCall=true&amp;directAccess=false</t>
  </si>
  <si>
    <t>대어투</t>
  </si>
  <si>
    <t>25.06.08일 암호화폐</t>
  </si>
  <si>
    <t>https://blog.naver.com/PostView.naver?blogId=jstdoet&amp;logNo=223892719810&amp;redirect=Dlog&amp;widgetTypeCall=true&amp;directAccess=false</t>
  </si>
  <si>
    <t>단비</t>
  </si>
  <si>
    <t>ADdict Weekly Report 2025년 6월 1주차</t>
  </si>
  <si>
    <t>https://blog.naver.com/PostView.naver?blogId=addictad&amp;logNo=223892562663&amp;redirect=Dlog&amp;widgetTypeCall=true&amp;directAccess=false</t>
  </si>
  <si>
    <t>어궁오궁 경제 부동산</t>
  </si>
  <si>
    <t>250605 - 이재명 정부 “징벌적 세금으로 집값 잡기보다 공급늘려 안정”</t>
  </si>
  <si>
    <t>https://blog.naver.com/PostView.naver?blogId=pick_me_kab&amp;logNo=223892521486&amp;redirect=Dlog&amp;widgetTypeCall=true&amp;directAccess=false</t>
  </si>
  <si>
    <t>라임부동산</t>
  </si>
  <si>
    <t>부동산뉴스 25.06.08</t>
  </si>
  <si>
    <t>https://blog.naver.com/PostView.naver?blogId=badagada85&amp;logNo=223892473567&amp;redirect=Dlog&amp;widgetTypeCall=true&amp;directAccess=false</t>
  </si>
  <si>
    <t>현명한관찰자</t>
  </si>
  <si>
    <t>peles1</t>
  </si>
  <si>
    <t>2023. 2. 머디투데이와 플랫폼 규제시 토종플랫폼도 함께 규제될 수 있으므로 보완책 마련이 필요하다는 인터뷰를 했습니다.</t>
  </si>
  <si>
    <t>https://blog.naver.com/PostView.naver?blogId=peles1&amp;logNo=223892057928&amp;redirect=Dlog&amp;widgetTypeCall=true&amp;directAccess=false</t>
  </si>
  <si>
    <t>최종인 연맹장</t>
  </si>
  <si>
    <t>"경축" 한국산 다목적 전투기 'FA-50' 12대가 필리핀에 추가 수출... 항공우주 우수 인재양성으로 지속발전 기해야</t>
  </si>
  <si>
    <t>https://blog.naver.com/PostView.naver?blogId=cj9510&amp;logNo=223891870345&amp;redirect=Dlog&amp;widgetTypeCall=true&amp;directAccess=false</t>
  </si>
  <si>
    <t>집밖백선생</t>
  </si>
  <si>
    <t>[맛집] 김포 양촌읍 석모리 황금코다리 김포본점 코다리 시래기 조림(25.06.08)</t>
  </si>
  <si>
    <t>https://blog.naver.com/PostView.naver?blogId=gisman83&amp;logNo=223867431110&amp;redirect=Dlog&amp;widgetTypeCall=true&amp;directAccess=false</t>
  </si>
  <si>
    <t>djssusdl0613</t>
  </si>
  <si>
    <t>지엔씨 에너지 계산해보기</t>
  </si>
  <si>
    <t>https://blog.naver.com/PostView.naver?blogId=djssusdl0613&amp;logNo=223891654484&amp;redirect=Dlog&amp;widgetTypeCall=true&amp;directAccess=false</t>
  </si>
  <si>
    <t>한국교회, ‘북한 동족 구원과 자유’ 위한 어게인 통곡 기도회 릴레이 개최… 6월 19일부터 외 (6/7)</t>
  </si>
  <si>
    <t>https://blog.naver.com/PostView.naver?blogId=khchojh&amp;logNo=223891251594&amp;redirect=Dlog&amp;widgetTypeCall=true&amp;directAccess=false</t>
  </si>
  <si>
    <t>박정인</t>
  </si>
  <si>
    <t>모델 김종석 사망, 왜?</t>
  </si>
  <si>
    <t>https://blog.naver.com/PostView.naver?blogId=haeinlaw_&amp;logNo=223891042617&amp;redirect=Dlog&amp;widgetTypeCall=true&amp;directAccess=false</t>
  </si>
  <si>
    <t>한산도</t>
  </si>
  <si>
    <t>성공하는 사람들의 한 가지 루틴</t>
  </si>
  <si>
    <t>https://blog.naver.com/PostView.naver?blogId=ryu7594&amp;logNo=223890742833&amp;redirect=Dlog&amp;widgetTypeCall=true&amp;directAccess=false</t>
  </si>
  <si>
    <t>그리고 상급 모질이 문화체육관광부 장관부터 바로 경질한다... 신정부는 수출이상으로 이 관광업 부흥에 사활을 걸어야한다... 가장 중요한 최악 내수 경기 활성화 방책이다...</t>
  </si>
  <si>
    <t>https://blog.naver.com/PostView.naver?blogId=samsongeko1&amp;logNo=223890647709&amp;redirect=Dlog&amp;widgetTypeCall=true&amp;directAccess=false</t>
  </si>
  <si>
    <t>김선환</t>
  </si>
  <si>
    <t>김선환 진로진학 샘의 ["작년 입결 무의미"...의대 정원 줄었는데 'N수생 최고치']</t>
  </si>
  <si>
    <t>https://blog.naver.com/PostView.naver?blogId=kshh3715&amp;logNo=223890524179&amp;redirect=Dlog&amp;widgetTypeCall=true&amp;directAccess=false</t>
  </si>
  <si>
    <t>성인태권도아리랑</t>
  </si>
  <si>
    <t>화제 충남 아산 강훈식 의원 프로필 그것이 알고 싶다.</t>
  </si>
  <si>
    <t>https://blog.naver.com/PostView.naver?blogId=ups126&amp;logNo=223890472258&amp;redirect=Dlog&amp;widgetTypeCall=true&amp;directAccess=false</t>
  </si>
  <si>
    <t>더불어민주당 국회의원 서영교 프로필 나이 고향 학력 경력 "민주당 원내대표 출마"</t>
  </si>
  <si>
    <t>https://blog.naver.com/PostView.naver?blogId=happyair4&amp;logNo=223890322725&amp;redirect=Dlog&amp;widgetTypeCall=true&amp;directAccess=false</t>
  </si>
  <si>
    <t>2025.6.6일 조간 증권뉴스 브리핑</t>
  </si>
  <si>
    <t>https://blog.naver.com/PostView.naver?blogId=horebten&amp;logNo=223890256028&amp;redirect=Dlog&amp;widgetTypeCall=true&amp;directAccess=false</t>
  </si>
  <si>
    <t>재탴근무</t>
  </si>
  <si>
    <t>[250606] 트럼프-머스크 파국, 과격한 이혼, 테슬라 14% 폭락, 팔란티어 8% 폭락</t>
  </si>
  <si>
    <t>https://blog.naver.com/PostView.naver?blogId=hejiongxi&amp;logNo=223890240732&amp;redirect=Dlog&amp;widgetTypeCall=true&amp;directAccess=false</t>
  </si>
  <si>
    <t>희망나눔</t>
  </si>
  <si>
    <t>미, 한국 등 9개국 환율관찰 대상국으로 지정</t>
  </si>
  <si>
    <t>https://blog.naver.com/PostView.naver?blogId=kjh10745&amp;logNo=223890204148&amp;redirect=Dlog&amp;widgetTypeCall=true&amp;directAccess=false</t>
  </si>
  <si>
    <t>오이씨</t>
  </si>
  <si>
    <t>국제시사x문화예술 관련 입체적인 관점을 배우고 싶다면 〰️ PADO(feat. 머니투데이)</t>
  </si>
  <si>
    <t>https://blog.naver.com/PostView.naver?blogId=13usan&amp;logNo=223889977022&amp;redirect=Dlog&amp;widgetTypeCall=true&amp;directAccess=false</t>
  </si>
  <si>
    <t>2000년 이후 역대 대통령 취임 전 후 코스피 변화 비교(노무현대통령~이재명대통령까지)</t>
  </si>
  <si>
    <t>https://blog.naver.com/PostView.naver?blogId=silluel&amp;logNo=223889961230&amp;redirect=Dlog&amp;widgetTypeCall=true&amp;directAccess=false</t>
  </si>
  <si>
    <t>가비님</t>
  </si>
  <si>
    <t>정부, 2차 추경안 착수 / 현금 전략...옳은 방향일까?</t>
  </si>
  <si>
    <t>https://blog.naver.com/PostView.naver?blogId=ldzir004&amp;logNo=223889867646&amp;redirect=Dlog&amp;widgetTypeCall=true&amp;directAccess=false</t>
  </si>
  <si>
    <t>250605) 떠나는 이복현…이재명 정부 금융당국 수장은 누가 될까</t>
  </si>
  <si>
    <t>https://blog.naver.com/PostView.naver?blogId=soeona&amp;logNo=223889569700&amp;redirect=Dlog&amp;widgetTypeCall=true&amp;directAccess=false</t>
  </si>
  <si>
    <t>블루포인트</t>
  </si>
  <si>
    <t>신기술로 만든 K소재 통했다...'실적 기대' 한국나노오트에 뭉칫돈</t>
  </si>
  <si>
    <t>https://blog.naver.com/PostView.naver?blogId=bluepoint_ac&amp;logNo=223889250011&amp;redirect=Dlog&amp;widgetTypeCall=true&amp;directAccess=false</t>
  </si>
  <si>
    <t>대통령실 퇴사 브이로그 논란, 공무원 정치적 표현 금지 규정 위반 논란</t>
  </si>
  <si>
    <t>https://blog.naver.com/PostView.naver?blogId=krsongc2&amp;logNo=223889116099&amp;redirect=Dlog&amp;widgetTypeCall=true&amp;directAccess=false</t>
  </si>
  <si>
    <t>[ 뉴스클리핑 ] 2025년 06월 05일(목)</t>
  </si>
  <si>
    <t>https://blog.naver.com/PostView.naver?blogId=valueinstory&amp;logNo=223889114769&amp;redirect=Dlog&amp;widgetTypeCall=true&amp;directAccess=false</t>
  </si>
  <si>
    <t>2025.06.05 세계</t>
  </si>
  <si>
    <t>https://blog.naver.com/PostView.naver?blogId=kbs651027&amp;logNo=223889057302&amp;redirect=Dlog&amp;widgetTypeCall=true&amp;directAccess=false</t>
  </si>
  <si>
    <t>2025.06.05 연예</t>
  </si>
  <si>
    <t>https://blog.naver.com/PostView.naver?blogId=kbs651027&amp;logNo=223889053658&amp;redirect=Dlog&amp;widgetTypeCall=true&amp;directAccess=false</t>
  </si>
  <si>
    <t>2025.06.05 IT/과학</t>
  </si>
  <si>
    <t>https://blog.naver.com/PostView.naver?blogId=kbs650604&amp;logNo=223889049556&amp;redirect=Dlog&amp;widgetTypeCall=true&amp;directAccess=false</t>
  </si>
  <si>
    <t>[시장정리] 2025년 6월4일 오늘의 급등주는?</t>
  </si>
  <si>
    <t>https://blog.naver.com/PostView.naver?blogId=seanhong99&amp;logNo=223888854270&amp;redirect=Dlog&amp;widgetTypeCall=true&amp;directAccess=false</t>
  </si>
  <si>
    <t>낙민동 추노</t>
  </si>
  <si>
    <t>민주당, '더 세진' 상법 개정안 5일 발의..."공포 즉시 시행"</t>
  </si>
  <si>
    <t>https://blog.naver.com/PostView.naver?blogId=gaunyu&amp;logNo=223888841060&amp;redirect=Dlog&amp;widgetTypeCall=true&amp;directAccess=false</t>
  </si>
  <si>
    <t>주식전문가</t>
  </si>
  <si>
    <t>상법 개정안 즉시 시행</t>
  </si>
  <si>
    <t>https://blog.naver.com/PostView.naver?blogId=hsn1007&amp;logNo=223888629663&amp;redirect=Dlog&amp;widgetTypeCall=true&amp;directAccess=false</t>
  </si>
  <si>
    <t>250604 부동산 주요뉴스</t>
  </si>
  <si>
    <t>https://blog.naver.com/PostView.naver?blogId=ebdn0083&amp;logNo=223888198629&amp;redirect=Dlog&amp;widgetTypeCall=true&amp;directAccess=false</t>
  </si>
  <si>
    <t>"대선 끝나자마자" 집값이?! , 요동치는 부동산 지각변동</t>
  </si>
  <si>
    <t>https://blog.naver.com/PostView.naver?blogId=puppyunh&amp;logNo=223888097481&amp;redirect=Dlog&amp;widgetTypeCall=true&amp;directAccess=false</t>
  </si>
  <si>
    <t>20250604 이번 달 가장 중요한 시기!</t>
  </si>
  <si>
    <t>https://blog.naver.com/PostView.naver?blogId=lgs6674&amp;logNo=223888095133&amp;redirect=Dlog&amp;widgetTypeCall=true&amp;directAccess=false</t>
  </si>
  <si>
    <t>삼성바이오로직스 - DS투자증권이 투자의견 매수 유지</t>
  </si>
  <si>
    <t>https://blog.naver.com/PostView.naver?blogId=rfkang49&amp;logNo=223888045333&amp;redirect=Dlog&amp;widgetTypeCall=true&amp;directAccess=false</t>
  </si>
  <si>
    <t>그러하듯</t>
  </si>
  <si>
    <t>(이슈3) 이재명 정부 출범과 한국 경제의 향방</t>
  </si>
  <si>
    <t>https://blog.naver.com/PostView.naver?blogId=assisiensis_clara&amp;logNo=223887970060&amp;redirect=Dlog&amp;widgetTypeCall=true&amp;directAccess=false</t>
  </si>
  <si>
    <t>2025.06.04 경제</t>
  </si>
  <si>
    <t>https://blog.naver.com/PostView.naver?blogId=kbs651027&amp;logNo=223887958465&amp;redirect=Dlog&amp;widgetTypeCall=true&amp;directAccess=false</t>
  </si>
  <si>
    <t>2025.06.04 IT/과학</t>
  </si>
  <si>
    <t>https://blog.naver.com/PostView.naver?blogId=kbs650604&amp;logNo=223887936691&amp;redirect=Dlog&amp;widgetTypeCall=true&amp;directAccess=false</t>
  </si>
  <si>
    <t>수노아</t>
  </si>
  <si>
    <t>‘좋은 사람’으로 보이고 싶은 욕망, 사회적 바람직성 편향</t>
  </si>
  <si>
    <t>https://blog.naver.com/PostView.naver?blogId=kim61911&amp;logNo=223887903148&amp;redirect=Dlog&amp;widgetTypeCall=true&amp;directAccess=false</t>
  </si>
  <si>
    <t>우너형</t>
  </si>
  <si>
    <t>2025.6.4.(수) 美-中 정상 대화 기대, 엔비디아 등 반도체 강세에 상승</t>
  </si>
  <si>
    <t>https://blog.naver.com/PostView.naver?blogId=woonerhyung&amp;logNo=223887854108&amp;redirect=Dlog&amp;widgetTypeCall=true&amp;directAccess=false</t>
  </si>
  <si>
    <t>2025.06.03 IT/과학2</t>
  </si>
  <si>
    <t>https://blog.naver.com/PostView.naver?blogId=kbs650604&amp;logNo=223887581754&amp;redirect=Dlog&amp;widgetTypeCall=true&amp;directAccess=false</t>
  </si>
  <si>
    <t>2025.06.03 연예2</t>
  </si>
  <si>
    <t>https://blog.naver.com/PostView.naver?blogId=kbs651027&amp;logNo=223887429256&amp;redirect=Dlog&amp;widgetTypeCall=true&amp;directAccess=false</t>
  </si>
  <si>
    <t>해암</t>
  </si>
  <si>
    <t>[공유] "새 대통령, 야당 대표 자주 만나야…정치보복 생각 말라" 원로들의 조언</t>
  </si>
  <si>
    <t>https://blog.naver.com/PostView.naver?blogId=brk1012&amp;logNo=223887360820&amp;redirect=Dlog&amp;widgetTypeCall=true&amp;directAccess=false</t>
  </si>
  <si>
    <t>https://blog.naver.com/PostView.naver?blogId=kbs651027&amp;logNo=223886882792&amp;redirect=Dlog&amp;widgetTypeCall=true&amp;directAccess=false</t>
  </si>
  <si>
    <t>triff3567</t>
  </si>
  <si>
    <t>가상화폐와 달러 패권: 글로벌 금융질서의 재편?</t>
  </si>
  <si>
    <t>https://blog.naver.com/PostView.naver?blogId=triff3567&amp;logNo=223886783219&amp;redirect=Dlog&amp;widgetTypeCall=true&amp;directAccess=false</t>
  </si>
  <si>
    <t>6/2 장마감 (대선 정책 수혜주)</t>
  </si>
  <si>
    <t>https://blog.naver.com/PostView.naver?blogId=not_money_wisdom&amp;logNo=223886759752&amp;redirect=Dlog&amp;widgetTypeCall=true&amp;directAccess=false</t>
  </si>
  <si>
    <t>미오리의 부동산 인생</t>
  </si>
  <si>
    <t>강남구 건물 사고나서 오히려 떨어졌다는 기사</t>
  </si>
  <si>
    <t>https://blog.naver.com/PostView.naver?blogId=kuriori1&amp;logNo=223886658841&amp;redirect=Dlog&amp;widgetTypeCall=true&amp;directAccess=false</t>
  </si>
  <si>
    <t>[시장정리] 2025년 6월2일 오늘의 급등주는?</t>
  </si>
  <si>
    <t>https://blog.naver.com/PostView.naver?blogId=seanhong99&amp;logNo=223886645821&amp;redirect=Dlog&amp;widgetTypeCall=true&amp;directAccess=false</t>
  </si>
  <si>
    <t>삼성전자의 TSMC 출신 임원 영입 배경</t>
  </si>
  <si>
    <t>https://blog.naver.com/PostView.naver?blogId=newyorkmanhattan&amp;logNo=223886610253&amp;redirect=Dlog&amp;widgetTypeCall=true&amp;directAccess=false</t>
  </si>
  <si>
    <t>알고리시즘</t>
  </si>
  <si>
    <t>우크라, 4000km 떨어진 이르쿠츠크까지 노렸다...러 전략폭격기 파괴</t>
  </si>
  <si>
    <t>https://blog.naver.com/PostView.naver?blogId=cscg6472&amp;logNo=223886454984&amp;redirect=Dlog&amp;widgetTypeCall=true&amp;directAccess=false</t>
  </si>
  <si>
    <t>바람아</t>
  </si>
  <si>
    <t>트럼프 '미군 감축', 中은 '서해 공정'…"새 대통령, 우물안 싸움 멈춰야"</t>
  </si>
  <si>
    <t>https://blog.naver.com/PostView.naver?blogId=etisot&amp;logNo=223886370675&amp;redirect=Dlog&amp;widgetTypeCall=true&amp;directAccess=false</t>
  </si>
  <si>
    <t>[상천주] 2025년 6월 2일 순환매 개별주 장세</t>
  </si>
  <si>
    <t>https://blog.naver.com/PostView.naver?blogId=hanryang1000&amp;logNo=223886287471&amp;redirect=Dlog&amp;widgetTypeCall=true&amp;directAccess=false</t>
  </si>
  <si>
    <t>[6월 2일 헤드라인 뉴스] 중국·태국 상황 심상찮다…"코로나 국내 유행 대비" 백신 접종 거듭 당부 (종합)</t>
  </si>
  <si>
    <t>https://blog.naver.com/PostView.naver?blogId=why1213&amp;logNo=223886136802&amp;redirect=Dlog&amp;widgetTypeCall=true&amp;directAccess=false</t>
  </si>
  <si>
    <t>용산 정비창 현산 VS 포스코 명품 아파트 수주전</t>
  </si>
  <si>
    <t>https://blog.naver.com/PostView.naver?blogId=esuccess&amp;logNo=223885832931&amp;redirect=Dlog&amp;widgetTypeCall=true&amp;directAccess=false</t>
  </si>
  <si>
    <t>aininetworks</t>
  </si>
  <si>
    <t>하나의 플랫폼에서 만나는 토털 이커머스 SCM 파트너, 아이니네트웍스</t>
  </si>
  <si>
    <t>https://blog.naver.com/PostView.naver?blogId=aininetworks&amp;logNo=223885716642&amp;redirect=Dlog&amp;widgetTypeCall=true&amp;directAccess=false</t>
  </si>
  <si>
    <t>인슈터</t>
  </si>
  <si>
    <t>25.05.25 #K-ICS #금리 #할인율 #자본건전성</t>
  </si>
  <si>
    <t>https://blog.naver.com/PostView.naver?blogId=duwjdals1005&amp;logNo=223885685010&amp;redirect=Dlog&amp;widgetTypeCall=true&amp;directAccess=false</t>
  </si>
  <si>
    <t>대현에스티</t>
  </si>
  <si>
    <t>2025년 6월 2일 주요 기사스크랩</t>
  </si>
  <si>
    <t>https://blog.naver.com/PostView.naver?blogId=daehyunst_hq&amp;logNo=223885648058&amp;redirect=Dlog&amp;widgetTypeCall=true&amp;directAccess=false</t>
  </si>
  <si>
    <t>2025.06.01 날씨</t>
  </si>
  <si>
    <t>https://blog.naver.com/PostView.naver?blogId=kbs650604&amp;logNo=223885345094&amp;redirect=Dlog&amp;widgetTypeCall=true&amp;directAccess=false</t>
  </si>
  <si>
    <t>Annie K</t>
  </si>
  <si>
    <t>[머니투데이]한수원, 미국 SMR 기업 오클로와 기술 개발 협약(2025.05.28)</t>
  </si>
  <si>
    <t>https://blog.naver.com/PostView.naver?blogId=annieeemuse&amp;logNo=223885291838&amp;redirect=Dlog&amp;widgetTypeCall=true&amp;directAccess=false</t>
  </si>
  <si>
    <t>이 와중에 미 주파수 경매, 이번엔 통신장비주...?? 테마별 순환매를 쫓아다니기는 해야하는데, 두더지 게임기처럼 튀어오르는 것을 길목 지키기한다는건 아예 불가능한 이야기다...</t>
  </si>
  <si>
    <t>https://blog.naver.com/PostView.naver?blogId=samsongeko1&amp;logNo=223885251849&amp;redirect=Dlog&amp;widgetTypeCall=true&amp;directAccess=false</t>
  </si>
  <si>
    <t>정부 인정 전세사기 피해자 3만 명 넘었다</t>
  </si>
  <si>
    <t>https://blog.naver.com/PostView.naver?blogId=whkim0408&amp;logNo=223884881769&amp;redirect=Dlog&amp;widgetTypeCall=true&amp;directAccess=false</t>
  </si>
  <si>
    <t>병적인 수준인 Trump 그리고 석양이 지는 미국</t>
  </si>
  <si>
    <t>https://blog.naver.com/PostView.naver?blogId=pops2303&amp;logNo=223884657204&amp;redirect=Dlog&amp;widgetTypeCall=true&amp;directAccess=false</t>
  </si>
  <si>
    <t>파이낸셜뉴스</t>
  </si>
  <si>
    <t>붉은태양</t>
  </si>
  <si>
    <t>전력 수요 급증에 미 에너지 기업들 발전소에 기록적 투자</t>
  </si>
  <si>
    <t>https://blog.naver.com/PostView.naver?blogId=red-sun0&amp;logNo=223917208894&amp;redirect=Dlog&amp;widgetTypeCall=true&amp;directAccess=false</t>
  </si>
  <si>
    <t>가을을 사랑합니다</t>
  </si>
  <si>
    <t>파이낸셜뉴스신문은 7월 1일자로 송의달 서울시립대 초빙교수를 대표이사 사장에 선임했다.</t>
  </si>
  <si>
    <t>https://blog.naver.com/PostView.naver?blogId=kimdaisuke&amp;logNo=223917137389&amp;redirect=Dlog&amp;widgetTypeCall=true&amp;directAccess=false</t>
  </si>
  <si>
    <t>2025년 6월 30일(월) 상한가 및 거래량 천만주 종목 정리</t>
  </si>
  <si>
    <t>https://blog.naver.com/PostView.naver?blogId=meiran63&amp;logNo=223917097892&amp;redirect=Dlog&amp;widgetTypeCall=true&amp;directAccess=false</t>
  </si>
  <si>
    <t>돈미련</t>
  </si>
  <si>
    <t>2025.06.30  트럼프 “모든 국가에 관세 서한 발송”…유예 연장 없이 본격 부과 예고</t>
  </si>
  <si>
    <t>https://blog.naver.com/PostView.naver?blogId=moneyryun&amp;logNo=223916940094&amp;redirect=Dlog&amp;widgetTypeCall=true&amp;directAccess=false</t>
  </si>
  <si>
    <t>부산디자인진흥원</t>
  </si>
  <si>
    <t>(언론보도) 부산시‧부산디자인진흥원, 부산 도시브랜드 파트너스 25개사 선정</t>
  </si>
  <si>
    <t>https://blog.naver.com/PostView.naver?blogId=dcbusan&amp;logNo=223916847834&amp;redirect=Dlog&amp;widgetTypeCall=true&amp;directAccess=false</t>
  </si>
  <si>
    <t>2025/06/30:상한가종목/ 상승률 상위종목/ 오늘의 주요 상승테마</t>
  </si>
  <si>
    <t>https://blog.naver.com/PostView.naver?blogId=timeinvestment&amp;logNo=223916773947&amp;redirect=Dlog&amp;widgetTypeCall=true&amp;directAccess=false</t>
  </si>
  <si>
    <t>화승인더스트리 - '주주 행동주의'를 이끌던 소액주주플랫폼 HSIS가 공식적인 소액주주 운동을 종료</t>
  </si>
  <si>
    <t>https://blog.naver.com/PostView.naver?blogId=rfkang49&amp;logNo=223916371273&amp;redirect=Dlog&amp;widgetTypeCall=true&amp;directAccess=false</t>
  </si>
  <si>
    <t>트리플왕자</t>
  </si>
  <si>
    <t>"주 3시간 알바도 주휴수당?"...자영업자 "그냥 접으란 소리"</t>
  </si>
  <si>
    <t>https://blog.naver.com/PostView.naver?blogId=mesyy&amp;logNo=223915910674&amp;redirect=Dlog&amp;widgetTypeCall=true&amp;directAccess=false</t>
  </si>
  <si>
    <t>2025년 6월 29일, "6월 25일에 홍준표 정계 복귀 가능성 발표"에 대한 현재까지의 X 반응 종합</t>
  </si>
  <si>
    <t>https://blog.naver.com/PostView.naver?blogId=shinswoong75&amp;logNo=223915930303&amp;redirect=Dlog&amp;widgetTypeCall=true&amp;directAccess=false</t>
  </si>
  <si>
    <t>이재명 정부의 초대 경제사령탑, 구윤철 기재부 장관 후보자 프로필 총정리</t>
  </si>
  <si>
    <t>https://blog.naver.com/PostView.naver?blogId=underwind-&amp;logNo=223915618493&amp;redirect=Dlog&amp;widgetTypeCall=true&amp;directAccess=false</t>
  </si>
  <si>
    <t>250628 부동산 주요뉴스</t>
  </si>
  <si>
    <t>https://blog.naver.com/PostView.naver?blogId=ebdn0083&amp;logNo=223915258135&amp;redirect=Dlog&amp;widgetTypeCall=true&amp;directAccess=false</t>
  </si>
  <si>
    <t>Love</t>
  </si>
  <si>
    <t>오징어 게임 시즌3 해외 비평가들의 평은 극명하게 엇갈린다.</t>
  </si>
  <si>
    <t>https://blog.naver.com/PostView.naver?blogId=wchwheels_korea&amp;logNo=223914931702&amp;redirect=Dlog&amp;widgetTypeCall=true&amp;directAccess=false</t>
  </si>
  <si>
    <t>작은사치</t>
  </si>
  <si>
    <t>부산 기초의회가 해수부 부산 조속 이전 촉구안 부결</t>
  </si>
  <si>
    <t>https://blog.naver.com/PostView.naver?blogId=kyh070181&amp;logNo=223914613134&amp;redirect=Dlog&amp;widgetTypeCall=true&amp;directAccess=false</t>
  </si>
  <si>
    <t>&lt;무능,무책임 좌경용공 민주팔이의 자유대한민국 법치국가 파괴 및 쭝국공산당 공안국가화..세상에 자유민주주의 세계 어느 국가가 모든 국가 범죄대응력의 중심인 검찰을 삭제하나..조직</t>
  </si>
  <si>
    <t>https://blog.naver.com/PostView.naver?blogId=yesktj&amp;logNo=223914541869&amp;redirect=Dlog&amp;widgetTypeCall=true&amp;directAccess=false</t>
  </si>
  <si>
    <t>부동산의 신</t>
  </si>
  <si>
    <t>2 poles</t>
  </si>
  <si>
    <t>[공유] 한국 우주 입자 연구소 '예미랩', 땅속 거대 실험실에서 우주 비밀 밝혀낸다[2020. 8]</t>
  </si>
  <si>
    <t>https://blog.naver.com/PostView.naver?blogId=polestar_1&amp;logNo=223914429680&amp;redirect=Dlog&amp;widgetTypeCall=true&amp;directAccess=false</t>
  </si>
  <si>
    <t>행운의 2달러</t>
  </si>
  <si>
    <t>[속보]교대역 11번 출구 가스누출 사고...일대 전면 통제</t>
  </si>
  <si>
    <t>https://blog.naver.com/PostView.naver?blogId=samo2001&amp;logNo=223913647396&amp;redirect=Dlog&amp;widgetTypeCall=true&amp;directAccess=false</t>
  </si>
  <si>
    <t>교대역 가스누출 비상...2·3호선 무정차, 도로 전면 통제[종합]</t>
  </si>
  <si>
    <t>https://blog.naver.com/PostView.naver?blogId=meangju2020&amp;logNo=223913511029&amp;redirect=Dlog&amp;widgetTypeCall=true&amp;directAccess=false</t>
  </si>
  <si>
    <t>2025년 6월 27일 (금) 파이낸셜뉴스</t>
  </si>
  <si>
    <t>https://blog.naver.com/PostView.naver?blogId=theblock101&amp;logNo=223913255697&amp;redirect=Dlog&amp;widgetTypeCall=true&amp;directAccess=false</t>
  </si>
  <si>
    <t>바람의 노래</t>
  </si>
  <si>
    <t>이란 휴전 수용</t>
  </si>
  <si>
    <t>https://blog.naver.com/PostView.naver?blogId=dlxhrhf&amp;logNo=223913215784&amp;redirect=Dlog&amp;widgetTypeCall=true&amp;directAccess=false</t>
  </si>
  <si>
    <t>Ssook</t>
  </si>
  <si>
    <t>[06/27] 신문 스크랩</t>
  </si>
  <si>
    <t>https://blog.naver.com/PostView.naver?blogId=chlthr1222&amp;logNo=223913200334&amp;redirect=Dlog&amp;widgetTypeCall=true&amp;directAccess=false</t>
  </si>
  <si>
    <t>잇겜</t>
  </si>
  <si>
    <t>100일 간의 숙제 ① 상한가 [16일/25년6월26일]</t>
  </si>
  <si>
    <t>https://blog.naver.com/PostView.naver?blogId=freco&amp;logNo=223912946494&amp;redirect=Dlog&amp;widgetTypeCall=true&amp;directAccess=false</t>
  </si>
  <si>
    <t>딥마인드, 인간게놈 비밀도 파헤친다…DNA 염기서열 분석 AI '알파게놈' 공개</t>
  </si>
  <si>
    <t>https://blog.naver.com/PostView.naver?blogId=jch4512&amp;logNo=223912577018&amp;redirect=Dlog&amp;widgetTypeCall=true&amp;directAccess=false</t>
  </si>
  <si>
    <t>국립한국해양대 “고압 용기 없이 산소 고체 상태로 저장 기술 개발”</t>
  </si>
  <si>
    <t>https://blog.naver.com/PostView.naver?blogId=jch4512&amp;logNo=223912574065&amp;redirect=Dlog&amp;widgetTypeCall=true&amp;directAccess=false</t>
  </si>
  <si>
    <t>내란특검, '윤석열 구속취소' 지귀연·심우정 고발사건도 수사</t>
  </si>
  <si>
    <t>https://blog.naver.com/PostView.naver?blogId=eremoval&amp;logNo=223912509401&amp;redirect=Dlog&amp;widgetTypeCall=true&amp;directAccess=false</t>
  </si>
  <si>
    <t>한국부동산원, CEO와 신입사원 손잡고 지역사회 김치·빵 나눔 봉사활동</t>
  </si>
  <si>
    <t>https://blog.naver.com/PostView.naver?blogId=samo2001&amp;logNo=223912386745&amp;redirect=Dlog&amp;widgetTypeCall=true&amp;directAccess=false</t>
  </si>
  <si>
    <t>텐컴즈</t>
  </si>
  <si>
    <t>어제의 부동산 핫이슈-2025.06.26(목)</t>
  </si>
  <si>
    <t>https://blog.naver.com/PostView.naver?blogId=ten_coms&amp;logNo=223912234907&amp;redirect=Dlog&amp;widgetTypeCall=true&amp;directAccess=false</t>
  </si>
  <si>
    <t>nadiche</t>
  </si>
  <si>
    <t>[250626] 미증시 보합, 엔비디아 사상최고 경신</t>
  </si>
  <si>
    <t>https://blog.naver.com/PostView.naver?blogId=hejiongxi&amp;logNo=223912021162&amp;redirect=Dlog&amp;widgetTypeCall=true&amp;directAccess=false</t>
  </si>
  <si>
    <t>머린코341</t>
  </si>
  <si>
    <t>서방사 예하 해병대 6여단·연평부대, K9 자주포 해상사격훈련 / 해병대 제공</t>
  </si>
  <si>
    <t>https://blog.naver.com/PostView.naver?blogId=mc341&amp;logNo=223911859826&amp;redirect=Dlog&amp;widgetTypeCall=true&amp;directAccess=false</t>
  </si>
  <si>
    <t>월천</t>
  </si>
  <si>
    <t>25.06.25 매매일지</t>
  </si>
  <si>
    <t>https://blog.naver.com/PostView.naver?blogId=tempo61&amp;logNo=223911736728&amp;redirect=Dlog&amp;widgetTypeCall=true&amp;directAccess=false</t>
  </si>
  <si>
    <t>[상천주] 2025년 6월 25일</t>
  </si>
  <si>
    <t>https://blog.naver.com/PostView.naver?blogId=hanryang1000&amp;logNo=223911696148&amp;redirect=Dlog&amp;widgetTypeCall=true&amp;directAccess=false</t>
  </si>
  <si>
    <t>6월25일(수) 오늘은 조정 / STO, 해운</t>
  </si>
  <si>
    <t>https://blog.naver.com/PostView.naver?blogId=komo082&amp;logNo=223911659216&amp;redirect=Dlog&amp;widgetTypeCall=true&amp;directAccess=false</t>
  </si>
  <si>
    <t>[25.06.25] 소상공인금융공사, 필요할까?</t>
  </si>
  <si>
    <t>https://blog.naver.com/PostView.naver?blogId=mikhail33&amp;logNo=223910874674&amp;redirect=Dlog&amp;widgetTypeCall=true&amp;directAccess=false</t>
  </si>
  <si>
    <t>복사골기술사</t>
  </si>
  <si>
    <t>[250625] 미증시 이스라엘-이란 휴전에 상승, 엔비디아 2.6% 상승, 테슬라 2.35% 하락</t>
  </si>
  <si>
    <t>https://blog.naver.com/PostView.naver?blogId=hejiongxi&amp;logNo=223910778340&amp;redirect=Dlog&amp;widgetTypeCall=true&amp;directAccess=false</t>
  </si>
  <si>
    <t>곰대리</t>
  </si>
  <si>
    <t>상한가 &amp; 천만주 정리 #493_2025.6.24(화)</t>
  </si>
  <si>
    <t>https://blog.naver.com/PostView.naver?blogId=changee72&amp;logNo=223910387231&amp;redirect=Dlog&amp;widgetTypeCall=true&amp;directAccess=false</t>
  </si>
  <si>
    <t>인공지능(AI)이 국가 간 ‘디지털 격차’ 만들어, AI 데이터 센터 미.중.EU 집중, 한국은?</t>
  </si>
  <si>
    <t>https://blog.naver.com/PostView.naver?blogId=lkyj8ch&amp;logNo=223910340495&amp;redirect=Dlog&amp;widgetTypeCall=true&amp;directAccess=false</t>
  </si>
  <si>
    <t>[250624] 미-이란 긴장완화에 미증시 상승, 로보택시 출시 테슬라 8% 폭등</t>
  </si>
  <si>
    <t>https://blog.naver.com/PostView.naver?blogId=hejiongxi&amp;logNo=223909512363&amp;redirect=Dlog&amp;widgetTypeCall=true&amp;directAccess=false</t>
  </si>
  <si>
    <t>2025/06/23:상한가종목/ 상승률 상위종목/ 오늘의 주요 상승테마</t>
  </si>
  <si>
    <t>https://blog.naver.com/PostView.naver?blogId=timeinvestment&amp;logNo=223909069211&amp;redirect=Dlog&amp;widgetTypeCall=true&amp;directAccess=false</t>
  </si>
  <si>
    <t>NN</t>
  </si>
  <si>
    <t>[주식일지 6]</t>
  </si>
  <si>
    <t>https://blog.naver.com/PostView.naver?blogId=simplethings__&amp;logNo=223908837822&amp;redirect=Dlog&amp;widgetTypeCall=true&amp;directAccess=false</t>
  </si>
  <si>
    <t> #한국거래소 #탄소배출권 #선물 #도입 진행 중이라는 외신의 보도 #에코아이 #에어레인 등 #수혜주 거론 #강세</t>
  </si>
  <si>
    <t>https://blog.naver.com/PostView.naver?blogId=acamos&amp;logNo=223908748497&amp;redirect=Dlog&amp;widgetTypeCall=true&amp;directAccess=false</t>
  </si>
  <si>
    <t>[Weekly News] 2025년 6월 3주차 반도체&amp;디스플레이 산업 이슈 몰아보기</t>
  </si>
  <si>
    <t>https://blog.naver.com/PostView.naver?blogId=vadinstrument&amp;logNo=223908743484&amp;redirect=Dlog&amp;widgetTypeCall=true&amp;directAccess=false</t>
  </si>
  <si>
    <t>[방탄소년단] 병역의무 마친 BTS, 하반기 완전체 활동할듯 (동아일보 기사전문) *관련 기사 모음*</t>
  </si>
  <si>
    <t>https://blog.naver.com/PostView.naver?blogId=ysyangel59&amp;logNo=223908445914&amp;redirect=Dlog&amp;widgetTypeCall=true&amp;directAccess=false</t>
  </si>
  <si>
    <t>쿠콘닷넷</t>
  </si>
  <si>
    <t>행정...2025년6월23일 네이버 뉴~스</t>
  </si>
  <si>
    <t>https://blog.naver.com/PostView.naver?blogId=c1c1b1b1&amp;logNo=223908204716&amp;redirect=Dlog&amp;widgetTypeCall=true&amp;directAccess=false</t>
  </si>
  <si>
    <t>2025.06.22 뉴스 모음</t>
  </si>
  <si>
    <t>https://blog.naver.com/PostView.naver?blogId=oneslow2&amp;logNo=223907928592&amp;redirect=Dlog&amp;widgetTypeCall=true&amp;directAccess=false</t>
  </si>
  <si>
    <t>산업부, '美 이란 공습'에 긴급회의…에너지·무역·공급망 점검</t>
  </si>
  <si>
    <t>https://blog.naver.com/PostView.naver?blogId=eremoval&amp;logNo=223907781838&amp;redirect=Dlog&amp;widgetTypeCall=true&amp;directAccess=false</t>
  </si>
  <si>
    <t>baborose</t>
  </si>
  <si>
    <t>□남도 정원 수국 둘러보기</t>
  </si>
  <si>
    <t>https://blog.naver.com/PostView.naver?blogId=nahm1002&amp;logNo=223907606289&amp;redirect=Dlog&amp;widgetTypeCall=true&amp;directAccess=false</t>
  </si>
  <si>
    <t>오롯이아트</t>
  </si>
  <si>
    <t>&lt;나눔칼럼&gt; 학교 잔식기부가 바꾸는 따뜻한 세상...  오종민 수원 조원고 교육행정실장</t>
  </si>
  <si>
    <t>https://blog.naver.com/PostView.naver?blogId=pdtlee2000&amp;logNo=223907049590&amp;redirect=Dlog&amp;widgetTypeCall=true&amp;directAccess=false</t>
  </si>
  <si>
    <t>2025/06/20:상한가종목/ 상승률 상위종목/ 오늘의 주요 상승테마</t>
  </si>
  <si>
    <t>https://blog.naver.com/PostView.naver?blogId=timeinvestment&amp;logNo=223906021531&amp;redirect=Dlog&amp;widgetTypeCall=true&amp;directAccess=false</t>
  </si>
  <si>
    <t>"대전하나시티즌 축구선수 A씨, 성추행 혐의로 입건…경찰 조사 중"</t>
  </si>
  <si>
    <t>https://blog.naver.com/PostView.naver?blogId=krsongc2&amp;logNo=223905901483&amp;redirect=Dlog&amp;widgetTypeCall=true&amp;directAccess=false</t>
  </si>
  <si>
    <t>국가독성과학연구소</t>
  </si>
  <si>
    <t>KIT, AI를 활용한 신약개발을 위한 공동 포럼 개최</t>
  </si>
  <si>
    <t>https://blog.naver.com/PostView.naver?blogId=kitox8310&amp;logNo=223905595568&amp;redirect=Dlog&amp;widgetTypeCall=true&amp;directAccess=false</t>
  </si>
  <si>
    <t>롯데쇼핑 - 자회사인 영화관 전문업체 롯데컬처웍스가 영구채 콜옵션 부담에 노출되고 있다는 언론보도</t>
  </si>
  <si>
    <t>https://blog.naver.com/PostView.naver?blogId=rfkang49&amp;logNo=223905484702&amp;redirect=Dlog&amp;widgetTypeCall=true&amp;directAccess=false</t>
  </si>
  <si>
    <t>오바쟁이</t>
  </si>
  <si>
    <t>오늘 읽은 뉴스(250620)</t>
  </si>
  <si>
    <t>https://blog.naver.com/PostView.naver?blogId=baek7915&amp;logNo=223905361754&amp;redirect=Dlog&amp;widgetTypeCall=true&amp;directAccess=false</t>
  </si>
  <si>
    <t>6/19 장마감 ( 주도테마 : 원자력 / )</t>
  </si>
  <si>
    <t>https://blog.naver.com/PostView.naver?blogId=not_money_wisdom&amp;logNo=223905299407&amp;redirect=Dlog&amp;widgetTypeCall=true&amp;directAccess=false</t>
  </si>
  <si>
    <t>숲숲</t>
  </si>
  <si>
    <t>오래된 보온병 사용으로 인한 중금속 중독 사망 사건</t>
  </si>
  <si>
    <t>https://blog.naver.com/PostView.naver?blogId=forever4forest&amp;logNo=223905193274&amp;redirect=Dlog&amp;widgetTypeCall=true&amp;directAccess=false</t>
  </si>
  <si>
    <t>인턴 허위등록' 윤건영... 2심도 벌금 500만원</t>
  </si>
  <si>
    <t>https://blog.naver.com/PostView.naver?blogId=wangbee-&amp;logNo=223905128386&amp;redirect=Dlog&amp;widgetTypeCall=true&amp;directAccess=false</t>
  </si>
  <si>
    <t>시나브로</t>
  </si>
  <si>
    <t>[단독] 中, 한한령 해제 신호탄.."5000명 이하 공연 지방정부 위임"</t>
  </si>
  <si>
    <t>https://blog.naver.com/PostView.naver?blogId=ibokorea&amp;logNo=223905101665&amp;redirect=Dlog&amp;widgetTypeCall=true&amp;directAccess=false</t>
  </si>
  <si>
    <t>25.06.19(목) 국장 정리</t>
  </si>
  <si>
    <t>https://blog.naver.com/PostView.naver?blogId=jstdoet&amp;logNo=223904979770&amp;redirect=Dlog&amp;widgetTypeCall=true&amp;directAccess=false</t>
  </si>
  <si>
    <t>2025/06/19: 상한가종목/ 상승률 상위종목/ 오늘의 주요 상승테마</t>
  </si>
  <si>
    <t>https://blog.naver.com/PostView.naver?blogId=timeinvestment&amp;logNo=223904839205&amp;redirect=Dlog&amp;widgetTypeCall=true&amp;directAccess=false</t>
  </si>
  <si>
    <t>워런</t>
  </si>
  <si>
    <t>2025.6.19 시장 시황</t>
  </si>
  <si>
    <t>https://blog.naver.com/PostView.naver?blogId=fd-lsj&amp;logNo=223904819472&amp;redirect=Dlog&amp;widgetTypeCall=true&amp;directAccess=false</t>
  </si>
  <si>
    <t>"우린 그런거 쳐다보지도 않아"...돈 많은 사람들은 이 것 산다</t>
  </si>
  <si>
    <t>https://blog.naver.com/PostView.naver?blogId=whkim0408&amp;logNo=223904653743&amp;redirect=Dlog&amp;widgetTypeCall=true&amp;directAccess=false</t>
  </si>
  <si>
    <t>HiEarthHH</t>
  </si>
  <si>
    <t>롯데자이언츠 3위 유지</t>
  </si>
  <si>
    <t>https://blog.naver.com/PostView.naver?blogId=sjj300_kf&amp;logNo=223904586062&amp;redirect=Dlog&amp;widgetTypeCall=true&amp;directAccess=false</t>
  </si>
  <si>
    <t>[김건희 입원][보름 회복]"김건희 여사, 보름 정도 회복 필요"…지난해 "몇 년 심하게 아파"</t>
  </si>
  <si>
    <t>https://blog.naver.com/PostView.naver?blogId=eithty2&amp;logNo=223904408256&amp;redirect=Dlog&amp;widgetTypeCall=true&amp;directAccess=false</t>
  </si>
  <si>
    <t>[250619] 미증시 금리 동결 속, 보합권 혼조, 스테이블 코인 관련주 폭등</t>
  </si>
  <si>
    <t>https://blog.naver.com/PostView.naver?blogId=hejiongxi&amp;logNo=223904207507&amp;redirect=Dlog&amp;widgetTypeCall=true&amp;directAccess=false</t>
  </si>
  <si>
    <t>[06/19] 신문 스크랩</t>
  </si>
  <si>
    <t>https://blog.naver.com/PostView.naver?blogId=chlthr1222&amp;logNo=223904168562&amp;redirect=Dlog&amp;widgetTypeCall=true&amp;directAccess=false</t>
  </si>
  <si>
    <t>사설모음</t>
  </si>
  <si>
    <t>2025-06-18 사설 윤석열</t>
  </si>
  <si>
    <t>https://blog.naver.com/PostView.naver?blogId=inmuk&amp;logNo=223904043518&amp;redirect=Dlog&amp;widgetTypeCall=true&amp;directAccess=false</t>
  </si>
  <si>
    <t>별빛히어로</t>
  </si>
  <si>
    <t>영웅시대, 농아인들 위해 잇따른 기부..그들의 따뜻한 손길(임영웅 팬클럽)</t>
  </si>
  <si>
    <t>https://blog.naver.com/PostView.naver?blogId=qhrtlf06&amp;logNo=223904003318&amp;redirect=Dlog&amp;widgetTypeCall=true&amp;directAccess=false</t>
  </si>
  <si>
    <t>2025년 6월 18일, 이재명 대통령, UN 사무총장과 약식 회동에 대한 X 반응.</t>
  </si>
  <si>
    <t>https://blog.naver.com/PostView.naver?blogId=shinswoong75&amp;logNo=223903892200&amp;redirect=Dlog&amp;widgetTypeCall=true&amp;directAccess=false</t>
  </si>
  <si>
    <t>고라니</t>
  </si>
  <si>
    <t>01_부정선거 음모론</t>
  </si>
  <si>
    <t>https://blog.naver.com/PostView.naver?blogId=anxogus&amp;logNo=223903853694&amp;redirect=Dlog&amp;widgetTypeCall=true&amp;directAccess=false</t>
  </si>
  <si>
    <t>아미코젠 - 독보적 유전자 진화기술 경쟁력을 확보한 업체로 알테오젠의 대항마로서 향후 성장 동력이 기대된다고 진단</t>
  </si>
  <si>
    <t>https://blog.naver.com/PostView.naver?blogId=rfkang49&amp;logNo=223903550147&amp;redirect=Dlog&amp;widgetTypeCall=true&amp;directAccess=false</t>
  </si>
  <si>
    <t>4_7fd</t>
  </si>
  <si>
    <t>대중음악에서의 소비 권력에 대한 두 얼굴 – “팬덤은 창작에 득인가, 실인가”</t>
  </si>
  <si>
    <t>https://blog.naver.com/PostView.naver?blogId=4_7fd&amp;logNo=223903511771&amp;redirect=Dlog&amp;widgetTypeCall=true&amp;directAccess=false</t>
  </si>
  <si>
    <t>이란 '핵 제거' 임박설에 위기감?..김정은, 러시아에 6천명 추가파견 '북러 밀착'</t>
  </si>
  <si>
    <t>https://blog.naver.com/PostView.naver?blogId=eremoval&amp;logNo=223903450777&amp;redirect=Dlog&amp;widgetTypeCall=true&amp;directAccess=false</t>
  </si>
  <si>
    <t>마포스타</t>
  </si>
  <si>
    <t>주요 뉴스_경제신문 발췌_20250618</t>
  </si>
  <si>
    <t>https://blog.naver.com/PostView.naver?blogId=mapostar&amp;logNo=223903099891&amp;redirect=Dlog&amp;widgetTypeCall=true&amp;directAccess=false</t>
  </si>
  <si>
    <t>명성팔호 부동산</t>
  </si>
  <si>
    <t>매수와 매도 호가의 갭 차이가 크게 보이는 잠실아파트 매매 매물 List</t>
  </si>
  <si>
    <t>https://blog.naver.com/PostView.naver?blogId=licj37tv&amp;logNo=223903074273&amp;redirect=Dlog&amp;widgetTypeCall=true&amp;directAccess=false</t>
  </si>
  <si>
    <t>서울 아파트 전셋값 상승에도 갭투자 시장은 침체</t>
  </si>
  <si>
    <t>https://blog.naver.com/PostView.naver?blogId=krsongc2&amp;logNo=223903036643&amp;redirect=Dlog&amp;widgetTypeCall=true&amp;directAccess=false</t>
  </si>
  <si>
    <t>[250618] 미증시 중동 불안 고조에 하락, 국제유가 2% 급등, 태양광 폭락</t>
  </si>
  <si>
    <t>https://blog.naver.com/PostView.naver?blogId=hejiongxi&amp;logNo=223902993465&amp;redirect=Dlog&amp;widgetTypeCall=true&amp;directAccess=false</t>
  </si>
  <si>
    <t>로즈마리</t>
  </si>
  <si>
    <t>집값 과열에 성동, 분당,과천등 10곳 규제지역 추가 우려 확산</t>
  </si>
  <si>
    <t>https://blog.naver.com/PostView.naver?blogId=jks_7777_&amp;logNo=223902900931&amp;redirect=Dlog&amp;widgetTypeCall=true&amp;directAccess=false</t>
  </si>
  <si>
    <t>영웅시대', 임영웅 생일 맞아 어려운 이웃에 1억5675만원 쾌척..5년 총액 11억원</t>
  </si>
  <si>
    <t>https://blog.naver.com/PostView.naver?blogId=blj8888&amp;logNo=223902802288&amp;redirect=Dlog&amp;widgetTypeCall=true&amp;directAccess=false</t>
  </si>
  <si>
    <t>제 발 찍은 무역전쟁… 美 원유생산 감소</t>
  </si>
  <si>
    <t>https://blog.naver.com/PostView.naver?blogId=2muchtalker_y&amp;logNo=223902675827&amp;redirect=Dlog&amp;widgetTypeCall=true&amp;directAccess=false</t>
  </si>
  <si>
    <t>이재명 정부' 첫날 증시 급등… '하락 징크스' 깨졌다</t>
  </si>
  <si>
    <t>https://blog.naver.com/PostView.naver?blogId=2muchtalker_y&amp;logNo=223902661416&amp;redirect=Dlog&amp;widgetTypeCall=true&amp;directAccess=false</t>
  </si>
  <si>
    <t>HUG, 전세금안심대출보증 한도 산정에 임차인 상환능력 심사 도입… 19일부터 시행</t>
  </si>
  <si>
    <t>https://blog.naver.com/PostView.naver?blogId=krsongc2&amp;logNo=223902384597&amp;redirect=Dlog&amp;widgetTypeCall=true&amp;directAccess=false</t>
  </si>
  <si>
    <t>연예 다음</t>
  </si>
  <si>
    <t>https://blog.naver.com/PostView.naver?blogId=c1c1b1b1&amp;logNo=223902229474&amp;redirect=Dlog&amp;widgetTypeCall=true&amp;directAccess=false</t>
  </si>
  <si>
    <t>소망</t>
  </si>
  <si>
    <t>기다리는 자들에게나 구하는 영혼들에게 여호와는 선하시도다.</t>
  </si>
  <si>
    <t>https://blog.naver.com/PostView.naver?blogId=pugok00&amp;logNo=223902005083&amp;redirect=Dlog&amp;widgetTypeCall=true&amp;directAccess=false</t>
  </si>
  <si>
    <t>[250617] 미증시 중동 갈등 완화 기대에 일제 상승, 국제 유가 하락</t>
  </si>
  <si>
    <t>https://blog.naver.com/PostView.naver?blogId=hejiongxi&amp;logNo=223901748887&amp;redirect=Dlog&amp;widgetTypeCall=true&amp;directAccess=false</t>
  </si>
  <si>
    <t>가수 임영웅 생일 맞아 울산 팬클럽 '선한 영향력' 이웃돕기 성금 쾌척</t>
  </si>
  <si>
    <t>https://blog.naver.com/PostView.naver?blogId=qhrtlf06&amp;logNo=223901564063&amp;redirect=Dlog&amp;widgetTypeCall=true&amp;directAccess=false</t>
  </si>
  <si>
    <t>2025년 6월 16일, 김건희 석사학위 박탈..국민대 박사학위는 언제? X 반응.</t>
  </si>
  <si>
    <t>https://blog.naver.com/PostView.naver?blogId=shinswoong75&amp;logNo=223901432556&amp;redirect=Dlog&amp;widgetTypeCall=true&amp;directAccess=false</t>
  </si>
  <si>
    <t>25.06.16(월) 국장 정리</t>
  </si>
  <si>
    <t>https://blog.naver.com/PostView.naver?blogId=jstdoet&amp;logNo=223901354934&amp;redirect=Dlog&amp;widgetTypeCall=true&amp;directAccess=false</t>
  </si>
  <si>
    <t>완득이</t>
  </si>
  <si>
    <t>대한민국은 근본부터 다 바꿔야한다.</t>
  </si>
  <si>
    <t>https://blog.naver.com/PostView.naver?blogId=wandeugii&amp;logNo=223901346112&amp;redirect=Dlog&amp;widgetTypeCall=true&amp;directAccess=false</t>
  </si>
  <si>
    <t>심바</t>
  </si>
  <si>
    <t>웅탄절' 임영웅 "팬 여러분, 생일 선물 주지 말고 봉사하세요"</t>
  </si>
  <si>
    <t>https://blog.naver.com/PostView.naver?blogId=simba6&amp;logNo=223901155267&amp;redirect=Dlog&amp;widgetTypeCall=true&amp;directAccess=false</t>
  </si>
  <si>
    <t>플랫어서</t>
  </si>
  <si>
    <t>시신을 물로 녹이다: 영국의 '물 화장'</t>
  </si>
  <si>
    <t>https://blog.naver.com/PostView.naver?blogId=studiohyo&amp;logNo=223900820659&amp;redirect=Dlog&amp;widgetTypeCall=true&amp;directAccess=false</t>
  </si>
  <si>
    <t>세명</t>
  </si>
  <si>
    <t>25.6.15  뉴스</t>
  </si>
  <si>
    <t>https://blog.naver.com/PostView.naver?blogId=sm-8889&amp;logNo=223900592394&amp;redirect=Dlog&amp;widgetTypeCall=true&amp;directAccess=false</t>
  </si>
  <si>
    <t>marmo29</t>
  </si>
  <si>
    <t>네다89</t>
  </si>
  <si>
    <t>글로벌 핵심 거점항만 부산항, 경쟁력 강화 속도낸다</t>
  </si>
  <si>
    <t>https://blog.naver.com/PostView.naver?blogId=elel095&amp;logNo=223899182884&amp;redirect=Dlog&amp;widgetTypeCall=true&amp;directAccess=false</t>
  </si>
  <si>
    <t>조영정 기자</t>
  </si>
  <si>
    <t>아이리인</t>
  </si>
  <si>
    <t>12억 이상 고가에도 주택연금 수령이 가능</t>
  </si>
  <si>
    <t>https://blog.naver.com/PostView.naver?blogId=irenejean&amp;logNo=223885182162&amp;redirect=Dlog&amp;widgetTypeCall=true&amp;directAccess=false</t>
  </si>
  <si>
    <t>[250614] 이스라일-이란 확전에 3대 지수 급락, 금값 사상최고치 눈앞, 유가 급등</t>
  </si>
  <si>
    <t>https://blog.naver.com/PostView.naver?blogId=hejiongxi&amp;logNo=223898803000&amp;redirect=Dlog&amp;widgetTypeCall=true&amp;directAccess=false</t>
  </si>
  <si>
    <t>2025년 6월 13일, 대통령실 대변인, 과거 청와대서 사용하던 업무표장 사용 사실 발표. X 반응.</t>
  </si>
  <si>
    <t>https://blog.naver.com/PostView.naver?blogId=shinswoong75&amp;logNo=223898567724&amp;redirect=Dlog&amp;widgetTypeCall=true&amp;directAccess=false</t>
  </si>
  <si>
    <t>완전 자유</t>
  </si>
  <si>
    <t>『#새나라 새미술: 조선 전기 미술 대전』 관람</t>
  </si>
  <si>
    <t>https://blog.naver.com/PostView.naver?blogId=espym83&amp;logNo=223898307820&amp;redirect=Dlog&amp;widgetTypeCall=true&amp;directAccess=false</t>
  </si>
  <si>
    <t>머문사랑투</t>
  </si>
  <si>
    <t>가수 임영웅 생일 기념 팬클럽 회원들 성금 300만원 기탁</t>
  </si>
  <si>
    <t>https://blog.naver.com/PostView.naver?blogId=mschi0616&amp;logNo=223898111829&amp;redirect=Dlog&amp;widgetTypeCall=true&amp;directAccess=false</t>
  </si>
  <si>
    <t>"코스피 내려야 한다, 무조건"…이재명 반대하며 나온 '경제 망해라' 황당한 주장</t>
  </si>
  <si>
    <t>https://blog.naver.com/PostView.naver?blogId=mark-s&amp;logNo=223898085883&amp;redirect=Dlog&amp;widgetTypeCall=true&amp;directAccess=false</t>
  </si>
  <si>
    <t>설희</t>
  </si>
  <si>
    <t>[단독] ‘사전청약&amp;#x3D;허상’ 되나… LH, 운정 주상복합 사업 해약 검토</t>
  </si>
  <si>
    <t>https://blog.naver.com/PostView.naver?blogId=bshui122&amp;logNo=223897897305&amp;redirect=Dlog&amp;widgetTypeCall=true&amp;directAccess=false</t>
  </si>
  <si>
    <t>(언론보도)“글로벌 허브도시 부산의 가치를 굿즈에 담다”, ‘부산 도시브랜드 굿즈(상품) 디자인 공모전’ 개최</t>
  </si>
  <si>
    <t>https://blog.naver.com/PostView.naver?blogId=dcbusan&amp;logNo=223897794326&amp;redirect=Dlog&amp;widgetTypeCall=true&amp;directAccess=false</t>
  </si>
  <si>
    <t>(언론보도) 조성 30년 맞이한 사상구청사 어린이복합문화공간으로 새단장, ‘사상마루 들락날락’으로 새 출발 알리다</t>
  </si>
  <si>
    <t>https://blog.naver.com/PostView.naver?blogId=dcbusan&amp;logNo=223897772211&amp;redirect=Dlog&amp;widgetTypeCall=true&amp;directAccess=false</t>
  </si>
  <si>
    <t>위즈원X일본특촬</t>
  </si>
  <si>
    <t>BoA 비방중상 낙서 서울 곳곳 경찰 조사중 사무소는 법적 대응을 예고했다</t>
  </si>
  <si>
    <t>https://blog.naver.com/PostView.naver?blogId=tmrlahxhdbal&amp;logNo=223897749736&amp;redirect=Dlog&amp;widgetTypeCall=true&amp;directAccess=false</t>
  </si>
  <si>
    <t>템플턴</t>
  </si>
  <si>
    <t>[종목뉴스]풍산, 단기 주가 급등에도 여전히 저평가...목표가↑-NH</t>
  </si>
  <si>
    <t>https://blog.naver.com/PostView.naver?blogId=yjy729000&amp;logNo=223897700760&amp;redirect=Dlog&amp;widgetTypeCall=true&amp;directAccess=false</t>
  </si>
  <si>
    <t>강남 유명 일식집 셰프, 성폭행 혐의로 경찰 수사 중</t>
  </si>
  <si>
    <t>https://blog.naver.com/PostView.naver?blogId=krsongc2&amp;logNo=223897687354&amp;redirect=Dlog&amp;widgetTypeCall=true&amp;directAccess=false</t>
  </si>
  <si>
    <t>[ 뉴스클리핑 ] 2025년 06월 13일(금)</t>
  </si>
  <si>
    <t>https://blog.naver.com/PostView.naver?blogId=valueinstory&amp;logNo=223897670782&amp;redirect=Dlog&amp;widgetTypeCall=true&amp;directAccess=false</t>
  </si>
  <si>
    <t>2025년6월13일(금) 주요 뉴스 요약 정리 (뉴스 클리핑/뉴스 브리핑)</t>
  </si>
  <si>
    <t>https://blog.naver.com/PostView.naver?blogId=hope4life&amp;logNo=223897286931&amp;redirect=Dlog&amp;widgetTypeCall=true&amp;directAccess=false</t>
  </si>
  <si>
    <t>노원보컬</t>
  </si>
  <si>
    <t>25/6/12/counti report</t>
  </si>
  <si>
    <t>https://blog.naver.com/PostView.naver?blogId=gbho0914&amp;logNo=223897247509&amp;redirect=Dlog&amp;widgetTypeCall=true&amp;directAccess=false</t>
  </si>
  <si>
    <t>경제윗미 / Day 9 / 노란봉투법</t>
  </si>
  <si>
    <t>https://blog.naver.com/PostView.naver?blogId=dohagirl&amp;logNo=223897234429&amp;redirect=Dlog&amp;widgetTypeCall=true&amp;directAccess=false</t>
  </si>
  <si>
    <t>김건의 숲</t>
  </si>
  <si>
    <t>SK디앤디(11)</t>
  </si>
  <si>
    <t>https://blog.naver.com/PostView.naver?blogId=feely200&amp;logNo=223896924813&amp;redirect=Dlog&amp;widgetTypeCall=true&amp;directAccess=false</t>
  </si>
  <si>
    <t>불바</t>
  </si>
  <si>
    <t>💜0612 목12 🔴과학 기술 💟제목으로 간추린 오후 과학 기술 뉴스</t>
  </si>
  <si>
    <t>https://blog.naver.com/PostView.naver?blogId=gusteam&amp;logNo=223896770583&amp;redirect=Dlog&amp;widgetTypeCall=true&amp;directAccess=false</t>
  </si>
  <si>
    <t>공공성·사업성 균형' 부산형 정비사업 설명회/군포시 금정1구역</t>
  </si>
  <si>
    <t>https://blog.naver.com/PostView.naver?blogId=2minlight&amp;logNo=223896717046&amp;redirect=Dlog&amp;widgetTypeCall=true&amp;directAccess=false</t>
  </si>
  <si>
    <t>[인천 부평구 초등학교 앞][40대 여성][불량 젤리]학교 앞 40대 여성이 준 젤리 먹은 초등생들 '이상증세' 발칵</t>
  </si>
  <si>
    <t>https://blog.naver.com/PostView.naver?blogId=eithty2&amp;logNo=223896636651&amp;redirect=Dlog&amp;widgetTypeCall=true&amp;directAccess=false</t>
  </si>
  <si>
    <t>(2025년 6월 12일 9시) 따끈따끈한 오늘의 언론사별 헤드라인 뉴스 어떤 내용일까요?</t>
  </si>
  <si>
    <t>https://blog.naver.com/PostView.naver?blogId=1999pdh&amp;logNo=223896557454&amp;redirect=Dlog&amp;widgetTypeCall=true&amp;directAccess=false</t>
  </si>
  <si>
    <t>"복지부 장관에 이국종, 李대통령이 삼고초려해야"…부산의사회가 추천</t>
  </si>
  <si>
    <t>https://blog.naver.com/PostView.naver?blogId=clean127&amp;logNo=223896507274&amp;redirect=Dlog&amp;widgetTypeCall=true&amp;directAccess=false</t>
  </si>
  <si>
    <t>[250612] 미증시 기술주 하락 속 숨고르기</t>
  </si>
  <si>
    <t>https://blog.naver.com/PostView.naver?blogId=hejiongxi&amp;logNo=223896499441&amp;redirect=Dlog&amp;widgetTypeCall=true&amp;directAccess=false</t>
  </si>
  <si>
    <t>[2025년 6월 12일(목) 충남대 직업·진로교육정책연구소 뉴스클리핑]</t>
  </si>
  <si>
    <t>https://blog.naver.com/PostView.naver?blogId=hl5jzj&amp;logNo=223896477566&amp;redirect=Dlog&amp;widgetTypeCall=true&amp;directAccess=false</t>
  </si>
  <si>
    <t>임영웅 팬클럽 '영웅시대' 고양특례시 고양동에 김치 후원</t>
  </si>
  <si>
    <t>https://blog.naver.com/PostView.naver?blogId=qhrtlf06&amp;logNo=223896331001&amp;redirect=Dlog&amp;widgetTypeCall=true&amp;directAccess=false</t>
  </si>
  <si>
    <t>2025년 6월 11일 주식테마/특징종목</t>
  </si>
  <si>
    <t>https://blog.naver.com/PostView.naver?blogId=oreumgureum&amp;logNo=223896268887&amp;redirect=Dlog&amp;widgetTypeCall=true&amp;directAccess=false</t>
  </si>
  <si>
    <t>PS일렉트로닉스(332570)</t>
  </si>
  <si>
    <t>https://blog.naver.com/PostView.naver?blogId=kang-pro1023&amp;logNo=223896224220&amp;redirect=Dlog&amp;widgetTypeCall=true&amp;directAccess=false</t>
  </si>
  <si>
    <t>https://blog.naver.com/PostView.naver?blogId=simba6&amp;logNo=223896200171&amp;redirect=Dlog&amp;widgetTypeCall=true&amp;directAccess=false</t>
  </si>
  <si>
    <t>장애인 축구팀 꿈 이어가게 한 임영웅 팬클럽의 '선한 기부'</t>
  </si>
  <si>
    <t>https://blog.naver.com/PostView.naver?blogId=simba6&amp;logNo=223896190801&amp;redirect=Dlog&amp;widgetTypeCall=true&amp;directAccess=false</t>
  </si>
  <si>
    <t>궁바궁바</t>
  </si>
  <si>
    <t>한화 중견수 트레이드? 키움은 아닐 것</t>
  </si>
  <si>
    <t>https://blog.naver.com/PostView.naver?blogId=pw5537&amp;logNo=223896012644&amp;redirect=Dlog&amp;widgetTypeCall=true&amp;directAccess=false</t>
  </si>
  <si>
    <t>다우진유전자연구소</t>
  </si>
  <si>
    <t>두 딸 두고 6·25 참전 故 조영호 일병, 72년만에 유가족 품에</t>
  </si>
  <si>
    <t>https://blog.naver.com/PostView.naver?blogId=dowgenedna&amp;logNo=223895775988&amp;redirect=Dlog&amp;widgetTypeCall=true&amp;directAccess=false</t>
  </si>
  <si>
    <t>이국주, 과거 대중교통에서 폭행 피해 고백</t>
  </si>
  <si>
    <t>https://blog.naver.com/PostView.naver?blogId=krsongc2&amp;logNo=223895358700&amp;redirect=Dlog&amp;widgetTypeCall=true&amp;directAccess=false</t>
  </si>
  <si>
    <t>i4341706</t>
  </si>
  <si>
    <t>바르하라다 이민형 꿩</t>
  </si>
  <si>
    <t>https://blog.naver.com/PostView.naver?blogId=i4341706&amp;logNo=223895305648&amp;redirect=Dlog&amp;widgetTypeCall=true&amp;directAccess=false</t>
  </si>
  <si>
    <t>“코스피·코스닥 동시 상승.. '이 주식'에 주목이 필요합니다 (김영익 교수)” 의 영상 요약</t>
  </si>
  <si>
    <t>https://blog.naver.com/PostView.naver?blogId=lucidjun&amp;logNo=223894929685&amp;redirect=Dlog&amp;widgetTypeCall=true&amp;directAccess=false</t>
  </si>
  <si>
    <t>등대지기</t>
  </si>
  <si>
    <t>대통령 본인가 뵈.  아들결혼식이라 해서</t>
  </si>
  <si>
    <t>https://blog.naver.com/PostView.naver?blogId=hyunzmz&amp;logNo=223894725401&amp;redirect=Dlog&amp;widgetTypeCall=true&amp;directAccess=false</t>
  </si>
  <si>
    <t>메이저</t>
  </si>
  <si>
    <t>김명수 합참의장 "2작전사령부·11전투비행단서 대비태세 현장점검"</t>
  </si>
  <si>
    <t>https://blog.naver.com/PostView.naver?blogId=chkh506&amp;logNo=223894673356&amp;redirect=Dlog&amp;widgetTypeCall=true&amp;directAccess=false</t>
  </si>
  <si>
    <t>김프리</t>
  </si>
  <si>
    <t>불장에 대한 잡생각.</t>
  </si>
  <si>
    <t>https://blog.naver.com/PostView.naver?blogId=tnwnsrla&amp;logNo=223894441221&amp;redirect=Dlog&amp;widgetTypeCall=true&amp;directAccess=false</t>
  </si>
  <si>
    <t>공심이</t>
  </si>
  <si>
    <t>조계사 총무원 화재…스님·종무원 대피</t>
  </si>
  <si>
    <t>https://blog.naver.com/PostView.naver?blogId=kkej614&amp;logNo=223894383259&amp;redirect=Dlog&amp;widgetTypeCall=true&amp;directAccess=false</t>
  </si>
  <si>
    <t>250610 일일뉴스</t>
  </si>
  <si>
    <t>https://blog.naver.com/PostView.naver?blogId=zmdkwo&amp;logNo=223894317415&amp;redirect=Dlog&amp;widgetTypeCall=true&amp;directAccess=false</t>
  </si>
  <si>
    <t>2025년 6월 9일(월) 상한가 및 거래량 천만주 종목 정리</t>
  </si>
  <si>
    <t>https://blog.naver.com/PostView.naver?blogId=meiran63&amp;logNo=223893799456&amp;redirect=Dlog&amp;widgetTypeCall=true&amp;directAccess=false</t>
  </si>
  <si>
    <t>2025년 6월 9일 주식테마/특징종목</t>
  </si>
  <si>
    <t>https://blog.naver.com/PostView.naver?blogId=oreumgureum&amp;logNo=223893658062&amp;redirect=Dlog&amp;widgetTypeCall=true&amp;directAccess=false</t>
  </si>
  <si>
    <t>2025년 6월 8일, 2차 비상경제점검 TF 회의를 9일 10시에 연다고 예고. X 반응</t>
  </si>
  <si>
    <t>https://blog.naver.com/PostView.naver?blogId=shinswoong75&amp;logNo=223892673735&amp;redirect=Dlog&amp;widgetTypeCall=true&amp;directAccess=false</t>
  </si>
  <si>
    <t>250608) HMM이 관세전쟁 속에서도 한 달 새 20%</t>
  </si>
  <si>
    <t>https://blog.naver.com/PostView.naver?blogId=soeona&amp;logNo=223892584329&amp;redirect=Dlog&amp;widgetTypeCall=true&amp;directAccess=false</t>
  </si>
  <si>
    <t>250603 - 대선 직후 대목 맞는 아파트경매… 전문가 "이번에도 기대" [경매뚝딱]</t>
  </si>
  <si>
    <t>https://blog.naver.com/PostView.naver?blogId=pick_me_kab&amp;logNo=223892454747&amp;redirect=Dlog&amp;widgetTypeCall=true&amp;directAccess=false</t>
  </si>
  <si>
    <t>250606 부동산 주요뉴스</t>
  </si>
  <si>
    <t>https://blog.naver.com/PostView.naver?blogId=ebdn0083&amp;logNo=223892384830&amp;redirect=Dlog&amp;widgetTypeCall=true&amp;directAccess=false</t>
  </si>
  <si>
    <t>propos723</t>
  </si>
  <si>
    <t>제 2의 알테오젠을 꿈꾸는 기업, 킵스파마((구)케이피에스), 5개의 모든 사업이 주가에 선순환 영향권에서 6월 경구형 비만약 생체이용률 발표 예정</t>
  </si>
  <si>
    <t>https://blog.naver.com/PostView.naver?blogId=propos723&amp;logNo=223892332395&amp;redirect=Dlog&amp;widgetTypeCall=true&amp;directAccess=false</t>
  </si>
  <si>
    <t>백조</t>
  </si>
  <si>
    <t>(25.6.8.일) 한눈에 보는 부동산뉴스</t>
  </si>
  <si>
    <t>https://blog.naver.com/PostView.naver?blogId=anko-0&amp;logNo=223892033670&amp;redirect=Dlog&amp;widgetTypeCall=true&amp;directAccess=false</t>
  </si>
  <si>
    <t>성사들</t>
  </si>
  <si>
    <t>.............</t>
  </si>
  <si>
    <t>https://blog.naver.com/PostView.naver?blogId=limb8757&amp;logNo=223891897143&amp;redirect=Dlog&amp;widgetTypeCall=true&amp;directAccess=false</t>
  </si>
  <si>
    <t>금호김영집</t>
  </si>
  <si>
    <t>영등포구 공장 화재로 다량 연기 발생…인명피해 없어</t>
  </si>
  <si>
    <t>https://blog.naver.com/PostView.naver?blogId=meangju2020&amp;logNo=223891492072&amp;redirect=Dlog&amp;widgetTypeCall=true&amp;directAccess=false</t>
  </si>
  <si>
    <t>[250607] 미증시 고용지표 호조에 상승, S&amp;P500 6000 탈환, 트럼프-머스크 갈등 일단락</t>
  </si>
  <si>
    <t>https://blog.naver.com/PostView.naver?blogId=hejiongxi&amp;logNo=223891120117&amp;redirect=Dlog&amp;widgetTypeCall=true&amp;directAccess=false</t>
  </si>
  <si>
    <t>부동산뉴스 25.06.06</t>
  </si>
  <si>
    <t>https://blog.naver.com/PostView.naver?blogId=badagada85&amp;logNo=223890773888&amp;redirect=Dlog&amp;widgetTypeCall=true&amp;directAccess=false</t>
  </si>
  <si>
    <t>트래블카드 비교, 은행과 카드사 발행한 트래블카드, 전자금융업자가 발행한 트래블카드 뭐가 다를까?해외여행 필수템’트래블카드 주의사항</t>
  </si>
  <si>
    <t>https://blog.naver.com/PostView.naver?blogId=kkkmhyun&amp;logNo=223890605572&amp;redirect=Dlog&amp;widgetTypeCall=true&amp;directAccess=false</t>
  </si>
  <si>
    <t>[이재명시대] 9. 저출생·고령화 위기를 극복하고 아이부터 어르신까지 함께 돌보는 국가를 만들겠습니다.</t>
  </si>
  <si>
    <t>https://blog.naver.com/PostView.naver?blogId=komo082&amp;logNo=223890495832&amp;redirect=Dlog&amp;widgetTypeCall=true&amp;directAccess=false</t>
  </si>
  <si>
    <t>건강밥사 최경식</t>
  </si>
  <si>
    <t>아미코젠, 세포배양배지 국내 최초 대량 위탁생산 체계 구축</t>
  </si>
  <si>
    <t>https://blog.naver.com/PostView.naver?blogId=6chasanup&amp;logNo=223890476435&amp;redirect=Dlog&amp;widgetTypeCall=true&amp;directAccess=false</t>
  </si>
  <si>
    <t>해모수17세손광개토왕</t>
  </si>
  <si>
    <t>[공유] 김문수 대선해단식 부정선거 주장 "부정선거, 증거 갖고 재판…제대로 싸워나가야" “해단식이라기보다는 나라를 살리기 위한 구국의 출정식"이라고 했다.</t>
  </si>
  <si>
    <t>https://blog.naver.com/PostView.naver?blogId=digitalan&amp;logNo=223890331776&amp;redirect=Dlog&amp;widgetTypeCall=true&amp;directAccess=false</t>
  </si>
  <si>
    <t>lmy0703</t>
  </si>
  <si>
    <t>매일 이것 한 컵씩 먹었더니...당뇨 전단계, 콜레스테롤·염증수치 뚝 [건강잇슈]</t>
  </si>
  <si>
    <t>https://blog.naver.com/PostView.naver?blogId=lmy0703&amp;logNo=223889925988&amp;redirect=Dlog&amp;widgetTypeCall=true&amp;directAccess=false</t>
  </si>
  <si>
    <t>2025/06/05 거래량 천만주 종목</t>
  </si>
  <si>
    <t>https://blog.naver.com/PostView.naver?blogId=intheriverck&amp;logNo=223889713311&amp;redirect=Dlog&amp;widgetTypeCall=true&amp;directAccess=false</t>
  </si>
  <si>
    <t>김진태</t>
  </si>
  <si>
    <t>강원도, 강릉 주문진읍 향호마을 일반농산어촌개발 공모사업 최종 선정</t>
  </si>
  <si>
    <t>https://blog.naver.com/PostView.naver?blogId=jtkim4011&amp;logNo=223889703448&amp;redirect=Dlog&amp;widgetTypeCall=true&amp;directAccess=false</t>
  </si>
  <si>
    <t>늦된여로</t>
  </si>
  <si>
    <t>1분기 공실률 9%… 무너지는 서울 역세권 상가</t>
  </si>
  <si>
    <t>https://blog.naver.com/PostView.naver?blogId=yoosy65&amp;logNo=223889126438&amp;redirect=Dlog&amp;widgetTypeCall=true&amp;directAccess=false</t>
  </si>
  <si>
    <t>마르지 않는 금맥</t>
  </si>
  <si>
    <t>"진짜 너무 싫어 진절머리" 尹 대통령실 여직원 퇴사 영상…논란 커지자 '비공개'</t>
  </si>
  <si>
    <t>https://blog.naver.com/PostView.naver?blogId=pgy0804&amp;logNo=223889211042&amp;redirect=Dlog&amp;widgetTypeCall=true&amp;directAccess=false</t>
  </si>
  <si>
    <t>Lily릴리</t>
  </si>
  <si>
    <t>[올릭스][인벤티지랩] 비만테마 희비...펩트론 '울고' 킵스파마 '웃고'</t>
  </si>
  <si>
    <t>https://blog.naver.com/PostView.naver?blogId=kssil1004&amp;logNo=223889203752&amp;redirect=Dlog&amp;widgetTypeCall=true&amp;directAccess=false</t>
  </si>
  <si>
    <t>국내외 경제 동향 및 주요 뉴스('25.06.05)_전 세계 희토류 70% 채굴하고 90% 가공하는 중국 …수출 통제에 美, 獨 "자동차 공장 멈추게 생겼다" 아우성</t>
  </si>
  <si>
    <t>https://blog.naver.com/PostView.naver?blogId=pbs6609&amp;logNo=223889201171&amp;redirect=Dlog&amp;widgetTypeCall=true&amp;directAccess=false</t>
  </si>
  <si>
    <t>"이미 벼랑 끝...100만 폐업시대 대안 마련해달라"</t>
  </si>
  <si>
    <t>https://blog.naver.com/PostView.naver?blogId=yoosy65&amp;logNo=223889117485&amp;redirect=Dlog&amp;widgetTypeCall=true&amp;directAccess=false</t>
  </si>
  <si>
    <t>[250605] 미증시 고용둔화 충격에 혼조세, 10년물 국채금리 급락, 테슬라 3.6% 하락</t>
  </si>
  <si>
    <t>https://blog.naver.com/PostView.naver?blogId=hejiongxi&amp;logNo=223889078481&amp;redirect=Dlog&amp;widgetTypeCall=true&amp;directAccess=false</t>
  </si>
  <si>
    <t>https://blog.naver.com/PostView.naver?blogId=kbs651027&amp;logNo=223889057749&amp;redirect=Dlog&amp;widgetTypeCall=true&amp;directAccess=false</t>
  </si>
  <si>
    <t>[06/05] 신문 스크랩</t>
  </si>
  <si>
    <t>https://blog.naver.com/PostView.naver?blogId=chlthr1222&amp;logNo=223889057609&amp;redirect=Dlog&amp;widgetTypeCall=true&amp;directAccess=false</t>
  </si>
  <si>
    <t>아파트와 부동산</t>
  </si>
  <si>
    <t>우크라이나의 핵 포기가 현재 전쟁 상황에 어떤 교훈을 주는지</t>
  </si>
  <si>
    <t>https://blog.naver.com/PostView.naver?blogId=g901gg&amp;logNo=223889052535&amp;redirect=Dlog&amp;widgetTypeCall=true&amp;directAccess=false</t>
  </si>
  <si>
    <t>kominerba</t>
  </si>
  <si>
    <t>이준석, '30억' 선거비용 어쩌나 했더니…“정당보조금 다 반납해도 흑자” + [참고적인 지적]</t>
  </si>
  <si>
    <t>https://blog.naver.com/PostView.naver?blogId=kominerba&amp;logNo=223888703141&amp;redirect=Dlog&amp;widgetTypeCall=true&amp;directAccess=false</t>
  </si>
  <si>
    <t>낭중지추</t>
  </si>
  <si>
    <t>늘친구 광정</t>
  </si>
  <si>
    <t>득표율 10% 밑돈 이준석, 선거비용 못 받는다</t>
  </si>
  <si>
    <t>https://blog.naver.com/PostView.naver?blogId=krbsh&amp;logNo=223888394026&amp;redirect=Dlog&amp;widgetTypeCall=true&amp;directAccess=false</t>
  </si>
  <si>
    <t>젤존친구</t>
  </si>
  <si>
    <t>부동산뉴스-Daily-2025.06.04</t>
  </si>
  <si>
    <t>https://blog.naver.com/PostView.naver?blogId=sundog58&amp;logNo=223888376391&amp;redirect=Dlog&amp;widgetTypeCall=true&amp;directAccess=false</t>
  </si>
  <si>
    <t>KAIST, 딱딱했다가 유연해지는 회로…가변형 전자잉크 개발</t>
  </si>
  <si>
    <t>https://blog.naver.com/PostView.naver?blogId=jch4512&amp;logNo=223888112915&amp;redirect=Dlog&amp;widgetTypeCall=true&amp;directAccess=false</t>
  </si>
  <si>
    <t>보령은행마을</t>
  </si>
  <si>
    <t>국내외 경제 동향 및 주요 뉴스('25.06.04)_트럼프,철강·알루미늄 관세 25→50% 인상 포고문 서명··· OECD, 관세 전쟁에 올 세계 성장률 3.1%→2.9% 또 하향</t>
  </si>
  <si>
    <t>https://blog.naver.com/PostView.naver?blogId=pbs6609&amp;logNo=223887963234&amp;redirect=Dlog&amp;widgetTypeCall=true&amp;directAccess=false</t>
  </si>
  <si>
    <t>Lay</t>
  </si>
  <si>
    <t>이재명 정권 첫 6개월 서울 집값 전망</t>
  </si>
  <si>
    <t>https://blog.naver.com/PostView.naver?blogId=hegel38&amp;logNo=223887945372&amp;redirect=Dlog&amp;widgetTypeCall=true&amp;directAccess=false</t>
  </si>
  <si>
    <t>앤서니</t>
  </si>
  <si>
    <t>부자아빠의 연금술</t>
  </si>
  <si>
    <t>이재명 대통령 시대 부동산, 서울 아파트 가격이 오르기 어려운 이유</t>
  </si>
  <si>
    <t>https://blog.naver.com/PostView.naver?blogId=passionlsh&amp;logNo=223887890286&amp;redirect=Dlog&amp;widgetTypeCall=true&amp;directAccess=false</t>
  </si>
  <si>
    <t>[250604] 미증시 기술주 강세 속 이틀째 상승, 엔비디아 시총 1위 탈환</t>
  </si>
  <si>
    <t>https://blog.naver.com/PostView.naver?blogId=hejiongxi&amp;logNo=223887884956&amp;redirect=Dlog&amp;widgetTypeCall=true&amp;directAccess=false</t>
  </si>
  <si>
    <t>아름다운길</t>
  </si>
  <si>
    <t>가자가자 코스피3,000 포인트 넘어서 5,000 포인트 시대로</t>
  </si>
  <si>
    <t>https://blog.naver.com/PostView.naver?blogId=kst3283&amp;logNo=223887836413&amp;redirect=Dlog&amp;widgetTypeCall=true&amp;directAccess=false</t>
  </si>
  <si>
    <t>라트로브</t>
  </si>
  <si>
    <t>오늘의 주식시장 - 2025년 06월 02일 (월)</t>
  </si>
  <si>
    <t>https://blog.naver.com/PostView.naver?blogId=sk3877&amp;logNo=223887566603&amp;redirect=Dlog&amp;widgetTypeCall=true&amp;directAccess=false</t>
  </si>
  <si>
    <t>본투표에서 어김없이 불거진 잡음과 선관위 관리 부실</t>
  </si>
  <si>
    <t>https://blog.naver.com/PostView.naver?blogId=inbible-ark&amp;logNo=223887401898&amp;redirect=Dlog&amp;widgetTypeCall=true&amp;directAccess=false</t>
  </si>
  <si>
    <t>대박펑펑</t>
  </si>
  <si>
    <t>상한가&amp;천만주 정리 - 25년 6월 02일</t>
  </si>
  <si>
    <t>https://blog.naver.com/PostView.naver?blogId=yooniverse1709&amp;logNo=223887099954&amp;redirect=Dlog&amp;widgetTypeCall=true&amp;directAccess=false</t>
  </si>
  <si>
    <t>우주뜰</t>
  </si>
  <si>
    <t>(25.6.3.화) 한눈에 보는 부동산뉴스</t>
  </si>
  <si>
    <t>https://blog.naver.com/PostView.naver?blogId=anko-0&amp;logNo=223886913207&amp;redirect=Dlog&amp;widgetTypeCall=true&amp;directAccess=false</t>
  </si>
  <si>
    <t>[250603] 미증시, 미중 정상회의 기대감 속 상승, 철강주 폭등</t>
  </si>
  <si>
    <t>https://blog.naver.com/PostView.naver?blogId=hejiongxi&amp;logNo=223886895139&amp;redirect=Dlog&amp;widgetTypeCall=true&amp;directAccess=false</t>
  </si>
  <si>
    <t>2025.06.03 IT/과학</t>
  </si>
  <si>
    <t>https://blog.naver.com/PostView.naver?blogId=kbs651027&amp;logNo=223886883510&amp;redirect=Dlog&amp;widgetTypeCall=true&amp;directAccess=false</t>
  </si>
  <si>
    <t>2025년 6월 3일 (화) 파이낸셜뉴스 지면기사</t>
  </si>
  <si>
    <t>https://blog.naver.com/PostView.naver?blogId=theblock101&amp;logNo=223886827444&amp;redirect=Dlog&amp;widgetTypeCall=true&amp;directAccess=false</t>
  </si>
  <si>
    <t>월평</t>
  </si>
  <si>
    <t>`25.06/02 (바이오비쥬/산일전기)</t>
  </si>
  <si>
    <t>https://blog.naver.com/PostView.naver?blogId=sucess4you&amp;logNo=223886569750&amp;redirect=Dlog&amp;widgetTypeCall=true&amp;directAccess=false</t>
  </si>
  <si>
    <t>2025.6.2-월요일</t>
  </si>
  <si>
    <t>https://blog.naver.com/PostView.naver?blogId=my-dream-&amp;logNo=223886469237&amp;redirect=Dlog&amp;widgetTypeCall=true&amp;directAccess=false</t>
  </si>
  <si>
    <t>DK의 세상 바로 보기</t>
  </si>
  <si>
    <t>文과 함께 기소' 이상직 전 의원, 국민참여재판 신청</t>
  </si>
  <si>
    <t>https://blog.naver.com/PostView.naver?blogId=dkkong1&amp;logNo=223886401281&amp;redirect=Dlog&amp;widgetTypeCall=true&amp;directAccess=false</t>
  </si>
  <si>
    <t>[25.05.31 | 파이낸셜뉴스] 작심스터디카페, 연계 비즈니스 통해 차세대 학습·공간 산업 확장 본격화</t>
  </si>
  <si>
    <t>https://blog.naver.com/PostView.naver?blogId=zaksimlibrary&amp;logNo=223886213328&amp;redirect=Dlog&amp;widgetTypeCall=true&amp;directAccess=false</t>
  </si>
  <si>
    <t>2025/06/02 상한가 종목</t>
  </si>
  <si>
    <t>https://blog.naver.com/PostView.naver?blogId=intheriverck&amp;logNo=223886151295&amp;redirect=Dlog&amp;widgetTypeCall=true&amp;directAccess=false</t>
  </si>
  <si>
    <t>KAIST 한국 금융 보안 SW, 오히려 해킹 통로 된다... 근본적 대책 필요성 경고</t>
  </si>
  <si>
    <t>https://blog.naver.com/PostView.naver?blogId=alfmzlfm&amp;logNo=223885965311&amp;redirect=Dlog&amp;widgetTypeCall=true&amp;directAccess=false</t>
  </si>
  <si>
    <t>합참의장 "적 기만·기습 상시 대비, 임무 집중" 대비태세 현장점검</t>
  </si>
  <si>
    <t>https://blog.naver.com/PostView.naver?blogId=chkh506&amp;logNo=223886079828&amp;redirect=Dlog&amp;widgetTypeCall=true&amp;directAccess=false</t>
  </si>
  <si>
    <t>........</t>
  </si>
  <si>
    <t>https://blog.naver.com/PostView.naver?blogId=limb8757&amp;logNo=223886028911&amp;redirect=Dlog&amp;widgetTypeCall=true&amp;directAccess=false</t>
  </si>
  <si>
    <t>"인터넷 없이도 AI 가능?" '엣지 갤러리' 뭐길래</t>
  </si>
  <si>
    <t>https://blog.naver.com/PostView.naver?blogId=eremoval&amp;logNo=223885716040&amp;redirect=Dlog&amp;widgetTypeCall=true&amp;directAccess=false</t>
  </si>
  <si>
    <t>프랑스가 잘하네</t>
  </si>
  <si>
    <t>https://blog.naver.com/PostView.naver?blogId=ds1sku&amp;logNo=223885583197&amp;redirect=Dlog&amp;widgetTypeCall=true&amp;directAccess=false</t>
  </si>
  <si>
    <t>2025년 6월 2일 (월) 파이낸셜뉴스 지면기사</t>
  </si>
  <si>
    <t>https://blog.naver.com/PostView.naver?blogId=theblock101&amp;logNo=223885557867&amp;redirect=Dlog&amp;widgetTypeCall=true&amp;directAccess=false</t>
  </si>
  <si>
    <t>"법원이 상호관세 조치 제동 걸어도 다른 방법으로 관세 부과 정책 유지"</t>
  </si>
  <si>
    <t>https://blog.naver.com/PostView.naver?blogId=dkkong1&amp;logNo=223885548892&amp;redirect=Dlog&amp;widgetTypeCall=true&amp;directAccess=false</t>
  </si>
  <si>
    <t>차프로</t>
  </si>
  <si>
    <t>[김경민의 국제정치] AI기술과 방어체제</t>
  </si>
  <si>
    <t>https://blog.naver.com/PostView.naver?blogId=police1965&amp;logNo=223885308805&amp;redirect=Dlog&amp;widgetTypeCall=true&amp;directAccess=false</t>
  </si>
  <si>
    <t>이슈 이슈</t>
  </si>
  <si>
    <t>경향신문</t>
  </si>
  <si>
    <t>goldbabymama</t>
  </si>
  <si>
    <t>Fri</t>
  </si>
  <si>
    <t>다이어트?</t>
  </si>
  <si>
    <t>https://blog.naver.com/PostView.naver?blogId=attonements&amp;logNo=223900257440&amp;redirect=Dlog&amp;widgetTypeCall=true&amp;directAccess=false</t>
  </si>
  <si>
    <t>이재명 정부 출범 직후 조국 사면론 부상…여야 엇갈린 반응</t>
  </si>
  <si>
    <t>https://blog.naver.com/PostView.naver?blogId=underwind-&amp;logNo=223900130172&amp;redirect=Dlog&amp;widgetTypeCall=true&amp;directAccess=false</t>
  </si>
  <si>
    <t>독에비</t>
  </si>
  <si>
    <t>사색노트 #34 — 사리분별</t>
  </si>
  <si>
    <t>https://blog.naver.com/PostView.naver?blogId=dbswkd88&amp;logNo=223900063595&amp;redirect=Dlog&amp;widgetTypeCall=true&amp;directAccess=false</t>
  </si>
  <si>
    <t>2030 젊은 남성 세대의 혐오정치와 극단주의화, 유럽 독일 프랑스 영국 미국 등 유사 사례 경향, 온라인 커뮤니티 극단주의화, 주요 정당 대응 현황 조사</t>
  </si>
  <si>
    <t>https://blog.naver.com/PostView.naver?blogId=digitalan&amp;logNo=223899734364&amp;redirect=Dlog&amp;widgetTypeCall=true&amp;directAccess=false</t>
  </si>
  <si>
    <t>안동처사 택전 윤동원</t>
  </si>
  <si>
    <t>난청·이명 함께 오면…1개월 내 치료 시작을</t>
  </si>
  <si>
    <t>https://blog.naver.com/PostView.naver?blogId=dwyun60&amp;logNo=223899688752&amp;redirect=Dlog&amp;widgetTypeCall=true&amp;directAccess=false</t>
  </si>
  <si>
    <t>플톱스</t>
  </si>
  <si>
    <t>보잉, 중국 항공사에 여객기 인도 재개…미·중 화해 신호로 해석</t>
  </si>
  <si>
    <t>https://blog.naver.com/PostView.naver?blogId=fltops&amp;logNo=223899348733&amp;redirect=Dlog&amp;widgetTypeCall=true&amp;directAccess=false</t>
  </si>
  <si>
    <t>보이지 않는 상처: 화학물질 노출, 직업병,</t>
  </si>
  <si>
    <t>https://blog.naver.com/PostView.naver?blogId=newyorkmanhattan&amp;logNo=223899508922&amp;redirect=Dlog&amp;widgetTypeCall=true&amp;directAccess=false</t>
  </si>
  <si>
    <t>모를구름</t>
  </si>
  <si>
    <t>[경제공부] 경제윗미 Day6 - 상법개정 | 코스피</t>
  </si>
  <si>
    <t>https://blog.naver.com/PostView.naver?blogId=howryou-&amp;logNo=223899481878&amp;redirect=Dlog&amp;widgetTypeCall=true&amp;directAccess=false</t>
  </si>
  <si>
    <t>최순자</t>
  </si>
  <si>
    <t>〔5609〕 명사십리/ 서동철 논설위원/ 경향신문 2025. 6. 13.</t>
  </si>
  <si>
    <t>https://blog.naver.com/PostView.naver?blogId=kje06&amp;logNo=223899383740&amp;redirect=Dlog&amp;widgetTypeCall=true&amp;directAccess=false</t>
  </si>
  <si>
    <t>대구변호사 천주현</t>
  </si>
  <si>
    <t>newkwk</t>
  </si>
  <si>
    <t>●정치인인을 뽑는 기준●우리는 이제 친중 반중 사이에서 머뭇거릴 시간이 없다ㅡ오로지 생존전략이 필요할 뿐ㅡ대선 정치판에서 더욱 두드러지는 중국맹의 정치인들이 한심할 뿐</t>
  </si>
  <si>
    <t>https://blog.naver.com/PostView.naver?blogId=newkwk&amp;logNo=223899244661&amp;redirect=Dlog&amp;widgetTypeCall=true&amp;directAccess=false</t>
  </si>
  <si>
    <t>먼지</t>
  </si>
  <si>
    <t>eksfkd1210</t>
  </si>
  <si>
    <t>2025 06 14 10대 일간지 1면</t>
  </si>
  <si>
    <t>https://blog.naver.com/PostView.naver?blogId=eksfkd1210&amp;logNo=223899029176&amp;redirect=Dlog&amp;widgetTypeCall=true&amp;directAccess=false</t>
  </si>
  <si>
    <t>21st CETA</t>
  </si>
  <si>
    <t>화약고 불붙인 이스라엘의 전면 공습···이란·이스라엘 분쟁의 역사[일지]Israel-Iran live updates: Sirens as Israeli authorities warn</t>
  </si>
  <si>
    <t>https://blog.naver.com/PostView.naver?blogId=ceta211&amp;logNo=223899005531&amp;redirect=Dlog&amp;widgetTypeCall=true&amp;directAccess=false</t>
  </si>
  <si>
    <t>세계인 홀린 ‘코리안 시럽’, 제대로 먹으려면</t>
  </si>
  <si>
    <t>https://blog.naver.com/PostView.naver?blogId=dwyun60&amp;logNo=223898985743&amp;redirect=Dlog&amp;widgetTypeCall=true&amp;directAccess=false</t>
  </si>
  <si>
    <t>거기로</t>
  </si>
  <si>
    <t>HS</t>
  </si>
  <si>
    <t>6월 14일, 과거의 오늘</t>
  </si>
  <si>
    <t>https://blog.naver.com/PostView.naver?blogId=gudtjs070&amp;logNo=223847810631&amp;redirect=Dlog&amp;widgetTypeCall=true&amp;directAccess=false</t>
  </si>
  <si>
    <t>퀸리스</t>
  </si>
  <si>
    <t>최근 경향신문을 읽어오며 느낀 점</t>
  </si>
  <si>
    <t>https://blog.naver.com/PostView.naver?blogId=alicesynthesisthirty&amp;logNo=223898749460&amp;redirect=Dlog&amp;widgetTypeCall=true&amp;directAccess=false</t>
  </si>
  <si>
    <t>경제윗미 / Day 10 / 노란봉투법, 최저임금</t>
  </si>
  <si>
    <t>https://blog.naver.com/PostView.naver?blogId=dohagirl&amp;logNo=223898611203&amp;redirect=Dlog&amp;widgetTypeCall=true&amp;directAccess=false</t>
  </si>
  <si>
    <t>새노야</t>
  </si>
  <si>
    <t>민정수석. 최적의 인물들 있다</t>
  </si>
  <si>
    <t>https://blog.naver.com/PostView.naver?blogId=chkimhee&amp;logNo=223898538238&amp;redirect=Dlog&amp;widgetTypeCall=true&amp;directAccess=false</t>
  </si>
  <si>
    <t>2025년 6월 13일, 대통령실 대변인이 오광수 민정수석 이재명 대통령께 사의 표해 발표. X 반응.</t>
  </si>
  <si>
    <t>https://blog.naver.com/PostView.naver?blogId=shinswoong75&amp;logNo=223898531250&amp;redirect=Dlog&amp;widgetTypeCall=true&amp;directAccess=false</t>
  </si>
  <si>
    <t>인내천의 실천</t>
  </si>
  <si>
    <t>으뜸신문</t>
  </si>
  <si>
    <t>https://blog.naver.com/PostView.naver?blogId=leesw647&amp;logNo=223898413294&amp;redirect=Dlog&amp;widgetTypeCall=true&amp;directAccess=false</t>
  </si>
  <si>
    <t>알츠하이머병 가려낼 핵심 물질 찾았다··· “정확도 높아 유용”</t>
  </si>
  <si>
    <t>https://blog.naver.com/PostView.naver?blogId=dwyun60&amp;logNo=223898399929&amp;redirect=Dlog&amp;widgetTypeCall=true&amp;directAccess=false</t>
  </si>
  <si>
    <t>항암제 선택조차 어려운 췌장암··· 약 효과 예측하는 ‘이것’ 개발 성공</t>
  </si>
  <si>
    <t>https://blog.naver.com/PostView.naver?blogId=dwyun60&amp;logNo=223898398896&amp;redirect=Dlog&amp;widgetTypeCall=true&amp;directAccess=false</t>
  </si>
  <si>
    <t>청소년기후행동 활동가 김서경</t>
  </si>
  <si>
    <t>https://blog.naver.com/PostView.naver?blogId=differance-dolly&amp;logNo=223897673085&amp;redirect=Dlog&amp;widgetTypeCall=true&amp;directAccess=false</t>
  </si>
  <si>
    <t>꿀벌</t>
  </si>
  <si>
    <t>2025. 6. 13 일간지 경제뉴스 브리핑</t>
  </si>
  <si>
    <t>https://blog.naver.com/PostView.naver?blogId=swim4551&amp;logNo=223897760312&amp;redirect=Dlog&amp;widgetTypeCall=true&amp;directAccess=false</t>
  </si>
  <si>
    <t>지퍼블루</t>
  </si>
  <si>
    <t>이런글을 쓰다니..</t>
  </si>
  <si>
    <t>https://blog.naver.com/PostView.naver?blogId=zipperblue&amp;logNo=223897999469&amp;redirect=Dlog&amp;widgetTypeCall=true&amp;directAccess=false</t>
  </si>
  <si>
    <t>이명현 특별검사, 해병대 채모 상병 사망 사건 수사 외압 의혹 규명 다짐</t>
  </si>
  <si>
    <t>https://blog.naver.com/PostView.naver?blogId=krsongc2&amp;logNo=223897769378&amp;redirect=Dlog&amp;widgetTypeCall=true&amp;directAccess=false</t>
  </si>
  <si>
    <t>대통령실이 처음부터 오광수의 문제를 알고도 임명을 강행했다는 얘기도 나온다.</t>
  </si>
  <si>
    <t>https://blog.naver.com/PostView.naver?blogId=kimdaisuke&amp;logNo=223897768314&amp;redirect=Dlog&amp;widgetTypeCall=true&amp;directAccess=false</t>
  </si>
  <si>
    <t>헤이즐</t>
  </si>
  <si>
    <t>25.06.13 알라딘에서 산 책들</t>
  </si>
  <si>
    <t>https://blog.naver.com/PostView.naver?blogId=bookwithday&amp;logNo=223896337683&amp;redirect=Dlog&amp;widgetTypeCall=true&amp;directAccess=false</t>
  </si>
  <si>
    <t>danbeenongbu</t>
  </si>
  <si>
    <t>"광수"하면 빛광보다 미칠광이 먼저 생각나선지 미칠광에,빼어날 수?-춘원이광수에서부터 장미여관마광수, 광수는 뭔가 이름자가 잘못된 거 같기도 해-오광수도 도매끔으로마찬가지아닌가싶다</t>
  </si>
  <si>
    <t>https://blog.naver.com/PostView.naver?blogId=danbeenongbu&amp;logNo=223897667278&amp;redirect=Dlog&amp;widgetTypeCall=true&amp;directAccess=false</t>
  </si>
  <si>
    <t>아베뉴</t>
  </si>
  <si>
    <t>하늘 나그네</t>
  </si>
  <si>
    <t>충청남도, 지자체가 선도하는 ‘모두의 보훈’ 실현</t>
  </si>
  <si>
    <t>https://blog.naver.com/PostView.naver?blogId=jtpark2017&amp;logNo=223897652823&amp;redirect=Dlog&amp;widgetTypeCall=true&amp;directAccess=false</t>
  </si>
  <si>
    <t>꿈과낭만</t>
  </si>
  <si>
    <t>귀한 아들 증후군 요즘 흔한 가정의 모습 아닐까?</t>
  </si>
  <si>
    <t>https://blog.naver.com/PostView.naver?blogId=trustme700&amp;logNo=223895546606&amp;redirect=Dlog&amp;widgetTypeCall=true&amp;directAccess=false</t>
  </si>
  <si>
    <t>3급광달프</t>
  </si>
  <si>
    <t>사진을 가져다 놓고 하고싶은 말 하는 시선</t>
  </si>
  <si>
    <t>https://blog.naver.com/PostView.naver?blogId=modecs&amp;logNo=223897638174&amp;redirect=Dlog&amp;widgetTypeCall=true&amp;directAccess=false</t>
  </si>
  <si>
    <t>오늘의 신문 만평(2025. 6. 13., 금)</t>
  </si>
  <si>
    <t>https://blog.naver.com/PostView.naver?blogId=kominerba&amp;logNo=223897619165&amp;redirect=Dlog&amp;widgetTypeCall=true&amp;directAccess=false</t>
  </si>
  <si>
    <t>서초패왕</t>
  </si>
  <si>
    <t>[경향신문 오피니언] 좀비 자본주의가 불러오는 자원 배분 왜곡</t>
  </si>
  <si>
    <t>https://blog.naver.com/PostView.naver?blogId=kklist21&amp;logNo=223897556095&amp;redirect=Dlog&amp;widgetTypeCall=true&amp;directAccess=false</t>
  </si>
  <si>
    <t>[경향신문 오피니언] 해로운 정치인 이준석</t>
  </si>
  <si>
    <t>https://blog.naver.com/PostView.naver?blogId=kklist21&amp;logNo=223897544119&amp;redirect=Dlog&amp;widgetTypeCall=true&amp;directAccess=false</t>
  </si>
  <si>
    <t>tnt</t>
  </si>
  <si>
    <t>1937회.2025.6/13 시사만평 및 시사만화</t>
  </si>
  <si>
    <t>https://blog.naver.com/PostView.naver?blogId=totalpro1&amp;logNo=223897512888&amp;redirect=Dlog&amp;widgetTypeCall=true&amp;directAccess=false</t>
  </si>
  <si>
    <t>Jill</t>
  </si>
  <si>
    <t>대통령 선거일 일간지 톱</t>
  </si>
  <si>
    <t>https://blog.naver.com/PostView.naver?blogId=vkfksfranc&amp;logNo=223897503754&amp;redirect=Dlog&amp;widgetTypeCall=true&amp;directAccess=false</t>
  </si>
  <si>
    <t>카포네</t>
  </si>
  <si>
    <t>오늘의 신문 만평 (2025년 6월 13일)</t>
  </si>
  <si>
    <t>https://blog.naver.com/PostView.naver?blogId=rlarmrcjs&amp;logNo=223897349729&amp;redirect=Dlog&amp;widgetTypeCall=true&amp;directAccess=false</t>
  </si>
  <si>
    <t>snyong3202</t>
  </si>
  <si>
    <t>수사기관 조정_ 기소독점분리</t>
  </si>
  <si>
    <t>https://blog.naver.com/PostView.naver?blogId=thsalstn3202&amp;logNo=223897037749&amp;redirect=Dlog&amp;widgetTypeCall=true&amp;directAccess=false</t>
  </si>
  <si>
    <t>킬리만자로</t>
  </si>
  <si>
    <t>꽃과 풀,풀꽃,풀꽃 세상,민초(民草),신사임당·정선·김홍도·장승업이 그린 '꽃과 풀들'은 무엇이 다를까,정선'화훼영모화첩',‘등롱웅계’,‘계관만추’,신사임당‘초충도’병풍,김홍도'병</t>
  </si>
  <si>
    <t>https://blog.naver.com/PostView.naver?blogId=kileop1291&amp;logNo=223897013504&amp;redirect=Dlog&amp;widgetTypeCall=true&amp;directAccess=false</t>
  </si>
  <si>
    <t>홀 리</t>
  </si>
  <si>
    <t>[이슈 클리핑] 2025년 6월 12일 목요일</t>
  </si>
  <si>
    <t>https://blog.naver.com/PostView.naver?blogId=hollyujinn&amp;logNo=223897010104&amp;redirect=Dlog&amp;widgetTypeCall=true&amp;directAccess=false</t>
  </si>
  <si>
    <t>Saecomi</t>
  </si>
  <si>
    <t>[기사] “폭음과 조현병, 같은 유전자 공유” - 경향신문 김태훈 기자</t>
  </si>
  <si>
    <t>https://blog.naver.com/PostView.naver?blogId=saecomiscool&amp;logNo=223896996819&amp;redirect=Dlog&amp;widgetTypeCall=true&amp;directAccess=false</t>
  </si>
  <si>
    <t>2025. 6. 12 일간지 경제뉴스 브리핑</t>
  </si>
  <si>
    <t>https://blog.naver.com/PostView.naver?blogId=swim4551&amp;logNo=223896567890&amp;redirect=Dlog&amp;widgetTypeCall=true&amp;directAccess=false</t>
  </si>
  <si>
    <t>읽고쓰는사람</t>
  </si>
  <si>
    <t>집 나간 책  오염된 세상에 맞서는 독서 생존기 서민 (지은이)   인물과사상사   2015-04-27</t>
  </si>
  <si>
    <t>https://blog.naver.com/PostView.naver?blogId=gilgapul&amp;logNo=223896804756&amp;redirect=Dlog&amp;widgetTypeCall=true&amp;directAccess=false</t>
  </si>
  <si>
    <t>경주 가마터에서 ‘황룡’ 글자 기와 첫 출토…고려시대에도 공급 증명</t>
  </si>
  <si>
    <t>https://blog.naver.com/PostView.naver?blogId=dwyun60&amp;logNo=223896627718&amp;redirect=Dlog&amp;widgetTypeCall=true&amp;directAccess=false</t>
  </si>
  <si>
    <t>웰빙플라워</t>
  </si>
  <si>
    <t>[공유] 2025년 6월 12일 신문을 통해 알게 된 것들</t>
  </si>
  <si>
    <t>https://blog.naver.com/PostView.naver?blogId=wellbeing7777777&amp;logNo=223896494932&amp;redirect=Dlog&amp;widgetTypeCall=true&amp;directAccess=false</t>
  </si>
  <si>
    <t>ming0</t>
  </si>
  <si>
    <t>The life you can save</t>
  </si>
  <si>
    <t>https://blog.naver.com/PostView.naver?blogId=alswjd2577&amp;logNo=223896482856&amp;redirect=Dlog&amp;widgetTypeCall=true&amp;directAccess=false</t>
  </si>
  <si>
    <t>ON</t>
  </si>
  <si>
    <t>25년 6월 12일 오늘의 만평</t>
  </si>
  <si>
    <t>https://blog.naver.com/PostView.naver?blogId=inganjeon&amp;logNo=223896469771&amp;redirect=Dlog&amp;widgetTypeCall=true&amp;directAccess=false</t>
  </si>
  <si>
    <t>토토</t>
  </si>
  <si>
    <t>6월 12일 - 오늘의 만평</t>
  </si>
  <si>
    <t>https://blog.naver.com/PostView.naver?blogId=u2won2&amp;logNo=223896459507&amp;redirect=Dlog&amp;widgetTypeCall=true&amp;directAccess=false</t>
  </si>
  <si>
    <t>오늘의 신문 만평(2025. 6. 12., 목)</t>
  </si>
  <si>
    <t>https://blog.naver.com/PostView.naver?blogId=kominerba&amp;logNo=223896441421&amp;redirect=Dlog&amp;widgetTypeCall=true&amp;directAccess=false</t>
  </si>
  <si>
    <t>봄날</t>
  </si>
  <si>
    <t>어중간한 인간, 그래서 우주를 느낀다_[지웅배의우주먼지다이어리]</t>
  </si>
  <si>
    <t>https://blog.naver.com/PostView.naver?blogId=bomnal2025_feb&amp;logNo=223896350556&amp;redirect=Dlog&amp;widgetTypeCall=true&amp;directAccess=false</t>
  </si>
  <si>
    <t>오늘의 신문 만평 (2025년 6월 12일)</t>
  </si>
  <si>
    <t>https://blog.naver.com/PostView.naver?blogId=rlarmrcjs&amp;logNo=223896175305&amp;redirect=Dlog&amp;widgetTypeCall=true&amp;directAccess=false</t>
  </si>
  <si>
    <t>Ad astra</t>
  </si>
  <si>
    <t>Market Tracking  no. 20</t>
  </si>
  <si>
    <t>https://blog.naver.com/PostView.naver?blogId=trade_its_lit&amp;logNo=223896290918&amp;redirect=Dlog&amp;widgetTypeCall=true&amp;directAccess=false</t>
  </si>
  <si>
    <t>2025년 6월 11일, 민정수석 '차명 부동산'‥인사검증 권위 설까? X 반응.</t>
  </si>
  <si>
    <t>https://blog.naver.com/PostView.naver?blogId=shinswoong75&amp;logNo=223896195969&amp;redirect=Dlog&amp;widgetTypeCall=true&amp;directAccess=false</t>
  </si>
  <si>
    <t>섀도 스크립터</t>
  </si>
  <si>
    <t>검찰 수사권 완전 폐지…민주당, 이재명 정부 출범 일주일 만에 ‘검찰개혁’ 시동</t>
  </si>
  <si>
    <t>https://blog.naver.com/PostView.naver?blogId=umbrae_scriptor&amp;logNo=223896128465&amp;redirect=Dlog&amp;widgetTypeCall=true&amp;directAccess=false</t>
  </si>
  <si>
    <t>6월11일 경향신문 취재를 종합하면  지난6월 1월 출간된  &lt;현명한 부모는 적당한 거리를 둔다&gt; (길벗출판사)의 저자  김모씨가 전날 세상을 떠났다.  사인은 알려지지 않았다.</t>
  </si>
  <si>
    <t>https://blog.naver.com/PostView.naver?blogId=59misookpak&amp;logNo=223896096279&amp;redirect=Dlog&amp;widgetTypeCall=true&amp;directAccess=false</t>
  </si>
  <si>
    <t>양문석</t>
  </si>
  <si>
    <t>이제 시작일 뿐이다~조선 -TV조선 부사장 방정오, 재수사 시작</t>
  </si>
  <si>
    <t>https://blog.naver.com/PostView.naver?blogId=yms7227&amp;logNo=223895938041&amp;redirect=Dlog&amp;widgetTypeCall=true&amp;directAccess=false</t>
  </si>
  <si>
    <t>알코올 의존 부르는 유전 요인, 조현병·우울증 등 정신질환 위험도 높인다</t>
  </si>
  <si>
    <t>https://blog.naver.com/PostView.naver?blogId=dwyun60&amp;logNo=223895827283&amp;redirect=Dlog&amp;widgetTypeCall=true&amp;directAccess=false</t>
  </si>
  <si>
    <t>2025. 6. 11 일간지 경제뉴스 브리핑</t>
  </si>
  <si>
    <t>https://blog.naver.com/PostView.naver?blogId=swim4551&amp;logNo=223895403458&amp;redirect=Dlog&amp;widgetTypeCall=true&amp;directAccess=false</t>
  </si>
  <si>
    <t>고택에서 다양한 체험을…음성군의 고택·종갓집 활용사업 인기</t>
  </si>
  <si>
    <t>https://blog.naver.com/PostView.naver?blogId=dwyun60&amp;logNo=223895689868&amp;redirect=Dlog&amp;widgetTypeCall=true&amp;directAccess=false</t>
  </si>
  <si>
    <t>노동계, 내년 최저임금 시급 1만1500원 요구···“정부, 최저임금 적용 대상 확대해야”</t>
  </si>
  <si>
    <t>https://blog.naver.com/PostView.naver?blogId=dwyun60&amp;logNo=223895684572&amp;redirect=Dlog&amp;widgetTypeCall=true&amp;directAccess=false</t>
  </si>
  <si>
    <t>신수의 책 서랍</t>
  </si>
  <si>
    <t>환경 관련 서적 이슬아 에세이 날씨와 얼굴 서평</t>
  </si>
  <si>
    <t>https://blog.naver.com/PostView.naver?blogId=8ladin&amp;logNo=223893469565&amp;redirect=Dlog&amp;widgetTypeCall=true&amp;directAccess=false</t>
  </si>
  <si>
    <t>2025.06.11.부동산 뉴스</t>
  </si>
  <si>
    <t>https://blog.naver.com/PostView.naver?blogId=poohhwaid&amp;logNo=223895625107&amp;redirect=Dlog&amp;widgetTypeCall=true&amp;directAccess=false</t>
  </si>
  <si>
    <t>[TV-신문] 한국 KF-16 전투기, 알래스카서 훈련 중 파손…조종사 비상 탈출 / 美 시위 확산, 체포자 속출…이 시각 현장 생중계 / 이 대통령, '3대 특검' 거론하며...</t>
  </si>
  <si>
    <t>https://blog.naver.com/PostView.naver?blogId=kangyeou&amp;logNo=223895604956&amp;redirect=Dlog&amp;widgetTypeCall=true&amp;directAccess=false</t>
  </si>
  <si>
    <t>always</t>
  </si>
  <si>
    <t>2025년 6월 11일 이준석 의원을 생각한다.</t>
  </si>
  <si>
    <t>https://blog.naver.com/PostView.naver?blogId=yes48105&amp;logNo=223895543374&amp;redirect=Dlog&amp;widgetTypeCall=true&amp;directAccess=false</t>
  </si>
  <si>
    <t>조계사 화재 ‘탱화 구출작전’</t>
  </si>
  <si>
    <t>https://blog.naver.com/PostView.naver?blogId=mrqu&amp;logNo=223895532615&amp;redirect=Dlog&amp;widgetTypeCall=true&amp;directAccess=false</t>
  </si>
  <si>
    <t>상남자업맨</t>
  </si>
  <si>
    <t>5분만에 읽는 돈되는 뉴스(2025. 6. 11.)</t>
  </si>
  <si>
    <t>https://blog.naver.com/PostView.naver?blogId=snjupman&amp;logNo=223895531185&amp;redirect=Dlog&amp;widgetTypeCall=true&amp;directAccess=false</t>
  </si>
  <si>
    <t>sisa_namu_journal</t>
  </si>
  <si>
    <t>외교 복귀는 선언했다, 이제 전략이 남았다</t>
  </si>
  <si>
    <t>https://blog.naver.com/PostView.naver?blogId=sisa_namu_journal&amp;logNo=223895471045&amp;redirect=Dlog&amp;widgetTypeCall=true&amp;directAccess=false</t>
  </si>
  <si>
    <t>염상열 노무사</t>
  </si>
  <si>
    <t>[경향신문] 일지에 다 적혀 있는데도···김충현씨 왜 숨졌는지 파악 못했다는 노동청·한전KPS</t>
  </si>
  <si>
    <t>https://blog.naver.com/PostView.naver?blogId=tomorrow2998&amp;logNo=223895439228&amp;redirect=Dlog&amp;widgetTypeCall=true&amp;directAccess=false</t>
  </si>
  <si>
    <t>[경향신문] 카카오 노조, 창립 7년 만에 첫 파업 예고</t>
  </si>
  <si>
    <t>https://blog.naver.com/PostView.naver?blogId=tomorrow2998&amp;logNo=223895435622&amp;redirect=Dlog&amp;widgetTypeCall=true&amp;directAccess=false</t>
  </si>
  <si>
    <t>[경향신문] ‘데모꾼’ 정보라 “새로운 대한민국, 아무도 고공에 오를 필요 없는 나라 되기를”</t>
  </si>
  <si>
    <t>https://blog.naver.com/PostView.naver?blogId=tomorrow2998&amp;logNo=223895434416&amp;redirect=Dlog&amp;widgetTypeCall=true&amp;directAccess=false</t>
  </si>
  <si>
    <t>향암 작가</t>
  </si>
  <si>
    <t>이런 일이...교통사고 수습하던 70대, 출동한 119구급차 치여 숨져</t>
  </si>
  <si>
    <t>https://blog.naver.com/PostView.naver?blogId=joayo21&amp;logNo=223895410438&amp;redirect=Dlog&amp;widgetTypeCall=true&amp;directAccess=false</t>
  </si>
  <si>
    <t>sunb</t>
  </si>
  <si>
    <t>“李정부에 尹정부 검찰?”</t>
  </si>
  <si>
    <t>https://blog.naver.com/PostView.naver?blogId=songsunb2&amp;logNo=223895355271&amp;redirect=Dlog&amp;widgetTypeCall=true&amp;directAccess=false</t>
  </si>
  <si>
    <t>6월 11일 부동산 뉴스</t>
  </si>
  <si>
    <t>https://blog.naver.com/PostView.naver?blogId=cogusal11&amp;logNo=223895348689&amp;redirect=Dlog&amp;widgetTypeCall=true&amp;directAccess=false</t>
  </si>
  <si>
    <t>겸허한 자세로</t>
  </si>
  <si>
    <t>[히, 스토리] 1 * 김창숙. 숙종</t>
  </si>
  <si>
    <t>https://blog.naver.com/PostView.naver?blogId=danaoso&amp;logNo=223895086080&amp;redirect=Dlog&amp;widgetTypeCall=true&amp;directAccess=false</t>
  </si>
  <si>
    <t>푸른강</t>
  </si>
  <si>
    <t>25년 6월 11일 오늘의 주요 경제 뉴스</t>
  </si>
  <si>
    <t>https://blog.naver.com/PostView.naver?blogId=kallikles&amp;logNo=223895277526&amp;redirect=Dlog&amp;widgetTypeCall=true&amp;directAccess=false</t>
  </si>
  <si>
    <t>오늘의 신문 만평(2025. 6. 11., 수)</t>
  </si>
  <si>
    <t>https://blog.naver.com/PostView.naver?blogId=kominerba&amp;logNo=223895273984&amp;redirect=Dlog&amp;widgetTypeCall=true&amp;directAccess=false</t>
  </si>
  <si>
    <t>써리짱</t>
  </si>
  <si>
    <t>칠지도를 보러 갑니다 3</t>
  </si>
  <si>
    <t>https://blog.naver.com/PostView.naver?blogId=morethanflow&amp;logNo=223895235114&amp;redirect=Dlog&amp;widgetTypeCall=true&amp;directAccess=false</t>
  </si>
  <si>
    <t>2025년 6월 10일, 윤석열 전 대통령 측 "12일 경찰 출석 안 해" 통보. X 반응.</t>
  </si>
  <si>
    <t>https://blog.naver.com/PostView.naver?blogId=shinswoong75&amp;logNo=223895176213&amp;redirect=Dlog&amp;widgetTypeCall=true&amp;directAccess=false</t>
  </si>
  <si>
    <t>오늘의 신문 만평 (2025년 6월 11일)</t>
  </si>
  <si>
    <t>https://blog.naver.com/PostView.naver?blogId=rlarmrcjs&amp;logNo=223895006586&amp;redirect=Dlog&amp;widgetTypeCall=true&amp;directAccess=false</t>
  </si>
  <si>
    <t>〔5601〕 이민자의 나라/ 조홍민 논설위원/ 경향신문 2025. 6. 11.</t>
  </si>
  <si>
    <t>https://blog.naver.com/PostView.naver?blogId=kje06&amp;logNo=223895116026&amp;redirect=Dlog&amp;widgetTypeCall=true&amp;directAccess=false</t>
  </si>
  <si>
    <t>〔5600〕 '어쩌면 해피엔팅'의 해피엔딩/ 김광호 논설위원/ 경향신문 2025. 6. 10.</t>
  </si>
  <si>
    <t>https://blog.naver.com/PostView.naver?blogId=kje06&amp;logNo=223895114350&amp;redirect=Dlog&amp;widgetTypeCall=true&amp;directAccess=false</t>
  </si>
  <si>
    <t>.......</t>
  </si>
  <si>
    <t>https://blog.naver.com/PostView.naver?blogId=limb8757&amp;logNo=223895082385&amp;redirect=Dlog&amp;widgetTypeCall=true&amp;directAccess=false</t>
  </si>
  <si>
    <t>빛날나</t>
  </si>
  <si>
    <t>[한능검] 한국사능력검정 74회 기출해설</t>
  </si>
  <si>
    <t>https://blog.naver.com/PostView.naver?blogId=dajhi2010&amp;logNo=223895058815&amp;redirect=Dlog&amp;widgetTypeCall=true&amp;directAccess=false</t>
  </si>
  <si>
    <t>2025년 6월 10일, 대통령실 대변인 국민추천제 브리핑. X 반응</t>
  </si>
  <si>
    <t>https://blog.naver.com/PostView.naver?blogId=shinswoong75&amp;logNo=223894915874&amp;redirect=Dlog&amp;widgetTypeCall=true&amp;directAccess=false</t>
  </si>
  <si>
    <t>풀나무</t>
  </si>
  <si>
    <t>한많은 한만호</t>
  </si>
  <si>
    <t>https://blog.naver.com/PostView.naver?blogId=pulenamu&amp;logNo=223894898676&amp;redirect=Dlog&amp;widgetTypeCall=true&amp;directAccess=false</t>
  </si>
  <si>
    <t>일송정</t>
  </si>
  <si>
    <t>7. 공교육을 덮은 사교육과 경제를 위협하는 사교육비</t>
  </si>
  <si>
    <t>https://blog.naver.com/PostView.naver?blogId=pinever10&amp;logNo=223894846654&amp;redirect=Dlog&amp;widgetTypeCall=true&amp;directAccess=false</t>
  </si>
  <si>
    <t>yoozz2</t>
  </si>
  <si>
    <t>24/25의 말말말</t>
  </si>
  <si>
    <t>https://blog.naver.com/PostView.naver?blogId=ddoliwin&amp;logNo=223894798216&amp;redirect=Dlog&amp;widgetTypeCall=true&amp;directAccess=false</t>
  </si>
  <si>
    <t>2025. 6. 10 일간지 경제뉴스 브리핑</t>
  </si>
  <si>
    <t>https://blog.naver.com/PostView.naver?blogId=swim4551&amp;logNo=223894231962&amp;redirect=Dlog&amp;widgetTypeCall=true&amp;directAccess=false</t>
  </si>
  <si>
    <t>[TV-신문] 서울 조계사 회의장서 화재… / 대통령실, 장차관 등 주요 공직 국민추천…국무회의 특검법 등 상정 / 민주당 “20조 원 이상 추경 편성”…국민의힘 “대통령 재판</t>
  </si>
  <si>
    <t>https://blog.naver.com/PostView.naver?blogId=kangyeou&amp;logNo=223894496332&amp;redirect=Dlog&amp;widgetTypeCall=true&amp;directAccess=false</t>
  </si>
  <si>
    <t>인사이드news</t>
  </si>
  <si>
    <t>민정수석, 오광수, 아내 부동산, 화성 동탄 신동 땅, 차명 관리, 프로필</t>
  </si>
  <si>
    <t>https://blog.naver.com/PostView.naver?blogId=insidenews7&amp;logNo=223894451478&amp;redirect=Dlog&amp;widgetTypeCall=true&amp;directAccess=false</t>
  </si>
  <si>
    <t>방탄 입법’ 논란, 멈춰야 얻는 신뢰</t>
  </si>
  <si>
    <t>https://blog.naver.com/PostView.naver?blogId=sisa_namu_journal&amp;logNo=223894304809&amp;redirect=Dlog&amp;widgetTypeCall=true&amp;directAccess=false</t>
  </si>
  <si>
    <t>maingki</t>
  </si>
  <si>
    <t>“법원 ‘헌법 84조’ 첫 해석…진행 중 형사재판도 ‘불소추’ 효력”</t>
  </si>
  <si>
    <t>https://blog.naver.com/PostView.naver?blogId=maingki&amp;logNo=223894264220&amp;redirect=Dlog&amp;widgetTypeCall=true&amp;directAccess=false</t>
  </si>
  <si>
    <t>시크팍</t>
  </si>
  <si>
    <t>[간사설] 250610 오늘의 사설</t>
  </si>
  <si>
    <t>https://blog.naver.com/PostView.naver?blogId=chicpark1&amp;logNo=223894259010&amp;redirect=Dlog&amp;widgetTypeCall=true&amp;directAccess=false</t>
  </si>
  <si>
    <t>국내외 경제 동향 및 주요 뉴스('25.06.10)_"주택공급에 관한 규칙 개정안" 10일 부터 시행, 무순위 청약 "줍줍" 무주택자로 제한···거주지 요건은 지자체장 '재량'</t>
  </si>
  <si>
    <t>https://blog.naver.com/PostView.naver?blogId=pbs6609&amp;logNo=223894257119&amp;redirect=Dlog&amp;widgetTypeCall=true&amp;directAccess=false</t>
  </si>
  <si>
    <t>[경향신문] 중흥건설, 자녀 회사에 3조원 ‘공짜 보증’…경영권 승계 악용</t>
  </si>
  <si>
    <t>https://blog.naver.com/PostView.naver?blogId=tomorrow2998&amp;logNo=223894244747&amp;redirect=Dlog&amp;widgetTypeCall=true&amp;directAccess=false</t>
  </si>
  <si>
    <t>[경향신문] 퇴직연금 적립금 첫 400조 돌파…수령액 절반이 ‘연금 방식’</t>
  </si>
  <si>
    <t>https://blog.naver.com/PostView.naver?blogId=tomorrow2998&amp;logNo=223894242838&amp;redirect=Dlog&amp;widgetTypeCall=true&amp;directAccess=false</t>
  </si>
  <si>
    <t>[경향신문] GOP, 화장실·휴게공간 등 남성용 일색…인권위 “여군 필수시설 설치하라” 권고</t>
  </si>
  <si>
    <t>https://blog.naver.com/PostView.naver?blogId=tomorrow2998&amp;logNo=223894240630&amp;redirect=Dlog&amp;widgetTypeCall=true&amp;directAccess=false</t>
  </si>
  <si>
    <t>[경향신문] 구직자 1인당 일자리 수 외환위기 후 가장 적어</t>
  </si>
  <si>
    <t>https://blog.naver.com/PostView.naver?blogId=tomorrow2998&amp;logNo=223894239482&amp;redirect=Dlog&amp;widgetTypeCall=true&amp;directAccess=false</t>
  </si>
  <si>
    <t>[경향신문] 발전소의 ‘김충현들’, 위험 작업도 ‘나홀로’···회사는 관리 책임마저 떠넘겼다</t>
  </si>
  <si>
    <t>https://blog.naver.com/PostView.naver?blogId=tomorrow2998&amp;logNo=223894238213&amp;redirect=Dlog&amp;widgetTypeCall=true&amp;directAccess=false</t>
  </si>
  <si>
    <t>풍금소리</t>
  </si>
  <si>
    <t>서울의 걷고 싶은 아름다운 덕수궁 돌담길</t>
  </si>
  <si>
    <t>https://blog.naver.com/PostView.naver?blogId=greensonata&amp;logNo=223882380377&amp;redirect=Dlog&amp;widgetTypeCall=true&amp;directAccess=false</t>
  </si>
  <si>
    <t>보노</t>
  </si>
  <si>
    <t>[독서일기 26] 유에서 유</t>
  </si>
  <si>
    <t>https://blog.naver.com/PostView.naver?blogId=slowchoice&amp;logNo=223851888295&amp;redirect=Dlog&amp;widgetTypeCall=true&amp;directAccess=false</t>
  </si>
  <si>
    <t>오늘의 신문 만평(2025. 6. 10., 화)</t>
  </si>
  <si>
    <t>https://blog.naver.com/PostView.naver?blogId=kominerba&amp;logNo=223894097409&amp;redirect=Dlog&amp;widgetTypeCall=true&amp;directAccess=false</t>
  </si>
  <si>
    <t>25년 6월 10일 오늘의 주요 경제 뉴스</t>
  </si>
  <si>
    <t>https://blog.naver.com/PostView.naver?blogId=kallikles&amp;logNo=223894090283&amp;redirect=Dlog&amp;widgetTypeCall=true&amp;directAccess=false</t>
  </si>
  <si>
    <t>[경향신문 오피니언] 평등의 토대 위에 세워질 민주주의</t>
  </si>
  <si>
    <t>https://blog.naver.com/PostView.naver?blogId=kklist21&amp;logNo=223894077746&amp;redirect=Dlog&amp;widgetTypeCall=true&amp;directAccess=false</t>
  </si>
  <si>
    <t>임박사</t>
  </si>
  <si>
    <t>[부동산뉴스]6월10일 간추린 소식</t>
  </si>
  <si>
    <t>https://blog.naver.com/PostView.naver?blogId=majin3939&amp;logNo=223894063051&amp;redirect=Dlog&amp;widgetTypeCall=true&amp;directAccess=false</t>
  </si>
  <si>
    <t>대구 천주현 변호사</t>
  </si>
  <si>
    <t>업무상 횡령 및 배임죄 실형사유 - 특정경제범죄법위반죄 대구 형사재판 전문 변호사</t>
  </si>
  <si>
    <t>https://blog.naver.com/PostView.naver?blogId=sabubkorea&amp;logNo=223894045553&amp;redirect=Dlog&amp;widgetTypeCall=true&amp;directAccess=false</t>
  </si>
  <si>
    <t>오늘의 신문 만평 (2025년 6월 10일)</t>
  </si>
  <si>
    <t>https://blog.naver.com/PostView.naver?blogId=rlarmrcjs&amp;logNo=223893785749&amp;redirect=Dlog&amp;widgetTypeCall=true&amp;directAccess=false</t>
  </si>
  <si>
    <t>딱따구리</t>
  </si>
  <si>
    <t>모과 / 김중식</t>
  </si>
  <si>
    <t>https://blog.naver.com/PostView.naver?blogId=ddadak8580&amp;logNo=223893884923&amp;redirect=Dlog&amp;widgetTypeCall=true&amp;directAccess=false</t>
  </si>
  <si>
    <t>스트레인저</t>
  </si>
  <si>
    <t>경남 통영ㅡ그 섬에 가고 싶다···섬마다 비경, 섬마다 사연···통영 섬 여행</t>
  </si>
  <si>
    <t>https://blog.naver.com/PostView.naver?blogId=pakunkyu39&amp;logNo=223893742106&amp;redirect=Dlog&amp;widgetTypeCall=true&amp;directAccess=false</t>
  </si>
  <si>
    <t>2025년 6월 9일, 정진석 전 대통령 비서실장, 경찰에 고발. X 반응.</t>
  </si>
  <si>
    <t>https://blog.naver.com/PostView.naver?blogId=shinswoong75&amp;logNo=223893724742&amp;redirect=Dlog&amp;widgetTypeCall=true&amp;directAccess=false</t>
  </si>
  <si>
    <t>부산여성신문</t>
  </si>
  <si>
    <t>제27기 유엔남구 양성평등대학 개강</t>
  </si>
  <si>
    <t>https://blog.naver.com/PostView.naver?blogId=bswoman&amp;logNo=223893493587&amp;redirect=Dlog&amp;widgetTypeCall=true&amp;directAccess=false</t>
  </si>
  <si>
    <t>[경향신문] 은마아파트는 ‘반쪽’도 통한다···경기 침체에도 강남은 ‘불패’</t>
  </si>
  <si>
    <t>https://blog.naver.com/PostView.naver?blogId=bdmonth&amp;logNo=223893433741&amp;redirect=Dlog&amp;widgetTypeCall=true&amp;directAccess=false</t>
  </si>
  <si>
    <t>[세상] 신문 읽기 - (권영국에 5.9% 던진 2030 여성…“사표여도 존재 드러내고 싶었다” - 경향신문)/ 포스팅 끝에 요약있음</t>
  </si>
  <si>
    <t>https://blog.naver.com/PostView.naver?blogId=saecomiscool&amp;logNo=223893315183&amp;redirect=Dlog&amp;widgetTypeCall=true&amp;directAccess=false</t>
  </si>
  <si>
    <t>장난고양이</t>
  </si>
  <si>
    <t>검찰에 관한 뉴스와 나의 생각</t>
  </si>
  <si>
    <t>https://blog.naver.com/PostView.naver?blogId=killhais7&amp;logNo=223893278145&amp;redirect=Dlog&amp;widgetTypeCall=true&amp;directAccess=false</t>
  </si>
  <si>
    <t>jinjoo2014</t>
  </si>
  <si>
    <t>[정주진의 언더그라운드] 프레이저와의 전쟁(52th) - 한일관계의 악화</t>
  </si>
  <si>
    <t>https://blog.naver.com/PostView.naver?blogId=jinjoo2014&amp;logNo=223893187821&amp;redirect=Dlog&amp;widgetTypeCall=true&amp;directAccess=false</t>
  </si>
  <si>
    <t>박호식 기자 오토네</t>
  </si>
  <si>
    <t>덕양신문</t>
  </si>
  <si>
    <t>https://blog.naver.com/PostView.naver?blogId=parkhosik85&amp;logNo=223893165614&amp;redirect=Dlog&amp;widgetTypeCall=true&amp;directAccess=false</t>
  </si>
  <si>
    <t>곽선생</t>
  </si>
  <si>
    <t>이승엽 헌법재판관 후보논란</t>
  </si>
  <si>
    <t>https://blog.naver.com/PostView.naver?blogId=skymouu&amp;logNo=223893143908&amp;redirect=Dlog&amp;widgetTypeCall=true&amp;directAccess=false</t>
  </si>
  <si>
    <t>[TV-신문] 이 대통령 파기환송심 ‘추후지정’ 연기…“헌법 84조 따른 조치” / 비상계엄 가담 경호처 본부장 5명 대기발령 / 윤석열, 대선 후 첫 포토라인…</t>
  </si>
  <si>
    <t>https://blog.naver.com/PostView.naver?blogId=kangyeou&amp;logNo=223893132593&amp;redirect=Dlog&amp;widgetTypeCall=true&amp;directAccess=false</t>
  </si>
  <si>
    <t>G7 데뷔한 이재명 대통령, 실용외교 시험대에 서다</t>
  </si>
  <si>
    <t>https://blog.naver.com/PostView.naver?blogId=sisa_namu_journal&amp;logNo=223893108566&amp;redirect=Dlog&amp;widgetTypeCall=true&amp;directAccess=false</t>
  </si>
  <si>
    <t>한국자원봉사센터협회</t>
  </si>
  <si>
    <t>[기사] 국세 및 고용·산재보험료 환급 서비스, 이제 민간 앱에서 편리하게 이용하세요</t>
  </si>
  <si>
    <t>https://blog.naver.com/PostView.naver?blogId=1365kfvc&amp;logNo=223893049126&amp;redirect=Dlog&amp;widgetTypeCall=true&amp;directAccess=false</t>
  </si>
  <si>
    <t>pjunsang08</t>
  </si>
  <si>
    <t>미디어로 보는 차별과 인권 이야기</t>
  </si>
  <si>
    <t>https://blog.naver.com/PostView.naver?blogId=pjunsang08&amp;logNo=223893041533&amp;redirect=Dlog&amp;widgetTypeCall=true&amp;directAccess=false</t>
  </si>
  <si>
    <t>희희</t>
  </si>
  <si>
    <t>2025년 6월 9일 6개 일간지 / 조선일보 이상하다</t>
  </si>
  <si>
    <t>https://blog.naver.com/PostView.naver?blogId=adsdfa&amp;logNo=223893036415&amp;redirect=Dlog&amp;widgetTypeCall=true&amp;directAccess=false</t>
  </si>
  <si>
    <t>응답하라</t>
  </si>
  <si>
    <t>대한교육보험 내근사원모집</t>
  </si>
  <si>
    <t>https://blog.naver.com/PostView.naver?blogId=hunny1025&amp;logNo=223892292058&amp;redirect=Dlog&amp;widgetTypeCall=true&amp;directAccess=false</t>
  </si>
  <si>
    <t>김민석</t>
  </si>
  <si>
    <t>[Daily News, 6/9(월)]</t>
  </si>
  <si>
    <t>https://blog.naver.com/PostView.naver?blogId=ydkyusung386&amp;logNo=223892887856&amp;redirect=Dlog&amp;widgetTypeCall=true&amp;directAccess=false</t>
  </si>
  <si>
    <t>뉴스브리핑 : 정치 관련 6월 9일 뉴스</t>
  </si>
  <si>
    <t>https://blog.naver.com/PostView.naver?blogId=josao&amp;logNo=223892883268&amp;redirect=Dlog&amp;widgetTypeCall=true&amp;directAccess=false</t>
  </si>
  <si>
    <t>25년 6월 9일 오늘의 만평</t>
  </si>
  <si>
    <t>https://blog.naver.com/PostView.naver?blogId=inganjeon&amp;logNo=223892873626&amp;redirect=Dlog&amp;widgetTypeCall=true&amp;directAccess=false</t>
  </si>
  <si>
    <t>오늘의 신문 만평(2025. 6. 9., 월)</t>
  </si>
  <si>
    <t>https://blog.naver.com/PostView.naver?blogId=kominerba&amp;logNo=223892870133&amp;redirect=Dlog&amp;widgetTypeCall=true&amp;directAccess=false</t>
  </si>
  <si>
    <t>2025년 6월 9일 (월) 경향신문 지면기사</t>
  </si>
  <si>
    <t>https://blog.naver.com/PostView.naver?blogId=theblock101&amp;logNo=223892868475&amp;redirect=Dlog&amp;widgetTypeCall=true&amp;directAccess=false</t>
  </si>
  <si>
    <t>오늘의 신문 만평 (2025년 6월 9일)</t>
  </si>
  <si>
    <t>https://blog.naver.com/PostView.naver?blogId=rlarmrcjs&amp;logNo=223892568055&amp;redirect=Dlog&amp;widgetTypeCall=true&amp;directAccess=false</t>
  </si>
  <si>
    <t>체리얼음</t>
  </si>
  <si>
    <t>[박경리 작가 독서챌린지 '김재약은죄1기'] 13주 차 - '죄인들의 숙제' (1)</t>
  </si>
  <si>
    <t>https://blog.naver.com/PostView.naver?blogId=luva77&amp;logNo=223892637188&amp;redirect=Dlog&amp;widgetTypeCall=true&amp;directAccess=false</t>
  </si>
  <si>
    <t>[시장정리] 2025년 6월5일 오늘의 급등주는?</t>
  </si>
  <si>
    <t>https://blog.naver.com/PostView.naver?blogId=seanhong99&amp;logNo=223892603267&amp;redirect=Dlog&amp;widgetTypeCall=true&amp;directAccess=false</t>
  </si>
  <si>
    <t>시간부자</t>
  </si>
  <si>
    <t>[시간부자의 월간 회고] 25년 5월에 잘한 일, 아쉬운 일</t>
  </si>
  <si>
    <t>https://blog.naver.com/PostView.naver?blogId=sunkyoungsh&amp;logNo=223892597918&amp;redirect=Dlog&amp;widgetTypeCall=true&amp;directAccess=false</t>
  </si>
  <si>
    <t>[전국에서 입원기간 가장 긴 ‘이곳’···병원이 넘쳐난다?] 강현석.경향신문 -[요약] ■광주, 종합·일반·요양·한방병원 의료기관수 2177곳 ■한방병원은 전국병상의 17%</t>
  </si>
  <si>
    <t>https://blog.naver.com/PostView.naver?blogId=cskw11&amp;logNo=223892549143&amp;redirect=Dlog&amp;widgetTypeCall=true&amp;directAccess=false</t>
  </si>
  <si>
    <t>solvianq</t>
  </si>
  <si>
    <t>[팩트체크] ‘나경원 남편 기소청탁’ 의혹, 진실은?</t>
  </si>
  <si>
    <t>https://blog.naver.com/PostView.naver?blogId=solvunoq&amp;logNo=223892440037&amp;redirect=Dlog&amp;widgetTypeCall=true&amp;directAccess=false</t>
  </si>
  <si>
    <t>2025년 6월 8일, 이재명 대통령, 이르면 이번주 3특검법안 공포. X 반응.</t>
  </si>
  <si>
    <t>https://blog.naver.com/PostView.naver?blogId=shinswoong75&amp;logNo=223892399196&amp;redirect=Dlog&amp;widgetTypeCall=true&amp;directAccess=false</t>
  </si>
  <si>
    <t>LA서 美이민국 대대적 불법체류단속…한국인 개별 체포 사례도</t>
  </si>
  <si>
    <t>https://blog.naver.com/PostView.naver?blogId=jch4512&amp;logNo=223892373029&amp;redirect=Dlog&amp;widgetTypeCall=true&amp;directAccess=false</t>
  </si>
  <si>
    <t>실버케어</t>
  </si>
  <si>
    <t>펌글-고령 운전자 사고 비중 9년새 3배↑···“로보택시가 대안 될 것”</t>
  </si>
  <si>
    <t>https://blog.naver.com/PostView.naver?blogId=ai1009&amp;logNo=223892350318&amp;redirect=Dlog&amp;widgetTypeCall=true&amp;directAccess=false</t>
  </si>
  <si>
    <t>https://blog.naver.com/PostView.naver?blogId=limb8757&amp;logNo=223892147313&amp;redirect=Dlog&amp;widgetTypeCall=true&amp;directAccess=false</t>
  </si>
  <si>
    <t>“충격.. 한때 세계 최강국이 식민 지배 했던 나라 보다 못산다! 영국이 몰락한 이유 | KBS 20221211 방송” 의 영상 요약</t>
  </si>
  <si>
    <t>https://blog.naver.com/PostView.naver?blogId=lucidjun&amp;logNo=223892138298&amp;redirect=Dlog&amp;widgetTypeCall=true&amp;directAccess=false</t>
  </si>
  <si>
    <t>metrosejong</t>
  </si>
  <si>
    <t>〔여기 가보셨나요?〕예쁜 일본 공원 온 듯한 세종 '조치원 충령탑'</t>
  </si>
  <si>
    <t>https://blog.naver.com/PostView.naver?blogId=metrosejong&amp;logNo=223892126789&amp;redirect=Dlog&amp;widgetTypeCall=true&amp;directAccess=false</t>
  </si>
  <si>
    <t>등산 후 막걸리 참으세요, 근육통의 적입니다</t>
  </si>
  <si>
    <t>https://blog.naver.com/PostView.naver?blogId=dwyun60&amp;logNo=223891995346&amp;redirect=Dlog&amp;widgetTypeCall=true&amp;directAccess=false</t>
  </si>
  <si>
    <t>김문수, 서초역 일대서 ‘윤석열 어게인’ 지지자들에 인사···“환승 중 스친 것 뿐”</t>
  </si>
  <si>
    <t>https://blog.naver.com/PostView.naver?blogId=eremoval&amp;logNo=223891983923&amp;redirect=Dlog&amp;widgetTypeCall=true&amp;directAccess=false</t>
  </si>
  <si>
    <t>2025-06-07 사설 윤석열</t>
  </si>
  <si>
    <t>https://blog.naver.com/PostView.naver?blogId=inmuk&amp;logNo=223891883426&amp;redirect=Dlog&amp;widgetTypeCall=true&amp;directAccess=false</t>
  </si>
  <si>
    <t>“중국 전기차 출혈경쟁이 세계 대공황과 닮은 이유 (박종훈의 지식한방)” 의 영상 요약</t>
  </si>
  <si>
    <t>https://blog.naver.com/PostView.naver?blogId=lucidjun&amp;logNo=223891825823&amp;redirect=Dlog&amp;widgetTypeCall=true&amp;directAccess=false</t>
  </si>
  <si>
    <t>홍시</t>
  </si>
  <si>
    <t>사랑하는 만큼 세상이 보인다, 수정 박병래 | 안목(유홍준)</t>
  </si>
  <si>
    <t>https://blog.naver.com/PostView.naver?blogId=hong0gam&amp;logNo=223891780522&amp;redirect=Dlog&amp;widgetTypeCall=true&amp;directAccess=false</t>
  </si>
  <si>
    <t>준우</t>
  </si>
  <si>
    <t>2025 순토 한양도성길 서울트레일 22K 완주 후기</t>
  </si>
  <si>
    <t>https://blog.naver.com/PostView.naver?blogId=lmingtk_&amp;logNo=223891715510&amp;redirect=Dlog&amp;widgetTypeCall=true&amp;directAccess=false</t>
  </si>
  <si>
    <t>손가락 구부렸다 펼 때 딸깍하면 ‘방아쇠 손가락’</t>
  </si>
  <si>
    <t>https://blog.naver.com/PostView.naver?blogId=dwyun60&amp;logNo=223891321807&amp;redirect=Dlog&amp;widgetTypeCall=true&amp;directAccess=false</t>
  </si>
  <si>
    <t>종남일조</t>
  </si>
  <si>
    <t>칼럼필사39)소탐대실하지 말라</t>
  </si>
  <si>
    <t>https://blog.naver.com/PostView.naver?blogId=sun1025ha&amp;logNo=223891106236&amp;redirect=Dlog&amp;widgetTypeCall=true&amp;directAccess=false</t>
  </si>
  <si>
    <t>[경향신문 오피니언] 너무 아픈 동맹은 동맹이 아니다</t>
  </si>
  <si>
    <t>https://blog.naver.com/PostView.naver?blogId=kklist21&amp;logNo=223891041035&amp;redirect=Dlog&amp;widgetTypeCall=true&amp;directAccess=false</t>
  </si>
  <si>
    <t>“대규모 추경 예고. 한국도 미국처럼 인플레이션 본격화 되나? (각도기, 박종연) | 인포맥스라이브 250605” 의 영상 요약</t>
  </si>
  <si>
    <t>https://blog.naver.com/PostView.naver?blogId=lucidjun&amp;logNo=223890937031&amp;redirect=Dlog&amp;widgetTypeCall=true&amp;directAccess=false</t>
  </si>
  <si>
    <t>테크엣지</t>
  </si>
  <si>
    <t>250606 현충일 🇰🇷</t>
  </si>
  <si>
    <t>https://blog.naver.com/PostView.naver?blogId=techtips&amp;logNo=223890890874&amp;redirect=Dlog&amp;widgetTypeCall=true&amp;directAccess=false</t>
  </si>
  <si>
    <t>리재 Lee Je</t>
  </si>
  <si>
    <t>2026 월드컵 아시아지역 진출팀</t>
  </si>
  <si>
    <t>https://blog.naver.com/PostView.naver?blogId=bluewing0505&amp;logNo=223890888943&amp;redirect=Dlog&amp;widgetTypeCall=true&amp;directAccess=false</t>
  </si>
  <si>
    <t>다혜</t>
  </si>
  <si>
    <t>[경제, 시사 이슈 스터디] 경제 윗미 6월 1주차</t>
  </si>
  <si>
    <t>https://blog.naver.com/PostView.naver?blogId=cherry40120&amp;logNo=223890829880&amp;redirect=Dlog&amp;widgetTypeCall=true&amp;directAccess=false</t>
  </si>
  <si>
    <t>[대한교조 위원장][리박스쿨 협력][뉴라이트교사연합][단독] '리박스쿨 협력' 대한교조 위원장 "청소년 1만명에 '건국대통령 이승만' 역사교육"</t>
  </si>
  <si>
    <t>https://blog.naver.com/PostView.naver?blogId=eithty2&amp;logNo=223890786249&amp;redirect=Dlog&amp;widgetTypeCall=true&amp;directAccess=false</t>
  </si>
  <si>
    <t>선경서재</t>
  </si>
  <si>
    <t>[김재약은죄] 13주차.</t>
  </si>
  <si>
    <t>https://blog.naver.com/PostView.naver?blogId=sunkyung_seojae&amp;logNo=223890785299&amp;redirect=Dlog&amp;widgetTypeCall=true&amp;directAccess=false</t>
  </si>
  <si>
    <t>1975년 1월, 국회도서관은 박정희 대통령의 지시에 따라 『간도영유권관계발췌문서』(이하 『간도자료집』) 제1집을 발간했다. 이 사업은 당시 국회도서관장이던 강주진 박사의 제안에서</t>
  </si>
  <si>
    <t>https://blog.naver.com/PostView.naver?blogId=digitalan&amp;logNo=223890658741&amp;redirect=Dlog&amp;widgetTypeCall=true&amp;directAccess=false</t>
  </si>
  <si>
    <t>[TV-신문] 이 대통령 “국가와 공동체 위한 헌신 영예로운 나라 되어야” / 한국 축구, 11회 연속 월드컵 본선 진출 / 파국 트럼프·머스크, “실망” “배은망덕”…테슬라는..</t>
  </si>
  <si>
    <t>https://blog.naver.com/PostView.naver?blogId=kangyeou&amp;logNo=223890521631&amp;redirect=Dlog&amp;widgetTypeCall=true&amp;directAccess=false</t>
  </si>
  <si>
    <t>보복 아닌 진실의 길, 특검이 가야 할 방향</t>
  </si>
  <si>
    <t>https://blog.naver.com/PostView.naver?blogId=sisa_namu_journal&amp;logNo=223890520377&amp;redirect=Dlog&amp;widgetTypeCall=true&amp;directAccess=false</t>
  </si>
  <si>
    <t>지원</t>
  </si>
  <si>
    <t>소소한 행복을 찾아서</t>
  </si>
  <si>
    <t>https://blog.naver.com/PostView.naver?blogId=waosoq13&amp;logNo=223890385851&amp;redirect=Dlog&amp;widgetTypeCall=true&amp;directAccess=false</t>
  </si>
  <si>
    <t>‘민족해방운동사’ 그렸다고 보안법 유죄…전승일 감독, 34년 만에 재심 열린다</t>
  </si>
  <si>
    <t>https://blog.naver.com/PostView.naver?blogId=mrqu&amp;logNo=223890372058&amp;redirect=Dlog&amp;widgetTypeCall=true&amp;directAccess=false</t>
  </si>
  <si>
    <t>SOArt</t>
  </si>
  <si>
    <t>전쟁과 플래카드/  이선영</t>
  </si>
  <si>
    <t>https://blog.naver.com/PostView.naver?blogId=artdio1008&amp;logNo=223890355307&amp;redirect=Dlog&amp;widgetTypeCall=true&amp;directAccess=false</t>
  </si>
  <si>
    <t>김봉두</t>
  </si>
  <si>
    <t>[만화전시회] 경기도청서 ‘만화, 시대와 민주주의를 그리다’ 展 개최</t>
  </si>
  <si>
    <t>https://blog.naver.com/PostView.naver?blogId=jaesooban&amp;logNo=223890281391&amp;redirect=Dlog&amp;widgetTypeCall=true&amp;directAccess=false</t>
  </si>
  <si>
    <t>이한섭의 온라인 서재</t>
  </si>
  <si>
    <t>영어 유래의 번역어들(4)- 민주주의(民主主義)와 민본주의(民本主義)</t>
  </si>
  <si>
    <t>https://blog.naver.com/PostView.naver?blogId=oryama&amp;logNo=223890258026&amp;redirect=Dlog&amp;widgetTypeCall=true&amp;directAccess=false</t>
  </si>
  <si>
    <t>생활등록제와 양곡법 개정안</t>
  </si>
  <si>
    <t>https://blog.naver.com/PostView.naver?blogId=mydairy_book&amp;logNo=223890257493&amp;redirect=Dlog&amp;widgetTypeCall=true&amp;directAccess=false</t>
  </si>
  <si>
    <t>순우리말철학 2: 알-나-스스로-하나 (3)</t>
  </si>
  <si>
    <t>https://blog.naver.com/PostView.naver?blogId=joayo21&amp;logNo=223890248469&amp;redirect=Dlog&amp;widgetTypeCall=true&amp;directAccess=false</t>
  </si>
  <si>
    <t>25년 6월 6일 오늘의 만평</t>
  </si>
  <si>
    <t>https://blog.naver.com/PostView.naver?blogId=inganjeon&amp;logNo=223890230558&amp;redirect=Dlog&amp;widgetTypeCall=true&amp;directAccess=false</t>
  </si>
  <si>
    <t>오늘의 신문 만평(2025. 6. 6., 금)</t>
  </si>
  <si>
    <t>https://blog.naver.com/PostView.naver?blogId=kominerba&amp;logNo=223890211629&amp;redirect=Dlog&amp;widgetTypeCall=true&amp;directAccess=false</t>
  </si>
  <si>
    <t>인터넷뉴스 신문고</t>
  </si>
  <si>
    <t>김건희특검·채상병특검·내란특검법, 국회 본회의 통과...검사징계법도</t>
  </si>
  <si>
    <t>https://blog.naver.com/PostView.naver?blogId=3658290&amp;logNo=223890151839&amp;redirect=Dlog&amp;widgetTypeCall=true&amp;directAccess=false</t>
  </si>
  <si>
    <t>민주당, 윤석열 김건희 관련 3대 특검법 5일 국회 본회의 처리 밝혀</t>
  </si>
  <si>
    <t>https://blog.naver.com/PostView.naver?blogId=3658290&amp;logNo=223890151271&amp;redirect=Dlog&amp;widgetTypeCall=true&amp;directAccess=false</t>
  </si>
  <si>
    <t>6/5 장마감 (주도테마 : 남북경협, 지역화폐)</t>
  </si>
  <si>
    <t>https://blog.naver.com/PostView.naver?blogId=not_money_wisdom&amp;logNo=223890004732&amp;redirect=Dlog&amp;widgetTypeCall=true&amp;directAccess=false</t>
  </si>
  <si>
    <t>최준호</t>
  </si>
  <si>
    <t>The Civilization 위대한 문명사 8화 | 서울대 김태유 명예교수</t>
  </si>
  <si>
    <t>https://blog.naver.com/PostView.naver?blogId=kospilargecap&amp;logNo=223889927546&amp;redirect=Dlog&amp;widgetTypeCall=true&amp;directAccess=false</t>
  </si>
  <si>
    <t>혜</t>
  </si>
  <si>
    <t>36.</t>
  </si>
  <si>
    <t>https://blog.naver.com/PostView.naver?blogId=tnldjrkrl&amp;logNo=223889910337&amp;redirect=Dlog&amp;widgetTypeCall=true&amp;directAccess=false</t>
  </si>
  <si>
    <t>신선</t>
  </si>
  <si>
    <t>전국 라벤더 정원, 여름 힐링 여행지로 ‘주목’</t>
  </si>
  <si>
    <t>https://blog.naver.com/PostView.naver?blogId=psyang7&amp;logNo=223889896210&amp;redirect=Dlog&amp;widgetTypeCall=true&amp;directAccess=false</t>
  </si>
  <si>
    <t>Redmayne Jade</t>
  </si>
  <si>
    <t>"하루 300만 원 벌기? 후기만 쓰면 돈 준다더니…수천만 원 날린 사람들"</t>
  </si>
  <si>
    <t>https://blog.naver.com/PostView.naver?blogId=jadejung-&amp;logNo=223889874866&amp;redirect=Dlog&amp;widgetTypeCall=true&amp;directAccess=false</t>
  </si>
  <si>
    <t>[여적]국민주권정부 + [참고적인 지적]</t>
  </si>
  <si>
    <t>https://blog.naver.com/PostView.naver?blogId=kominerba&amp;logNo=223889800654&amp;redirect=Dlog&amp;widgetTypeCall=true&amp;directAccess=false</t>
  </si>
  <si>
    <t>말랑구우</t>
  </si>
  <si>
    <t>당신의 작업복 이야기</t>
  </si>
  <si>
    <t>https://blog.naver.com/PostView.naver?blogId=ssunder79&amp;logNo=223889778164&amp;redirect=Dlog&amp;widgetTypeCall=true&amp;directAccess=false</t>
  </si>
  <si>
    <t>TTP노트</t>
  </si>
  <si>
    <t>2025.06.05.경제뉴스</t>
  </si>
  <si>
    <t>https://blog.naver.com/PostView.naver?blogId=newssnack&amp;logNo=223889742315&amp;redirect=Dlog&amp;widgetTypeCall=true&amp;directAccess=false</t>
  </si>
  <si>
    <t>끄앙끄</t>
  </si>
  <si>
    <t>[도서]우리가 명함이 없지 일을 안 했냐: 엄마, 미안</t>
  </si>
  <si>
    <t>https://blog.naver.com/PostView.naver?blogId=d2k0g6u1s&amp;logNo=223889541551&amp;redirect=Dlog&amp;widgetTypeCall=true&amp;directAccess=false</t>
  </si>
  <si>
    <t>“약은 90만원, 백신은 15만원”…전문가 경고 “마스크 꺼내라”</t>
  </si>
  <si>
    <t>https://blog.naver.com/PostView.naver?blogId=dwyun60&amp;logNo=223889539006&amp;redirect=Dlog&amp;widgetTypeCall=true&amp;directAccess=false</t>
  </si>
  <si>
    <t>CCTV 앞에서 볼일 보라니···인권위, 정신병원에 개선 권고</t>
  </si>
  <si>
    <t>https://blog.naver.com/PostView.naver?blogId=dwyun60&amp;logNo=223889531109&amp;redirect=Dlog&amp;widgetTypeCall=true&amp;directAccess=false</t>
  </si>
  <si>
    <t>개표 결과와 부동산 갈라치기 현상에</t>
  </si>
  <si>
    <t>https://blog.naver.com/PostView.naver?blogId=whkim0408&amp;logNo=223888732976&amp;redirect=Dlog&amp;widgetTypeCall=true&amp;directAccess=false</t>
  </si>
  <si>
    <t>삼예드</t>
  </si>
  <si>
    <t>모두가 뉴스가 되는 시대, 저널리즘의 기본원칙(금준경 기자 강연)</t>
  </si>
  <si>
    <t>https://blog.naver.com/PostView.naver?blogId=jhyp73&amp;logNo=223889471804&amp;redirect=Dlog&amp;widgetTypeCall=true&amp;directAccess=false</t>
  </si>
  <si>
    <t>선봉장군</t>
  </si>
  <si>
    <t>[TV-신문] 이재명 대통령, 첫 국무회의 주재…“국민 중심에 두고 최선 다해야” / 조희대 “대법관 증원, 공론장 마련되길”…국회와 논의할 듯 / "공산당이 한국 차지" 우려</t>
  </si>
  <si>
    <t>https://blog.naver.com/PostView.naver?blogId=kangyeou&amp;logNo=223889344674&amp;redirect=Dlog&amp;widgetTypeCall=true&amp;directAccess=false</t>
  </si>
  <si>
    <t>이화영 ‘쌍방울 대북송금’ 사건 대법원 징역 7년 8개월 확정!</t>
  </si>
  <si>
    <t>https://blog.naver.com/PostView.naver?blogId=creta22&amp;logNo=223889343224&amp;redirect=Dlog&amp;widgetTypeCall=true&amp;directAccess=false</t>
  </si>
  <si>
    <t>6월 5일 - 오늘의 만평</t>
  </si>
  <si>
    <t>https://blog.naver.com/PostView.naver?blogId=u2won2&amp;logNo=223889176487&amp;redirect=Dlog&amp;widgetTypeCall=true&amp;directAccess=false</t>
  </si>
  <si>
    <t>곽소은</t>
  </si>
  <si>
    <t>2025/6/5) 李 "실용적 시장주의 정부···모두의 대통령 되겠다"</t>
  </si>
  <si>
    <t>https://blog.naver.com/PostView.naver?blogId=soee516&amp;logNo=223889175392&amp;redirect=Dlog&amp;widgetTypeCall=true&amp;directAccess=false</t>
  </si>
  <si>
    <t>[경향신문] ‘노동시장 구조개혁’ 되면 성장률·금리 1%P씩 오른다</t>
  </si>
  <si>
    <t>https://blog.naver.com/PostView.naver?blogId=tomorrow2998&amp;logNo=223889172548&amp;redirect=Dlog&amp;widgetTypeCall=true&amp;directAccess=false</t>
  </si>
  <si>
    <t>[경향신문] “홈플러스 36곳 폐점, 국가적 재난 될 수도…정부가 막아달라”</t>
  </si>
  <si>
    <t>https://blog.naver.com/PostView.naver?blogId=tomorrow2998&amp;logNo=223889171273&amp;redirect=Dlog&amp;widgetTypeCall=true&amp;directAccess=false</t>
  </si>
  <si>
    <t>돈서핑</t>
  </si>
  <si>
    <t>이재명 수혜주인 지역화폐 관련주는?</t>
  </si>
  <si>
    <t>https://blog.naver.com/PostView.naver?blogId=bonyclub&amp;logNo=223889129932&amp;redirect=Dlog&amp;widgetTypeCall=true&amp;directAccess=false</t>
  </si>
  <si>
    <t>슬로우레터 6/5</t>
  </si>
  <si>
    <t>https://blog.naver.com/PostView.naver?blogId=mrsanahi&amp;logNo=223889124705&amp;redirect=Dlog&amp;widgetTypeCall=true&amp;directAccess=false</t>
  </si>
  <si>
    <t>사랑과 평화</t>
  </si>
  <si>
    <t>25년 6월 5일 오늘의 만평</t>
  </si>
  <si>
    <t>https://blog.naver.com/PostView.naver?blogId=inganjeon&amp;logNo=223889080698&amp;redirect=Dlog&amp;widgetTypeCall=true&amp;directAccess=false</t>
  </si>
  <si>
    <t>마스터 지니</t>
  </si>
  <si>
    <t>2025년 6월 5일 오늘은</t>
  </si>
  <si>
    <t>https://blog.naver.com/PostView.naver?blogId=only4u77&amp;logNo=223889079119&amp;redirect=Dlog&amp;widgetTypeCall=true&amp;directAccess=false</t>
  </si>
  <si>
    <t>글쓰기는 정리의 도구가 아닌 생각의 발전 도약대</t>
  </si>
  <si>
    <t>https://blog.naver.com/PostView.naver?blogId=alswjd2577&amp;logNo=223889072920&amp;redirect=Dlog&amp;widgetTypeCall=true&amp;directAccess=false</t>
  </si>
  <si>
    <t>2025년6월5일(목) 주요 뉴스 요약 정리 (뉴스 클리핑/뉴스 브리핑)</t>
  </si>
  <si>
    <t>https://blog.naver.com/PostView.naver?blogId=hope4life&amp;logNo=223887501536&amp;redirect=Dlog&amp;widgetTypeCall=true&amp;directAccess=false</t>
  </si>
  <si>
    <t>25년 6월 5일 오늘의 주요 경제 뉴스</t>
  </si>
  <si>
    <t>https://blog.naver.com/PostView.naver?blogId=kallikles&amp;logNo=223889055956&amp;redirect=Dlog&amp;widgetTypeCall=true&amp;directAccess=false</t>
  </si>
  <si>
    <t>[부동산뉴스]6월5일 간추린 소식</t>
  </si>
  <si>
    <t>https://blog.naver.com/PostView.naver?blogId=majin3939&amp;logNo=223889030485&amp;redirect=Dlog&amp;widgetTypeCall=true&amp;directAccess=false</t>
  </si>
  <si>
    <t>오늘의 신문 만평(2025. 6. 5., 목)</t>
  </si>
  <si>
    <t>https://blog.naver.com/PostView.naver?blogId=kominerba&amp;logNo=223889029763&amp;redirect=Dlog&amp;widgetTypeCall=true&amp;directAccess=false</t>
  </si>
  <si>
    <t>[부동산뉴스]6월4일 간추린 소식</t>
  </si>
  <si>
    <t>https://blog.naver.com/PostView.naver?blogId=majin3939&amp;logNo=223888925237&amp;redirect=Dlog&amp;widgetTypeCall=true&amp;directAccess=false</t>
  </si>
  <si>
    <t>오늘의 신문 만평 (2025년 6월 5일)</t>
  </si>
  <si>
    <t>https://blog.naver.com/PostView.naver?blogId=rlarmrcjs&amp;logNo=223888771184&amp;redirect=Dlog&amp;widgetTypeCall=true&amp;directAccess=false</t>
  </si>
  <si>
    <t>총총</t>
  </si>
  <si>
    <t>함정임 장편소설, 『밤 인사』</t>
  </si>
  <si>
    <t>https://blog.naver.com/PostView.naver?blogId=adore03&amp;logNo=223888888570&amp;redirect=Dlog&amp;widgetTypeCall=true&amp;directAccess=false</t>
  </si>
  <si>
    <t>시스코P</t>
  </si>
  <si>
    <t>이재명 정부 첫날 코스피 2.7% 급등...외인 매수 속 지주회사 강세</t>
  </si>
  <si>
    <t>https://blog.naver.com/PostView.naver?blogId=lustdream&amp;logNo=223888849318&amp;redirect=Dlog&amp;widgetTypeCall=true&amp;directAccess=false</t>
  </si>
  <si>
    <t>당당당</t>
  </si>
  <si>
    <t>화가 이인성의 "아리랑 고개"</t>
  </si>
  <si>
    <t>https://blog.naver.com/PostView.naver?blogId=youok15&amp;logNo=223888717234&amp;redirect=Dlog&amp;widgetTypeCall=true&amp;directAccess=false</t>
  </si>
  <si>
    <t>탄핵 광장을 함께했던 목소리들이 단 하나도 소외되지 않도록</t>
  </si>
  <si>
    <t>https://blog.naver.com/PostView.naver?blogId=kje06&amp;logNo=223888711658&amp;redirect=Dlog&amp;widgetTypeCall=true&amp;directAccess=false</t>
  </si>
  <si>
    <t>〔5548〕 진보정치 ‘종잣돈 0.98%’/  구혜영 논설위원/ 경향신문 2025. 6. 4.</t>
  </si>
  <si>
    <t>https://blog.naver.com/PostView.naver?blogId=kje06&amp;logNo=223888709154&amp;redirect=Dlog&amp;widgetTypeCall=true&amp;directAccess=false</t>
  </si>
  <si>
    <t>평택 이소장</t>
  </si>
  <si>
    <t>평택시 화양지구 힐스테이트 평택 화양 분양권 접수를 받다...</t>
  </si>
  <si>
    <t>https://blog.naver.com/PostView.naver?blogId=dhl304&amp;logNo=223888579777&amp;redirect=Dlog&amp;widgetTypeCall=true&amp;directAccess=false</t>
  </si>
  <si>
    <t>2025년 6월 04일 가상자산 시장뉴스(코인뉴스)</t>
  </si>
  <si>
    <t>https://blog.naver.com/PostView.naver?blogId=tone123&amp;logNo=223888533300&amp;redirect=Dlog&amp;widgetTypeCall=true&amp;directAccess=false</t>
  </si>
  <si>
    <t>초보산꾼</t>
  </si>
  <si>
    <t>2025년 6월 3일, 제21대 대통령선거 민주노동당 권영국 전 후보 13억원 후원 모금. X반응</t>
  </si>
  <si>
    <t>https://blog.naver.com/PostView.naver?blogId=shinswoong75&amp;logNo=223888504860&amp;redirect=Dlog&amp;widgetTypeCall=true&amp;directAccess=false</t>
  </si>
  <si>
    <t>[단독]‘VIP 격노설’ 이종섭에게 걸려온 ‘800-7070’ 발신자는 윤석열이었다</t>
  </si>
  <si>
    <t>https://blog.naver.com/PostView.naver?blogId=chkh506&amp;logNo=223888476607&amp;redirect=Dlog&amp;widgetTypeCall=true&amp;directAccess=false</t>
  </si>
  <si>
    <t>홍스가마</t>
  </si>
  <si>
    <t>이재명 대통령 당선에 즈음하여</t>
  </si>
  <si>
    <t>https://blog.naver.com/PostView.naver?blogId=hongsthegama&amp;logNo=223888318348&amp;redirect=Dlog&amp;widgetTypeCall=true&amp;directAccess=false</t>
  </si>
  <si>
    <t>작은이야기</t>
  </si>
  <si>
    <t>긁혔네, 그래서 말인데</t>
  </si>
  <si>
    <t>https://blog.naver.com/PostView.naver?blogId=happysack&amp;logNo=223885626509&amp;redirect=Dlog&amp;widgetTypeCall=true&amp;directAccess=false</t>
  </si>
  <si>
    <t>[TV-신문] 이재명 대통령 “분열의 정치 끝내는 ‘모두의 대통령’ 될 것” / 이재명 대통령 ‘첫 업무’ 시작…군 통수권 이양 보고 받아 / 이재명 대통령, 총리에 김민석 내정…</t>
  </si>
  <si>
    <t>https://blog.naver.com/PostView.naver?blogId=kangyeou&amp;logNo=223888100743&amp;redirect=Dlog&amp;widgetTypeCall=true&amp;directAccess=false</t>
  </si>
  <si>
    <t>“인생의 밑바닥에서부터 기어올라왔다”는 이재명의 당선이 말하는 것: 슬로우레터 6월4일. 이정환</t>
  </si>
  <si>
    <t>https://blog.naver.com/PostView.naver?blogId=kimdaisuke&amp;logNo=223887960419&amp;redirect=Dlog&amp;widgetTypeCall=true&amp;directAccess=false</t>
  </si>
  <si>
    <t>귤껍질처럼 변한 가슴 피부…유방암일 수도</t>
  </si>
  <si>
    <t>https://blog.naver.com/PostView.naver?blogId=dwyun60&amp;logNo=223887945292&amp;redirect=Dlog&amp;widgetTypeCall=true&amp;directAccess=false</t>
  </si>
  <si>
    <t>2025.06.04 사설</t>
  </si>
  <si>
    <t>https://blog.naver.com/PostView.naver?blogId=kbs650604&amp;logNo=223887938085&amp;redirect=Dlog&amp;widgetTypeCall=true&amp;directAccess=false</t>
  </si>
  <si>
    <t>마당쇠</t>
  </si>
  <si>
    <t>이재명의 대선 이후···검찰 수사, 사실상 ‘올스톱’ 전망</t>
  </si>
  <si>
    <t>https://blog.naver.com/PostView.naver?blogId=yoo21&amp;logNo=223887889587&amp;redirect=Dlog&amp;widgetTypeCall=true&amp;directAccess=false</t>
  </si>
  <si>
    <t>사상 첫 재판 중 당선된 대통령…‘헌법 84조’ 해석 놓고 논란 계속될 듯</t>
  </si>
  <si>
    <t>https://blog.naver.com/PostView.naver?blogId=yoo21&amp;logNo=223887879187&amp;redirect=Dlog&amp;widgetTypeCall=true&amp;directAccess=false</t>
  </si>
  <si>
    <t>25년 6월 4일 오늘의 만평 - 이재명 대통령 당선</t>
  </si>
  <si>
    <t>https://blog.naver.com/PostView.naver?blogId=inganjeon&amp;logNo=223887871379&amp;redirect=Dlog&amp;widgetTypeCall=true&amp;directAccess=false</t>
  </si>
  <si>
    <t>2025년 6월 4일 (수) 경향신문 지면기사</t>
  </si>
  <si>
    <t>https://blog.naver.com/PostView.naver?blogId=theblock101&amp;logNo=223887831667&amp;redirect=Dlog&amp;widgetTypeCall=true&amp;directAccess=false</t>
  </si>
  <si>
    <t>오늘의 신문 만평(2025. 6. 4., 수)</t>
  </si>
  <si>
    <t>https://blog.naver.com/PostView.naver?blogId=kominerba&amp;logNo=223887827684&amp;redirect=Dlog&amp;widgetTypeCall=true&amp;directAccess=false</t>
  </si>
  <si>
    <t>danieloh0424</t>
  </si>
  <si>
    <t>배달 플랫폼-입점업체의 상생안 분석 및 제시</t>
  </si>
  <si>
    <t>https://blog.naver.com/PostView.naver?blogId=danieloh0424&amp;logNo=223887717889&amp;redirect=Dlog&amp;widgetTypeCall=true&amp;directAccess=false</t>
  </si>
  <si>
    <t>20대 여성 이재명 지지율: 2022년 대비 변화 분석</t>
  </si>
  <si>
    <t>https://blog.naver.com/PostView.naver?blogId=newyorkmanhattan&amp;logNo=223887625091&amp;redirect=Dlog&amp;widgetTypeCall=true&amp;directAccess=false</t>
  </si>
  <si>
    <t>권리 포기, 현실 회피 그리고 최소한의 염원</t>
  </si>
  <si>
    <t>https://blog.naver.com/PostView.naver?blogId=beloved1026&amp;logNo=223887603891&amp;redirect=Dlog&amp;widgetTypeCall=true&amp;directAccess=false</t>
  </si>
  <si>
    <t>[부동산뉴스]6월3일 간추린 소식</t>
  </si>
  <si>
    <t>https://blog.naver.com/PostView.naver?blogId=majin3939&amp;logNo=223887570002&amp;redirect=Dlog&amp;widgetTypeCall=true&amp;directAccess=false</t>
  </si>
  <si>
    <t>youseok0</t>
  </si>
  <si>
    <t>3일 밤 8시 기준 잠정 최종투표율 79.4% 2022년 제20대 대선 77.1%</t>
  </si>
  <si>
    <t>https://blog.naver.com/PostView.naver?blogId=youseok0&amp;logNo=223887560653&amp;redirect=Dlog&amp;widgetTypeCall=true&amp;directAccess=false</t>
  </si>
  <si>
    <t>hoondude</t>
  </si>
  <si>
    <t>오늘의 키워드 - 2025년 6월 3일</t>
  </si>
  <si>
    <t>https://blog.naver.com/PostView.naver?blogId=kbh1325&amp;logNo=223887462651&amp;redirect=Dlog&amp;widgetTypeCall=true&amp;directAccess=false</t>
  </si>
  <si>
    <t>Norberg Hodge</t>
  </si>
  <si>
    <t>[진도항 승용차 추락 사건][40대 남성 계획범죄][단독]살해된 고교생 형제 체험학습 문의 후 가족여행···진도항 일가족 사망사건은 계획범죄</t>
  </si>
  <si>
    <t>https://blog.naver.com/PostView.naver?blogId=eithty2&amp;logNo=223887167764&amp;redirect=Dlog&amp;widgetTypeCall=true&amp;directAccess=false</t>
  </si>
  <si>
    <t>[TV-신문] 21대 대선 본 투표일 / 李 “빛의 혁명 완수” 金 “거짓 없는 나라 건설” / 열네 번째는 누구?</t>
  </si>
  <si>
    <t>https://blog.naver.com/PostView.naver?blogId=kangyeou&amp;logNo=223887060485&amp;redirect=Dlog&amp;widgetTypeCall=true&amp;directAccess=false</t>
  </si>
  <si>
    <t>6월 3일 - 오늘의 만평</t>
  </si>
  <si>
    <t>https://blog.naver.com/PostView.naver?blogId=u2won2&amp;logNo=223886890868&amp;redirect=Dlog&amp;widgetTypeCall=true&amp;directAccess=false</t>
  </si>
  <si>
    <t>오아시스</t>
  </si>
  <si>
    <t>펌 ㅡ대한민국은 민주공화국이다. 이 국난 속에서도, 최종 의사결정권자는 국민이었다. 대통령이 보낸 계엄군을 막은 것도, 윤석열의 한남동 요새를 무너뜨린 것도, 만장일치 헌재 파면을</t>
  </si>
  <si>
    <t>https://blog.naver.com/PostView.naver?blogId=nada5582&amp;logNo=223886879868&amp;redirect=Dlog&amp;widgetTypeCall=true&amp;directAccess=false</t>
  </si>
  <si>
    <t>2025년 6월 3일 오늘은</t>
  </si>
  <si>
    <t>https://blog.naver.com/PostView.naver?blogId=only4u77&amp;logNo=223886873830&amp;redirect=Dlog&amp;widgetTypeCall=true&amp;directAccess=false</t>
  </si>
  <si>
    <t>[경향신문 오피니언] 제발, 제대로 된 민주주의 열어내길</t>
  </si>
  <si>
    <t>https://blog.naver.com/PostView.naver?blogId=kklist21&amp;logNo=223886870241&amp;redirect=Dlog&amp;widgetTypeCall=true&amp;directAccess=false</t>
  </si>
  <si>
    <t>25년 6월 3일 오늘의 주요 경제 뉴스</t>
  </si>
  <si>
    <t>https://blog.naver.com/PostView.naver?blogId=kallikles&amp;logNo=223886868848&amp;redirect=Dlog&amp;widgetTypeCall=true&amp;directAccess=false</t>
  </si>
  <si>
    <t>오늘의 신문 만평(2025. 6. 3., 화)</t>
  </si>
  <si>
    <t>https://blog.naver.com/PostView.naver?blogId=kominerba&amp;logNo=223886849225&amp;redirect=Dlog&amp;widgetTypeCall=true&amp;directAccess=false</t>
  </si>
  <si>
    <t>2025년 6월 3일 (화) 경향신문 지면기사</t>
  </si>
  <si>
    <t>https://blog.naver.com/PostView.naver?blogId=theblock101&amp;logNo=223886848619&amp;redirect=Dlog&amp;widgetTypeCall=true&amp;directAccess=false</t>
  </si>
  <si>
    <t>진천 출신 이상설 선생 서훈승격 위해…충북 진천군, 릴레이 캠페인</t>
  </si>
  <si>
    <t>https://blog.naver.com/PostView.naver?blogId=dwyun60&amp;logNo=223886841731&amp;redirect=Dlog&amp;widgetTypeCall=true&amp;directAccess=false</t>
  </si>
  <si>
    <t>sleepig0717</t>
  </si>
  <si>
    <t>2025.06.02  경향신문</t>
  </si>
  <si>
    <t>https://blog.naver.com/PostView.naver?blogId=sleepig0717&amp;logNo=223886841371&amp;redirect=Dlog&amp;widgetTypeCall=true&amp;directAccess=false</t>
  </si>
  <si>
    <t>오정은 미술비평</t>
  </si>
  <si>
    <t>어떤 바람 - 검열과 권력에 대응하는</t>
  </si>
  <si>
    <t>https://blog.naver.com/PostView.naver?blogId=aquablue_0&amp;logNo=223886704558&amp;redirect=Dlog&amp;widgetTypeCall=true&amp;directAccess=false</t>
  </si>
  <si>
    <t>오늘의 신문 만평 (2025년 6월 3일)</t>
  </si>
  <si>
    <t>https://blog.naver.com/PostView.naver?blogId=rlarmrcjs&amp;logNo=223886548608&amp;redirect=Dlog&amp;widgetTypeCall=true&amp;directAccess=false</t>
  </si>
  <si>
    <t>[부동산뉴스]6월2일 간추린 소식</t>
  </si>
  <si>
    <t>https://blog.naver.com/PostView.naver?blogId=majin3939&amp;logNo=223886614702&amp;redirect=Dlog&amp;widgetTypeCall=true&amp;directAccess=false</t>
  </si>
  <si>
    <t>gippl</t>
  </si>
  <si>
    <t>늘봄학교 강사가 ‘극우’ 리박스쿨 “이승만은 위인”이라며 역사도 강의했다</t>
  </si>
  <si>
    <t>https://blog.naver.com/PostView.naver?blogId=gippl&amp;logNo=223886342058&amp;redirect=Dlog&amp;widgetTypeCall=true&amp;directAccess=false</t>
  </si>
  <si>
    <t>이재명  (대법원과) 소통 과정에서 ‘빨리 깔끔하게 기각해 주자</t>
  </si>
  <si>
    <t>https://blog.naver.com/PostView.naver?blogId=newyorkmanhattan&amp;logNo=223886198394&amp;redirect=Dlog&amp;widgetTypeCall=true&amp;directAccess=false</t>
  </si>
  <si>
    <t>글감저장소</t>
  </si>
  <si>
    <t>『성장이라는 착각」 GDP와 경제 성장에만 집착해 온 인류를 위한 길</t>
  </si>
  <si>
    <t>https://blog.naver.com/PostView.naver?blogId=reekey22&amp;logNo=223886138170&amp;redirect=Dlog&amp;widgetTypeCall=true&amp;directAccess=false</t>
  </si>
  <si>
    <t>2025. 6. 2 일간지 경제뉴스 브리핑</t>
  </si>
  <si>
    <t>https://blog.naver.com/PostView.naver?blogId=swim4551&amp;logNo=223885642603&amp;redirect=Dlog&amp;widgetTypeCall=true&amp;directAccess=false</t>
  </si>
  <si>
    <t>경제윗미 / Day 1</t>
  </si>
  <si>
    <t>https://blog.naver.com/PostView.naver?blogId=dohagirl&amp;logNo=223886080975&amp;redirect=Dlog&amp;widgetTypeCall=true&amp;directAccess=false</t>
  </si>
  <si>
    <t>뚜벅이</t>
  </si>
  <si>
    <t>61.  광주대단지 사건과 서울서부지법 폭동 사건 - 공간민주화 투쟁</t>
  </si>
  <si>
    <t>https://blog.naver.com/PostView.naver?blogId=happyhouse024&amp;logNo=223885928395&amp;redirect=Dlog&amp;widgetTypeCall=true&amp;directAccess=false</t>
  </si>
  <si>
    <t>투자여신 김실장</t>
  </si>
  <si>
    <t>charcoal</t>
  </si>
  <si>
    <t>○금리인하/부동산 ●</t>
  </si>
  <si>
    <t>https://blog.naver.com/PostView.naver?blogId=tt4398&amp;logNo=223885859125&amp;redirect=Dlog&amp;widgetTypeCall=true&amp;directAccess=false</t>
  </si>
  <si>
    <t>[TV-신문] “트럼프, 시진핑과 곧 통화”…“상호 관세 다른 방법 있다” / 건물 통째로 '와르르'…중국서 포착된 이상 현상 / 국민의힘 선대위 "'짐 로저스 지지 사칭'‥이재명</t>
  </si>
  <si>
    <t>https://blog.naver.com/PostView.naver?blogId=kangyeou&amp;logNo=223885826036&amp;redirect=Dlog&amp;widgetTypeCall=true&amp;directAccess=false</t>
  </si>
  <si>
    <t>국립중앙도서관</t>
  </si>
  <si>
    <t>[오늘의 도서관 6월(333호)] 국립중앙도서관 소식</t>
  </si>
  <si>
    <t>https://blog.naver.com/PostView.naver?blogId=dibrary1004&amp;logNo=223885797651&amp;redirect=Dlog&amp;widgetTypeCall=true&amp;directAccess=false</t>
  </si>
  <si>
    <t>국내외 경제 동향 및 주요 뉴스('25.06.02)_글로벌 투자은행 30곳 "한국 성장률 1% 이하" 전망,  0.3%전망도···한 달 만에 2배 가까이 늘어</t>
  </si>
  <si>
    <t>https://blog.naver.com/PostView.naver?blogId=pbs6609&amp;logNo=223885740453&amp;redirect=Dlog&amp;widgetTypeCall=true&amp;directAccess=false</t>
  </si>
  <si>
    <t>진지수</t>
  </si>
  <si>
    <t>250602 손에 잡히는 경제 - 트럼프, 철강 관세 인상 / 5월 수출 통계 / 식품 가격 줄인상 / 소비침체는 인구탓</t>
  </si>
  <si>
    <t>https://blog.naver.com/PostView.naver?blogId=jichuuu0116&amp;logNo=223885732955&amp;redirect=Dlog&amp;widgetTypeCall=true&amp;directAccess=false</t>
  </si>
  <si>
    <t>뉴스 큐레이터 정기자</t>
  </si>
  <si>
    <t>[경향신문] 수원서 중학생이 수업 중 교사에 야구방망이 휘둘러</t>
  </si>
  <si>
    <t>https://blog.naver.com/PostView.naver?blogId=tomorrow2998&amp;logNo=223885697351&amp;redirect=Dlog&amp;widgetTypeCall=true&amp;directAccess=false</t>
  </si>
  <si>
    <t>[영화평] 침입자들의 만찬: 거짓말하는 착한 사람들의 이유를 이야기하는 영화</t>
  </si>
  <si>
    <t>https://blog.naver.com/PostView.naver?blogId=dreamlib&amp;logNo=223885687685&amp;redirect=Dlog&amp;widgetTypeCall=true&amp;directAccess=false</t>
  </si>
  <si>
    <t>생리혈로 암 감지하는 ‘스마트 생리대’ 개발된다</t>
  </si>
  <si>
    <t>https://blog.naver.com/PostView.naver?blogId=dwyun60&amp;logNo=223885661870&amp;redirect=Dlog&amp;widgetTypeCall=true&amp;directAccess=false</t>
  </si>
  <si>
    <t>2025-06-01 사설 윤석열</t>
  </si>
  <si>
    <t>https://blog.naver.com/PostView.naver?blogId=inmuk&amp;logNo=223885645302&amp;redirect=Dlog&amp;widgetTypeCall=true&amp;directAccess=false</t>
  </si>
  <si>
    <t>조니얀</t>
  </si>
  <si>
    <t>조뚱</t>
  </si>
  <si>
    <t>좋은 의미, 정치적 스포츠로서 티볼_전원타격제</t>
  </si>
  <si>
    <t>https://blog.naver.com/PostView.naver?blogId=chora7111&amp;logNo=223885630087&amp;redirect=Dlog&amp;widgetTypeCall=true&amp;directAccess=false</t>
  </si>
  <si>
    <t>(25.6.2.월) 한눈에 보는 부동산뉴스</t>
  </si>
  <si>
    <t>https://blog.naver.com/PostView.naver?blogId=anko-0&amp;logNo=223885615219&amp;redirect=Dlog&amp;widgetTypeCall=true&amp;directAccess=false</t>
  </si>
  <si>
    <t>2025년 6월 2일 오늘은</t>
  </si>
  <si>
    <t>https://blog.naver.com/PostView.naver?blogId=only4u77&amp;logNo=223885582967&amp;redirect=Dlog&amp;widgetTypeCall=true&amp;directAccess=false</t>
  </si>
  <si>
    <t>25년 6월 2일 오늘의 만평</t>
  </si>
  <si>
    <t>https://blog.naver.com/PostView.naver?blogId=inganjeon&amp;logNo=223885571042&amp;redirect=Dlog&amp;widgetTypeCall=true&amp;directAccess=false</t>
  </si>
  <si>
    <t>오늘의 신문 만평(2025. 6. 2., 월)</t>
  </si>
  <si>
    <t>https://blog.naver.com/PostView.naver?blogId=kominerba&amp;logNo=223885553480&amp;redirect=Dlog&amp;widgetTypeCall=true&amp;directAccess=false</t>
  </si>
  <si>
    <t>〔5546〕 낯 두꺼운 '파면 대통령들'/  구혜영 논설위원/ 경향신문 2025. 6. 2.</t>
  </si>
  <si>
    <t>https://blog.naver.com/PostView.naver?blogId=kje06&amp;logNo=223885503338&amp;redirect=Dlog&amp;widgetTypeCall=true&amp;directAccess=false</t>
  </si>
  <si>
    <t>오늘의 신문 만평 (2025년 6월 2일)</t>
  </si>
  <si>
    <t>https://blog.naver.com/PostView.naver?blogId=rlarmrcjs&amp;logNo=223885269141&amp;redirect=Dlog&amp;widgetTypeCall=true&amp;directAccess=false</t>
  </si>
  <si>
    <t>감성디테일</t>
  </si>
  <si>
    <t>피베리</t>
  </si>
  <si>
    <t>진산</t>
  </si>
  <si>
    <t>백범 김구 묘소 앞에서 독립운동가 후손들이 이재명 후보 지지를 선언하며, 친일청산과 역사정의가 실현되고 대한민국의 기강을 바로잡고 내란종식되고 국민의 삶이 밝아지기를 꿈꾸다</t>
  </si>
  <si>
    <t>https://blog.naver.com/PostView.naver?blogId=jinsan877&amp;logNo=223884806842&amp;redirect=Dlog&amp;widgetTypeCall=true&amp;directAccess=false</t>
  </si>
  <si>
    <t>2025. 5. 30 일간지 경제뉴스 브리핑</t>
  </si>
  <si>
    <t>https://blog.naver.com/PostView.naver?blogId=swim4551&amp;logNo=223884733200&amp;redirect=Dlog&amp;widgetTypeCall=true&amp;directAccess=false</t>
  </si>
  <si>
    <t>25년 6월 1일 오늘의 주요 경제 뉴스</t>
  </si>
  <si>
    <t>https://blog.naver.com/PostView.naver?blogId=kallikles&amp;logNo=223884677355&amp;redirect=Dlog&amp;widgetTypeCall=true&amp;directAccess=false</t>
  </si>
  <si>
    <t>2025-05-31 사설 윤석열</t>
  </si>
  <si>
    <t>https://blog.naver.com/PostView.naver?blogId=inmuk&amp;logNo=223884540528&amp;redirect=Dlog&amp;widgetTypeCall=true&amp;directAccess=false</t>
  </si>
  <si>
    <t>단윤선생</t>
  </si>
  <si>
    <t>[오늘 뉴스] 서울 '집값 불장' 대출로 끄고, 실효적 공급, 지역균형책 짜야(경향신문)</t>
  </si>
  <si>
    <t>https://blog.naver.com/PostView.naver?blogId=beommo5820&amp;logNo=223917200625&amp;redirect=Dlog&amp;widgetTypeCall=true&amp;directAccess=false</t>
  </si>
  <si>
    <t>반달사랑</t>
  </si>
  <si>
    <t>재밌다, 신문읽기</t>
  </si>
  <si>
    <t>https://blog.naver.com/PostView.naver?blogId=ppoong0718&amp;logNo=223917126359&amp;redirect=Dlog&amp;widgetTypeCall=true&amp;directAccess=false</t>
  </si>
  <si>
    <t>2025 06 30 10대 일간지 1면</t>
  </si>
  <si>
    <t>https://blog.naver.com/PostView.naver?blogId=eksfkd1210&amp;logNo=223916836151&amp;redirect=Dlog&amp;widgetTypeCall=true&amp;directAccess=false</t>
  </si>
  <si>
    <t>레포트도우미</t>
  </si>
  <si>
    <t>한부모가족의 문제를 조사하고, 이에 대한 정책이나 대책방안에 대해 서술하시오.(한부모가족의 문제는 다양한 신문기사 혹은 뉴스를 참고하여 분석할 것. 또한 정책이나 대책방안은 기존의</t>
  </si>
  <si>
    <t>https://blog.naver.com/PostView.naver?blogId=dnwns994&amp;logNo=223916527480&amp;redirect=Dlog&amp;widgetTypeCall=true&amp;directAccess=false</t>
  </si>
  <si>
    <t>2025-06-29 사설 윤석열</t>
  </si>
  <si>
    <t>https://blog.naver.com/PostView.naver?blogId=inmuk&amp;logNo=223916500982&amp;redirect=Dlog&amp;widgetTypeCall=true&amp;directAccess=false</t>
  </si>
  <si>
    <t>noname</t>
  </si>
  <si>
    <t>"러브버그 (털파리)" 방제를 막은 그린피스 등 57개 환경단체와 시민의 힘 (24년 8월)</t>
  </si>
  <si>
    <t>https://blog.naver.com/PostView.naver?blogId=godloveyouforever&amp;logNo=223916368522&amp;redirect=Dlog&amp;widgetTypeCall=true&amp;directAccess=false</t>
  </si>
  <si>
    <t>[TV-신문] 트럼프 “유예 연장 필요 없어…한국·일본 차 관세, 미국보다 낮지 않을 것” / 기재·법무·행안 등 6개 부처 장관 인선 / 민정수석에 검찰 출신 봉욱…법무 등 5개</t>
  </si>
  <si>
    <t>https://blog.naver.com/PostView.naver?blogId=kangyeou&amp;logNo=223916333637&amp;redirect=Dlog&amp;widgetTypeCall=true&amp;directAccess=false</t>
  </si>
  <si>
    <t>오보</t>
  </si>
  <si>
    <t>[공유] 아리셀 참사 1년, 바뀐 것은 - 경향신문</t>
  </si>
  <si>
    <t>https://blog.naver.com/PostView.naver?blogId=ohbodose&amp;logNo=223916222891&amp;redirect=Dlog&amp;widgetTypeCall=true&amp;directAccess=false</t>
  </si>
  <si>
    <t>여송루</t>
  </si>
  <si>
    <t>1984년 언론과 2025년 언론....</t>
  </si>
  <si>
    <t>https://blog.naver.com/PostView.naver?blogId=edtdjk&amp;logNo=223916193273&amp;redirect=Dlog&amp;widgetTypeCall=true&amp;directAccess=false</t>
  </si>
  <si>
    <t>[경향신문 오피니언] 트럼프의 이란 도박</t>
  </si>
  <si>
    <t>https://blog.naver.com/PostView.naver?blogId=kklist21&amp;logNo=223916186493&amp;redirect=Dlog&amp;widgetTypeCall=true&amp;directAccess=false</t>
  </si>
  <si>
    <t>[경향신문 오피니언] 지워진 노점상의 ‘몫소리’</t>
  </si>
  <si>
    <t>https://blog.naver.com/PostView.naver?blogId=kklist21&amp;logNo=223916182644&amp;redirect=Dlog&amp;widgetTypeCall=true&amp;directAccess=false</t>
  </si>
  <si>
    <t>[경향신문 오피니언] 집값 문제, 대통령이 답해야 한다</t>
  </si>
  <si>
    <t>https://blog.naver.com/PostView.naver?blogId=kklist21&amp;logNo=223916179960&amp;redirect=Dlog&amp;widgetTypeCall=true&amp;directAccess=false</t>
  </si>
  <si>
    <t>Pinetree mom</t>
  </si>
  <si>
    <t>05_250630월</t>
  </si>
  <si>
    <t>https://blog.naver.com/PostView.naver?blogId=mondaysbrain&amp;logNo=223916169128&amp;redirect=Dlog&amp;widgetTypeCall=true&amp;directAccess=false</t>
  </si>
  <si>
    <t>이재명 정부, 현역 국회의원 12명 중용… 정성호·윤호중 내각 전면 배치 의미는?</t>
  </si>
  <si>
    <t>https://blog.naver.com/PostView.naver?blogId=underwind-&amp;logNo=223916166618&amp;redirect=Dlog&amp;widgetTypeCall=true&amp;directAccess=false</t>
  </si>
  <si>
    <t>상선약수</t>
  </si>
  <si>
    <t>[커피로 맛보는 역사, 역사로 배우는 커피] (103) 공정무역 확대로 품격 있는 진짜 대한민국을</t>
  </si>
  <si>
    <t>https://blog.naver.com/PostView.naver?blogId=padma52&amp;logNo=223915957802&amp;redirect=Dlog&amp;widgetTypeCall=true&amp;directAccess=false</t>
  </si>
  <si>
    <t>〔4639〕   ‘중부내륙 산간지대’의 책축제/ 백창화 책방지기/ 경향신문 2025. 6. 29.</t>
  </si>
  <si>
    <t>https://blog.naver.com/PostView.naver?blogId=kje06&amp;logNo=223915903507&amp;redirect=Dlog&amp;widgetTypeCall=true&amp;directAccess=false</t>
  </si>
  <si>
    <t>〔5638〕  김건희의 ‘휠체어 퇴원’/ 조홍민 논설위원/ 경향신문 2025. 6. 29.</t>
  </si>
  <si>
    <t>https://blog.naver.com/PostView.naver?blogId=kje06&amp;logNo=223915891806&amp;redirect=Dlog&amp;widgetTypeCall=true&amp;directAccess=false</t>
  </si>
  <si>
    <t>〔4638〕  ‘정치인’ 법무장관·‘검사’ 민정수석, 사법개혁 박차 가하길/ 사설/ 경향신문 2025. 6. 29.</t>
  </si>
  <si>
    <t>https://blog.naver.com/PostView.naver?blogId=kje06&amp;logNo=223915884640&amp;redirect=Dlog&amp;widgetTypeCall=true&amp;directAccess=false</t>
  </si>
  <si>
    <t>최근 언론계 원로이자 방송사 사장을 지냈던 분을 우연히 만났다. 박대용</t>
  </si>
  <si>
    <t>https://blog.naver.com/PostView.naver?blogId=kimdaisuke&amp;logNo=223915546890&amp;redirect=Dlog&amp;widgetTypeCall=true&amp;directAccess=false</t>
  </si>
  <si>
    <t>NLP Coach</t>
  </si>
  <si>
    <t>수행평가, 고교학점제, AIDT 등 우리를 힘들게 하는 것들</t>
  </si>
  <si>
    <t>https://blog.naver.com/PostView.naver?blogId=come_to_see&amp;logNo=223915527155&amp;redirect=Dlog&amp;widgetTypeCall=true&amp;directAccess=false</t>
  </si>
  <si>
    <t>TERRANOVA</t>
  </si>
  <si>
    <t>［서울도시史］광복 후~1970년대: ②한강과 여의도 개발_ⓓ강변도로 건설과 공유수면매립사업</t>
  </si>
  <si>
    <t>https://blog.naver.com/PostView.naver?blogId=neoslam&amp;logNo=223915511400&amp;redirect=Dlog&amp;widgetTypeCall=true&amp;directAccess=false</t>
  </si>
  <si>
    <t>EJ</t>
  </si>
  <si>
    <t>정동길 브런치 맛집 순위</t>
  </si>
  <si>
    <t>https://blog.naver.com/PostView.naver?blogId=exr165&amp;logNo=223915432535&amp;redirect=Dlog&amp;widgetTypeCall=true&amp;directAccess=false</t>
  </si>
  <si>
    <t>김채안</t>
  </si>
  <si>
    <t>살아있는 언론을 찾는 이유</t>
  </si>
  <si>
    <t>https://blog.naver.com/PostView.naver?blogId=i2dull&amp;logNo=223915322845&amp;redirect=Dlog&amp;widgetTypeCall=true&amp;directAccess=false</t>
  </si>
  <si>
    <t>노동...네이버(언론사제공) 2025년6월29일</t>
  </si>
  <si>
    <t>https://blog.naver.com/PostView.naver?blogId=c1c1b1b1&amp;logNo=223915193813&amp;redirect=Dlog&amp;widgetTypeCall=true&amp;directAccess=false</t>
  </si>
  <si>
    <t>삼성생명 GFC</t>
  </si>
  <si>
    <t>간송미술관 DDP 전시 "구름이 걷히니 달이 비치고 바람 부니 별이 빛난다"</t>
  </si>
  <si>
    <t>https://blog.naver.com/PostView.naver?blogId=vegabond613&amp;logNo=223915055232&amp;redirect=Dlog&amp;widgetTypeCall=true&amp;directAccess=false</t>
  </si>
  <si>
    <t>알레그로</t>
  </si>
  <si>
    <t>전북도, 동학농민혁명 유족 수당 준다</t>
  </si>
  <si>
    <t>https://blog.naver.com/PostView.naver?blogId=yoon_8321&amp;logNo=223915039754&amp;redirect=Dlog&amp;widgetTypeCall=true&amp;directAccess=false</t>
  </si>
  <si>
    <t>이박사네 연구실</t>
  </si>
  <si>
    <t>은빈쌤의 교실</t>
  </si>
  <si>
    <t>['소년이 온다' 깊이 읽기]인문학으로 ON나</t>
  </si>
  <si>
    <t>https://blog.naver.com/PostView.naver?blogId=mango456&amp;logNo=223914700185&amp;redirect=Dlog&amp;widgetTypeCall=true&amp;directAccess=false</t>
  </si>
  <si>
    <t>청란</t>
  </si>
  <si>
    <t>0 에서 하나까지</t>
  </si>
  <si>
    <t>https://blog.naver.com/PostView.naver?blogId=bcs8882000&amp;logNo=223914641168&amp;redirect=Dlog&amp;widgetTypeCall=true&amp;directAccess=false</t>
  </si>
  <si>
    <t>6/28 토요일 뉴스읽기</t>
  </si>
  <si>
    <t>https://blog.naver.com/PostView.naver?blogId=hmkoo00&amp;logNo=223914589169&amp;redirect=Dlog&amp;widgetTypeCall=true&amp;directAccess=false</t>
  </si>
  <si>
    <t>2025-06-27 사설 윤석열</t>
  </si>
  <si>
    <t>https://blog.naver.com/PostView.naver?blogId=inmuk&amp;logNo=223914557235&amp;redirect=Dlog&amp;widgetTypeCall=true&amp;directAccess=false</t>
  </si>
  <si>
    <t>로이</t>
  </si>
  <si>
    <t>[임의진의 시골편지] 홍콩 극장</t>
  </si>
  <si>
    <t>https://blog.naver.com/PostView.naver?blogId=jauroi-&amp;logNo=223914520417&amp;redirect=Dlog&amp;widgetTypeCall=true&amp;directAccess=false</t>
  </si>
  <si>
    <t>2025년 6월 27일, "조직개편 TF 브리핑"에 대한 X 반응</t>
  </si>
  <si>
    <t>https://blog.naver.com/PostView.naver?blogId=shinswoong75&amp;logNo=223914209226&amp;redirect=Dlog&amp;widgetTypeCall=true&amp;directAccess=false</t>
  </si>
  <si>
    <t>〔5635〕   도마 오른 '음서제' 로스쿨/ 홍희경 논설위원/ 경향신문 2025. 6. 27.</t>
  </si>
  <si>
    <t>https://blog.naver.com/PostView.naver?blogId=kje06&amp;logNo=223914203414&amp;redirect=Dlog&amp;widgetTypeCall=true&amp;directAccess=false</t>
  </si>
  <si>
    <t>남도이야기</t>
  </si>
  <si>
    <t>[공유] 불굴의 항일 지조 심산 김창숙 -5</t>
  </si>
  <si>
    <t>https://blog.naver.com/PostView.naver?blogId=obin4354&amp;logNo=223914187949&amp;redirect=Dlog&amp;widgetTypeCall=true&amp;directAccess=false</t>
  </si>
  <si>
    <t>〔5634〕   로스쿨과 음서제/ 조홍민 논설위원/ 경향신문 2025. 6. 27.</t>
  </si>
  <si>
    <t>https://blog.naver.com/PostView.naver?blogId=kje06&amp;logNo=223914187228&amp;redirect=Dlog&amp;widgetTypeCall=true&amp;directAccess=false</t>
  </si>
  <si>
    <t>[경향신문 오피니언] 총리 임명 서둘러야 할 헌법적 이유</t>
  </si>
  <si>
    <t>https://blog.naver.com/PostView.naver?blogId=kklist21&amp;logNo=223914171471&amp;redirect=Dlog&amp;widgetTypeCall=true&amp;directAccess=false</t>
  </si>
  <si>
    <t>Gopi</t>
  </si>
  <si>
    <t>미야케지마 미쿠라지마 돌고래 프리다이빙 투어 장점, 단점, 문제점, 규제 강화 필요</t>
  </si>
  <si>
    <t>https://blog.naver.com/PostView.naver?blogId=namastegopi&amp;logNo=223914168035&amp;redirect=Dlog&amp;widgetTypeCall=true&amp;directAccess=false</t>
  </si>
  <si>
    <t>muEn</t>
  </si>
  <si>
    <t>37. 6월에 읽은 책들</t>
  </si>
  <si>
    <t>https://blog.naver.com/PostView.naver?blogId=mueneee&amp;logNo=223914083962&amp;redirect=Dlog&amp;widgetTypeCall=true&amp;directAccess=false</t>
  </si>
  <si>
    <t>김둘둘</t>
  </si>
  <si>
    <t>Sun&amp;Sea presented by TAMBURINS | 2025.06.24</t>
  </si>
  <si>
    <t>https://blog.naver.com/PostView.naver?blogId=22_kim&amp;logNo=223913964240&amp;redirect=Dlog&amp;widgetTypeCall=true&amp;directAccess=false</t>
  </si>
  <si>
    <t>국회는 대립보다 복원을 택해야 한다</t>
  </si>
  <si>
    <t>https://blog.naver.com/PostView.naver?blogId=sisa_namu_journal&amp;logNo=223913813925&amp;redirect=Dlog&amp;widgetTypeCall=true&amp;directAccess=false</t>
  </si>
  <si>
    <t>e세종경제</t>
  </si>
  <si>
    <t>【신수용 뉴스창】경찰, "검찰이 독점한 영장청구권한을 경찰도 갖게하라"... 국정기획위 보고</t>
  </si>
  <si>
    <t>https://blog.naver.com/PostView.naver?blogId=esejong1&amp;logNo=223913606503&amp;redirect=Dlog&amp;widgetTypeCall=true&amp;directAccess=false</t>
  </si>
  <si>
    <t>단순한 삶</t>
  </si>
  <si>
    <t>[속보]‘지하주차장 출입’ 원한다던 윤 측 “출입방식 협의 안 돼도 내일 출석”</t>
  </si>
  <si>
    <t>https://blog.naver.com/PostView.naver?blogId=jarboy&amp;logNo=223913454234&amp;redirect=Dlog&amp;widgetTypeCall=true&amp;directAccess=false</t>
  </si>
  <si>
    <t>서울 부동산 열기, 부산 시장까지 닿을까?</t>
  </si>
  <si>
    <t>https://blog.naver.com/PostView.naver?blogId=napublic&amp;logNo=223912748437&amp;redirect=Dlog&amp;widgetTypeCall=true&amp;directAccess=false</t>
  </si>
  <si>
    <t>2025. 6. 27 일간지 경제뉴스 브리핑</t>
  </si>
  <si>
    <t>https://blog.naver.com/PostView.naver?blogId=swim4551&amp;logNo=223913276468&amp;redirect=Dlog&amp;widgetTypeCall=true&amp;directAccess=false</t>
  </si>
  <si>
    <t>류베라</t>
  </si>
  <si>
    <t>최근 읽은 책 3</t>
  </si>
  <si>
    <t>https://blog.naver.com/PostView.naver?blogId=ryunayoon&amp;logNo=223913245957&amp;redirect=Dlog&amp;widgetTypeCall=true&amp;directAccess=false</t>
  </si>
  <si>
    <t>2025년 6월 27일 (금) 경향신문</t>
  </si>
  <si>
    <t>https://blog.naver.com/PostView.naver?blogId=theblock101&amp;logNo=223913242425&amp;redirect=Dlog&amp;widgetTypeCall=true&amp;directAccess=false</t>
  </si>
  <si>
    <t>정원</t>
  </si>
  <si>
    <t>경제 스터디 39일차 서울 집값 상승 이유와 정부 대응 정리</t>
  </si>
  <si>
    <t>https://blog.naver.com/PostView.naver?blogId=yesnogirl_410&amp;logNo=223913240286&amp;redirect=Dlog&amp;widgetTypeCall=true&amp;directAccess=false</t>
  </si>
  <si>
    <t>hjh6589</t>
  </si>
  <si>
    <t>음주운전 걸리자 편의점서 술 사서 ‘벌컥벌컥’···40대 남성 검거</t>
  </si>
  <si>
    <t>https://blog.naver.com/PostView.naver?blogId=hjh6589&amp;logNo=223913200678&amp;redirect=Dlog&amp;widgetTypeCall=true&amp;directAccess=false</t>
  </si>
  <si>
    <t>경향신문의 2025경향포럼은 AI와 맞물려 특히 중요하다는 생각이 든다.</t>
  </si>
  <si>
    <t>https://blog.naver.com/PostView.naver?blogId=alicesynthesisthirty&amp;logNo=223913110135&amp;redirect=Dlog&amp;widgetTypeCall=true&amp;directAccess=false</t>
  </si>
  <si>
    <t>2025년 6월 26일, "고리1호기 47년 만에 해체 돌입"에 대한 X 반응</t>
  </si>
  <si>
    <t>https://blog.naver.com/PostView.naver?blogId=shinswoong75&amp;logNo=223913013919&amp;redirect=Dlog&amp;widgetTypeCall=true&amp;directAccess=false</t>
  </si>
  <si>
    <t>&lt;무능,무책임 좌경용공 민주팔이가 새상 쉽게 살아가는 방법..기사무관&gt;‘조국 사면’ 언급한 박지원 “검찰에 가족 학살당해···사면 빠를수록 좋다”</t>
  </si>
  <si>
    <t>https://blog.naver.com/PostView.naver?blogId=yesktj&amp;logNo=223912861503&amp;redirect=Dlog&amp;widgetTypeCall=true&amp;directAccess=false</t>
  </si>
  <si>
    <t>〔5633〕   대통령 한 명이 일으키는 나비효과/ 장필수 논설실장/ 경향신문 2025. 6. 18.</t>
  </si>
  <si>
    <t>https://blog.naver.com/PostView.naver?blogId=kje06&amp;logNo=223912840557&amp;redirect=Dlog&amp;widgetTypeCall=true&amp;directAccess=false</t>
  </si>
  <si>
    <t>〔4633〕   ‘새로운 대한민국’을 찾은 귀한 손님/ 손희정 문학평론가/ 경향신문 2025. 6. 26.</t>
  </si>
  <si>
    <t>https://blog.naver.com/PostView.naver?blogId=kje06&amp;logNo=223912824813&amp;redirect=Dlog&amp;widgetTypeCall=true&amp;directAccess=false</t>
  </si>
  <si>
    <t>〔5632〕   ‘김건희’로 부끄러운 상아탑/ 오창민 논설위원/ 경향신문 2025. 6. 26.</t>
  </si>
  <si>
    <t>https://blog.naver.com/PostView.naver?blogId=kje06&amp;logNo=223912817645&amp;redirect=Dlog&amp;widgetTypeCall=true&amp;directAccess=false</t>
  </si>
  <si>
    <t>〔4632〕  AI 초가속 시대, 공포를 넘어 희망 일궈야/ 사설/ 경향신문 2025. 6. 26.</t>
  </si>
  <si>
    <t>https://blog.naver.com/PostView.naver?blogId=kje06&amp;logNo=223912810587&amp;redirect=Dlog&amp;widgetTypeCall=true&amp;directAccess=false</t>
  </si>
  <si>
    <t>k2dae</t>
  </si>
  <si>
    <t>침묵하는 대한민국 언론에 대한 경고</t>
  </si>
  <si>
    <t>https://blog.naver.com/PostView.naver?blogId=k2dae&amp;logNo=223912538165&amp;redirect=Dlog&amp;widgetTypeCall=true&amp;directAccess=false</t>
  </si>
  <si>
    <t>2025. 6. 26 일간지 경제뉴스 브리핑</t>
  </si>
  <si>
    <t>https://blog.naver.com/PostView.naver?blogId=swim4551&amp;logNo=223912074970&amp;redirect=Dlog&amp;widgetTypeCall=true&amp;directAccess=false</t>
  </si>
  <si>
    <t>연어</t>
  </si>
  <si>
    <t>2025-06-26(목) - 극우와 공존? 그 결과가 두 번째 트럼프다.</t>
  </si>
  <si>
    <t>https://blog.naver.com/PostView.naver?blogId=jsjm99&amp;logNo=223912359469&amp;redirect=Dlog&amp;widgetTypeCall=true&amp;directAccess=false</t>
  </si>
  <si>
    <t>이 대통령, 국회 시정연설…“무너진 경제 회복·민생 살리는 일 시급” / 홋카이도서 규모 6.0 지진… / 이스라엘-이란 휴전 합의 결국 휴지 조각으로? …트럼프 "중대 신호 포착</t>
  </si>
  <si>
    <t>https://blog.naver.com/PostView.naver?blogId=kangyeou&amp;logNo=223912313973&amp;redirect=Dlog&amp;widgetTypeCall=true&amp;directAccess=false</t>
  </si>
  <si>
    <t>“"국민연금 1조 날릴 위기".. 잘 나가던 "홈플러스"가 망해버린 진짜 이유 ㄷㄷ” 의 영상 요약</t>
  </si>
  <si>
    <t>https://blog.naver.com/PostView.naver?blogId=lucidjun&amp;logNo=223912304766&amp;redirect=Dlog&amp;widgetTypeCall=true&amp;directAccess=false</t>
  </si>
  <si>
    <t>별고래</t>
  </si>
  <si>
    <t>뉴스웨일의 2025년 6월 26일 세상 소식</t>
  </si>
  <si>
    <t>https://blog.naver.com/PostView.naver?blogId=starorca&amp;logNo=223912240560&amp;redirect=Dlog&amp;widgetTypeCall=true&amp;directAccess=false</t>
  </si>
  <si>
    <t>김삿갓플o</t>
  </si>
  <si>
    <t>📈 돌아온 코스피 3000시대, 환호만 해도 될까?:세상사 공부</t>
  </si>
  <si>
    <t>https://blog.naver.com/PostView.naver?blogId=handsomemasswin&amp;logNo=223912156246&amp;redirect=Dlog&amp;widgetTypeCall=true&amp;directAccess=false</t>
  </si>
  <si>
    <t>미래완료형자본가</t>
  </si>
  <si>
    <t>20250626 목요일</t>
  </si>
  <si>
    <t>https://blog.naver.com/PostView.naver?blogId=hangenesis&amp;logNo=223912155416&amp;redirect=Dlog&amp;widgetTypeCall=true&amp;directAccess=false</t>
  </si>
  <si>
    <t>noritur83</t>
  </si>
  <si>
    <t>국내외 경제 동향 및 주요 뉴스('25.06.26)_지속되는 내수 불황 속 자영업자, 최악의 건설경기와 관세 위기 속 기업···연체율 각각 12년, 14년 만에 최고</t>
  </si>
  <si>
    <t>https://blog.naver.com/PostView.naver?blogId=pbs6609&amp;logNo=223912126411&amp;redirect=Dlog&amp;widgetTypeCall=true&amp;directAccess=false</t>
  </si>
  <si>
    <t>5분만에 읽는 돈되는 뉴스(2025. 6. 26.)</t>
  </si>
  <si>
    <t>https://blog.naver.com/PostView.naver?blogId=snjupman&amp;logNo=223912058176&amp;redirect=Dlog&amp;widgetTypeCall=true&amp;directAccess=false</t>
  </si>
  <si>
    <t>[국제 외교] ‘트럼프에 밉보일라’… 유럽, 복지 줄이고 국방비 늘린다</t>
  </si>
  <si>
    <t>https://blog.naver.com/PostView.naver?blogId=news-dotcom&amp;logNo=223912033281&amp;redirect=Dlog&amp;widgetTypeCall=true&amp;directAccess=false</t>
  </si>
  <si>
    <t>25년 6월 26일 오늘의 주요 경제 뉴스</t>
  </si>
  <si>
    <t>https://blog.naver.com/PostView.naver?blogId=kallikles&amp;logNo=223911966282&amp;redirect=Dlog&amp;widgetTypeCall=true&amp;directAccess=false</t>
  </si>
  <si>
    <t>오늘의 신문 만평(2025. 6. 26., 목)</t>
  </si>
  <si>
    <t>https://blog.naver.com/PostView.naver?blogId=kominerba&amp;logNo=223911965965&amp;redirect=Dlog&amp;widgetTypeCall=true&amp;directAccess=false</t>
  </si>
  <si>
    <t>1959회.2025.6/26 시사만평 및 시사만화</t>
  </si>
  <si>
    <t>https://blog.naver.com/PostView.naver?blogId=totalpro1&amp;logNo=223911859010&amp;redirect=Dlog&amp;widgetTypeCall=true&amp;directAccess=false</t>
  </si>
  <si>
    <t>오케쟁이</t>
  </si>
  <si>
    <t>[이재명 정부 출범 이후 돌아보는]이명박과 윤석열, 두 전직 대통령의 놀라운 공통점은?</t>
  </si>
  <si>
    <t>https://blog.naver.com/PostView.naver?blogId=sk_jaeking78&amp;logNo=223911847564&amp;redirect=Dlog&amp;widgetTypeCall=true&amp;directAccess=false</t>
  </si>
  <si>
    <t>안전하는 보건인</t>
  </si>
  <si>
    <t>한국서부발전 태안화력발전소의 산재 은폐에 관한 기사를 읽고..</t>
  </si>
  <si>
    <t>https://blog.naver.com/PostView.naver?blogId=new_safety_view&amp;logNo=223911806651&amp;redirect=Dlog&amp;widgetTypeCall=true&amp;directAccess=false</t>
  </si>
  <si>
    <t>2025 06 25 10대 일간지 1면</t>
  </si>
  <si>
    <t>https://blog.naver.com/PostView.naver?blogId=eksfkd1210&amp;logNo=223911788856&amp;redirect=Dlog&amp;widgetTypeCall=true&amp;directAccess=false</t>
  </si>
  <si>
    <t>탠저린</t>
  </si>
  <si>
    <t>오은 작가 북토크</t>
  </si>
  <si>
    <t>https://blog.naver.com/PostView.naver?blogId=hangaup&amp;logNo=223911545467&amp;redirect=Dlog&amp;widgetTypeCall=true&amp;directAccess=false</t>
  </si>
  <si>
    <t>지금무새</t>
  </si>
  <si>
    <t>이스라엘 이란 전쟁 과연 끝이 있을까? 네타냐후 탐구로 분석한 향 후 중동정세 전망</t>
  </si>
  <si>
    <t>https://blog.naver.com/PostView.naver?blogId=rmfjsepsss&amp;logNo=223911526349&amp;redirect=Dlog&amp;widgetTypeCall=true&amp;directAccess=false</t>
  </si>
  <si>
    <t>2025- 06 25</t>
  </si>
  <si>
    <t>https://blog.naver.com/PostView.naver?blogId=limb8757&amp;logNo=223911493129&amp;redirect=Dlog&amp;widgetTypeCall=true&amp;directAccess=false</t>
  </si>
  <si>
    <t>효천</t>
  </si>
  <si>
    <t>1980년-서울의 봄, 사북사태. 서울역 회군, 5.17 내란, 비상계엄, 5.18 민주화운동,국보위,미스 유니버스 선발대회,삼청교육대, 10.27 법난,전국노래자랑</t>
  </si>
  <si>
    <t>https://blog.naver.com/PostView.naver?blogId=om3000&amp;logNo=223911453147&amp;redirect=Dlog&amp;widgetTypeCall=true&amp;directAccess=false</t>
  </si>
  <si>
    <t>풍경지기</t>
  </si>
  <si>
    <t>포드</t>
  </si>
  <si>
    <t>알페온 (쉐보레)</t>
  </si>
  <si>
    <t>https://blog.naver.com/PostView.naver?blogId=llee9111&amp;logNo=223911401322&amp;redirect=Dlog&amp;widgetTypeCall=true&amp;directAccess=false</t>
  </si>
  <si>
    <t>박인영</t>
  </si>
  <si>
    <t>일제강점기 일본 반출 조선 왕실 사당 관월당 觀月堂 100년 만에 돌아왔다</t>
  </si>
  <si>
    <t>https://blog.naver.com/PostView.naver?blogId=misael&amp;logNo=223911297773&amp;redirect=Dlog&amp;widgetTypeCall=true&amp;directAccess=false</t>
  </si>
  <si>
    <t>2025. 6. 25 일간지 경제뉴스 브리핑</t>
  </si>
  <si>
    <t>https://blog.naver.com/PostView.naver?blogId=swim4551&amp;logNo=223910852518&amp;redirect=Dlog&amp;widgetTypeCall=true&amp;directAccess=false</t>
  </si>
  <si>
    <t>〔4630〕 마음이 기억을 마시고 먹었다/ 이소영 교수/ 경향신문 2025. 6. 25.</t>
  </si>
  <si>
    <t>https://blog.naver.com/PostView.naver?blogId=kje06&amp;logNo=223911078772&amp;redirect=Dlog&amp;widgetTypeCall=true&amp;directAccess=false</t>
  </si>
  <si>
    <t>[TV-신문] 내란 특검, 윤석열 전 대통령 출국금지 조치 / "이미 복원 준비 마쳐"…이란, 핵 프로그램 중단 안 한다 / 尹 측, 내란 특검 체포영장 청구에 "절차 위반·방어권</t>
  </si>
  <si>
    <t>https://blog.naver.com/PostView.naver?blogId=kangyeou&amp;logNo=223911027107&amp;redirect=Dlog&amp;widgetTypeCall=true&amp;directAccess=false</t>
  </si>
  <si>
    <t>📌 전북도, ‘동학농민혁명 유족 수당’ 준다</t>
  </si>
  <si>
    <t>https://blog.naver.com/PostView.naver?blogId=mrqu&amp;logNo=223911021203&amp;redirect=Dlog&amp;widgetTypeCall=true&amp;directAccess=false</t>
  </si>
  <si>
    <t>겨자씨</t>
  </si>
  <si>
    <t>[日日新又日新 - 250625] 파초선 (芭蕉扇)</t>
  </si>
  <si>
    <t>https://blog.naver.com/PostView.naver?blogId=seed_eng&amp;logNo=223911004190&amp;redirect=Dlog&amp;widgetTypeCall=true&amp;directAccess=false</t>
  </si>
  <si>
    <t>뉴스웨일의 2025년 6월 25일 세상 소식</t>
  </si>
  <si>
    <t>https://blog.naver.com/PostView.naver?blogId=starorca&amp;logNo=223910919605&amp;redirect=Dlog&amp;widgetTypeCall=true&amp;directAccess=false</t>
  </si>
  <si>
    <t>[공유] 바보야, 문제는 정치야 - 경향신문</t>
  </si>
  <si>
    <t>https://blog.naver.com/PostView.naver?blogId=ohbodose&amp;logNo=223910824831&amp;redirect=Dlog&amp;widgetTypeCall=true&amp;directAccess=false</t>
  </si>
  <si>
    <t>오늘의 신문 만평(2025. 6. 25., 수)</t>
  </si>
  <si>
    <t>https://blog.naver.com/PostView.naver?blogId=kominerba&amp;logNo=223910737951&amp;redirect=Dlog&amp;widgetTypeCall=true&amp;directAccess=false</t>
  </si>
  <si>
    <t>［서울도시史］광복 후~1970년대: ②한강과 여의도 개발_ⓒ여의도의 주요 시설</t>
  </si>
  <si>
    <t>https://blog.naver.com/PostView.naver?blogId=neoslam&amp;logNo=223910573791&amp;redirect=Dlog&amp;widgetTypeCall=true&amp;directAccess=false</t>
  </si>
  <si>
    <t>［서울도시史］광복 후~1970년대: ②한강과 여의도 개발_ⓑ여의도 개발과 주요 공공시설</t>
  </si>
  <si>
    <t>https://blog.naver.com/PostView.naver?blogId=neoslam&amp;logNo=223910549823&amp;redirect=Dlog&amp;widgetTypeCall=true&amp;directAccess=false</t>
  </si>
  <si>
    <t>［서울도시史］광복 후~1970년대: ②한강과 여의도 개발_ⓐ한강개발계획과 여의도 윤중제 건설</t>
  </si>
  <si>
    <t>https://blog.naver.com/PostView.naver?blogId=neoslam&amp;logNo=223910516038&amp;redirect=Dlog&amp;widgetTypeCall=true&amp;directAccess=false</t>
  </si>
  <si>
    <t>맨즈</t>
  </si>
  <si>
    <t>국힘 외통위 의원들 “나토 불참은 매우 잘못된 판단”</t>
  </si>
  <si>
    <t>https://blog.naver.com/PostView.naver?blogId=edongkyoo&amp;logNo=223910440960&amp;redirect=Dlog&amp;widgetTypeCall=true&amp;directAccess=false</t>
  </si>
  <si>
    <t>양문석 더불어민주당 의원, 대출 사기 항소심서 실형 구형…1심 집행유예 뒤집히나</t>
  </si>
  <si>
    <t>https://blog.naver.com/PostView.naver?blogId=underwind-&amp;logNo=223910282966&amp;redirect=Dlog&amp;widgetTypeCall=true&amp;directAccess=false</t>
  </si>
  <si>
    <t>박찬대 의원, 당·정·대 개혁 동시 추진 선언…“올해 내 의미 있는 입법 성과 목표”</t>
  </si>
  <si>
    <t>https://blog.naver.com/PostView.naver?blogId=underwind-&amp;logNo=223910276470&amp;redirect=Dlog&amp;widgetTypeCall=true&amp;directAccess=false</t>
  </si>
  <si>
    <t>노동자 출신 노동부 장관이 '파격'이어선 안 되는 이유</t>
  </si>
  <si>
    <t>https://blog.naver.com/PostView.naver?blogId=poongkyung1205&amp;logNo=223910270137&amp;redirect=Dlog&amp;widgetTypeCall=true&amp;directAccess=false</t>
  </si>
  <si>
    <t>슈퍼차이나연구소</t>
  </si>
  <si>
    <t>총리 국무위원 제청권 무력화 그때는 틀리고 지금은 맞다.</t>
  </si>
  <si>
    <t>https://blog.naver.com/PostView.naver?blogId=diderot&amp;logNo=223910200448&amp;redirect=Dlog&amp;widgetTypeCall=true&amp;directAccess=false</t>
  </si>
  <si>
    <t>이제서야 김건희 석·박사 학위 취소 나선 국민대·숙명여대···‘정권 눈치 보기’ 비판 자초</t>
  </si>
  <si>
    <t>https://blog.naver.com/PostView.naver?blogId=samo2001&amp;logNo=223910165404&amp;redirect=Dlog&amp;widgetTypeCall=true&amp;directAccess=false</t>
  </si>
  <si>
    <t>회의보다 메시지: 정세 속 한국 외교의 선택</t>
  </si>
  <si>
    <t>https://blog.naver.com/PostView.naver?blogId=sisa_namu_journal&amp;logNo=223910163124&amp;redirect=Dlog&amp;widgetTypeCall=true&amp;directAccess=false</t>
  </si>
  <si>
    <t>2025. 6. 24 일간지 경제뉴스 브리핑</t>
  </si>
  <si>
    <t>https://blog.naver.com/PostView.naver?blogId=swim4551&amp;logNo=223909663592&amp;redirect=Dlog&amp;widgetTypeCall=true&amp;directAccess=false</t>
  </si>
  <si>
    <t>검열을 ‘소통’이라 부른 서울시립미술관, 연대로 맞서는 예술가들</t>
  </si>
  <si>
    <t>https://blog.naver.com/PostView.naver?blogId=aquablue_0&amp;logNo=223909916557&amp;redirect=Dlog&amp;widgetTypeCall=true&amp;directAccess=false</t>
  </si>
  <si>
    <t>[TV-신문] 서울고법 “김용현 직권보석 항고 기각” / 트럼프 “이스라엘-이란 휴전 합의…개시 24시간 후 공식 종전” / 숙명여대, 김건희 여사 석사학위 취소 결정</t>
  </si>
  <si>
    <t>https://blog.naver.com/PostView.naver?blogId=kangyeou&amp;logNo=223909909044&amp;redirect=Dlog&amp;widgetTypeCall=true&amp;directAccess=false</t>
  </si>
  <si>
    <t>〔4629〕 첫 문민 국방, 실용·통합 색채 드러낸 이재명 정부 조각 인사/ 사설/ 경향신문 2025. 6. 24.</t>
  </si>
  <si>
    <t>https://blog.naver.com/PostView.naver?blogId=kje06&amp;logNo=223909779702&amp;redirect=Dlog&amp;widgetTypeCall=true&amp;directAccess=false</t>
  </si>
  <si>
    <t>〔4628〕 정치의 개인화와 구세주 정치/ 강우진 교수/ 경향신문 2025. 6. 24.</t>
  </si>
  <si>
    <t>https://blog.naver.com/PostView.naver?blogId=kje06&amp;logNo=223909768101&amp;redirect=Dlog&amp;widgetTypeCall=true&amp;directAccess=false</t>
  </si>
  <si>
    <t>〔5628〕  호르무즈 해협/ 김광호 논설위원/ 경향신문 2025. 6. 24.</t>
  </si>
  <si>
    <t>https://blog.naver.com/PostView.naver?blogId=kje06&amp;logNo=223909737717&amp;redirect=Dlog&amp;widgetTypeCall=true&amp;directAccess=false</t>
  </si>
  <si>
    <t>dfgdg840</t>
  </si>
  <si>
    <t>신문사설이나 칼럼에서 사회복지와 관련된 기사를 찾고, 우리나라에서 사회복지가 어떤 의미로 사용되고 있는지에 대해서 알아보고</t>
  </si>
  <si>
    <t>https://blog.naver.com/PostView.naver?blogId=dfgdg840&amp;logNo=223909728186&amp;redirect=Dlog&amp;widgetTypeCall=true&amp;directAccess=false</t>
  </si>
  <si>
    <t>조선 왕실 사당 ‘관월당’, 일본 반출 100년 만에 돌아왔다</t>
  </si>
  <si>
    <t>https://blog.naver.com/PostView.naver?blogId=dwyun60&amp;logNo=223909581261&amp;redirect=Dlog&amp;widgetTypeCall=true&amp;directAccess=false</t>
  </si>
  <si>
    <t>남쪽바다푸른물결</t>
  </si>
  <si>
    <t>한국 최초의 방송 DJ 최동욱 (1936~2023)</t>
  </si>
  <si>
    <t>https://blog.naver.com/PostView.naver?blogId=tomalss&amp;logNo=223909499580&amp;redirect=Dlog&amp;widgetTypeCall=true&amp;directAccess=false</t>
  </si>
  <si>
    <t>곽호일</t>
  </si>
  <si>
    <t>브람스를 좋아하세요?</t>
  </si>
  <si>
    <t>https://blog.naver.com/PostView.naver?blogId=quiettone&amp;logNo=223909495849&amp;redirect=Dlog&amp;widgetTypeCall=true&amp;directAccess=false</t>
  </si>
  <si>
    <t>25년 6월 24일 오늘의 만평</t>
  </si>
  <si>
    <t>https://blog.naver.com/PostView.naver?blogId=inganjeon&amp;logNo=223909491692&amp;redirect=Dlog&amp;widgetTypeCall=true&amp;directAccess=false</t>
  </si>
  <si>
    <t>오늘의 신문 만평(2025. 6. 24., 화)</t>
  </si>
  <si>
    <t>https://blog.naver.com/PostView.naver?blogId=kominerba&amp;logNo=223909438358&amp;redirect=Dlog&amp;widgetTypeCall=true&amp;directAccess=false</t>
  </si>
  <si>
    <t>오늘의 신문 만평 (2025년 6월 24일)</t>
  </si>
  <si>
    <t>https://blog.naver.com/PostView.naver?blogId=rlarmrcjs&amp;logNo=223909192586&amp;redirect=Dlog&amp;widgetTypeCall=true&amp;directAccess=false</t>
  </si>
  <si>
    <t>합주회</t>
  </si>
  <si>
    <t>김훈 작가의 문학 세계와 시대정신: 삶과 언어의 본질을 탐구하다</t>
  </si>
  <si>
    <t>https://blog.naver.com/PostView.naver?blogId=grigoddohan&amp;logNo=223909254801&amp;redirect=Dlog&amp;widgetTypeCall=true&amp;directAccess=false</t>
  </si>
  <si>
    <t>에디터Y</t>
  </si>
  <si>
    <t>초유의 교회 압수수색, 운정참존교회에 무슨 일이 벌어진 걸까?</t>
  </si>
  <si>
    <t>https://blog.naver.com/PostView.naver?blogId=outofpress&amp;logNo=223909167700&amp;redirect=Dlog&amp;widgetTypeCall=true&amp;directAccess=false</t>
  </si>
  <si>
    <t>2025. 6. 23 일간지 경제뉴스 브리핑</t>
  </si>
  <si>
    <t>https://blog.naver.com/PostView.naver?blogId=swim4551&amp;logNo=223908369993&amp;redirect=Dlog&amp;widgetTypeCall=true&amp;directAccess=false</t>
  </si>
  <si>
    <t>meeeees_oda</t>
  </si>
  <si>
    <t>경향신문_이순신과 갈등만 떠올라… ‘바다 지킨 용장’ 원균, 진면목 가린 선입견_2025-01-15</t>
  </si>
  <si>
    <t>https://blog.naver.com/PostView.naver?blogId=meeeees_oda&amp;logNo=223908638307&amp;redirect=Dlog&amp;widgetTypeCall=true&amp;directAccess=false</t>
  </si>
  <si>
    <t>“우리나라 중산층이 빠르게 무너질 수 밖에 없는 이유 f. 박원갑 박사, 김인만 소장, 김광석 교수 #박정호교수 #여의도멘션 #이재명부동산정책 #마라톤세미나” 의 영상 요약</t>
  </si>
  <si>
    <t>https://blog.naver.com/PostView.naver?blogId=lucidjun&amp;logNo=223908597829&amp;redirect=Dlog&amp;widgetTypeCall=true&amp;directAccess=false</t>
  </si>
  <si>
    <t>young69274</t>
  </si>
  <si>
    <t>https://blog.naver.com/PostView.naver?blogId=young69274&amp;logNo=223908503542&amp;redirect=Dlog&amp;widgetTypeCall=true&amp;directAccess=false</t>
  </si>
  <si>
    <t>〔4627〕 미국의 정당성 없는 이란 기습 공격, ‘제2 이라크 전쟁’ 우려한다/ 사설/ 경향신문 2025. 6. 23.</t>
  </si>
  <si>
    <t>https://blog.naver.com/PostView.naver?blogId=kje06&amp;logNo=223908464082&amp;redirect=Dlog&amp;widgetTypeCall=true&amp;directAccess=false</t>
  </si>
  <si>
    <t>충청뉴스룸</t>
  </si>
  <si>
    <t>목요언론인클럽-충청언론학회, "학계와 현장, 지역 언론의 미래를 말하다" 학술대회 성료</t>
  </si>
  <si>
    <t>https://blog.naver.com/PostView.naver?blogId=ccnewsroom&amp;logNo=223908402028&amp;redirect=Dlog&amp;widgetTypeCall=true&amp;directAccess=false</t>
  </si>
  <si>
    <t>〔4626〕 74.1%에 갇힌 청년, 마이크는 어디에 있나/ 이한솔 이사장/ 경향신문 2025. 6. 22.</t>
  </si>
  <si>
    <t>https://blog.naver.com/PostView.naver?blogId=kje06&amp;logNo=223908400356&amp;redirect=Dlog&amp;widgetTypeCall=true&amp;directAccess=false</t>
  </si>
  <si>
    <t>〔5626〕  새 정부의 공직기강 잡기/ 김광호 논설위원/ 경향신문 2025. 6. 23.</t>
  </si>
  <si>
    <t>https://blog.naver.com/PostView.naver?blogId=kje06&amp;logNo=223908394784&amp;redirect=Dlog&amp;widgetTypeCall=true&amp;directAccess=false</t>
  </si>
  <si>
    <t>[경향신문] HD현대, 미국 조선사와 선박 건조 협약</t>
  </si>
  <si>
    <t>https://blog.naver.com/PostView.naver?blogId=tomorrow2998&amp;logNo=223908321826&amp;redirect=Dlog&amp;widgetTypeCall=true&amp;directAccess=false</t>
  </si>
  <si>
    <t>[경향신문] 시내버스 정시 운행 압박으로 기사 ‘적응장애’…법원 “산재”</t>
  </si>
  <si>
    <t>https://blog.naver.com/PostView.naver?blogId=tomorrow2998&amp;logNo=223908319929&amp;redirect=Dlog&amp;widgetTypeCall=true&amp;directAccess=false</t>
  </si>
  <si>
    <t>[경향신문] “공직사회, 세상이 바뀐 걸 전혀 인지하지 못하고 있는 듯”</t>
  </si>
  <si>
    <t>https://blog.naver.com/PostView.naver?blogId=tomorrow2998&amp;logNo=223908319230&amp;redirect=Dlog&amp;widgetTypeCall=true&amp;directAccess=false</t>
  </si>
  <si>
    <t>25년 6월 23일 오늘의 만평</t>
  </si>
  <si>
    <t>https://blog.naver.com/PostView.naver?blogId=inganjeon&amp;logNo=223908278446&amp;redirect=Dlog&amp;widgetTypeCall=true&amp;directAccess=false</t>
  </si>
  <si>
    <t>양아치 트럼프 벙커버스터 폭격한 이란 호르무즈 봉쇄.</t>
  </si>
  <si>
    <t>https://blog.naver.com/PostView.naver?blogId=zeenokim&amp;logNo=223908262975&amp;redirect=Dlog&amp;widgetTypeCall=true&amp;directAccess=false</t>
  </si>
  <si>
    <t>&lt;경제&gt; 이란 의회, 호르무즈 봉쇄 의결, 국제유가 행방은?</t>
  </si>
  <si>
    <t>https://blog.naver.com/PostView.naver?blogId=pokara61&amp;logNo=223908260307&amp;redirect=Dlog&amp;widgetTypeCall=true&amp;directAccess=false</t>
  </si>
  <si>
    <t>오늘의 신문 만평(2025. 6. 23., 월)</t>
  </si>
  <si>
    <t>https://blog.naver.com/PostView.naver?blogId=kominerba&amp;logNo=223908249386&amp;redirect=Dlog&amp;widgetTypeCall=true&amp;directAccess=false</t>
  </si>
  <si>
    <t>미스터 리</t>
  </si>
  <si>
    <t>“이란 의회, 호르무즈 봉쇄 의결...국가안보위서 최종 결정” 국제유가 초비상</t>
  </si>
  <si>
    <t>https://blog.naver.com/PostView.naver?blogId=speedgun2000&amp;logNo=223908219576&amp;redirect=Dlog&amp;widgetTypeCall=true&amp;directAccess=false</t>
  </si>
  <si>
    <t>김순딩</t>
  </si>
  <si>
    <t>2025 서울국제도서전2</t>
  </si>
  <si>
    <t>https://blog.naver.com/PostView.naver?blogId=mung8811&amp;logNo=223907781086&amp;redirect=Dlog&amp;widgetTypeCall=true&amp;directAccess=false</t>
  </si>
  <si>
    <t>마메</t>
  </si>
  <si>
    <t>왜 지금? 트럼프가 이란 핵시설을 공격한 진짜 이유</t>
  </si>
  <si>
    <t>https://blog.naver.com/PostView.naver?blogId=mindmethod7&amp;logNo=223907685372&amp;redirect=Dlog&amp;widgetTypeCall=true&amp;directAccess=false</t>
  </si>
  <si>
    <t>bkkarirang</t>
  </si>
  <si>
    <t>부정선거 이렇게 막는다.</t>
  </si>
  <si>
    <t>https://blog.naver.com/PostView.naver?blogId=bkkarirang&amp;logNo=223907684149&amp;redirect=Dlog&amp;widgetTypeCall=true&amp;directAccess=false</t>
  </si>
  <si>
    <t>청솔객 manhoc</t>
  </si>
  <si>
    <t>트럼프는 어쩌다가... 경향신문 정유진 기자의 분석 글</t>
  </si>
  <si>
    <t>https://blog.naver.com/PostView.naver?blogId=come_to_see&amp;logNo=223907602176&amp;redirect=Dlog&amp;widgetTypeCall=true&amp;directAccess=false</t>
  </si>
  <si>
    <t>근공</t>
  </si>
  <si>
    <t>B-2 스텔스 폭격기의 괌 이동과 벙커버스터 GBU-57의 전략적 함의: 중동 정세와 미국의 군사적 선택 분석</t>
  </si>
  <si>
    <t>https://blog.naver.com/PostView.naver?blogId=crystaltechnology&amp;logNo=223907422649&amp;redirect=Dlog&amp;widgetTypeCall=true&amp;directAccess=false</t>
  </si>
  <si>
    <t>2025년 6월 21일, "서울 부동산 오르는데 지방은 55주째 추락"에 대한 X 반응</t>
  </si>
  <si>
    <t>https://blog.naver.com/PostView.naver?blogId=shinswoong75&amp;logNo=223907126926&amp;redirect=Dlog&amp;widgetTypeCall=true&amp;directAccess=false</t>
  </si>
  <si>
    <t>토리</t>
  </si>
  <si>
    <t>경향신문) “AI가 등장하기 전부터…이미 인간은 AI를 흉내 내고 있었다” +균형 잡힌 뇌 (권택영)</t>
  </si>
  <si>
    <t>https://blog.naver.com/PostView.naver?blogId=humantori&amp;logNo=223907097022&amp;redirect=Dlog&amp;widgetTypeCall=true&amp;directAccess=false</t>
  </si>
  <si>
    <t>제주항공 여객기 참사 유가족협의회의 조사자료 공개 촉구</t>
  </si>
  <si>
    <t>https://blog.naver.com/PostView.naver?blogId=crystaltechnology&amp;logNo=223906926547&amp;redirect=Dlog&amp;widgetTypeCall=true&amp;directAccess=false</t>
  </si>
  <si>
    <t>조은석 내란특검, 김용현측 기소 이의신청 관련 의견서 제출</t>
  </si>
  <si>
    <t>https://blog.naver.com/PostView.naver?blogId=josao&amp;logNo=223906707794&amp;redirect=Dlog&amp;widgetTypeCall=true&amp;directAccess=false</t>
  </si>
  <si>
    <t>주진우 ’바로보기‘ 원희복</t>
  </si>
  <si>
    <t>https://blog.naver.com/PostView.naver?blogId=kimdaisuke&amp;logNo=223906639196&amp;redirect=Dlog&amp;widgetTypeCall=true&amp;directAccess=false</t>
  </si>
  <si>
    <t>이란 국대, 한국 여성 집단 성폭행범 1명 풀어준 경찰.</t>
  </si>
  <si>
    <t>https://blog.naver.com/PostView.naver?blogId=zeenokim&amp;logNo=223906563099&amp;redirect=Dlog&amp;widgetTypeCall=true&amp;directAccess=false</t>
  </si>
  <si>
    <t>재정은 도구다, 방향이 문제다</t>
  </si>
  <si>
    <t>https://blog.naver.com/PostView.naver?blogId=sisa_namu_journal&amp;logNo=223906219426&amp;redirect=Dlog&amp;widgetTypeCall=true&amp;directAccess=false</t>
  </si>
  <si>
    <t>얼치기 농부</t>
  </si>
  <si>
    <t>박인환문학관</t>
  </si>
  <si>
    <t>https://blog.naver.com/PostView.naver?blogId=hogtjeon&amp;logNo=223906189637&amp;redirect=Dlog&amp;widgetTypeCall=true&amp;directAccess=false</t>
  </si>
  <si>
    <t>oomw5885</t>
  </si>
  <si>
    <t>언론사 성인지 감수성 제고를 위한 노력과 그 필요성</t>
  </si>
  <si>
    <t>https://blog.naver.com/PostView.naver?blogId=oomw5885&amp;logNo=223906063860&amp;redirect=Dlog&amp;widgetTypeCall=true&amp;directAccess=false</t>
  </si>
  <si>
    <t>2025년 6월 20일, "내란특검 1호 기소 김용현, 23일 법원 구속영장 심문"에 대한 X 반응</t>
  </si>
  <si>
    <t>https://blog.naver.com/PostView.naver?blogId=shinswoong75&amp;logNo=223906054854&amp;redirect=Dlog&amp;widgetTypeCall=true&amp;directAccess=false</t>
  </si>
  <si>
    <t>REU</t>
  </si>
  <si>
    <t>[한국사능력검정시험] 6.20</t>
  </si>
  <si>
    <t>https://blog.naver.com/PostView.naver?blogId=recordiary_reu&amp;logNo=223906034950&amp;redirect=Dlog&amp;widgetTypeCall=true&amp;directAccess=false</t>
  </si>
  <si>
    <t>2025. 6. 20 일간지 경제뉴스 브리핑</t>
  </si>
  <si>
    <t>https://blog.naver.com/PostView.naver?blogId=swim4551&amp;logNo=223905526346&amp;redirect=Dlog&amp;widgetTypeCall=true&amp;directAccess=false</t>
  </si>
  <si>
    <t>연일 내리는 비에 더 쑤시는 무릎··· 장마철 관절염 통증 관리하려면</t>
  </si>
  <si>
    <t>https://blog.naver.com/PostView.naver?blogId=dwyun60&amp;logNo=223905765851&amp;redirect=Dlog&amp;widgetTypeCall=true&amp;directAccess=false</t>
  </si>
  <si>
    <t>환웅천황</t>
  </si>
  <si>
    <t>곽종근 전 사령관 인터뷰, "외환 유도.2차 계엄.장기집권 획책 윤석열 의혹들 사실일 가능성 높아"</t>
  </si>
  <si>
    <t>https://blog.naver.com/PostView.naver?blogId=vitamin_333&amp;logNo=223905735227&amp;redirect=Dlog&amp;widgetTypeCall=true&amp;directAccess=false</t>
  </si>
  <si>
    <t>[TV-신문] 수도권 곳곳 호우주의보…비 피해 신고 이어져 / ‘내란 특검보’에 김형수·박억수·박지영·박태호·이윤제·장우성 / '은신' 하메네이, 침묵 깨고 최후의 결단 내렸다..</t>
  </si>
  <si>
    <t>https://blog.naver.com/PostView.naver?blogId=kangyeou&amp;logNo=223905684825&amp;redirect=Dlog&amp;widgetTypeCall=true&amp;directAccess=false</t>
  </si>
  <si>
    <t>〔4621〕 투표로 보는 지역 민심/ 김지연 사진가/ 경향신문 2025. 6. 20.</t>
  </si>
  <si>
    <t>https://blog.naver.com/PostView.naver?blogId=kje06&amp;logNo=223905673595&amp;redirect=Dlog&amp;widgetTypeCall=true&amp;directAccess=false</t>
  </si>
  <si>
    <t>〔4620〕인구감소시대, 4060세대를 깨워라/ 한숭희 교수/ 경향신문 2025. 6. 19.</t>
  </si>
  <si>
    <t>https://blog.naver.com/PostView.naver?blogId=kje06&amp;logNo=223905655862&amp;redirect=Dlog&amp;widgetTypeCall=true&amp;directAccess=false</t>
  </si>
  <si>
    <t>2025-06-19 사설 윤석열</t>
  </si>
  <si>
    <t>https://blog.naver.com/PostView.naver?blogId=inmuk&amp;logNo=223905438090&amp;redirect=Dlog&amp;widgetTypeCall=true&amp;directAccess=false</t>
  </si>
  <si>
    <t>고다 신완섭</t>
  </si>
  <si>
    <t>[탄생시-6/20생] 서정시인, 정지용</t>
  </si>
  <si>
    <t>https://blog.naver.com/PostView.naver?blogId=golgoda9988&amp;logNo=223905400466&amp;redirect=Dlog&amp;widgetTypeCall=true&amp;directAccess=false</t>
  </si>
  <si>
    <t>전국민 민생지원금 언제 줄건데? 7월 중순? 7월 하순?</t>
  </si>
  <si>
    <t>https://blog.naver.com/PostView.naver?blogId=zeenokim&amp;logNo=223905380009&amp;redirect=Dlog&amp;widgetTypeCall=true&amp;directAccess=false</t>
  </si>
  <si>
    <t>6월20일 - 오늘의 만평</t>
  </si>
  <si>
    <t>https://blog.naver.com/PostView.naver?blogId=u2won2&amp;logNo=223905376294&amp;redirect=Dlog&amp;widgetTypeCall=true&amp;directAccess=false</t>
  </si>
  <si>
    <t>오늘의 신문 만평(2025. 6. 20., 금)</t>
  </si>
  <si>
    <t>https://blog.naver.com/PostView.naver?blogId=kominerba&amp;logNo=223905368304&amp;redirect=Dlog&amp;widgetTypeCall=true&amp;directAccess=false</t>
  </si>
  <si>
    <t>허영호</t>
  </si>
  <si>
    <t>이재명 정부, 일본과의 관계는</t>
  </si>
  <si>
    <t>https://blog.naver.com/PostView.naver?blogId=jesusher&amp;logNo=223905278137&amp;redirect=Dlog&amp;widgetTypeCall=true&amp;directAccess=false</t>
  </si>
  <si>
    <t>오늘의 신문 만평 (2025년 6월 20일)</t>
  </si>
  <si>
    <t>https://blog.naver.com/PostView.naver?blogId=rlarmrcjs&amp;logNo=223905096160&amp;redirect=Dlog&amp;widgetTypeCall=true&amp;directAccess=false</t>
  </si>
  <si>
    <t>화상</t>
  </si>
  <si>
    <t>스반테 페보 [Svante Pääbo] (유전학자)</t>
  </si>
  <si>
    <t>https://blog.naver.com/PostView.naver?blogId=philatelia&amp;logNo=223905186701&amp;redirect=Dlog&amp;widgetTypeCall=true&amp;directAccess=false</t>
  </si>
  <si>
    <t>〔5618〕 쓰디쓴 아메리카노/ 이명희 논설위원/ 경향신문 2025. 6. 20.</t>
  </si>
  <si>
    <t>https://blog.naver.com/PostView.naver?blogId=kje06&amp;logNo=223905144915&amp;redirect=Dlog&amp;widgetTypeCall=true&amp;directAccess=false</t>
  </si>
  <si>
    <t>배가조아</t>
  </si>
  <si>
    <t>bz4 뉴스링크 - 1,717 (2025.06.20 금)</t>
  </si>
  <si>
    <t>https://blog.naver.com/PostView.naver?blogId=lettermate&amp;logNo=223905014750&amp;redirect=Dlog&amp;widgetTypeCall=true&amp;directAccess=false</t>
  </si>
  <si>
    <t>동수</t>
  </si>
  <si>
    <t>기술은 우리를 구원하지 않는다</t>
  </si>
  <si>
    <t>https://blog.naver.com/PostView.naver?blogId=taiot&amp;logNo=223904746522&amp;redirect=Dlog&amp;widgetTypeCall=true&amp;directAccess=false</t>
  </si>
  <si>
    <t>[TV-신문] 오늘 국무회의에 추경안 상정…“전 국민에 소비 쿠폰” / 이란이 90m 지하에 숨긴 '최종 병기'…벙커버스터 없이도 무력화되나 / 이스라엘군, 이란·아라크 원전 주변</t>
  </si>
  <si>
    <t>https://blog.naver.com/PostView.naver?blogId=kangyeou&amp;logNo=223904552703&amp;redirect=Dlog&amp;widgetTypeCall=true&amp;directAccess=false</t>
  </si>
  <si>
    <t>치코코</t>
  </si>
  <si>
    <t>곽종근 전 특전사령관, 불법계엄 의혹 추가 폭로…“빙산의 일각”</t>
  </si>
  <si>
    <t>https://blog.naver.com/PostView.naver?blogId=chikorita_&amp;logNo=223904482652&amp;redirect=Dlog&amp;widgetTypeCall=true&amp;directAccess=false</t>
  </si>
  <si>
    <t>&lt;인생 참 쉽게 사는 무능,무책임 좌경용공 민주팔이 진생즌..자멸의 묘혈 스스로 파기..기사무관&gt;진성준 “김민석 향한 국힘 인신공격 지나쳐···인사청문회법 개정 빠르게 추진”</t>
  </si>
  <si>
    <t>https://blog.naver.com/PostView.naver?blogId=yesktj&amp;logNo=223904476883&amp;redirect=Dlog&amp;widgetTypeCall=true&amp;directAccess=false</t>
  </si>
  <si>
    <t>일본 총리, 이렇게 빨리 만난 적 없다. 이재명 "실용외교"시동</t>
  </si>
  <si>
    <t>https://blog.naver.com/PostView.naver?blogId=godloveyouforever&amp;logNo=223904470619&amp;redirect=Dlog&amp;widgetTypeCall=true&amp;directAccess=false</t>
  </si>
  <si>
    <t>알아두면 쓸모 있는 한의과학 / ‘아바타 피부’로 약물 효능·부작용 예측…오가노이드 기술이 가져다줄 놀라운 미래</t>
  </si>
  <si>
    <t>https://blog.naver.com/PostView.naver?blogId=dwyun60&amp;logNo=223904407701&amp;redirect=Dlog&amp;widgetTypeCall=true&amp;directAccess=false</t>
  </si>
  <si>
    <t>첫발자욱</t>
  </si>
  <si>
    <t>[경향신문] 중 체리자동차, 누적 수출 500만대…글로벌 완성차 업계 ‘위기감’ 고조</t>
  </si>
  <si>
    <t>https://blog.naver.com/PostView.naver?blogId=tomorrow2998&amp;logNo=223904305052&amp;redirect=Dlog&amp;widgetTypeCall=true&amp;directAccess=false</t>
  </si>
  <si>
    <t>[경향신문] 한화오션 하청노사 합의…철탑 위 노동자 땅으로</t>
  </si>
  <si>
    <t>https://blog.naver.com/PostView.naver?blogId=tomorrow2998&amp;logNo=223904302716&amp;redirect=Dlog&amp;widgetTypeCall=true&amp;directAccess=false</t>
  </si>
  <si>
    <t>서근원 선생님의 글을 다시 읽어야 할 이유_진보교육담론의 벙커버스터</t>
  </si>
  <si>
    <t>https://blog.naver.com/PostView.naver?blogId=chora7111&amp;logNo=223904268206&amp;redirect=Dlog&amp;widgetTypeCall=true&amp;directAccess=false</t>
  </si>
  <si>
    <t>[경향신문 오피니언] 인구감소시대, 4060세대를 깨워라</t>
  </si>
  <si>
    <t>https://blog.naver.com/PostView.naver?blogId=kklist21&amp;logNo=223904259960&amp;redirect=Dlog&amp;widgetTypeCall=true&amp;directAccess=false</t>
  </si>
  <si>
    <t>[경향신문 오피니언] 검찰이 죽어야 나라가 산다</t>
  </si>
  <si>
    <t>https://blog.naver.com/PostView.naver?blogId=kklist21&amp;logNo=223904254724&amp;redirect=Dlog&amp;widgetTypeCall=true&amp;directAccess=false</t>
  </si>
  <si>
    <t>휘영</t>
  </si>
  <si>
    <t>[공유] 독일 총리의 이스라엘 편들기</t>
  </si>
  <si>
    <t>https://blog.naver.com/PostView.naver?blogId=mirinae27&amp;logNo=223904202247&amp;redirect=Dlog&amp;widgetTypeCall=true&amp;directAccess=false</t>
  </si>
  <si>
    <t>상냥한 맘</t>
  </si>
  <si>
    <t>그 사내</t>
  </si>
  <si>
    <t>https://blog.naver.com/PostView.naver?blogId=53050shin&amp;logNo=223903417119&amp;redirect=Dlog&amp;widgetTypeCall=true&amp;directAccess=false</t>
  </si>
  <si>
    <t>오늘의 신문 만평(2025. 6. 19., 목)</t>
  </si>
  <si>
    <t>https://blog.naver.com/PostView.naver?blogId=kominerba&amp;logNo=223904173732&amp;redirect=Dlog&amp;widgetTypeCall=true&amp;directAccess=false</t>
  </si>
  <si>
    <t>1948회.2025.6/19 시사만평 및 시사만화</t>
  </si>
  <si>
    <t>https://blog.naver.com/PostView.naver?blogId=totalpro1&amp;logNo=223904094888&amp;redirect=Dlog&amp;widgetTypeCall=true&amp;directAccess=false</t>
  </si>
  <si>
    <t>오늘의 신문 만평 (2025년 6월 19일)</t>
  </si>
  <si>
    <t>https://blog.naver.com/PostView.naver?blogId=rlarmrcjs&amp;logNo=223903931963&amp;redirect=Dlog&amp;widgetTypeCall=true&amp;directAccess=false</t>
  </si>
  <si>
    <t>글로벌 뉴스ㅡ이란 아야톨라세예드 알리 하메네이···“미국 개입 땐 중동 내 모든 미군기지 공격”</t>
  </si>
  <si>
    <t>https://blog.naver.com/PostView.naver?blogId=pakunkyu39&amp;logNo=223903912503&amp;redirect=Dlog&amp;widgetTypeCall=true&amp;directAccess=false</t>
  </si>
  <si>
    <t>2025년 6월 18일, 취임 후 첫 한일 정상회담...올해 한일 수교 60주년에 대한 X 반응.</t>
  </si>
  <si>
    <t>https://blog.naver.com/PostView.naver?blogId=shinswoong75&amp;logNo=223903883302&amp;redirect=Dlog&amp;widgetTypeCall=true&amp;directAccess=false</t>
  </si>
  <si>
    <t>이스라엘-이란 전면충돌, 세계는 전쟁 리스크에 갇혔다</t>
  </si>
  <si>
    <t>https://blog.naver.com/PostView.naver?blogId=sisa_namu_journal&amp;logNo=223903824707&amp;redirect=Dlog&amp;widgetTypeCall=true&amp;directAccess=false</t>
  </si>
  <si>
    <t>문재인 전 대통령이 6월 18일  서울 강남구 삼성동 코엑스에서 열린  2025 서울국제도서전에서 평산책방  부스를 찾은 독자들과 인사하고 있다. 연합뉴스</t>
  </si>
  <si>
    <t>https://blog.naver.com/PostView.naver?blogId=59misookpak&amp;logNo=223903713344&amp;redirect=Dlog&amp;widgetTypeCall=true&amp;directAccess=false</t>
  </si>
  <si>
    <t>오현우</t>
  </si>
  <si>
    <t>대한민국, 24시간을 만들었는가, 24시간이 만들었는가-24시간 시대의 탄생: 1980년대의 시간정치(김학선, 창비, 2020)를 읽고-</t>
  </si>
  <si>
    <t>https://blog.naver.com/PostView.naver?blogId=ohw0401&amp;logNo=223903571185&amp;redirect=Dlog&amp;widgetTypeCall=true&amp;directAccess=false</t>
  </si>
  <si>
    <t>2025. 6. 18 일간지 경제뉴스 브리핑</t>
  </si>
  <si>
    <t>https://blog.naver.com/PostView.naver?blogId=swim4551&amp;logNo=223903127487&amp;redirect=Dlog&amp;widgetTypeCall=true&amp;directAccess=false</t>
  </si>
  <si>
    <t>ChatGPT와 함께 보는 『대한민국사 1, 2, 3, 4』 요약 - 한홍구</t>
  </si>
  <si>
    <t>https://blog.naver.com/PostView.naver?blogId=doodle02&amp;logNo=223903321309&amp;redirect=Dlog&amp;widgetTypeCall=true&amp;directAccess=false</t>
  </si>
  <si>
    <t>귀여운토끼</t>
  </si>
  <si>
    <t>러시아정교에 대해서</t>
  </si>
  <si>
    <t>https://blog.naver.com/PostView.naver?blogId=dolphin0990&amp;logNo=223903134371&amp;redirect=Dlog&amp;widgetTypeCall=true&amp;directAccess=false</t>
  </si>
  <si>
    <t>트럼프의 마이웨이</t>
  </si>
  <si>
    <t>https://blog.naver.com/PostView.naver?blogId=good-mylife&amp;logNo=223903115554&amp;redirect=Dlog&amp;widgetTypeCall=true&amp;directAccess=false</t>
  </si>
  <si>
    <t>오쿠라슈코칸의 반출 유물에 대한 국내의 반환 노력(오쿠라슈코칸의 한국 문화재 6)</t>
  </si>
  <si>
    <t>https://blog.naver.com/PostView.naver?blogId=noritur83&amp;logNo=223903086995&amp;redirect=Dlog&amp;widgetTypeCall=true&amp;directAccess=false</t>
  </si>
  <si>
    <t>[경향신문] “한국 경제, 두려운 2032년…일할 사람 줄어들며 벼랑 끝으로”</t>
  </si>
  <si>
    <t>https://blog.naver.com/PostView.naver?blogId=tomorrow2998&amp;logNo=223903067026&amp;redirect=Dlog&amp;widgetTypeCall=true&amp;directAccess=false</t>
  </si>
  <si>
    <t>[경향신문 ‘조리 로봇’ 서울 강남 학교 급식소 출근했어요…음식 볶고 국 끓이기 ‘척척’</t>
  </si>
  <si>
    <t>https://blog.naver.com/PostView.naver?blogId=tomorrow2998&amp;logNo=223903065401&amp;redirect=Dlog&amp;widgetTypeCall=true&amp;directAccess=false</t>
  </si>
  <si>
    <t>[경향신문] ‘끼임 사고’ 한 달, SPC 압수수색</t>
  </si>
  <si>
    <t>https://blog.naver.com/PostView.naver?blogId=tomorrow2998&amp;logNo=223903063072&amp;redirect=Dlog&amp;widgetTypeCall=true&amp;directAccess=false</t>
  </si>
  <si>
    <t>꿈꾸미703</t>
  </si>
  <si>
    <t>전국민 25만원 지원금 신청 언제 (재난 지원금, 민생지원금)</t>
  </si>
  <si>
    <t>https://blog.naver.com/PostView.naver?blogId=jmcha0212&amp;logNo=223903045231&amp;redirect=Dlog&amp;widgetTypeCall=true&amp;directAccess=false</t>
  </si>
  <si>
    <t>[TV-신문] 이 대통령, 이시바 총리와 한일 정상회담… / '핵보유국' 고지 앞두고 '최후통첩'… / "트럼프 '미군 동원 이란 핵시설 타격'으로 생각 기울어"</t>
  </si>
  <si>
    <t>https://blog.naver.com/PostView.naver?blogId=kangyeou&amp;logNo=223903030535&amp;redirect=Dlog&amp;widgetTypeCall=true&amp;directAccess=false</t>
  </si>
  <si>
    <t>“알고 보면 위험하다” 응급실 의사가 경고하는 일상 행동 6가지</t>
  </si>
  <si>
    <t>https://blog.naver.com/PostView.naver?blogId=dwyun60&amp;logNo=223903016923&amp;redirect=Dlog&amp;widgetTypeCall=true&amp;directAccess=false</t>
  </si>
  <si>
    <t>[경향신문 오피니언] 만화경 속의 극우</t>
  </si>
  <si>
    <t>https://blog.naver.com/PostView.naver?blogId=kklist21&amp;logNo=223902992881&amp;redirect=Dlog&amp;widgetTypeCall=true&amp;directAccess=false</t>
  </si>
  <si>
    <t>[경향신문 오피니언] 사회 곳곳에 윤석열이 많다</t>
  </si>
  <si>
    <t>https://blog.naver.com/PostView.naver?blogId=kklist21&amp;logNo=223902987684&amp;redirect=Dlog&amp;widgetTypeCall=true&amp;directAccess=false</t>
  </si>
  <si>
    <t>오늘의 신문 만평(2025. 6. 18., 수)</t>
  </si>
  <si>
    <t>https://blog.naver.com/PostView.naver?blogId=kominerba&amp;logNo=223902959418&amp;redirect=Dlog&amp;widgetTypeCall=true&amp;directAccess=false</t>
  </si>
  <si>
    <t>정치 주요뉴스</t>
  </si>
  <si>
    <t>https://blog.naver.com/PostView.naver?blogId=c1c1b1b1&amp;logNo=223902915005&amp;redirect=Dlog&amp;widgetTypeCall=true&amp;directAccess=false</t>
  </si>
  <si>
    <t>〔5616〕 신음하는 루브르/ 이명희 논설위원/ 경향신문 2025. 6. 18.</t>
  </si>
  <si>
    <t>https://blog.naver.com/PostView.naver?blogId=kje06&amp;logNo=223902873664&amp;redirect=Dlog&amp;widgetTypeCall=true&amp;directAccess=false</t>
  </si>
  <si>
    <t>〔4617〕 아침에 우리를 일어나게 만드는 것/ 김기연 교수/ 경향신문 2025. 6. 18.</t>
  </si>
  <si>
    <t>https://blog.naver.com/PostView.naver?blogId=kje06&amp;logNo=223902870975&amp;redirect=Dlog&amp;widgetTypeCall=true&amp;directAccess=false</t>
  </si>
  <si>
    <t>〔4616〕 '진달래꽃' 100년/ 김택근 시인/ 경향신문 2025. 6. 18.</t>
  </si>
  <si>
    <t>https://blog.naver.com/PostView.naver?blogId=kje06&amp;logNo=223902864032&amp;redirect=Dlog&amp;widgetTypeCall=true&amp;directAccess=false</t>
  </si>
  <si>
    <t>1945회.2025.6/18 시사만평 및 시사만화</t>
  </si>
  <si>
    <t>https://blog.naver.com/PostView.naver?blogId=totalpro1&amp;logNo=223902829302&amp;redirect=Dlog&amp;widgetTypeCall=true&amp;directAccess=false</t>
  </si>
  <si>
    <t>오늘의 신문 만평 (2025년 6월 18일)</t>
  </si>
  <si>
    <t>https://blog.naver.com/PostView.naver?blogId=rlarmrcjs&amp;logNo=223902677755&amp;redirect=Dlog&amp;widgetTypeCall=true&amp;directAccess=false</t>
  </si>
  <si>
    <t>2025년 6월 17일, 이재명 대통령, 여야 원내대표 오찬 제안에 대한 X 반응.</t>
  </si>
  <si>
    <t>https://blog.naver.com/PostView.naver?blogId=shinswoong75&amp;logNo=223902729867&amp;redirect=Dlog&amp;widgetTypeCall=true&amp;directAccess=false</t>
  </si>
  <si>
    <t>Fighting Chance</t>
  </si>
  <si>
    <t>다시 쓰는 '얼굴없는 검사들' (3) - 검찰은 정말 공익의 대표자일까?</t>
  </si>
  <si>
    <t>https://blog.naver.com/PostView.naver?blogId=wongoklaw&amp;logNo=223902696049&amp;redirect=Dlog&amp;widgetTypeCall=true&amp;directAccess=false</t>
  </si>
  <si>
    <t>외국인이 돌아왔다…나흘 연속 1% 반등, 장중 2860선 넘긴 코스피</t>
  </si>
  <si>
    <t>https://blog.naver.com/PostView.naver?blogId=2muchtalker_y&amp;logNo=223902664863&amp;redirect=Dlog&amp;widgetTypeCall=true&amp;directAccess=false</t>
  </si>
  <si>
    <t>나스코르</t>
  </si>
  <si>
    <t>스물일곱 번째 이야기 - 허심(虛心)</t>
  </si>
  <si>
    <t>https://blog.naver.com/PostView.naver?blogId=nascorr&amp;logNo=223902608532&amp;redirect=Dlog&amp;widgetTypeCall=true&amp;directAccess=false</t>
  </si>
  <si>
    <t>범샥시</t>
  </si>
  <si>
    <t>이재명 대통령 당선 (2025.6.4)</t>
  </si>
  <si>
    <t>https://blog.naver.com/PostView.naver?blogId=mushugas&amp;logNo=223902547968&amp;redirect=Dlog&amp;widgetTypeCall=true&amp;directAccess=false</t>
  </si>
  <si>
    <t>친윤 반복의 그림자 속 국민의힘의 선택</t>
  </si>
  <si>
    <t>https://blog.naver.com/PostView.naver?blogId=sisa_namu_journal&amp;logNo=223902531044&amp;redirect=Dlog&amp;widgetTypeCall=true&amp;directAccess=false</t>
  </si>
  <si>
    <t>[한국사능력검정시험] 6.17</t>
  </si>
  <si>
    <t>https://blog.naver.com/PostView.naver?blogId=recordiary_reu&amp;logNo=223902447563&amp;redirect=Dlog&amp;widgetTypeCall=true&amp;directAccess=false</t>
  </si>
  <si>
    <t>경남도, 추억 남기는 여름 여행지 18곳 소개</t>
  </si>
  <si>
    <t>https://blog.naver.com/PostView.naver?blogId=dwyun60&amp;logNo=223902406913&amp;redirect=Dlog&amp;widgetTypeCall=true&amp;directAccess=false</t>
  </si>
  <si>
    <t>산수유</t>
  </si>
  <si>
    <t>0617 시선이 멈춘 기사들 : 약자, 낭비, 경제</t>
  </si>
  <si>
    <t>https://blog.naver.com/PostView.naver?blogId=swimmingzone&amp;logNo=223902325285&amp;redirect=Dlog&amp;widgetTypeCall=true&amp;directAccess=false</t>
  </si>
  <si>
    <t>2025. 6. 17 일간지 경제뉴스 브리핑</t>
  </si>
  <si>
    <t>https://blog.naver.com/PostView.naver?blogId=swim4551&amp;logNo=223901847050&amp;redirect=Dlog&amp;widgetTypeCall=true&amp;directAccess=false</t>
  </si>
  <si>
    <t>유니루</t>
  </si>
  <si>
    <t>[6월 경제스터디 12일차] 국민연금의 투자</t>
  </si>
  <si>
    <t>https://blog.naver.com/PostView.naver?blogId=lovemin2929&amp;logNo=223902231455&amp;redirect=Dlog&amp;widgetTypeCall=true&amp;directAccess=false</t>
  </si>
  <si>
    <t>임숲</t>
  </si>
  <si>
    <t>[요약] 주요 신문 1면 일부</t>
  </si>
  <si>
    <t>https://blog.naver.com/PostView.naver?blogId=forrrrrrest&amp;logNo=223902154391&amp;redirect=Dlog&amp;widgetTypeCall=true&amp;directAccess=false</t>
  </si>
  <si>
    <t>꿈틀꿈틀</t>
  </si>
  <si>
    <t>티베트의 불교공예</t>
  </si>
  <si>
    <t>https://blog.naver.com/PostView.naver?blogId=zalkkosan&amp;logNo=223902105486&amp;redirect=Dlog&amp;widgetTypeCall=true&amp;directAccess=false</t>
  </si>
  <si>
    <t>새봄</t>
  </si>
  <si>
    <t>‘팩트폭격’과 ‘긁?’의 악한 영향력…우리에겐 더 나은 ‘논쟁’이 필요하다 (경향신문)</t>
  </si>
  <si>
    <t>https://blog.naver.com/PostView.naver?blogId=danvaljean&amp;logNo=223902000281&amp;redirect=Dlog&amp;widgetTypeCall=true&amp;directAccess=false</t>
  </si>
  <si>
    <t>[TV-신문] 트럼프, G7 일정 접고 조기 귀국…한미 정상회담 불발될 듯 / 트럼프 "모두들 즉시 테헤란 떠나야" SNS 소개령 / 네타냐후, 하메네이 살해 재차 시사…</t>
  </si>
  <si>
    <t>https://blog.naver.com/PostView.naver?blogId=kangyeou&amp;logNo=223901988577&amp;redirect=Dlog&amp;widgetTypeCall=true&amp;directAccess=false</t>
  </si>
  <si>
    <t>asadal75</t>
  </si>
  <si>
    <t>불면의 밤, 이렇게 바꿔보세요</t>
  </si>
  <si>
    <t>https://blog.naver.com/PostView.naver?blogId=asadal75&amp;logNo=223901940578&amp;redirect=Dlog&amp;widgetTypeCall=true&amp;directAccess=false</t>
  </si>
  <si>
    <t>백제 왕릉원 출토 10대 어금니의 주인공은 ‘삼근왕’…“웅진기에도 국가 체계 굳건히 유지”</t>
  </si>
  <si>
    <t>https://blog.naver.com/PostView.naver?blogId=dwyun60&amp;logNo=223901874917&amp;redirect=Dlog&amp;widgetTypeCall=true&amp;directAccess=false</t>
  </si>
  <si>
    <t>〔4614〕 용납하지 않아야 바꿀 수 있다/ 임아영 기자/ 경향신문 2025. 6. 17.</t>
  </si>
  <si>
    <t>https://blog.naver.com/PostView.naver?blogId=kje06&amp;logNo=223901855929&amp;redirect=Dlog&amp;widgetTypeCall=true&amp;directAccess=false</t>
  </si>
  <si>
    <t>〔5614〕 문과침공/ 조홍민 논설위원/ 경향신문 2025. 6. 17.</t>
  </si>
  <si>
    <t>https://blog.naver.com/PostView.naver?blogId=kje06&amp;logNo=223901832959&amp;redirect=Dlog&amp;widgetTypeCall=true&amp;directAccess=false</t>
  </si>
  <si>
    <t>2025년 6월 16일, 국민의힘 신임 원내대표로 TK 3선인 친윤계 송언석 의원이 당선됐는데요.</t>
  </si>
  <si>
    <t>https://blog.naver.com/PostView.naver?blogId=shinswoong75&amp;logNo=223901825429&amp;redirect=Dlog&amp;widgetTypeCall=true&amp;directAccess=false</t>
  </si>
  <si>
    <t>[경향신문 오피니언] [세상 읽기]쉬운 길의 함정</t>
  </si>
  <si>
    <t>https://blog.naver.com/PostView.naver?blogId=kklist21&amp;logNo=223901780075&amp;redirect=Dlog&amp;widgetTypeCall=true&amp;directAccess=false</t>
  </si>
  <si>
    <t>[경향신문 오피니언] 용납하지 않아야 바꿀 수 있다</t>
  </si>
  <si>
    <t>https://blog.naver.com/PostView.naver?blogId=kklist21&amp;logNo=223901771330&amp;redirect=Dlog&amp;widgetTypeCall=true&amp;directAccess=false</t>
  </si>
  <si>
    <t>오늘의 신문 만평(2025. 6. 17., 화)</t>
  </si>
  <si>
    <t>https://blog.naver.com/PostView.naver?blogId=kominerba&amp;logNo=223901709748&amp;redirect=Dlog&amp;widgetTypeCall=true&amp;directAccess=false</t>
  </si>
  <si>
    <t>대통령실...네이버(언론사제공) 2025년6월17일</t>
  </si>
  <si>
    <t>https://blog.naver.com/PostView.naver?blogId=c1c1b1b1&amp;logNo=223901685417&amp;redirect=Dlog&amp;widgetTypeCall=true&amp;directAccess=false</t>
  </si>
  <si>
    <t>1944회.2025.6/17 시사만평 및 시사만화</t>
  </si>
  <si>
    <t>https://blog.naver.com/PostView.naver?blogId=totalpro1&amp;logNo=223901624109&amp;redirect=Dlog&amp;widgetTypeCall=true&amp;directAccess=false</t>
  </si>
  <si>
    <t>뉴스필드</t>
  </si>
  <si>
    <t>"의정갈등 1년, 보건의료 현장은 전쟁터"... 간호사 63% 이직 고민</t>
  </si>
  <si>
    <t>https://blog.naver.com/PostView.naver?blogId=newsfield_&amp;logNo=223901473609&amp;redirect=Dlog&amp;widgetTypeCall=true&amp;directAccess=false</t>
  </si>
  <si>
    <t>2025년 6월 16일, 취약계층 최대 50만원, 전국민 '차등지급' 가닥. X 반응.</t>
  </si>
  <si>
    <t>https://blog.naver.com/PostView.naver?blogId=shinswoong75&amp;logNo=223901371572&amp;redirect=Dlog&amp;widgetTypeCall=true&amp;directAccess=false</t>
  </si>
  <si>
    <t>초식공룡</t>
  </si>
  <si>
    <t>이재명 대통령 장남 이동호, 김유미와의 결혼식! 청첩장 유출부터 테러 위협까지, 뜨거웠던 현장 하객 반응은?</t>
  </si>
  <si>
    <t>https://blog.naver.com/PostView.naver?blogId=macshorts&amp;logNo=223899769021&amp;redirect=Dlog&amp;widgetTypeCall=true&amp;directAccess=false</t>
  </si>
  <si>
    <t>2025년 6월 16일, 윤석열 전 대통령 "군인 1천 명을 보냈어야 한다" 발언. X 반응.</t>
  </si>
  <si>
    <t>https://blog.naver.com/PostView.naver?blogId=shinswoong75&amp;logNo=223901254369&amp;redirect=Dlog&amp;widgetTypeCall=true&amp;directAccess=false</t>
  </si>
  <si>
    <t>2025년 6월 16일, 이재명 대통령, G7 참석 위해 캐나다 출국. X 반응.</t>
  </si>
  <si>
    <t>https://blog.naver.com/PostView.naver?blogId=shinswoong75&amp;logNo=223901248444&amp;redirect=Dlog&amp;widgetTypeCall=true&amp;directAccess=false</t>
  </si>
  <si>
    <t>locewral4671</t>
  </si>
  <si>
    <t>신문사설이나 칼럼에서 사회복지와 관련된 기사를 찾고, 우리나라에서 사회복지가 어떤 의미로 사용되고 있는지에 대해서 알아보고 본인이 생각하는 사회복지란 무엇인지에 대해서 의견을 기술</t>
  </si>
  <si>
    <t>https://blog.naver.com/PostView.naver?blogId=locewral4671&amp;logNo=223901176477&amp;redirect=Dlog&amp;widgetTypeCall=true&amp;directAccess=false</t>
  </si>
  <si>
    <t>YAJU</t>
  </si>
  <si>
    <t>250529-0604 장미대선, 영화 곤돌라</t>
  </si>
  <si>
    <t>https://blog.naver.com/PostView.naver?blogId=juyoung1704&amp;logNo=223900972046&amp;redirect=Dlog&amp;widgetTypeCall=true&amp;directAccess=false</t>
  </si>
  <si>
    <t>ChatGPT와 함께 보는 『춘향전』 요약</t>
  </si>
  <si>
    <t>https://blog.naver.com/PostView.naver?blogId=doodle02&amp;logNo=223900908985&amp;redirect=Dlog&amp;widgetTypeCall=true&amp;directAccess=false</t>
  </si>
  <si>
    <t>ChatGPT와 함께 보는 『광장』 요약 - 최인훈</t>
  </si>
  <si>
    <t>https://blog.naver.com/PostView.naver?blogId=doodle02&amp;logNo=223900903160&amp;redirect=Dlog&amp;widgetTypeCall=true&amp;directAccess=false</t>
  </si>
  <si>
    <t>ChatGPT와 함께 보는 『정지용 전집』 요약 - 정지용</t>
  </si>
  <si>
    <t>https://blog.naver.com/PostView.naver?blogId=doodle02&amp;logNo=223900893199&amp;redirect=Dlog&amp;widgetTypeCall=true&amp;directAccess=false</t>
  </si>
  <si>
    <t>별이야</t>
  </si>
  <si>
    <t>교사의 이중적 자세, 형평성을 위협한다.</t>
  </si>
  <si>
    <t>https://blog.naver.com/PostView.naver?blogId=iksan-youth&amp;logNo=223900875761&amp;redirect=Dlog&amp;widgetTypeCall=true&amp;directAccess=false</t>
  </si>
  <si>
    <t>chosungbok</t>
  </si>
  <si>
    <t>2025.06 경향신문 인터뷰 기사</t>
  </si>
  <si>
    <t>https://blog.naver.com/PostView.naver?blogId=cho_sungbok&amp;logNo=223900859949&amp;redirect=Dlog&amp;widgetTypeCall=true&amp;directAccess=false</t>
  </si>
  <si>
    <t>[TV-신문] 법원, 김용현 전 장관 보석 석방… / ‘20조+α’ 2차 추경 곧 발표… / 취임 12일만 G7 서 외교무대 데뷔…“미·일과 양자회담 조율”</t>
  </si>
  <si>
    <t>https://blog.naver.com/PostView.naver?blogId=kangyeou&amp;logNo=223900718243&amp;redirect=Dlog&amp;widgetTypeCall=true&amp;directAccess=false</t>
  </si>
  <si>
    <t>김민석 국무총리 후보자, 6월 16일 현재 주요 이슈</t>
  </si>
  <si>
    <t>https://blog.naver.com/PostView.naver?blogId=creta22&amp;logNo=223900711112&amp;redirect=Dlog&amp;widgetTypeCall=true&amp;directAccess=false</t>
  </si>
  <si>
    <t>파트라슈</t>
  </si>
  <si>
    <t>희망</t>
  </si>
  <si>
    <t>"지구는 한 개, 기후위기는 한계"...2025 중랑학생기후행진[경향신문]</t>
  </si>
  <si>
    <t>https://blog.naver.com/PostView.naver?blogId=iandfox&amp;logNo=223900662265&amp;redirect=Dlog&amp;widgetTypeCall=true&amp;directAccess=false</t>
  </si>
  <si>
    <t>〔4613〕 남북 길 뚫고 교류 연 ‘6·15 25주년’, 평화가 경제다/ 사설/ 경향신문 2025. 6. 16.</t>
  </si>
  <si>
    <t>https://blog.naver.com/PostView.naver?blogId=kje06&amp;logNo=223900656993&amp;redirect=Dlog&amp;widgetTypeCall=true&amp;directAccess=false</t>
  </si>
  <si>
    <t>〔4612〕 조은석·민중기·이명현 특검, ‘거악의 중심’ 신속 단죄하길/ 사설/ 경향신문 2025. 6. 16.</t>
  </si>
  <si>
    <t>https://blog.naver.com/PostView.naver?blogId=kje06&amp;logNo=223900649278&amp;redirect=Dlog&amp;widgetTypeCall=true&amp;directAccess=false</t>
  </si>
  <si>
    <t>〔5612〕 '노 킹스' 시위/ 조홍민 논설위원/ 경향신문 2025. 6. 16.</t>
  </si>
  <si>
    <t>https://blog.naver.com/PostView.naver?blogId=kje06&amp;logNo=223900641995&amp;redirect=Dlog&amp;widgetTypeCall=true&amp;directAccess=false</t>
  </si>
  <si>
    <t>[경향신문] 리박스쿨 협력한 대한교조, 성 비위 교사에 집필 허용</t>
  </si>
  <si>
    <t>https://blog.naver.com/PostView.naver?blogId=tomorrow2998&amp;logNo=223900613166&amp;redirect=Dlog&amp;widgetTypeCall=true&amp;directAccess=false</t>
  </si>
  <si>
    <t>Red Cow</t>
  </si>
  <si>
    <t>[오늘읽은기사]오킹스 시위/경향신문</t>
  </si>
  <si>
    <t>https://blog.naver.com/PostView.naver?blogId=lalagari&amp;logNo=223900578768&amp;redirect=Dlog&amp;widgetTypeCall=true&amp;directAccess=false</t>
  </si>
  <si>
    <t>오늘의 신문 만평(2025. 6. 16., 월)</t>
  </si>
  <si>
    <t>https://blog.naver.com/PostView.naver?blogId=kominerba&amp;logNo=223900493965&amp;redirect=Dlog&amp;widgetTypeCall=true&amp;directAccess=false</t>
  </si>
  <si>
    <t>dbstb7053</t>
  </si>
  <si>
    <t>2025년 6월 16일 주요 조간신문 1면</t>
  </si>
  <si>
    <t>https://blog.naver.com/PostView.naver?blogId=dbstb7053&amp;logNo=223900467813&amp;redirect=Dlog&amp;widgetTypeCall=true&amp;directAccess=false</t>
  </si>
  <si>
    <t>서울경제</t>
  </si>
  <si>
    <t>세상일주</t>
  </si>
  <si>
    <t>2025.06.02 경제신문 읽기</t>
  </si>
  <si>
    <t>https://blog.naver.com/PostView.naver?blogId=letsgo_travel&amp;logNo=223886666104&amp;redirect=Dlog&amp;widgetTypeCall=true&amp;directAccess=false</t>
  </si>
  <si>
    <t>분당동단독주택준비</t>
  </si>
  <si>
    <t>박종철 대한토지신탁 대표 -분당동 단독주택 재개발사업-업무협약 체결</t>
  </si>
  <si>
    <t>https://blog.naver.com/PostView.naver?blogId=junbi-bundang&amp;logNo=223886075842&amp;redirect=Dlog&amp;widgetTypeCall=true&amp;directAccess=false</t>
  </si>
  <si>
    <t>서울경제진흥원</t>
  </si>
  <si>
    <t>SNS 마케팅으로 해외 진출? ‘서울창업허브 창동’ 글로벌 SNS 판로개척 지원사업 참가기업 모집</t>
  </si>
  <si>
    <t>https://blog.naver.com/PostView.naver?blogId=seoulsba&amp;logNo=223885726559&amp;redirect=Dlog&amp;widgetTypeCall=true&amp;directAccess=false</t>
  </si>
  <si>
    <t>250602 일일뉴스</t>
  </si>
  <si>
    <t>https://blog.naver.com/PostView.naver?blogId=zmdkwo&amp;logNo=223885935419&amp;redirect=Dlog&amp;widgetTypeCall=true&amp;directAccess=false</t>
  </si>
  <si>
    <t>“"한국도 예외 아냐" 완전히 의욕 잃은 일본 청년들, 초단기 '퇴사 러시'…일본 '잃어버린 30년'이 던진 무서운 경고 / 명강의 다시보기 / 교양이를 부탁해” 의 영상 요약</t>
  </si>
  <si>
    <t>https://blog.naver.com/PostView.naver?blogId=lucidjun&amp;logNo=223885919653&amp;redirect=Dlog&amp;widgetTypeCall=true&amp;directAccess=false</t>
  </si>
  <si>
    <t>2026년 세텍(SETEC) 전시회 정시모집</t>
  </si>
  <si>
    <t>https://blog.naver.com/PostView.naver?blogId=seoulsba&amp;logNo=223885721580&amp;redirect=Dlog&amp;widgetTypeCall=true&amp;directAccess=false</t>
  </si>
  <si>
    <t>TENANT NEWS</t>
  </si>
  <si>
    <t>테넌트뉴스가 뽑은 ‘핫 이슈 10’</t>
  </si>
  <si>
    <t>https://blog.naver.com/PostView.naver?blogId=tenantnews&amp;logNo=223885724472&amp;redirect=Dlog&amp;widgetTypeCall=true&amp;directAccess=false</t>
  </si>
  <si>
    <t>삼성페이 2시간째 '먹통'..."카드 안 챙겼다 낭패" 불편 속출</t>
  </si>
  <si>
    <t>https://blog.naver.com/PostView.naver?blogId=dbtjwns92&amp;logNo=223885698425&amp;redirect=Dlog&amp;widgetTypeCall=true&amp;directAccess=false</t>
  </si>
  <si>
    <t>AI 기반 항공 혁신 국제 심포지엄</t>
  </si>
  <si>
    <t>https://blog.naver.com/PostView.naver?blogId=iyhs1828&amp;logNo=223885681022&amp;redirect=Dlog&amp;widgetTypeCall=true&amp;directAccess=false</t>
  </si>
  <si>
    <t>(속보)삼성페이 결제 장애 발생, 사용자 불편 겪어</t>
  </si>
  <si>
    <t>https://blog.naver.com/PostView.naver?blogId=krsongc2&amp;logNo=223885674420&amp;redirect=Dlog&amp;widgetTypeCall=true&amp;directAccess=false</t>
  </si>
  <si>
    <t>[당근마켓]비매너 이용자_250601!!!</t>
  </si>
  <si>
    <t>https://blog.naver.com/PostView.naver?blogId=eithty2&amp;logNo=223885629979&amp;redirect=Dlog&amp;widgetTypeCall=true&amp;directAccess=false</t>
  </si>
  <si>
    <t>sacuja1</t>
  </si>
  <si>
    <t>[칼럼베껴쓰기 1289] 미 합동조세위원회/민병권 논설위원/서울경제/2025 05 19</t>
  </si>
  <si>
    <t>https://blog.naver.com/PostView.naver?blogId=sacuja1&amp;logNo=223885619554&amp;redirect=Dlog&amp;widgetTypeCall=true&amp;directAccess=false</t>
  </si>
  <si>
    <t>[일본여행 크루즈 인기][비행기 타지마세요]일본갈 때 비행기 타지마세요···요즘은 이게 대세[글로벌 왓]</t>
  </si>
  <si>
    <t>https://blog.naver.com/PostView.naver?blogId=eithty2&amp;logNo=223885615807&amp;redirect=Dlog&amp;widgetTypeCall=true&amp;directAccess=false</t>
  </si>
  <si>
    <t>"자기야, 로또 줍줍이래!" 과천인데 15억→5억에? 신청자격 보니</t>
  </si>
  <si>
    <t>https://blog.naver.com/PostView.naver?blogId=yoosy65&amp;logNo=223885616284&amp;redirect=Dlog&amp;widgetTypeCall=true&amp;directAccess=false</t>
  </si>
  <si>
    <t>“일본에서 정리해고가 유행하고 있는 이유” 의 영상 요약</t>
  </si>
  <si>
    <t>https://blog.naver.com/PostView.naver?blogId=lucidjun&amp;logNo=223885602457&amp;redirect=Dlog&amp;widgetTypeCall=true&amp;directAccess=false</t>
  </si>
  <si>
    <t>공교육 질 높이자 ... AI 평가도구 개발 속도</t>
  </si>
  <si>
    <t>https://blog.naver.com/PostView.naver?blogId=printingconsultant&amp;logNo=223885570951&amp;redirect=Dlog&amp;widgetTypeCall=true&amp;directAccess=false</t>
  </si>
  <si>
    <t>미야우</t>
  </si>
  <si>
    <t>2025 1,2분기 엔화 동향</t>
  </si>
  <si>
    <t>https://blog.naver.com/PostView.naver?blogId=billy0224&amp;logNo=223885177524&amp;redirect=Dlog&amp;widgetTypeCall=true&amp;directAccess=false</t>
  </si>
  <si>
    <t>에코프로머티(-220%)---2차전지/시가총액 6조 1600억원- 2조 8000억원</t>
  </si>
  <si>
    <t>https://blog.naver.com/PostView.naver?blogId=recsy&amp;logNo=223884938709&amp;redirect=Dlog&amp;widgetTypeCall=true&amp;directAccess=false</t>
  </si>
  <si>
    <t>2025년 6월1일(일) 주요언론 헤드라인</t>
  </si>
  <si>
    <t>https://blog.naver.com/PostView.naver?blogId=cavin419&amp;logNo=223884910732&amp;redirect=Dlog&amp;widgetTypeCall=true&amp;directAccess=false</t>
  </si>
  <si>
    <t>기록</t>
  </si>
  <si>
    <t>광화문 야외클래식마술피리무료소식</t>
  </si>
  <si>
    <t>https://blog.naver.com/PostView.naver?blogId=sonamuo0810&amp;logNo=223884666760&amp;redirect=Dlog&amp;widgetTypeCall=true&amp;directAccess=false</t>
  </si>
  <si>
    <t>꿈지기</t>
  </si>
  <si>
    <t>딱 좋아요 "국민주권정부"...이재명 새 통령이 추구하는 "국민과 정부"</t>
  </si>
  <si>
    <t>https://blog.naver.com/PostView.naver?blogId=freemidas225&amp;logNo=223888884961&amp;redirect=Dlog&amp;widgetTypeCall=true&amp;directAccess=false</t>
  </si>
  <si>
    <t>2025년 6월 4일, 이재명정부의 첫 행정명령으로 비상경제점검 TF구성지시. X반응</t>
  </si>
  <si>
    <t>https://blog.naver.com/PostView.naver?blogId=shinswoong75&amp;logNo=223888731481&amp;redirect=Dlog&amp;widgetTypeCall=true&amp;directAccess=false</t>
  </si>
  <si>
    <t>거미네</t>
  </si>
  <si>
    <t>6월 4일(수) 오늘의 증시현황 특징주 마감시황</t>
  </si>
  <si>
    <t>https://blog.naver.com/PostView.naver?blogId=sbandy75&amp;logNo=223888605754&amp;redirect=Dlog&amp;widgetTypeCall=true&amp;directAccess=false</t>
  </si>
  <si>
    <t>조상인 큐레이터</t>
  </si>
  <si>
    <t>https://blog.naver.com/PostView.naver?blogId=vegabond613&amp;logNo=223888481593&amp;redirect=Dlog&amp;widgetTypeCall=true&amp;directAccess=false</t>
  </si>
  <si>
    <t>[250604] 급등한 시장, 오늘의 종목, 코나아이 상한가, 지역화폐 관련주 급등</t>
  </si>
  <si>
    <t>https://blog.naver.com/PostView.naver?blogId=hejiongxi&amp;logNo=223888448139&amp;redirect=Dlog&amp;widgetTypeCall=true&amp;directAccess=false</t>
  </si>
  <si>
    <t>순</t>
  </si>
  <si>
    <t>6/2(월) 경제윗미 : 2030은 지갑 못열고 60대는 안 열어... 10년 전보다 돈 안 쓴다</t>
  </si>
  <si>
    <t>https://blog.naver.com/PostView.naver?blogId=soxocoo&amp;logNo=223888445916&amp;redirect=Dlog&amp;widgetTypeCall=true&amp;directAccess=false</t>
  </si>
  <si>
    <t>[1020일 줄 알았는데…50대가 '여기'에 돈 가장 많이 썼다] 김연하.서울경제 -[요약] ■최근 1년 간 국내 패션제품 소비액 83조 원 ■캐주얼복 22조4695억원으로 1위</t>
  </si>
  <si>
    <t>https://blog.naver.com/PostView.naver?blogId=cskw11&amp;logNo=223888337504&amp;redirect=Dlog&amp;widgetTypeCall=true&amp;directAccess=false</t>
  </si>
  <si>
    <t>블랙캐츠</t>
  </si>
  <si>
    <t>조국 "이재명 정부 반드시 성공해야···작은 힘 보탤 것"</t>
  </si>
  <si>
    <t>https://blog.naver.com/PostView.naver?blogId=hun4339&amp;logNo=223888296795&amp;redirect=Dlog&amp;widgetTypeCall=true&amp;directAccess=false</t>
  </si>
  <si>
    <t>아이티동아 공식</t>
  </si>
  <si>
    <t>SBA, 초격차 스타트업과 혁신 이끌 ‘2025 이노웨이브’ 모집</t>
  </si>
  <si>
    <t>https://blog.naver.com/PostView.naver?blogId=itdonga_me&amp;logNo=223888235429&amp;redirect=Dlog&amp;widgetTypeCall=true&amp;directAccess=false</t>
  </si>
  <si>
    <t>짱 떠나자</t>
  </si>
  <si>
    <t>11,다하우- - -드레피스</t>
  </si>
  <si>
    <t>https://blog.naver.com/PostView.naver?blogId=goandsee7&amp;logNo=223888188965&amp;redirect=Dlog&amp;widgetTypeCall=true&amp;directAccess=false</t>
  </si>
  <si>
    <t>얀</t>
  </si>
  <si>
    <t>[신문읽기]모아타운,111곳 중 착공 1곳뿐···낮은 사업성·주민갈등</t>
  </si>
  <si>
    <t>https://blog.naver.com/PostView.naver?blogId=leeyian&amp;logNo=223888092002&amp;redirect=Dlog&amp;widgetTypeCall=true&amp;directAccess=false</t>
  </si>
  <si>
    <t>크래프톤, 인도 광고 시상식 '큐리어스'서 본상</t>
  </si>
  <si>
    <t>https://blog.naver.com/PostView.naver?blogId=jch4512&amp;logNo=223888107453&amp;redirect=Dlog&amp;widgetTypeCall=true&amp;directAccess=false</t>
  </si>
  <si>
    <t>이종우교수</t>
  </si>
  <si>
    <t>[유통전문가] 2025년 유통 전망 및 이재명대통령 새정부 유통정책, 쿠팡 네이버쇼핑 이커머스 성장과 대형마트 기업형슈퍼마켓 대응, 유통법 온라인 플랫폼법 제정 이종우교수</t>
  </si>
  <si>
    <t>https://blog.naver.com/PostView.naver?blogId=marketinglab-blog&amp;logNo=223887984800&amp;redirect=Dlog&amp;widgetTypeCall=true&amp;directAccess=false</t>
  </si>
  <si>
    <t>심심안심심</t>
  </si>
  <si>
    <t>CES 2026 서울통합관 G밸리 참가기업 모집</t>
  </si>
  <si>
    <t>https://blog.naver.com/PostView.naver?blogId=titiho_&amp;logNo=223887951133&amp;redirect=Dlog&amp;widgetTypeCall=true&amp;directAccess=false</t>
  </si>
  <si>
    <t>2025년 B the B 뷰티 선도기업 발굴 및 지원사업</t>
  </si>
  <si>
    <t>https://blog.naver.com/PostView.naver?blogId=titiho_&amp;logNo=223887949470&amp;redirect=Dlog&amp;widgetTypeCall=true&amp;directAccess=false</t>
  </si>
  <si>
    <t>지금</t>
  </si>
  <si>
    <t>포항시 도시재생사업의 한계와 개선방안: 중앙동 ‘꿈틀로’ 사례를 중심으로</t>
  </si>
  <si>
    <t>https://blog.naver.com/PostView.naver?blogId=angel030428&amp;logNo=223885964005&amp;redirect=Dlog&amp;widgetTypeCall=true&amp;directAccess=false</t>
  </si>
  <si>
    <t>RORA</t>
  </si>
  <si>
    <t>‘뇌출혈, 치매 무섭다면…’ 꼭 받아야 하는 검사는?</t>
  </si>
  <si>
    <t>https://blog.naver.com/PostView.naver?blogId=pemf9988&amp;logNo=223883905034&amp;redirect=Dlog&amp;widgetTypeCall=true&amp;directAccess=false</t>
  </si>
  <si>
    <t>코주부</t>
  </si>
  <si>
    <t>새 21대 대통령</t>
  </si>
  <si>
    <t>https://blog.naver.com/PostView.naver?blogId=kozoobu46&amp;logNo=223887708398&amp;redirect=Dlog&amp;widgetTypeCall=true&amp;directAccess=false</t>
  </si>
  <si>
    <t>[실리콘밸리View] [미 의회 “중 투자 해명해”… 고달픈 젠슨 황] 윤민혁 서울경제 실리콘밸리 특파원^미주한국일보</t>
  </si>
  <si>
    <t>https://blog.naver.com/PostView.naver?blogId=cskw11&amp;logNo=223887640902&amp;redirect=Dlog&amp;widgetTypeCall=true&amp;directAccess=false</t>
  </si>
  <si>
    <t>특종 공인중개사</t>
  </si>
  <si>
    <t>서울 집합건물 '생애 최초 매입' 40% 넘어…작년 5월 이후 가장 높아</t>
  </si>
  <si>
    <t>https://blog.naver.com/PostView.naver?blogId=tmahahs7&amp;logNo=223887285510&amp;redirect=Dlog&amp;widgetTypeCall=true&amp;directAccess=false</t>
  </si>
  <si>
    <t>주아로그</t>
  </si>
  <si>
    <t>#_2</t>
  </si>
  <si>
    <t>https://blog.naver.com/PostView.naver?blogId=lagomjua&amp;logNo=223887028724&amp;redirect=Dlog&amp;widgetTypeCall=true&amp;directAccess=false</t>
  </si>
  <si>
    <t>2025년 6월3일(화)  주요언론 헤드라인</t>
  </si>
  <si>
    <t>https://blog.naver.com/PostView.naver?blogId=cavin419&amp;logNo=223886998758&amp;redirect=Dlog&amp;widgetTypeCall=true&amp;directAccess=false</t>
  </si>
  <si>
    <t>한국 자동차업계의 내수 및 수출 부진 원인 분석</t>
  </si>
  <si>
    <t>https://blog.naver.com/PostView.naver?blogId=newyorkmanhattan&amp;logNo=223886987868&amp;redirect=Dlog&amp;widgetTypeCall=true&amp;directAccess=false</t>
  </si>
  <si>
    <t>6.3 국민 주권행사일 "내란종식과 진짜 대한민국 새 역사 새 희망 세우는 날"...투표 안하면 국민 자격 없다!</t>
  </si>
  <si>
    <t>https://blog.naver.com/PostView.naver?blogId=freemidas225&amp;logNo=223886968502&amp;redirect=Dlog&amp;widgetTypeCall=true&amp;directAccess=false</t>
  </si>
  <si>
    <t>북한의 '괴뢰 한국' 표현 중단 배경과 이유</t>
  </si>
  <si>
    <t>https://blog.naver.com/PostView.naver?blogId=newyorkmanhattan&amp;logNo=223886932275&amp;redirect=Dlog&amp;widgetTypeCall=true&amp;directAccess=false</t>
  </si>
  <si>
    <t>“일본 채권쪽 문제가 생길 수 있습니다.” 의 영상 요약</t>
  </si>
  <si>
    <t>https://blog.naver.com/PostView.naver?blogId=lucidjun&amp;logNo=223886869302&amp;redirect=Dlog&amp;widgetTypeCall=true&amp;directAccess=false</t>
  </si>
  <si>
    <t>2025년 6월 3일, 오늘의 주요 경제뉴스 스크랩(국내 글로벌)</t>
  </si>
  <si>
    <t>https://blog.naver.com/PostView.naver?blogId=promising_people&amp;logNo=223886704912&amp;redirect=Dlog&amp;widgetTypeCall=true&amp;directAccess=false</t>
  </si>
  <si>
    <t>경제 스터디 21일차 토스 대출 규제 광고 논란</t>
  </si>
  <si>
    <t>https://blog.naver.com/PostView.naver?blogId=yesnogirl_410&amp;logNo=223886829225&amp;redirect=Dlog&amp;widgetTypeCall=true&amp;directAccess=false</t>
  </si>
  <si>
    <t>버스요금 1500원---&gt;1800원 되나 - 통상임금 후폭풍,,,</t>
  </si>
  <si>
    <t>https://blog.naver.com/PostView.naver?blogId=ok2014827&amp;logNo=223886030752&amp;redirect=Dlog&amp;widgetTypeCall=true&amp;directAccess=false</t>
  </si>
  <si>
    <t>리빙스턴</t>
  </si>
  <si>
    <t>(조선/해운) "북극 바닷길 연다" KMI, 북극항로·해양수산AI전환 전담조직 신설</t>
  </si>
  <si>
    <t>https://blog.naver.com/PostView.naver?blogId=saentis&amp;logNo=223890862265&amp;redirect=Dlog&amp;widgetTypeCall=true&amp;directAccess=false</t>
  </si>
  <si>
    <t>6604ksk</t>
  </si>
  <si>
    <t>난 전국민의 반이 모질이라고 생각한다. 어떻게 최악의 내수 경기 상황을 살리는게 갈라치기라고 이야기하는가..?? 이번에 내란당을 찍은 40%는 진정 변해야 한다고 생각한다...</t>
  </si>
  <si>
    <t>https://blog.naver.com/PostView.naver?blogId=samsongeko1&amp;logNo=223890541631&amp;redirect=Dlog&amp;widgetTypeCall=true&amp;directAccess=false</t>
  </si>
  <si>
    <t>김성헌의 재건축 공부</t>
  </si>
  <si>
    <t>[] 李대통령 재건축 문턱 낮춘다지만 --서울 집값 더 오른다</t>
  </si>
  <si>
    <t>https://blog.naver.com/PostView.naver?blogId=mr_anselmus&amp;logNo=223890525591&amp;redirect=Dlog&amp;widgetTypeCall=true&amp;directAccess=false</t>
  </si>
  <si>
    <t>유럽중앙은행, 금리 0.25％P 또 인하…1년새 8번째</t>
  </si>
  <si>
    <t>https://blog.naver.com/PostView.naver?blogId=6604ksk&amp;logNo=223890373120&amp;redirect=Dlog&amp;widgetTypeCall=true&amp;directAccess=false</t>
  </si>
  <si>
    <t>2025년 6월 6일, 오늘의 주요 경제뉴스 스크랩(국내 글로벌)</t>
  </si>
  <si>
    <t>https://blog.naver.com/PostView.naver?blogId=promising_people&amp;logNo=223890358536&amp;redirect=Dlog&amp;widgetTypeCall=true&amp;directAccess=false</t>
  </si>
  <si>
    <t>jaceblog</t>
  </si>
  <si>
    <t>한국 환율관찰대상국 재지정: 의미와 전망</t>
  </si>
  <si>
    <t>https://blog.naver.com/PostView.naver?blogId=jaceblog&amp;logNo=223890284855&amp;redirect=Dlog&amp;widgetTypeCall=true&amp;directAccess=false</t>
  </si>
  <si>
    <t>햄프씨</t>
  </si>
  <si>
    <t>李대통령, 재건축 문턱 낮춘다지만…서울 집값 더 오른다</t>
  </si>
  <si>
    <t>https://blog.naver.com/PostView.naver?blogId=koolap&amp;logNo=223890267297&amp;redirect=Dlog&amp;widgetTypeCall=true&amp;directAccess=false</t>
  </si>
  <si>
    <t>2025년 6월6일(금) 주요언론 헤드라인</t>
  </si>
  <si>
    <t>https://blog.naver.com/PostView.naver?blogId=cavin419&amp;logNo=223890264005&amp;redirect=Dlog&amp;widgetTypeCall=true&amp;directAccess=false</t>
  </si>
  <si>
    <t>2025.06.05 경제신문 읽기</t>
  </si>
  <si>
    <t>https://blog.naver.com/PostView.naver?blogId=letsgo_travel&amp;logNo=223890024311&amp;redirect=Dlog&amp;widgetTypeCall=true&amp;directAccess=false</t>
  </si>
  <si>
    <t>Copy machine</t>
  </si>
  <si>
    <t>두산에너빌리티(CAPEX투자)</t>
  </si>
  <si>
    <t>https://blog.naver.com/PostView.naver?blogId=richplay_&amp;logNo=223889965596&amp;redirect=Dlog&amp;widgetTypeCall=true&amp;directAccess=false</t>
  </si>
  <si>
    <t>서하트</t>
  </si>
  <si>
    <t>금호 SLM 이창욱·노동기, 슈퍼레이스 복귀전 예선 1위, 2위 차지</t>
  </si>
  <si>
    <t>https://blog.naver.com/PostView.naver?blogId=vorlolv&amp;logNo=223889928699&amp;redirect=Dlog&amp;widgetTypeCall=true&amp;directAccess=false</t>
  </si>
  <si>
    <t>2025년 6월 5일, 권성동, 국민의힘 원내대표직 사퇴. X반응.</t>
  </si>
  <si>
    <t>https://blog.naver.com/PostView.naver?blogId=shinswoong75&amp;logNo=223889773069&amp;redirect=Dlog&amp;widgetTypeCall=true&amp;directAccess=false</t>
  </si>
  <si>
    <t>ACE</t>
  </si>
  <si>
    <t>AI 에너지, 자원 문제에 대한 언론사 비디오</t>
  </si>
  <si>
    <t>https://blog.naver.com/PostView.naver?blogId=herbsod&amp;logNo=223889677553&amp;redirect=Dlog&amp;widgetTypeCall=true&amp;directAccess=false</t>
  </si>
  <si>
    <t>둘리</t>
  </si>
  <si>
    <t>MZ 사로잡은 '뮷즈'</t>
  </si>
  <si>
    <t>https://blog.naver.com/PostView.naver?blogId=dolee_2002&amp;logNo=223889601030&amp;redirect=Dlog&amp;widgetTypeCall=true&amp;directAccess=false</t>
  </si>
  <si>
    <t>유림</t>
  </si>
  <si>
    <t>[오늘의 뉴스 요약 정리] 하반기 빈틈 노린다…조선 호황에도 주가 덜 오른 삼성중공업, 순매수 1위 [주식 초고수는 지금]</t>
  </si>
  <si>
    <t>https://blog.naver.com/PostView.naver?blogId=rimchoice&amp;logNo=223889562345&amp;redirect=Dlog&amp;widgetTypeCall=true&amp;directAccess=false</t>
  </si>
  <si>
    <t>우먼스토리뉴스</t>
  </si>
  <si>
    <t>서울시, 청년이 '오래 일하고 싶은' 서울형 강소기업 50곳 신규 선정</t>
  </si>
  <si>
    <t>https://blog.naver.com/PostView.naver?blogId=jjatti&amp;logNo=223889297637&amp;redirect=Dlog&amp;widgetTypeCall=true&amp;directAccess=false</t>
  </si>
  <si>
    <t>정진태</t>
  </si>
  <si>
    <t>여론조사 ARS 전화조사 방식에 대해(5.21)</t>
  </si>
  <si>
    <t>https://blog.naver.com/PostView.naver?blogId=jtjwith&amp;logNo=223889297268&amp;redirect=Dlog&amp;widgetTypeCall=true&amp;directAccess=false</t>
  </si>
  <si>
    <t>지옹</t>
  </si>
  <si>
    <t>모닝스쿨 23일차(25.06.05(목))</t>
  </si>
  <si>
    <t>https://blog.naver.com/PostView.naver?blogId=data_ji0&amp;logNo=223889165208&amp;redirect=Dlog&amp;widgetTypeCall=true&amp;directAccess=false</t>
  </si>
  <si>
    <t>2025년 6월 5일, 오늘의 주요 경제뉴스 스크랩(국내 글로벌)</t>
  </si>
  <si>
    <t>https://blog.naver.com/PostView.naver?blogId=promising_people&amp;logNo=223888847389&amp;redirect=Dlog&amp;widgetTypeCall=true&amp;directAccess=false</t>
  </si>
  <si>
    <t>이재명, 내란지원금 25만원 나오면 담배나 사 필까 봐?</t>
  </si>
  <si>
    <t>https://blog.naver.com/PostView.naver?blogId=zeenokim&amp;logNo=223889056230&amp;redirect=Dlog&amp;widgetTypeCall=true&amp;directAccess=false</t>
  </si>
  <si>
    <t>“코스피, 왜 이렇게 오르나” 의 영상 요약</t>
  </si>
  <si>
    <t>https://blog.naver.com/PostView.naver?blogId=lucidjun&amp;logNo=223893794281&amp;redirect=Dlog&amp;widgetTypeCall=true&amp;directAccess=false</t>
  </si>
  <si>
    <t>6월9일(월) 카카오 / 스테이블코인</t>
  </si>
  <si>
    <t>https://blog.naver.com/PostView.naver?blogId=komo082&amp;logNo=223893735567&amp;redirect=Dlog&amp;widgetTypeCall=true&amp;directAccess=false</t>
  </si>
  <si>
    <t>주변인</t>
  </si>
  <si>
    <t>커피(咖啡)</t>
  </si>
  <si>
    <t>https://blog.naver.com/PostView.naver?blogId=kkhang97&amp;logNo=223893497263&amp;redirect=Dlog&amp;widgetTypeCall=true&amp;directAccess=false</t>
  </si>
  <si>
    <t>코엑스</t>
  </si>
  <si>
    <t>‘2025 베트남 국제 프리미엄 소비재전’ 성료</t>
  </si>
  <si>
    <t>https://blog.naver.com/PostView.naver?blogId=coex_blog&amp;logNo=223893344217&amp;redirect=Dlog&amp;widgetTypeCall=true&amp;directAccess=false</t>
  </si>
  <si>
    <t>P0LAR VEAR</t>
  </si>
  <si>
    <t>조선땅의 벙커에 대해 알아보자!</t>
  </si>
  <si>
    <t>https://blog.naver.com/PostView.naver?blogId=polarbear545&amp;logNo=223893207298&amp;redirect=Dlog&amp;widgetTypeCall=true&amp;directAccess=false</t>
  </si>
  <si>
    <t>smaile snail</t>
  </si>
  <si>
    <t>SK플라즈마, ADC 항암 신약 개발 나선다</t>
  </si>
  <si>
    <t>https://blog.naver.com/PostView.naver?blogId=smailesnail&amp;logNo=223893181860&amp;redirect=Dlog&amp;widgetTypeCall=true&amp;directAccess=false</t>
  </si>
  <si>
    <t>셀트리온, 유럽서 스텔라라 바이오시밀러 ‘코이볼마’ 품목 허가</t>
  </si>
  <si>
    <t>https://blog.naver.com/PostView.naver?blogId=smailesnail&amp;logNo=223893181040&amp;redirect=Dlog&amp;widgetTypeCall=true&amp;directAccess=false</t>
  </si>
  <si>
    <t>삼성바이오에피스, 일본 시장 진출한다</t>
  </si>
  <si>
    <t>https://blog.naver.com/PostView.naver?blogId=smailesnail&amp;logNo=223893176095&amp;redirect=Dlog&amp;widgetTypeCall=true&amp;directAccess=false</t>
  </si>
  <si>
    <t>문재인 정부가 집값을 大폭등시킨 과정</t>
  </si>
  <si>
    <t>https://blog.naver.com/PostView.naver?blogId=hegel38&amp;logNo=223892992537&amp;redirect=Dlog&amp;widgetTypeCall=true&amp;directAccess=false</t>
  </si>
  <si>
    <t>갓생사는 노루맨</t>
  </si>
  <si>
    <t>[한국증시] 외국인이 순매수하는 한국 증시, 사도 될까?</t>
  </si>
  <si>
    <t>https://blog.naver.com/PostView.naver?blogId=godlivenoroo&amp;logNo=223892925858&amp;redirect=Dlog&amp;widgetTypeCall=true&amp;directAccess=false</t>
  </si>
  <si>
    <t>2025년 6월 9일, 오늘의 주요 경제뉴스 스크랩(국내 글로벌)</t>
  </si>
  <si>
    <t>https://blog.naver.com/PostView.naver?blogId=promising_people&amp;logNo=223892697008&amp;redirect=Dlog&amp;widgetTypeCall=true&amp;directAccess=false</t>
  </si>
  <si>
    <t>평촌부자</t>
  </si>
  <si>
    <t>&lt;25년 6월 첫째주&gt;출장중 주말에 정리하는 주식시황</t>
  </si>
  <si>
    <t>https://blog.naver.com/PostView.naver?blogId=ywkim9&amp;logNo=223892828466&amp;redirect=Dlog&amp;widgetTypeCall=true&amp;directAccess=false</t>
  </si>
  <si>
    <t>814.만성 질환의 예방과 치유; 방아쇠 손가락 발병; 하루 종일 휴대폰 들여다보더니 손가락에서 '딱' 소리; '보통 반복적으로 손을 쥐었다 펴는 동작을 많이 할 때 나타날 가능성</t>
  </si>
  <si>
    <t>https://blog.naver.com/PostView.naver?blogId=chkwkim&amp;logNo=223892494610&amp;redirect=Dlog&amp;widgetTypeCall=true&amp;directAccess=false</t>
  </si>
  <si>
    <t>냠냠</t>
  </si>
  <si>
    <t>투자가 존나 어려운 이유 .....</t>
  </si>
  <si>
    <t>https://blog.naver.com/PostView.naver?blogId=sas4321&amp;logNo=223892416696&amp;redirect=Dlog&amp;widgetTypeCall=true&amp;directAccess=false</t>
  </si>
  <si>
    <t>"부장님 카톡 프사까지 지브리였는데"…챗GPT, 한 달 만에 54만명 감소</t>
  </si>
  <si>
    <t>https://blog.naver.com/PostView.naver?blogId=koolap&amp;logNo=223892207011&amp;redirect=Dlog&amp;widgetTypeCall=true&amp;directAccess=false</t>
  </si>
  <si>
    <t>2025년 6월8일(일)  주요언론 헤드라인</t>
  </si>
  <si>
    <t>https://blog.naver.com/PostView.naver?blogId=cavin419&amp;logNo=223892155659&amp;redirect=Dlog&amp;widgetTypeCall=true&amp;directAccess=false</t>
  </si>
  <si>
    <t>동-서갈라치기로 몰표여론.세상물정 ,고생해 본 적 없는 모르는 어정쩡한  40대들-모든 국책지휘자들-과거 반체제운동권자들-이 나라는 이미 색깔이 검붉어지고 있다.</t>
  </si>
  <si>
    <t>https://blog.naver.com/PostView.naver?blogId=danbeenongbu&amp;logNo=223892026030&amp;redirect=Dlog&amp;widgetTypeCall=true&amp;directAccess=false</t>
  </si>
  <si>
    <t>보라구름</t>
  </si>
  <si>
    <t>길 위의 작은 로봇, 그리고 우리</t>
  </si>
  <si>
    <t>https://blog.naver.com/PostView.naver?blogId=violetcloud_&amp;logNo=223891389275&amp;redirect=Dlog&amp;widgetTypeCall=true&amp;directAccess=false</t>
  </si>
  <si>
    <t>스텔라</t>
  </si>
  <si>
    <t>https://blog.naver.com/PostView.naver?blogId=stella5092&amp;logNo=223891997207&amp;redirect=Dlog&amp;widgetTypeCall=true&amp;directAccess=false</t>
  </si>
  <si>
    <t>hyungoat</t>
  </si>
  <si>
    <t>유리기판</t>
  </si>
  <si>
    <t>https://blog.naver.com/PostView.naver?blogId=hyungyuro&amp;logNo=223891853227&amp;redirect=Dlog&amp;widgetTypeCall=true&amp;directAccess=false</t>
  </si>
  <si>
    <t>파루</t>
  </si>
  <si>
    <t>[착장TIP]'백꾸'만으로는 부족해…신발엔 액세서리 붙이고 립밤에 키링 단다</t>
  </si>
  <si>
    <t>https://blog.naver.com/PostView.naver?blogId=dearus7&amp;logNo=223891635409&amp;redirect=Dlog&amp;widgetTypeCall=true&amp;directAccess=false</t>
  </si>
  <si>
    <t>앙코</t>
  </si>
  <si>
    <t>미래에셋증권 - 증권사 eps 상승에 긍정적 업황 +제도변화(리레이팅) 수혜</t>
  </si>
  <si>
    <t>https://blog.naver.com/PostView.naver?blogId=reachingforthemoon&amp;logNo=223891553091&amp;redirect=Dlog&amp;widgetTypeCall=true&amp;directAccess=false</t>
  </si>
  <si>
    <t>2025년 6월7일(토) 주요언론 헤드라인</t>
  </si>
  <si>
    <t>https://blog.naver.com/PostView.naver?blogId=cavin419&amp;logNo=223891186615&amp;redirect=Dlog&amp;widgetTypeCall=true&amp;directAccess=false</t>
  </si>
  <si>
    <t>내일은 좀 더 열심히 할게요</t>
  </si>
  <si>
    <t>https://blog.naver.com/PostView.naver?blogId=victorias444&amp;logNo=223890953676&amp;redirect=Dlog&amp;widgetTypeCall=true&amp;directAccess=false</t>
  </si>
  <si>
    <t>Yooniverse</t>
  </si>
  <si>
    <t>[더맛있는간장 생강 진간장 안동간장 900ml 흑마늘생강더맛있는간장프리미엄맛간장] 간장 하나 바꿨을 뿐인데, 반찬이 필요 없어졌습니다</t>
  </si>
  <si>
    <t>https://blog.naver.com/PostView.naver?blogId=minji_yoo-&amp;logNo=223896192179&amp;redirect=Dlog&amp;widgetTypeCall=true&amp;directAccess=false</t>
  </si>
  <si>
    <t>워킹맘안해요</t>
  </si>
  <si>
    <t>[250609] 가상자산 정책주 : 봉이 김선달을 찾아서..</t>
  </si>
  <si>
    <t>https://blog.naver.com/PostView.naver?blogId=victory_057&amp;logNo=223896179009&amp;redirect=Dlog&amp;widgetTypeCall=true&amp;directAccess=false</t>
  </si>
  <si>
    <t>오비탈</t>
  </si>
  <si>
    <t>연봉이 적어도 다니고 싶은 회사(2030직장트렌드)</t>
  </si>
  <si>
    <t>https://blog.naver.com/PostView.naver?blogId=blue2lily&amp;logNo=223895885169&amp;redirect=Dlog&amp;widgetTypeCall=true&amp;directAccess=false</t>
  </si>
  <si>
    <t>2025년 6월 11일, 대통령실 대변인 이재명 대통령, "주가지수 5000시대 활짝 열어가자" 발언. X 반응.</t>
  </si>
  <si>
    <t>https://blog.naver.com/PostView.naver?blogId=shinswoong75&amp;logNo=223896101197&amp;redirect=Dlog&amp;widgetTypeCall=true&amp;directAccess=false</t>
  </si>
  <si>
    <t>2025년 6월 11일, 대통령실 대변인 이재명 대통령, 주가 조작 원스트라이크아웃제 도입 발언. X 반응.</t>
  </si>
  <si>
    <t>https://blog.naver.com/PostView.naver?blogId=shinswoong75&amp;logNo=223896093087&amp;redirect=Dlog&amp;widgetTypeCall=true&amp;directAccess=false</t>
  </si>
  <si>
    <t>2025년 6월 11일, 대통령실 대변인 이재명 대통령, 자본시장 활성화 위해 신뢰 확보 강조. X 반응</t>
  </si>
  <si>
    <t>https://blog.naver.com/PostView.naver?blogId=shinswoong75&amp;logNo=223896089483&amp;redirect=Dlog&amp;widgetTypeCall=true&amp;directAccess=false</t>
  </si>
  <si>
    <t>펌글-[단독] GS25서 사라진 TOP커피…'햇반대첩' 재현되나</t>
  </si>
  <si>
    <t>https://blog.naver.com/PostView.naver?blogId=ai1009&amp;logNo=223896055438&amp;redirect=Dlog&amp;widgetTypeCall=true&amp;directAccess=false</t>
  </si>
  <si>
    <t>바른치킨</t>
  </si>
  <si>
    <t>6월까지 연장하는바치케 사은행사!</t>
  </si>
  <si>
    <t>https://blog.naver.com/PostView.naver?blogId=barunchicken&amp;logNo=223896044228&amp;redirect=Dlog&amp;widgetTypeCall=true&amp;directAccess=false</t>
  </si>
  <si>
    <t>엠디전략연구소</t>
  </si>
  <si>
    <t>⊙과자류 시장규모</t>
  </si>
  <si>
    <t>https://blog.naver.com/PostView.naver?blogId=merchandising114&amp;logNo=223896034672&amp;redirect=Dlog&amp;widgetTypeCall=true&amp;directAccess=false</t>
  </si>
  <si>
    <t>[250611] 강세장이 왔나? 작년 고점 돌파한 코스피, 2907, 오늘은 태양광, 한화솔루션 급등</t>
  </si>
  <si>
    <t>https://blog.naver.com/PostView.naver?blogId=hejiongxi&amp;logNo=223895837644&amp;redirect=Dlog&amp;widgetTypeCall=true&amp;directAccess=false</t>
  </si>
  <si>
    <t>中 우시바이오, 청두에 미생물 공장 착공</t>
  </si>
  <si>
    <t>https://blog.naver.com/PostView.naver?blogId=smailesnail&amp;logNo=223895828923&amp;redirect=Dlog&amp;widgetTypeCall=true&amp;directAccess=false</t>
  </si>
  <si>
    <t>CO2</t>
  </si>
  <si>
    <t>서울에너지公, 글로벌 녹색전환 주도·ESG 협력 거점화</t>
  </si>
  <si>
    <t>https://blog.naver.com/PostView.naver?blogId=co2korea&amp;logNo=223895748495&amp;redirect=Dlog&amp;widgetTypeCall=true&amp;directAccess=false</t>
  </si>
  <si>
    <t>별건축사사무소</t>
  </si>
  <si>
    <t>08_동백 아펠바움_가와종합건축사사무소</t>
  </si>
  <si>
    <t>https://blog.naver.com/PostView.naver?blogId=actby&amp;logNo=223895713251&amp;redirect=Dlog&amp;widgetTypeCall=true&amp;directAccess=false</t>
  </si>
  <si>
    <t>관리팀</t>
  </si>
  <si>
    <t>[속보] '시위 지속' 美로스앤젤레스 도심에 야간 통금령</t>
  </si>
  <si>
    <t>https://blog.naver.com/PostView.naver?blogId=brilliant_gh&amp;logNo=223895649299&amp;redirect=Dlog&amp;widgetTypeCall=true&amp;directAccess=false</t>
  </si>
  <si>
    <t>국내외 경제 동향 및 주요 뉴스('25.06.11)_WB, 美 관세전쟁 탓 올 세계성장률 2.7→2.3% 하향…글로벌 금융위기와 코로나19 제외 시 최저치, “美 1.4% 반토막"</t>
  </si>
  <si>
    <t>https://blog.naver.com/PostView.naver?blogId=pbs6609&amp;logNo=223895544488&amp;redirect=Dlog&amp;widgetTypeCall=true&amp;directAccess=false</t>
  </si>
  <si>
    <t>152개 광역·기초 문화재단 뭉쳤다…한지총 ‘지역상생·문화동행’ 사업 스타트</t>
  </si>
  <si>
    <t>https://blog.naver.com/PostView.naver?blogId=mrqu&amp;logNo=223895534531&amp;redirect=Dlog&amp;widgetTypeCall=true&amp;directAccess=false</t>
  </si>
  <si>
    <t>공기밥</t>
  </si>
  <si>
    <t>[공기밥의 기사 체크] "에이비온" 유증이든 뭐든 자본조달 필수인데</t>
  </si>
  <si>
    <t>https://blog.naver.com/PostView.naver?blogId=gongibob-&amp;logNo=223895472740&amp;redirect=Dlog&amp;widgetTypeCall=true&amp;directAccess=false</t>
  </si>
  <si>
    <t>철도연, '폐콘크리트침목' 유용 자원으로...재자원화 장치 개발</t>
  </si>
  <si>
    <t>https://blog.naver.com/PostView.naver?blogId=jch4512&amp;logNo=223895416375&amp;redirect=Dlog&amp;widgetTypeCall=true&amp;directAccess=false</t>
  </si>
  <si>
    <t>DDP 쇼룸, 개관 1년만에 120만명 방문…‘동대문 상권’ 활성화 기여</t>
  </si>
  <si>
    <t>https://blog.naver.com/PostView.naver?blogId=tenantnews&amp;logNo=223895412234&amp;redirect=Dlog&amp;widgetTypeCall=true&amp;directAccess=false</t>
  </si>
  <si>
    <t>단츄</t>
  </si>
  <si>
    <t>서울포럼 2025 현장후기 – 기술, 인간, 그리고 공존의 이야기</t>
  </si>
  <si>
    <t>https://blog.naver.com/PostView.naver?blogId=danchooo_&amp;logNo=223895406138&amp;redirect=Dlog&amp;widgetTypeCall=true&amp;directAccess=false</t>
  </si>
  <si>
    <t>하쿠다</t>
  </si>
  <si>
    <t>디와이피엔에프(104460)</t>
  </si>
  <si>
    <t>https://blog.naver.com/PostView.naver?blogId=loader_kor&amp;logNo=223894881649&amp;redirect=Dlog&amp;widgetTypeCall=true&amp;directAccess=false</t>
  </si>
  <si>
    <t>루빵</t>
  </si>
  <si>
    <t>서울포럼 2025 이틀간의 기록 - 인공지능의 오늘과 내일을 만나다</t>
  </si>
  <si>
    <t>https://blog.naver.com/PostView.naver?blogId=ruppang_&amp;logNo=223894774062&amp;redirect=Dlog&amp;widgetTypeCall=true&amp;directAccess=false</t>
  </si>
  <si>
    <t>과천서 딱 1가구, 줍줍 대박 아파트 "15억-&gt; 5억에 사세요"</t>
  </si>
  <si>
    <t>https://blog.naver.com/PostView.naver?blogId=puppyunh&amp;logNo=223894601667&amp;redirect=Dlog&amp;widgetTypeCall=true&amp;directAccess=false</t>
  </si>
  <si>
    <t>더블 라이프</t>
  </si>
  <si>
    <t>무순위 청약, 이제 무주택자만 신청 가능</t>
  </si>
  <si>
    <t>https://blog.naver.com/PostView.naver?blogId=dreamlife109&amp;logNo=223894568133&amp;redirect=Dlog&amp;widgetTypeCall=true&amp;directAccess=false</t>
  </si>
  <si>
    <t>금남정맥07 - 계룡산 구간 : 조선의 수도가 될뻔 했던 계룡산의 기를 받고 오다..</t>
  </si>
  <si>
    <t>https://blog.naver.com/PostView.naver?blogId=kmhcsh-&amp;logNo=223894495604&amp;redirect=Dlog&amp;widgetTypeCall=true&amp;directAccess=false</t>
  </si>
  <si>
    <t>happyrun777</t>
  </si>
  <si>
    <t>469권 부자는 됐고 적당히 적당히 벌고 잘사는법</t>
  </si>
  <si>
    <t>https://blog.naver.com/PostView.naver?blogId=happyrun777&amp;logNo=223894283918&amp;redirect=Dlog&amp;widgetTypeCall=true&amp;directAccess=false</t>
  </si>
  <si>
    <t>펭관</t>
  </si>
  <si>
    <t>토허구역확대에도 못 잡은 강남 매수 심리 당연한걸..</t>
  </si>
  <si>
    <t>https://blog.naver.com/PostView.naver?blogId=penguin0805&amp;logNo=223893597623&amp;redirect=Dlog&amp;widgetTypeCall=true&amp;directAccess=false</t>
  </si>
  <si>
    <t>감동감격! 4만원짜리 시계 "이재명 대통령이 차니...4백만원 가치"</t>
  </si>
  <si>
    <t>https://blog.naver.com/PostView.naver?blogId=freemidas225&amp;logNo=223894138570&amp;redirect=Dlog&amp;widgetTypeCall=true&amp;directAccess=false</t>
  </si>
  <si>
    <t>“[심층인터뷰] 세계 최고 부자 vs 세계 최강 대통령 그 승자는? f.이승원 교수 한양대학교 교육대학원” 의 영상 요약</t>
  </si>
  <si>
    <t>https://blog.naver.com/PostView.naver?blogId=lucidjun&amp;logNo=223894119053&amp;redirect=Dlog&amp;widgetTypeCall=true&amp;directAccess=false</t>
  </si>
  <si>
    <t>오늘 읽은 뉴스(250610)</t>
  </si>
  <si>
    <t>https://blog.naver.com/PostView.naver?blogId=baek7915&amp;logNo=223894107134&amp;redirect=Dlog&amp;widgetTypeCall=true&amp;directAccess=false</t>
  </si>
  <si>
    <t>2025년 6월 10일, 오늘의 주요 경제뉴스 스크랩(국내 글로벌)</t>
  </si>
  <si>
    <t>https://blog.naver.com/PostView.naver?blogId=promising_people&amp;logNo=223893879100&amp;redirect=Dlog&amp;widgetTypeCall=true&amp;directAccess=false</t>
  </si>
  <si>
    <t>사계절중지금은</t>
  </si>
  <si>
    <t>지역화폐 전국민에게뿌린다</t>
  </si>
  <si>
    <t>https://blog.naver.com/PostView.naver?blogId=spaclean&amp;logNo=223894085277&amp;redirect=Dlog&amp;widgetTypeCall=true&amp;directAccess=false</t>
  </si>
  <si>
    <t>초록괴물</t>
  </si>
  <si>
    <t>초록괴물의 2025년도 K-저작권 지킴이 발대식 후기🙌</t>
  </si>
  <si>
    <t>https://blog.naver.com/PostView.naver?blogId=midori_monster&amp;logNo=223898566363&amp;redirect=Dlog&amp;widgetTypeCall=true&amp;directAccess=false</t>
  </si>
  <si>
    <t>도레미</t>
  </si>
  <si>
    <t>[여담] 로또에 기대는 사람들 그리고 고흐의 편지 + [참고적인 지적]</t>
  </si>
  <si>
    <t>https://blog.naver.com/PostView.naver?blogId=kominerba&amp;logNo=223898413878&amp;redirect=Dlog&amp;widgetTypeCall=true&amp;directAccess=false</t>
  </si>
  <si>
    <t>국회의원 김민전</t>
  </si>
  <si>
    <t>"원구성 충돌 그만"…김민전, 상임위원장 독식 방지법 발의 (25.06.12.)</t>
  </si>
  <si>
    <t>https://blog.naver.com/PostView.naver?blogId=mgk2224&amp;logNo=223898141297&amp;redirect=Dlog&amp;widgetTypeCall=true&amp;directAccess=false</t>
  </si>
  <si>
    <t>지프, 아웃도어 감성 강조한 ‘왜고니어 오버랜드 스페셜 에디션’ 공개</t>
  </si>
  <si>
    <t>https://blog.naver.com/PostView.naver?blogId=bshui122&amp;logNo=223897887790&amp;redirect=Dlog&amp;widgetTypeCall=true&amp;directAccess=false</t>
  </si>
  <si>
    <t>서울창업허브 공덕, 스타트업 해외 진출 전 주기 원스톱 지원</t>
  </si>
  <si>
    <t>https://blog.naver.com/PostView.naver?blogId=titiho_&amp;logNo=223897838067&amp;redirect=Dlog&amp;widgetTypeCall=true&amp;directAccess=false</t>
  </si>
  <si>
    <t>2025년 6월13일(금) 오늘의 주요언론 헤드라인</t>
  </si>
  <si>
    <t>https://blog.naver.com/PostView.naver?blogId=cavin419&amp;logNo=223897826433&amp;redirect=Dlog&amp;widgetTypeCall=true&amp;directAccess=false</t>
  </si>
  <si>
    <t>국내외 경제 동향 및 주요 뉴스('25.06.13)_韓, 가계부채 비율 90%로 세계 2위…일본의 "잃어버린 30년" 전철 밟을 수도,  부동산에 집중된 부채 구조 개선 시급</t>
  </si>
  <si>
    <t>https://blog.naver.com/PostView.naver?blogId=pbs6609&amp;logNo=223897713786&amp;redirect=Dlog&amp;widgetTypeCall=true&amp;directAccess=false</t>
  </si>
  <si>
    <t>khae</t>
  </si>
  <si>
    <t>우상향 경제 공부</t>
  </si>
  <si>
    <t>https://blog.naver.com/PostView.naver?blogId=kyuhaeart&amp;logNo=223897710867&amp;redirect=Dlog&amp;widgetTypeCall=true&amp;directAccess=false</t>
  </si>
  <si>
    <t>고양은평선 광역철도 '턴키' 방식 일괄입찰 성립…경기서북부 교통 편의↑</t>
  </si>
  <si>
    <t>https://blog.naver.com/PostView.naver?blogId=clean127&amp;logNo=223897698076&amp;redirect=Dlog&amp;widgetTypeCall=true&amp;directAccess=false</t>
  </si>
  <si>
    <t>해외골프회원권 명장</t>
  </si>
  <si>
    <t>PGA 골프대회 우승 트로피</t>
  </si>
  <si>
    <t>https://blog.naver.com/PostView.naver?blogId=richbkim&amp;logNo=223897679591&amp;redirect=Dlog&amp;widgetTypeCall=true&amp;directAccess=false</t>
  </si>
  <si>
    <t>별난 북스</t>
  </si>
  <si>
    <t>다시 종이신문 구독</t>
  </si>
  <si>
    <t>https://blog.naver.com/PostView.naver?blogId=shinshin_23&amp;logNo=223897649863&amp;redirect=Dlog&amp;widgetTypeCall=true&amp;directAccess=false</t>
  </si>
  <si>
    <t>경제적자유를꿈꿔요</t>
  </si>
  <si>
    <t>(기사분석을 통한 투자고민) 서울집값 주간 최대상승, 정부 tf가동</t>
  </si>
  <si>
    <t>https://blog.naver.com/PostView.naver?blogId=rurupapa513&amp;logNo=223897647550&amp;redirect=Dlog&amp;widgetTypeCall=true&amp;directAccess=false</t>
  </si>
  <si>
    <t>풍요</t>
  </si>
  <si>
    <t>`25. 6. 13. 뉴스&amp;생각(서울 오름세에 정부정책나오나?)</t>
  </si>
  <si>
    <t>https://blog.naver.com/PostView.naver?blogId=life2p&amp;logNo=223897621239&amp;redirect=Dlog&amp;widgetTypeCall=true&amp;directAccess=false</t>
  </si>
  <si>
    <t>2025년 6월 13일, 오늘의 주요 경제뉴스 스크랩(국내 글로벌)</t>
  </si>
  <si>
    <t>https://blog.naver.com/PostView.naver?blogId=promising_people&amp;logNo=223897429078&amp;redirect=Dlog&amp;widgetTypeCall=true&amp;directAccess=false</t>
  </si>
  <si>
    <t>84jojo</t>
  </si>
  <si>
    <t>서울경제_금융위 주도 '원화 스테이블코인 법제화'에 제동 건 이창용-6/13</t>
  </si>
  <si>
    <t>https://blog.naver.com/PostView.naver?blogId=84jojo&amp;logNo=223897612646&amp;redirect=Dlog&amp;widgetTypeCall=true&amp;directAccess=false</t>
  </si>
  <si>
    <t>2025년 6월 12일, 대통령실 대변인이 이재명 대통령, 한강 홍수통제소 찾아 수해 대비 관련 발표. X 반응.</t>
  </si>
  <si>
    <t>https://blog.naver.com/PostView.naver?blogId=shinswoong75&amp;logNo=223897434941&amp;redirect=Dlog&amp;widgetTypeCall=true&amp;directAccess=false</t>
  </si>
  <si>
    <t>2025년 6월 12일, 대통령실 대변인이 어제 오후 2시, 우리 군 대북 방송 중지···대남 청취 지역 없어 관련 발표. X 반응.</t>
  </si>
  <si>
    <t>https://blog.naver.com/PostView.naver?blogId=shinswoong75&amp;logNo=223897428236&amp;redirect=Dlog&amp;widgetTypeCall=true&amp;directAccess=false</t>
  </si>
  <si>
    <t>가랑비</t>
  </si>
  <si>
    <t>인공지능과 일하는 노인, 생각일지(25.6.12.목)</t>
  </si>
  <si>
    <t>https://blog.naver.com/PostView.naver?blogId=hbpencil9014&amp;logNo=223896819689&amp;redirect=Dlog&amp;widgetTypeCall=true&amp;directAccess=false</t>
  </si>
  <si>
    <t>이스</t>
  </si>
  <si>
    <t>[미국주식] 아이온큐_보유주식 분석: 다시 급등할 수 있을까</t>
  </si>
  <si>
    <t>https://blog.naver.com/PostView.naver?blogId=escd21&amp;logNo=223897109938&amp;redirect=Dlog&amp;widgetTypeCall=true&amp;directAccess=false</t>
  </si>
  <si>
    <t>재테크하는 클로버</t>
  </si>
  <si>
    <t>채무탕감 18조 원, 대출은 왜 계속 늘까?</t>
  </si>
  <si>
    <t>https://blog.naver.com/PostView.naver?blogId=lancelot85&amp;logNo=223896840443&amp;redirect=Dlog&amp;widgetTypeCall=true&amp;directAccess=false</t>
  </si>
  <si>
    <t>MirrorBall</t>
  </si>
  <si>
    <t>(현대차) 현대차 로보택시 공급 예정 웨이모의 자율주행 건수가 리프트를 넘어섬</t>
  </si>
  <si>
    <t>https://blog.naver.com/PostView.naver?blogId=fantapola2&amp;logNo=223896839093&amp;redirect=Dlog&amp;widgetTypeCall=true&amp;directAccess=false</t>
  </si>
  <si>
    <t>서울창업허브 M+, 스타트업의 EU·중국 진출 돕는다</t>
  </si>
  <si>
    <t>https://blog.naver.com/PostView.naver?blogId=seoulsba&amp;logNo=223896589717&amp;redirect=Dlog&amp;widgetTypeCall=true&amp;directAccess=false</t>
  </si>
  <si>
    <t>워라벨타임스</t>
  </si>
  <si>
    <t>DL이앤씨, '오픈 이노베이션 공모전'…스타트업과 함께 신기술·신사업 발굴</t>
  </si>
  <si>
    <t>https://blog.naver.com/PostView.naver?blogId=wlvtimes&amp;logNo=223896625370&amp;redirect=Dlog&amp;widgetTypeCall=true&amp;directAccess=false</t>
  </si>
  <si>
    <t>KX그룹 최상주 회장, 미래 의과학자 양성 위한 기부 지속…누적 2억원</t>
  </si>
  <si>
    <t>https://blog.naver.com/PostView.naver?blogId=smailesnail&amp;logNo=223896598274&amp;redirect=Dlog&amp;widgetTypeCall=true&amp;directAccess=false</t>
  </si>
  <si>
    <t>2025년 6월12일(목) 주요언론 헤드라인</t>
  </si>
  <si>
    <t>https://blog.naver.com/PostView.naver?blogId=cavin419&amp;logNo=223896595085&amp;redirect=Dlog&amp;widgetTypeCall=true&amp;directAccess=false</t>
  </si>
  <si>
    <t>턴어라운드</t>
  </si>
  <si>
    <t>🌐 2025.06.11. 글로벌 증시 요약</t>
  </si>
  <si>
    <t>https://blog.naver.com/PostView.naver?blogId=npl119&amp;logNo=223896522346&amp;redirect=Dlog&amp;widgetTypeCall=true&amp;directAccess=false</t>
  </si>
  <si>
    <t>주주다</t>
  </si>
  <si>
    <t>삼성전자 ‘HBM4’로 ‘글로벌 D램 점유율 1위’ 탈환 시동건다</t>
  </si>
  <si>
    <t>https://blog.naver.com/PostView.naver?blogId=fagasari&amp;logNo=223896025089&amp;redirect=Dlog&amp;widgetTypeCall=true&amp;directAccess=false</t>
  </si>
  <si>
    <t>기자수첩</t>
  </si>
  <si>
    <t>다문화이민자지원센터 – 열린총회, 다문화이민자 지원 위한 MOU 체결</t>
  </si>
  <si>
    <t>https://blog.naver.com/PostView.naver?blogId=enhanok70&amp;logNo=223896455744&amp;redirect=Dlog&amp;widgetTypeCall=true&amp;directAccess=false</t>
  </si>
  <si>
    <t>(기사 분석을 통한 투자 고민)국내 최대 규모 아파트 1층 상가도 입점률 40%</t>
  </si>
  <si>
    <t>https://blog.naver.com/PostView.naver?blogId=rurupapa513&amp;logNo=223896448992&amp;redirect=Dlog&amp;widgetTypeCall=true&amp;directAccess=false</t>
  </si>
  <si>
    <t>2025년 6월 12일, 오늘의 주요 경제뉴스 스크랩(국내 글로벌)</t>
  </si>
  <si>
    <t>https://blog.naver.com/PostView.naver?blogId=promising_people&amp;logNo=223896305357&amp;redirect=Dlog&amp;widgetTypeCall=true&amp;directAccess=false</t>
  </si>
  <si>
    <t>남화노선</t>
  </si>
  <si>
    <t>2025년 6월 15일, 노력하는자는 즐기는자를 이길수 없다</t>
  </si>
  <si>
    <t>https://blog.naver.com/PostView.naver?blogId=neosea_com&amp;logNo=223900088993&amp;redirect=Dlog&amp;widgetTypeCall=true&amp;directAccess=false</t>
  </si>
  <si>
    <t>JC</t>
  </si>
  <si>
    <t>삼성전자 많이 늦었지만 AMD에 HBM3E 납품｜삼성이 판을 한번은 흔들어주길!</t>
  </si>
  <si>
    <t>https://blog.naver.com/PostView.naver?blogId=gangchel&amp;logNo=223900029209&amp;redirect=Dlog&amp;widgetTypeCall=true&amp;directAccess=false</t>
  </si>
  <si>
    <t>Sky 청송</t>
  </si>
  <si>
    <t>“발견할 땐 이미 늦었다” 한국서 개발, 오차 범위 “사실상 제로”</t>
  </si>
  <si>
    <t>https://blog.naver.com/PostView.naver?blogId=koreakwh1&amp;logNo=223900023893&amp;redirect=Dlog&amp;widgetTypeCall=true&amp;directAccess=false</t>
  </si>
  <si>
    <t>백산수 중국 신공장 가동 10주년···'세계 최고의 물을 위해'</t>
  </si>
  <si>
    <t>https://blog.naver.com/PostView.naver?blogId=chkh506&amp;logNo=223900003615&amp;redirect=Dlog&amp;widgetTypeCall=true&amp;directAccess=false</t>
  </si>
  <si>
    <t>포스코그룹 - 액화천연가스(LNG) 전용선을 도입해 글로벌 에너지 사업을 본격 확대</t>
  </si>
  <si>
    <t>https://blog.naver.com/PostView.naver?blogId=rfkang49&amp;logNo=223899988606&amp;redirect=Dlog&amp;widgetTypeCall=true&amp;directAccess=false</t>
  </si>
  <si>
    <t>2025년 6월15일(일) 주요언론 헤드라인</t>
  </si>
  <si>
    <t>https://blog.naver.com/PostView.naver?blogId=cavin419&amp;logNo=223899846686&amp;redirect=Dlog&amp;widgetTypeCall=true&amp;directAccess=false</t>
  </si>
  <si>
    <t>내비숲</t>
  </si>
  <si>
    <t>국민연금 '받는 사람'만 늘더니 결국…"이대로면 올 한해 지급액 50조원?"</t>
  </si>
  <si>
    <t>https://blog.naver.com/PostView.naver?blogId=hry120&amp;logNo=223899829884&amp;redirect=Dlog&amp;widgetTypeCall=true&amp;directAccess=false</t>
  </si>
  <si>
    <t>쥰</t>
  </si>
  <si>
    <t>현황용적률 인정 재건축 가능한가?</t>
  </si>
  <si>
    <t>https://blog.naver.com/PostView.naver?blogId=jiwoon39&amp;logNo=223899542609&amp;redirect=Dlog&amp;widgetTypeCall=true&amp;directAccess=false</t>
  </si>
  <si>
    <t>오늘의 S&amp;C 6/17 (화) 이채은</t>
  </si>
  <si>
    <t>https://blog.naver.com/PostView.naver?blogId=sncspeech&amp;logNo=223899418708&amp;redirect=Dlog&amp;widgetTypeCall=true&amp;directAccess=false</t>
  </si>
  <si>
    <t>2682.자연치유요법의 중요성; 與 더불어민주당 "대북전단 살포는 현행법 위반…엄정 대응 나서야";“대북 전단 살포는 항공안전법 등 현행법 위반</t>
  </si>
  <si>
    <t>https://blog.naver.com/PostView.naver?blogId=chkwkim&amp;logNo=223899287242&amp;redirect=Dlog&amp;widgetTypeCall=true&amp;directAccess=false</t>
  </si>
  <si>
    <t>펌글-"엄마, 주말인데 좀 더 잘래"…우리 아이 늦잠 '이 시간' 넘기면 해롭다는데</t>
  </si>
  <si>
    <t>https://blog.naver.com/PostView.naver?blogId=ai1009&amp;logNo=223899097442&amp;redirect=Dlog&amp;widgetTypeCall=true&amp;directAccess=false</t>
  </si>
  <si>
    <t>&lt;이재명 자서전&gt;을 읽고 간 재벌총수가 한 사람 있었다는 걸 흐뭇하게 여겨야 할까. 방현석</t>
  </si>
  <si>
    <t>https://blog.naver.com/PostView.naver?blogId=kimdaisuke&amp;logNo=223899067666&amp;redirect=Dlog&amp;widgetTypeCall=true&amp;directAccess=false</t>
  </si>
  <si>
    <t>[06/14] 신문 스크랩</t>
  </si>
  <si>
    <t>https://blog.naver.com/PostView.naver?blogId=chlthr1222&amp;logNo=223898866644&amp;redirect=Dlog&amp;widgetTypeCall=true&amp;directAccess=false</t>
  </si>
  <si>
    <t>nyslydia</t>
  </si>
  <si>
    <t>누구나 쉽게 할 수 있는 매콤달콤 닭볶음탕</t>
  </si>
  <si>
    <t>https://blog.naver.com/PostView.naver?blogId=nyslydia&amp;logNo=223898849339&amp;redirect=Dlog&amp;widgetTypeCall=true&amp;directAccess=false</t>
  </si>
  <si>
    <t>2025년 6월14일(토)  주요언론 헤드라인</t>
  </si>
  <si>
    <t>https://blog.naver.com/PostView.naver?blogId=cavin419&amp;logNo=223898835024&amp;redirect=Dlog&amp;widgetTypeCall=true&amp;directAccess=false</t>
  </si>
  <si>
    <t>💥2026년 서울 아파트값, 어디로 튈까? 이란-이스라엘 전쟁이 던진 충격파와 부동산·주가·건설시장 대해부🏙️</t>
  </si>
  <si>
    <t>https://blog.naver.com/PostView.naver?blogId=g901gg&amp;logNo=223898800243&amp;redirect=Dlog&amp;widgetTypeCall=true&amp;directAccess=false</t>
  </si>
  <si>
    <t>챗GPT' 일시적 오류 사과</t>
  </si>
  <si>
    <t>https://blog.naver.com/PostView.naver?blogId=dlxhrhf&amp;logNo=223898778932&amp;redirect=Dlog&amp;widgetTypeCall=true&amp;directAccess=false</t>
  </si>
  <si>
    <t>오마이컨</t>
  </si>
  <si>
    <t>DL이앤씨, 유망 스타트업 발굴 ‘상생 파트너십’ 구축 나서</t>
  </si>
  <si>
    <t>https://blog.naver.com/PostView.naver?blogId=thys5477&amp;logNo=223898755291&amp;redirect=Dlog&amp;widgetTypeCall=true&amp;directAccess=false</t>
  </si>
  <si>
    <t>2025년 6월 17일, 트럼프 대통령 귀국, 내일 한미 정상회담 어려워. X 반응.</t>
  </si>
  <si>
    <t>https://blog.naver.com/PostView.naver?blogId=shinswoong75&amp;logNo=223902703611&amp;redirect=Dlog&amp;widgetTypeCall=true&amp;directAccess=false</t>
  </si>
  <si>
    <t>2025년 6월 17일, 이재명 대통령, 호주 총리와 정상회담. X 반응.</t>
  </si>
  <si>
    <t>https://blog.naver.com/PostView.naver?blogId=shinswoong75&amp;logNo=223902700798&amp;redirect=Dlog&amp;widgetTypeCall=true&amp;directAccess=false</t>
  </si>
  <si>
    <t>[파마리서치] 이재명 대통령이 꼭 관심 갖고 봐주시길</t>
  </si>
  <si>
    <t>https://blog.naver.com/PostView.naver?blogId=kim4bu_&amp;logNo=223902700743&amp;redirect=Dlog&amp;widgetTypeCall=true&amp;directAccess=false</t>
  </si>
  <si>
    <t>일성</t>
  </si>
  <si>
    <t>삼성전자 늦었지만 AMD이어 브로드컴까지</t>
  </si>
  <si>
    <t>https://blog.naver.com/PostView.naver?blogId=gangchel&amp;logNo=223902638006&amp;redirect=Dlog&amp;widgetTypeCall=true&amp;directAccess=false</t>
  </si>
  <si>
    <t>뉴스스페이스</t>
  </si>
  <si>
    <t>[The Numbers] '리쥬란' 파마리서치 인적분할, 대주주 '정상수' 위한 중복상장?…소액주주 '반발'·시장신뢰 ‘흔들’</t>
  </si>
  <si>
    <t>https://blog.naver.com/PostView.naver?blogId=newsspace&amp;logNo=223902542063&amp;redirect=Dlog&amp;widgetTypeCall=true&amp;directAccess=false</t>
  </si>
  <si>
    <t>원원원 파트너스</t>
  </si>
  <si>
    <t>"힘세고 오래가는 건전지" 광고에 다 속았다? 에너자이저에 무슨 일</t>
  </si>
  <si>
    <t>https://blog.naver.com/PostView.naver?blogId=oneoneone-partners&amp;logNo=223902526759&amp;redirect=Dlog&amp;widgetTypeCall=true&amp;directAccess=false</t>
  </si>
  <si>
    <t>speconomy</t>
  </si>
  <si>
    <t>한국콜마, 티몰글로벌과 손잡고 K뷰티 중국 진출 지원</t>
  </si>
  <si>
    <t>https://blog.naver.com/PostView.naver?blogId=speconomy&amp;logNo=223902353629&amp;redirect=Dlog&amp;widgetTypeCall=true&amp;directAccess=false</t>
  </si>
  <si>
    <t>"이러다 서울 아파트 못 살라"강남 아닌 구축 단지도 신고가</t>
  </si>
  <si>
    <t>https://blog.naver.com/PostView.naver?blogId=foodie-monkey&amp;logNo=223902290765&amp;redirect=Dlog&amp;widgetTypeCall=true&amp;directAccess=false</t>
  </si>
  <si>
    <t>이스라엘도 방공망 뚫려…LIG넥스원 "방사청과 탄도탄 위협 대비"</t>
  </si>
  <si>
    <t>https://blog.naver.com/PostView.naver?blogId=mc341&amp;logNo=223902244946&amp;redirect=Dlog&amp;widgetTypeCall=true&amp;directAccess=false</t>
  </si>
  <si>
    <t>쓰리콘즈</t>
  </si>
  <si>
    <t>&lt;서원밸리CC&gt; 서원밸리 컨트리클럽 - 마음이 착해지는 골프장</t>
  </si>
  <si>
    <t>https://blog.naver.com/PostView.naver?blogId=3consgdr&amp;logNo=223902070433&amp;redirect=Dlog&amp;widgetTypeCall=true&amp;directAccess=false</t>
  </si>
  <si>
    <t>2025년 6월17일(화) 주요언론 헤드라인</t>
  </si>
  <si>
    <t>https://blog.naver.com/PostView.naver?blogId=cavin419&amp;logNo=223901962914&amp;redirect=Dlog&amp;widgetTypeCall=true&amp;directAccess=false</t>
  </si>
  <si>
    <t>경북대 25년 외국인 유학생 2588명 프랑스 유학생 다수 경북대 총장 대구</t>
  </si>
  <si>
    <t>https://blog.naver.com/PostView.naver?blogId=esuccess&amp;logNo=223901842991&amp;redirect=Dlog&amp;widgetTypeCall=true&amp;directAccess=false</t>
  </si>
  <si>
    <t>전국매일신문</t>
  </si>
  <si>
    <t>왕정순 서울시의원, 서울시 경제위기대응시스템 구축</t>
  </si>
  <si>
    <t>https://blog.naver.com/PostView.naver?blogId=jeonmaenews&amp;logNo=223901828890&amp;redirect=Dlog&amp;widgetTypeCall=true&amp;directAccess=false</t>
  </si>
  <si>
    <t>현대모비스 : 현대차그룹의 모듈 및 부품 제조 사업과 A/S 부품 사업을 영위하는 부품 공급업체</t>
  </si>
  <si>
    <t>https://blog.naver.com/PostView.naver?blogId=yellowpotato12&amp;logNo=223890720881&amp;redirect=Dlog&amp;widgetTypeCall=true&amp;directAccess=false</t>
  </si>
  <si>
    <t>6월 17일 부동산 뉴스</t>
  </si>
  <si>
    <t>https://blog.naver.com/PostView.naver?blogId=cogusal11&amp;logNo=223901808398&amp;redirect=Dlog&amp;widgetTypeCall=true&amp;directAccess=false</t>
  </si>
  <si>
    <t>25.06.17 불꽃 구매 _ 아파트 구매 (feat.도움되는 자료)_ 4부</t>
  </si>
  <si>
    <t>https://blog.naver.com/PostView.naver?blogId=sdnara&amp;logNo=223901781628&amp;redirect=Dlog&amp;widgetTypeCall=true&amp;directAccess=false</t>
  </si>
  <si>
    <t>팹리스 기업</t>
  </si>
  <si>
    <t>https://blog.naver.com/PostView.naver?blogId=alth1318&amp;logNo=223901742885&amp;redirect=Dlog&amp;widgetTypeCall=true&amp;directAccess=false</t>
  </si>
  <si>
    <t>2025년 6월 17일, 오늘의 주요 경제뉴스 스크랩(국내 글로벌)</t>
  </si>
  <si>
    <t>https://blog.naver.com/PostView.naver?blogId=promising_people&amp;logNo=223901476749&amp;redirect=Dlog&amp;widgetTypeCall=true&amp;directAccess=false</t>
  </si>
  <si>
    <t>매일경제과장</t>
  </si>
  <si>
    <t>2025년 6월 17일 경제뉴스 : 6월 민생지원금, 은행 돈 빠져나가 부동산·증시로… 통화량 증가가 자산가격을 자극할까?</t>
  </si>
  <si>
    <t>https://blog.naver.com/PostView.naver?blogId=eco-gwajang&amp;logNo=223901489661&amp;redirect=Dlog&amp;widgetTypeCall=true&amp;directAccess=false</t>
  </si>
  <si>
    <t>한국 소금빵 가격 논란, 일본 5배??</t>
  </si>
  <si>
    <t>https://blog.naver.com/PostView.naver?blogId=forever4forest&amp;logNo=223901647477&amp;redirect=Dlog&amp;widgetTypeCall=true&amp;directAccess=false</t>
  </si>
  <si>
    <t>[시장정리] 2025년 6월16일 오늘의 급등주는?</t>
  </si>
  <si>
    <t>https://blog.naver.com/PostView.naver?blogId=seanhong99&amp;logNo=223901507030&amp;redirect=Dlog&amp;widgetTypeCall=true&amp;directAccess=false</t>
  </si>
  <si>
    <t>25.06.16 불꽃 구매 _ 아파트 구매 (feat.내집마련)_ 1부</t>
  </si>
  <si>
    <t>https://blog.naver.com/PostView.naver?blogId=sdnara&amp;logNo=223901482958&amp;redirect=Dlog&amp;widgetTypeCall=true&amp;directAccess=false</t>
  </si>
  <si>
    <t>earnest</t>
  </si>
  <si>
    <t>팝업스토어 일평균 매출</t>
  </si>
  <si>
    <t>https://blog.naver.com/PostView.naver?blogId=kob1805&amp;logNo=223901394604&amp;redirect=Dlog&amp;widgetTypeCall=true&amp;directAccess=false</t>
  </si>
  <si>
    <t>alibaba</t>
  </si>
  <si>
    <t>올바른 칫솔 관리법</t>
  </si>
  <si>
    <t>https://blog.naver.com/PostView.naver?blogId=santakros&amp;logNo=223901345083&amp;redirect=Dlog&amp;widgetTypeCall=true&amp;directAccess=false</t>
  </si>
  <si>
    <t>Mr티라노</t>
  </si>
  <si>
    <t>6월16일 매매후기 및 뉴스</t>
  </si>
  <si>
    <t>https://blog.naver.com/PostView.naver?blogId=vitaminbt&amp;logNo=223901325838&amp;redirect=Dlog&amp;widgetTypeCall=true&amp;directAccess=false</t>
  </si>
  <si>
    <t>중소기업투데이</t>
  </si>
  <si>
    <t>서울시, ‘CES 수상기업’ 후속투자 이끈다</t>
  </si>
  <si>
    <t>https://blog.naver.com/PostView.naver?blogId=ebiztoday&amp;logNo=223901310407&amp;redirect=Dlog&amp;widgetTypeCall=true&amp;directAccess=false</t>
  </si>
  <si>
    <t>새싹 마케터의 기록: 용산 5기 Day 01 마케팅이란?</t>
  </si>
  <si>
    <t>https://blog.naver.com/PostView.naver?blogId=gymball_ing&amp;logNo=223901265949&amp;redirect=Dlog&amp;widgetTypeCall=true&amp;directAccess=false</t>
  </si>
  <si>
    <t>2025년 6월 16일, "위성락 안보실장, 나가시마 일본 총리 보좌관과 조찬 가져" X 반응.</t>
  </si>
  <si>
    <t>https://blog.naver.com/PostView.naver?blogId=shinswoong75&amp;logNo=223901243852&amp;redirect=Dlog&amp;widgetTypeCall=true&amp;directAccess=false</t>
  </si>
  <si>
    <t>2025년6월16일_자진상폐|스테이블코인|SMR|밸류업</t>
  </si>
  <si>
    <t>https://blog.naver.com/PostView.naver?blogId=deep_info_&amp;logNo=223900816090&amp;redirect=Dlog&amp;widgetTypeCall=true&amp;directAccess=false</t>
  </si>
  <si>
    <t>삼성SDS, 이재명 정부에서 AI 꽃피우나?</t>
  </si>
  <si>
    <t>https://blog.naver.com/PostView.naver?blogId=sk_jaeking78&amp;logNo=223900803138&amp;redirect=Dlog&amp;widgetTypeCall=true&amp;directAccess=false</t>
  </si>
  <si>
    <t>컬처이코노미인사이트</t>
  </si>
  <si>
    <t>2030세대 배달음식 소비패턴 분석: 이용빈도부터 인기 메뉴까지</t>
  </si>
  <si>
    <t>https://blog.naver.com/PostView.naver?blogId=axparnters&amp;logNo=223895506840&amp;redirect=Dlog&amp;widgetTypeCall=true&amp;directAccess=false</t>
  </si>
  <si>
    <t>SK에코 플랜드 면목 1500세대 재개발 3000억대 첫 수주 년목 섰다. 현대도 3000억대 49% 지분 면목동 모아타운 지도 낙후 중랑구 랜드마크 아파트 될듯</t>
  </si>
  <si>
    <t>https://blog.naver.com/PostView.naver?blogId=esuccess&amp;logNo=223900621327&amp;redirect=Dlog&amp;widgetTypeCall=true&amp;directAccess=false</t>
  </si>
  <si>
    <t>🔋 6월 16일 돈되는 반도체/AI/디스플레이/자동차/배터리 이슈 및 투자전략 🤖_feat. ChatGPT</t>
  </si>
  <si>
    <t>https://blog.naver.com/PostView.naver?blogId=blhsd&amp;logNo=223900570917&amp;redirect=Dlog&amp;widgetTypeCall=true&amp;directAccess=false</t>
  </si>
  <si>
    <t>[기고] 청년 취업 문제의 해결책 + [참고적인 지적]</t>
  </si>
  <si>
    <t>https://blog.naver.com/PostView.naver?blogId=kominerba&amp;logNo=223900503230&amp;redirect=Dlog&amp;widgetTypeCall=true&amp;directAccess=false</t>
  </si>
  <si>
    <t>2025년 6월 16일, 오늘의 주요 경제뉴스 스크랩(국내 글로벌)</t>
  </si>
  <si>
    <t>https://blog.naver.com/PostView.naver?blogId=promising_people&amp;logNo=223900250102&amp;redirect=Dlog&amp;widgetTypeCall=true&amp;directAccess=false</t>
  </si>
  <si>
    <t>JoyLab</t>
  </si>
  <si>
    <t>러시아-우크라이나 전쟁의 한국 경제 영향 및 기업 대응 전략 심층 분석 (2025-2030)</t>
  </si>
  <si>
    <t>https://blog.naver.com/PostView.naver?blogId=joy014&amp;logNo=223899969657&amp;redirect=Dlog&amp;widgetTypeCall=true&amp;directAccess=false</t>
  </si>
  <si>
    <t>[서울경제] 잠실5단지, 통합심의 통과…65층 랜드마크 탈바꿈[집슐랭]</t>
  </si>
  <si>
    <t>https://blog.naver.com/PostView.naver?blogId=bdmonth&amp;logNo=223905129386&amp;redirect=Dlog&amp;widgetTypeCall=true&amp;directAccess=false</t>
  </si>
  <si>
    <t>[서울경제] 서울은 오피스텔도 들썩인다…올 거래량 3년 만에 최대</t>
  </si>
  <si>
    <t>https://blog.naver.com/PostView.naver?blogId=bdmonth&amp;logNo=223905113146&amp;redirect=Dlog&amp;widgetTypeCall=true&amp;directAccess=false</t>
  </si>
  <si>
    <t>2025.6.19-목요일</t>
  </si>
  <si>
    <t>https://blog.naver.com/PostView.naver?blogId=my-dream-&amp;logNo=223905109045&amp;redirect=Dlog&amp;widgetTypeCall=true&amp;directAccess=false</t>
  </si>
  <si>
    <t>[시장정리] 2025년 6월19일 오늘의 급등주는?</t>
  </si>
  <si>
    <t>https://blog.naver.com/PostView.naver?blogId=seanhong99&amp;logNo=223905079732&amp;redirect=Dlog&amp;widgetTypeCall=true&amp;directAccess=false</t>
  </si>
  <si>
    <t>2025년 6월 19일, "첨단 과학기술, 세계 주도하는 진짜 대한민국 근간·K-이니셔티브의 핵심 자산"에 대한 X 반응.</t>
  </si>
  <si>
    <t>https://blog.naver.com/PostView.naver?blogId=shinswoong75&amp;logNo=223905077821&amp;redirect=Dlog&amp;widgetTypeCall=true&amp;directAccess=false</t>
  </si>
  <si>
    <t>2025년 6월 19일, "안정된 연구 환경 위해 표준 지침 제작 착수"에 대한 X 반응.</t>
  </si>
  <si>
    <t>https://blog.naver.com/PostView.naver?blogId=shinswoong75&amp;logNo=223905073872&amp;redirect=Dlog&amp;widgetTypeCall=true&amp;directAccess=false</t>
  </si>
  <si>
    <t>2025년 6월 19일, "이공계 대학 진학 촉진 위해 콘텐츠 및 문화 확산 활동 지원 규정 "에 대한 X 반응.</t>
  </si>
  <si>
    <t>https://blog.naver.com/PostView.naver?blogId=shinswoong75&amp;logNo=223905068758&amp;redirect=Dlog&amp;widgetTypeCall=true&amp;directAccess=false</t>
  </si>
  <si>
    <t>이종석 국정원장 후보자, 남북관계와 경제안보 강조</t>
  </si>
  <si>
    <t>https://blog.naver.com/PostView.naver?blogId=dbghwns2&amp;logNo=223904918496&amp;redirect=Dlog&amp;widgetTypeCall=true&amp;directAccess=false</t>
  </si>
  <si>
    <t>different4u</t>
  </si>
  <si>
    <t>"혹시나 싶어 여행자보험 들었는데 잘했네"…가장 많이 받은 보상은 바로</t>
  </si>
  <si>
    <t>https://blog.naver.com/PostView.naver?blogId=different4u&amp;logNo=223904692044&amp;redirect=Dlog&amp;widgetTypeCall=true&amp;directAccess=false</t>
  </si>
  <si>
    <t>30.5조 추경에 국채 발행만 20조···'재정준칙' 사실상 후퇴 [30조 민생 추경]</t>
  </si>
  <si>
    <t>https://blog.naver.com/PostView.naver?blogId=yesktj&amp;logNo=223904782477&amp;redirect=Dlog&amp;widgetTypeCall=true&amp;directAccess=false</t>
  </si>
  <si>
    <t>죠니투</t>
  </si>
  <si>
    <t>20250619 경제단어 공부 9일차</t>
  </si>
  <si>
    <t>https://blog.naver.com/PostView.naver?blogId=lovely_618&amp;logNo=223904690028&amp;redirect=Dlog&amp;widgetTypeCall=true&amp;directAccess=false</t>
  </si>
  <si>
    <t>서울경제진흥원, 웹툰·웹소설 신인 창작자 양성 교육생 모집</t>
  </si>
  <si>
    <t>https://blog.naver.com/PostView.naver?blogId=seoulsba&amp;logNo=223904352661&amp;redirect=Dlog&amp;widgetTypeCall=true&amp;directAccess=false</t>
  </si>
  <si>
    <t>내란특검, 김용현 전 장관 기소…"추가 구속영장 발부 요청"</t>
  </si>
  <si>
    <t>https://blog.naver.com/PostView.naver?blogId=eremoval&amp;logNo=223904463425&amp;redirect=Dlog&amp;widgetTypeCall=true&amp;directAccess=false</t>
  </si>
  <si>
    <t>시사타임즈</t>
  </si>
  <si>
    <t>https://blog.naver.com/PostView.naver?blogId=kmts9&amp;logNo=223904389019&amp;redirect=Dlog&amp;widgetTypeCall=true&amp;directAccess=false</t>
  </si>
  <si>
    <t>부동산 이상 열기 한국 은행도 나선다</t>
  </si>
  <si>
    <t>https://blog.naver.com/PostView.naver?blogId=tapeda&amp;logNo=223904340948&amp;redirect=Dlog&amp;widgetTypeCall=true&amp;directAccess=false</t>
  </si>
  <si>
    <t>국회의원 서왕진</t>
  </si>
  <si>
    <t>서왕진 “검찰독재 대표 피해자가 조국·이재명…검찰개혁 완수”ㅣ250514</t>
  </si>
  <si>
    <t>https://blog.naver.com/PostView.naver?blogId=wjseo21&amp;logNo=223904301844&amp;redirect=Dlog&amp;widgetTypeCall=true&amp;directAccess=false</t>
  </si>
  <si>
    <t>H 마에스트로</t>
  </si>
  <si>
    <t>나는뷰자</t>
  </si>
  <si>
    <t>25.06.19 서울 집값 오르자 '갭투자' 열기…성동·서대문 "전세끼고 사두자" [집슐랭]</t>
  </si>
  <si>
    <t>https://blog.naver.com/PostView.naver?blogId=rkfkrwl80&amp;logNo=223904224436&amp;redirect=Dlog&amp;widgetTypeCall=true&amp;directAccess=false</t>
  </si>
  <si>
    <t>2025년 6월 19일, 오늘의 주요 경제뉴스 스크랩(국내 글로벌)</t>
  </si>
  <si>
    <t>https://blog.naver.com/PostView.naver?blogId=promising_people&amp;logNo=223904032131&amp;redirect=Dlog&amp;widgetTypeCall=true&amp;directAccess=false</t>
  </si>
  <si>
    <t>Noir</t>
  </si>
  <si>
    <t>무근이</t>
  </si>
  <si>
    <t>https://blog.naver.com/PostView.naver?blogId=freetrading&amp;logNo=223903785776&amp;redirect=Dlog&amp;widgetTypeCall=true&amp;directAccess=false</t>
  </si>
  <si>
    <t>2주차 우상향 경제 단어 공부 2</t>
  </si>
  <si>
    <t>https://blog.naver.com/PostView.naver?blogId=kyuhaeart&amp;logNo=223903743990&amp;redirect=Dlog&amp;widgetTypeCall=true&amp;directAccess=false</t>
  </si>
  <si>
    <t>"중동 위기? 우린 괜찮아"…외국인 수급에 2970선 올라선 코스피/6월18일증시요약</t>
  </si>
  <si>
    <t>https://blog.naver.com/PostView.naver?blogId=silluel&amp;logNo=223903739458&amp;redirect=Dlog&amp;widgetTypeCall=true&amp;directAccess=false</t>
  </si>
  <si>
    <t>어흥이</t>
  </si>
  <si>
    <t>25.06.18 (수) 매매 일지</t>
  </si>
  <si>
    <t>https://blog.naver.com/PostView.naver?blogId=djgmddl88&amp;logNo=223903715642&amp;redirect=Dlog&amp;widgetTypeCall=true&amp;directAccess=false</t>
  </si>
  <si>
    <t>국회의원 우재준</t>
  </si>
  <si>
    <t>25-06-17, &lt;매일신문&gt;, "대구 안경 제품 우수성이라면 '제2의 젠틀몬스터' 만들 수 있다"</t>
  </si>
  <si>
    <t>https://blog.naver.com/PostView.naver?blogId=jaejoon33&amp;logNo=223903714424&amp;redirect=Dlog&amp;widgetTypeCall=true&amp;directAccess=false</t>
  </si>
  <si>
    <t>빛 쏘는 박테리아?! 암세포만 ‘불빛’으로…정밀 수술 시대 연다</t>
  </si>
  <si>
    <t>https://blog.naver.com/PostView.naver?blogId=hmyj1637&amp;logNo=223903427044&amp;redirect=Dlog&amp;widgetTypeCall=true&amp;directAccess=false</t>
  </si>
  <si>
    <t>SBA, G밸리 통합 수출지원사업 참가기업 위한 단체수출보험 지원</t>
  </si>
  <si>
    <t>https://blog.naver.com/PostView.naver?blogId=seoulsba&amp;logNo=223903112430&amp;redirect=Dlog&amp;widgetTypeCall=true&amp;directAccess=false</t>
  </si>
  <si>
    <t>SBA, ‘중국 최대 크로스보더 이커머스 플랫폼’ 티몰글로벌 통해 서울 중소기업 수출길 확장</t>
  </si>
  <si>
    <t>https://blog.naver.com/PostView.naver?blogId=seoulsba&amp;logNo=223903108527&amp;redirect=Dlog&amp;widgetTypeCall=true&amp;directAccess=false</t>
  </si>
  <si>
    <t>SBA, 중국 ‘티몰글로벌’ 통해 서울 ‘뷰티 중소기업’ 수출길 확장</t>
  </si>
  <si>
    <t>https://blog.naver.com/PostView.naver?blogId=tenantnews&amp;logNo=223903268499&amp;redirect=Dlog&amp;widgetTypeCall=true&amp;directAccess=false</t>
  </si>
  <si>
    <t>https://blog.naver.com/PostView.naver?blogId=kmts9&amp;logNo=223903234101&amp;redirect=Dlog&amp;widgetTypeCall=true&amp;directAccess=false</t>
  </si>
  <si>
    <t>6월 18일 부동산 뉴스</t>
  </si>
  <si>
    <t>https://blog.naver.com/PostView.naver?blogId=cogusal11&amp;logNo=223903052939&amp;redirect=Dlog&amp;widgetTypeCall=true&amp;directAccess=false</t>
  </si>
  <si>
    <t>2025년 6월 18일, 오늘의 주요 경제뉴스 스크랩(국내 글로벌)</t>
  </si>
  <si>
    <t>https://blog.naver.com/PostView.naver?blogId=promising_people&amp;logNo=223902790646&amp;redirect=Dlog&amp;widgetTypeCall=true&amp;directAccess=false</t>
  </si>
  <si>
    <t>2025-06-21 사설 윤석열</t>
  </si>
  <si>
    <t>https://blog.naver.com/PostView.naver?blogId=inmuk&amp;logNo=223908049468&amp;redirect=Dlog&amp;widgetTypeCall=true&amp;directAccess=false</t>
  </si>
  <si>
    <t>잘 안 씻은 더러운 텀블러에 '이 음료' 담았다가…끝내 사망, 무슨 일?</t>
  </si>
  <si>
    <t>https://blog.naver.com/PostView.naver?blogId=yfish66&amp;logNo=223907767009&amp;redirect=Dlog&amp;widgetTypeCall=true&amp;directAccess=false</t>
  </si>
  <si>
    <t>냐안의별</t>
  </si>
  <si>
    <t>[크라우드웍스] 한국의 대표 데이터라벨링 업체 (미국은 스케일AI)</t>
  </si>
  <si>
    <t>https://blog.naver.com/PostView.naver?blogId=star_of_self&amp;logNo=223907761954&amp;redirect=Dlog&amp;widgetTypeCall=true&amp;directAccess=false</t>
  </si>
  <si>
    <t>대통령 공약인데, 호남고속도로 확장 예산 "전액감액" (feat. 호텔경제론)</t>
  </si>
  <si>
    <t>https://blog.naver.com/PostView.naver?blogId=godloveyouforever&amp;logNo=223907653236&amp;redirect=Dlog&amp;widgetTypeCall=true&amp;directAccess=false</t>
  </si>
  <si>
    <t>2025년 6월22일(일) 주요언론 헤드라인</t>
  </si>
  <si>
    <t>https://blog.naver.com/PostView.naver?blogId=cavin419&amp;logNo=223907541945&amp;redirect=Dlog&amp;widgetTypeCall=true&amp;directAccess=false</t>
  </si>
  <si>
    <t>짱구</t>
  </si>
  <si>
    <t>대선 후 '김건희' 언급량 폭증…특검으로 국민 관심 '쑥'[데이터로 본 정치민심]</t>
  </si>
  <si>
    <t>https://blog.naver.com/PostView.naver?blogId=sooji2&amp;logNo=223907478223&amp;redirect=Dlog&amp;widgetTypeCall=true&amp;directAccess=false</t>
  </si>
  <si>
    <t>테티틴</t>
  </si>
  <si>
    <t>일본 다카타 제조 '살인 에어백'에 벌써 19명 숨졌다</t>
  </si>
  <si>
    <t>https://blog.naver.com/PostView.naver?blogId=bnmjkl20&amp;logNo=223907370270&amp;redirect=Dlog&amp;widgetTypeCall=true&amp;directAccess=false</t>
  </si>
  <si>
    <t>neo</t>
  </si>
  <si>
    <t>2025년 klpga 대회일정 우승자 2024년 우승자 우승상금 현황</t>
  </si>
  <si>
    <t>https://blog.naver.com/PostView.naver?blogId=neo2538&amp;logNo=223900845037&amp;redirect=Dlog&amp;widgetTypeCall=true&amp;directAccess=false</t>
  </si>
  <si>
    <t>건행영도</t>
  </si>
  <si>
    <t>2025년 6월 21일, "김용태, 탄핵반대 당론 무효화…당원 여론조사해 당 개혁 추진”에 대한 X 반응</t>
  </si>
  <si>
    <t>https://blog.naver.com/PostView.naver?blogId=shinswoong75&amp;logNo=223907139791&amp;redirect=Dlog&amp;widgetTypeCall=true&amp;directAccess=false</t>
  </si>
  <si>
    <t>2025년 6월 21일, "국민의힘, 김민석, 탈북자를 배반자로 표현"에 대한 반응</t>
  </si>
  <si>
    <t>https://blog.naver.com/PostView.naver?blogId=shinswoong75&amp;logNo=223907136718&amp;redirect=Dlog&amp;widgetTypeCall=true&amp;directAccess=false</t>
  </si>
  <si>
    <t>[서울경제] 압구정 2구역 수주전 싱거워지나… 삼성물산 불참 선언</t>
  </si>
  <si>
    <t>https://blog.naver.com/PostView.naver?blogId=bdmonth&amp;logNo=223906946471&amp;redirect=Dlog&amp;widgetTypeCall=true&amp;directAccess=false</t>
  </si>
  <si>
    <t>[시장정리] 2025년 6월20일 오늘의 급등주는?</t>
  </si>
  <si>
    <t>https://blog.naver.com/PostView.naver?blogId=seanhong99&amp;logNo=223906904368&amp;redirect=Dlog&amp;widgetTypeCall=true&amp;directAccess=false</t>
  </si>
  <si>
    <t>"성매매 업소서 일한 사실 알리겠다"…290차례 돈 뜯은 20대女 징역형</t>
  </si>
  <si>
    <t>https://blog.naver.com/PostView.naver?blogId=police1965&amp;logNo=223906899132&amp;redirect=Dlog&amp;widgetTypeCall=true&amp;directAccess=false</t>
  </si>
  <si>
    <t>Labri</t>
  </si>
  <si>
    <t>"부실채권(Non-Performing Loan, NPL)"</t>
  </si>
  <si>
    <t>https://blog.naver.com/PostView.naver?blogId=jyj4874&amp;logNo=223906847296&amp;redirect=Dlog&amp;widgetTypeCall=true&amp;directAccess=false</t>
  </si>
  <si>
    <t>2025년 6월 21일, 오늘의 주요 경제뉴스 스크랩(국내 글로벌)</t>
  </si>
  <si>
    <t>https://blog.naver.com/PostView.naver?blogId=promising_people&amp;logNo=223906716656&amp;redirect=Dlog&amp;widgetTypeCall=true&amp;directAccess=false</t>
  </si>
  <si>
    <t>[고덕달팽이]차세대 '1c D램'의 자신감...삼성전자 평택캠퍼스 하반기 증설한다</t>
  </si>
  <si>
    <t>https://blog.naver.com/PostView.naver?blogId=fagasari&amp;logNo=223906668805&amp;redirect=Dlog&amp;widgetTypeCall=true&amp;directAccess=false</t>
  </si>
  <si>
    <t>호호</t>
  </si>
  <si>
    <t>[Who Is ?] 김상현 칩스앤미디어 대표이사 어록</t>
  </si>
  <si>
    <t>https://blog.naver.com/PostView.naver?blogId=oricms&amp;logNo=223906201867&amp;redirect=Dlog&amp;widgetTypeCall=true&amp;directAccess=false</t>
  </si>
  <si>
    <t>제29회 세계 한국어 웅변 대회                         -대한민국 대표연사 선발대회 성황리 개최</t>
  </si>
  <si>
    <t>https://blog.naver.com/PostView.naver?blogId=enhanok70&amp;logNo=223906106273&amp;redirect=Dlog&amp;widgetTypeCall=true&amp;directAccess=false</t>
  </si>
  <si>
    <t>“코스피 3000돌파! 지금 필요한 국내 방산주 투자전략 | 서재형의 투자교실” 의 영상 요약</t>
  </si>
  <si>
    <t>https://blog.naver.com/PostView.naver?blogId=lucidjun&amp;logNo=223906032372&amp;redirect=Dlog&amp;widgetTypeCall=true&amp;directAccess=false</t>
  </si>
  <si>
    <t>2025년 6월20일(금) 주요언론 헤드라인</t>
  </si>
  <si>
    <t>https://blog.naver.com/PostView.naver?blogId=cavin419&amp;logNo=223905911179&amp;redirect=Dlog&amp;widgetTypeCall=true&amp;directAccess=false</t>
  </si>
  <si>
    <t>수소전도사</t>
  </si>
  <si>
    <t>한 명이 BMW 4000대, 3000억 원 팔았다</t>
  </si>
  <si>
    <t>https://blog.naver.com/PostView.naver?blogId=trizkee&amp;logNo=223905764074&amp;redirect=Dlog&amp;widgetTypeCall=true&amp;directAccess=false</t>
  </si>
  <si>
    <t>미 4연속 금리 동결에 한은 인하 ‘고심’</t>
  </si>
  <si>
    <t>https://blog.naver.com/PostView.naver?blogId=2muchtalker_y&amp;logNo=223905719914&amp;redirect=Dlog&amp;widgetTypeCall=true&amp;directAccess=false</t>
  </si>
  <si>
    <t>집있으면 '무순위 청약'못한다..7월 '올파포'첫 적용 유력</t>
  </si>
  <si>
    <t>https://blog.naver.com/PostView.naver?blogId=foodie-monkey&amp;logNo=223905699840&amp;redirect=Dlog&amp;widgetTypeCall=true&amp;directAccess=false</t>
  </si>
  <si>
    <t>토니</t>
  </si>
  <si>
    <t>한다했으니 할 것이다.(언행일치)</t>
  </si>
  <si>
    <t>https://blog.naver.com/PostView.naver?blogId=toni0358&amp;logNo=223905517447&amp;redirect=Dlog&amp;widgetTypeCall=true&amp;directAccess=false</t>
  </si>
  <si>
    <t>(25.6.20.금) 한눈에 보는 부동산뉴스</t>
  </si>
  <si>
    <t>https://blog.naver.com/PostView.naver?blogId=anko-0&amp;logNo=223905444840&amp;redirect=Dlog&amp;widgetTypeCall=true&amp;directAccess=false</t>
  </si>
  <si>
    <t>한국에도 ‘안보 무임승차론’···美 “韓도 국방비 GDP 5%로 늘려야”</t>
  </si>
  <si>
    <t>https://blog.naver.com/PostView.naver?blogId=etisot&amp;logNo=223905398756&amp;redirect=Dlog&amp;widgetTypeCall=true&amp;directAccess=false</t>
  </si>
  <si>
    <t>2025년 6월 20일, 오늘의 주요 경제뉴스 스크랩(국내 글로벌)</t>
  </si>
  <si>
    <t>https://blog.naver.com/PostView.naver?blogId=promising_people&amp;logNo=223905194430&amp;redirect=Dlog&amp;widgetTypeCall=true&amp;directAccess=false</t>
  </si>
  <si>
    <t>도시가스시공전문</t>
  </si>
  <si>
    <t>할미꽃</t>
  </si>
  <si>
    <t>https://blog.naver.com/PostView.naver?blogId=gas0145&amp;logNo=223910500305&amp;redirect=Dlog&amp;widgetTypeCall=true&amp;directAccess=false</t>
  </si>
  <si>
    <t>죄는 지은데로 간다</t>
  </si>
  <si>
    <t>미국, 내달 금리 내리나…연준 최강 매파도 인하 시사</t>
  </si>
  <si>
    <t>https://blog.naver.com/PostView.naver?blogId=leebyongsu&amp;logNo=223910428246&amp;redirect=Dlog&amp;widgetTypeCall=true&amp;directAccess=false</t>
  </si>
  <si>
    <t>&lt;무능,무책임 좌경용공 민주팔이 문씨 지금 댁 세상 같지?법정에서 진술거부권행사에 대해 이는 헌법상 기본권이라고 해야 함에도 진술거부권 행사하면 통상적으로 불리하게 평가된다고 씨부</t>
  </si>
  <si>
    <t>https://blog.naver.com/PostView.naver?blogId=yesktj&amp;logNo=223910385103&amp;redirect=Dlog&amp;widgetTypeCall=true&amp;directAccess=false</t>
  </si>
  <si>
    <t>우디</t>
  </si>
  <si>
    <t>25년 6월 23일 500억봉/상한가 (로보티즈, 위메이드플레이, 위메이드맥스, 넥써쓰, 브릿지바이오테라퓨틱스, SK이터닉스, SKAI, 바이오포트, 오르비텍, 로보스타)</t>
  </si>
  <si>
    <t>https://blog.naver.com/PostView.naver?blogId=woody_moneying&amp;logNo=223910251544&amp;redirect=Dlog&amp;widgetTypeCall=true&amp;directAccess=false</t>
  </si>
  <si>
    <t>굿데이</t>
  </si>
  <si>
    <t>백주부</t>
  </si>
  <si>
    <t>https://blog.naver.com/PostView.naver?blogId=good-day-go&amp;logNo=223910150008&amp;redirect=Dlog&amp;widgetTypeCall=true&amp;directAccess=false</t>
  </si>
  <si>
    <t>250624 부동산 주요뉴스</t>
  </si>
  <si>
    <t>https://blog.naver.com/PostView.naver?blogId=ebdn0083&amp;logNo=223910084369&amp;redirect=Dlog&amp;widgetTypeCall=true&amp;directAccess=false</t>
  </si>
  <si>
    <t>SBA와 빌보드코리아, 2025 RUNWAY TO SEOUL 상설 패션 전시 개최!</t>
  </si>
  <si>
    <t>https://blog.naver.com/PostView.naver?blogId=seoulsba&amp;logNo=223910056469&amp;redirect=Dlog&amp;widgetTypeCall=true&amp;directAccess=false</t>
  </si>
  <si>
    <t>&lt;세계사와 시대정신과 뒤떨어진 무능,무책임 좌경용공 민주팔이로 한국 나락가는 건 시간 문제일 듯..기사무관&gt;김성환 환경장관 후보자 “기후에너지부, 새 에너지 사용 체계 마련”</t>
  </si>
  <si>
    <t>https://blog.naver.com/PostView.naver?blogId=yesktj&amp;logNo=223910010868&amp;redirect=Dlog&amp;widgetTypeCall=true&amp;directAccess=false</t>
  </si>
  <si>
    <t>결혼식처럼 손잡고 나란히'···정청래-박찬대 의총장 입장</t>
  </si>
  <si>
    <t>https://blog.naver.com/PostView.naver?blogId=hun4339&amp;logNo=223909952995&amp;redirect=Dlog&amp;widgetTypeCall=true&amp;directAccess=false</t>
  </si>
  <si>
    <t>나는 솔로 출연자(ㅂ**/남, 30대) 준강간 혐의 구속! 6월 21일 서교동(서울 마포) **주차장에서 20대 여성 성폭행 혐의</t>
  </si>
  <si>
    <t>https://blog.naver.com/PostView.naver?blogId=bingoshim&amp;logNo=223909926750&amp;redirect=Dlog&amp;widgetTypeCall=true&amp;directAccess=false</t>
  </si>
  <si>
    <t>서울 연립주택 가격</t>
  </si>
  <si>
    <t>https://blog.naver.com/PostView.naver?blogId=ds1sku&amp;logNo=223909917579&amp;redirect=Dlog&amp;widgetTypeCall=true&amp;directAccess=false</t>
  </si>
  <si>
    <t>정현법사</t>
  </si>
  <si>
    <t>방어력 입증한 코스피, 장중 3100 돌파…</t>
  </si>
  <si>
    <t>https://blog.naver.com/PostView.naver?blogId=bubsa0701&amp;logNo=223909809391&amp;redirect=Dlog&amp;widgetTypeCall=true&amp;directAccess=false</t>
  </si>
  <si>
    <t>(25.6.24.화) 한눈에 보는 부동산뉴스</t>
  </si>
  <si>
    <t>https://blog.naver.com/PostView.naver?blogId=anko-0&amp;logNo=223909565245&amp;redirect=Dlog&amp;widgetTypeCall=true&amp;directAccess=false</t>
  </si>
  <si>
    <t>정책지식 2025.6.24.</t>
  </si>
  <si>
    <t>https://blog.naver.com/PostView.naver?blogId=trim9134&amp;logNo=223909514781&amp;redirect=Dlog&amp;widgetTypeCall=true&amp;directAccess=false</t>
  </si>
  <si>
    <t>2025년 6월 24일, 오늘의 주요 경제뉴스 스크랩(국내 글로벌)</t>
  </si>
  <si>
    <t>https://blog.naver.com/PostView.naver?blogId=promising_people&amp;logNo=223909247750&amp;redirect=Dlog&amp;widgetTypeCall=true&amp;directAccess=false</t>
  </si>
  <si>
    <t>정부, 지역사랑상품권 월 구매한도 70만 원→200만 원으로 대폭 상향</t>
  </si>
  <si>
    <t>https://blog.naver.com/PostView.naver?blogId=dreamlife109&amp;logNo=223909221890&amp;redirect=Dlog&amp;widgetTypeCall=true&amp;directAccess=false</t>
  </si>
  <si>
    <t>[AI] 뉴스 - 1.5조 정부GPU사업 사업보고서 제출 - 네이버카카오NHN쿠팡</t>
  </si>
  <si>
    <t>https://blog.naver.com/PostView.naver?blogId=star_of_self&amp;logNo=223909136375&amp;redirect=Dlog&amp;widgetTypeCall=true&amp;directAccess=false</t>
  </si>
  <si>
    <t>실버종합뉴스</t>
  </si>
  <si>
    <t>김용일 서울시의원, 기경위 추경 예산안 심의·의결</t>
  </si>
  <si>
    <t>https://blog.naver.com/PostView.naver?blogId=silverekn&amp;logNo=223909119819&amp;redirect=Dlog&amp;widgetTypeCall=true&amp;directAccess=false</t>
  </si>
  <si>
    <t>jobless_ryan</t>
  </si>
  <si>
    <t>25.06.23 (월) 상한가 &amp; 주요종목</t>
  </si>
  <si>
    <t>https://blog.naver.com/PostView.naver?blogId=jobless_ryan&amp;logNo=223909099297&amp;redirect=Dlog&amp;widgetTypeCall=true&amp;directAccess=false</t>
  </si>
  <si>
    <t>건강보험신문</t>
  </si>
  <si>
    <t>이대목동병원, '개방형실험실 운영사업단' 출범</t>
  </si>
  <si>
    <t>https://blog.naver.com/PostView.naver?blogId=gunbo-blog&amp;logNo=223908894302&amp;redirect=Dlog&amp;widgetTypeCall=true&amp;directAccess=false</t>
  </si>
  <si>
    <t>236</t>
  </si>
  <si>
    <t>[스크랩] 양자컴퓨터의 정확도 높일 ‘양자거리’ 측정 기술, 국내 연구진이 세계 최초 개발</t>
  </si>
  <si>
    <t>https://blog.naver.com/PostView.naver?blogId=236summer&amp;logNo=223908308987&amp;redirect=Dlog&amp;widgetTypeCall=true&amp;directAccess=false</t>
  </si>
  <si>
    <t>20250623 경제단어공부 11일차</t>
  </si>
  <si>
    <t>https://blog.naver.com/PostView.naver?blogId=lovely_618&amp;logNo=223908702552&amp;redirect=Dlog&amp;widgetTypeCall=true&amp;directAccess=false</t>
  </si>
  <si>
    <t>250621 부동산 주요뉴스</t>
  </si>
  <si>
    <t>https://blog.naver.com/PostView.naver?blogId=ebdn0083&amp;logNo=223908617065&amp;redirect=Dlog&amp;widgetTypeCall=true&amp;directAccess=false</t>
  </si>
  <si>
    <t>K-뷰티복합문화공간 ‘비더비(B the B)’ K-뷰티 수출 전진기지로 자리매김</t>
  </si>
  <si>
    <t>https://blog.naver.com/PostView.naver?blogId=kmts9&amp;logNo=223908598481&amp;redirect=Dlog&amp;widgetTypeCall=true&amp;directAccess=false</t>
  </si>
  <si>
    <t>2025년 6월23일(월) 주요언론 헤드라인</t>
  </si>
  <si>
    <t>https://blog.naver.com/PostView.naver?blogId=cavin419&amp;logNo=223908540906&amp;redirect=Dlog&amp;widgetTypeCall=true&amp;directAccess=false</t>
  </si>
  <si>
    <t>서울 한복판, 글로벌 인플루언서들이 주목한 K-뷰티복합문화공간  ‘비더비(B the B)’!</t>
  </si>
  <si>
    <t>https://blog.naver.com/PostView.naver?blogId=seoulsba&amp;logNo=223908367132&amp;redirect=Dlog&amp;widgetTypeCall=true&amp;directAccess=false</t>
  </si>
  <si>
    <t>일부러 모기 4000만 마리 뿌린다…사상 초유의 사태로 '특단의 조치' 내린 '이곳'</t>
  </si>
  <si>
    <t>https://blog.naver.com/PostView.naver?blogId=eremoval&amp;logNo=223908516183&amp;redirect=Dlog&amp;widgetTypeCall=true&amp;directAccess=false</t>
  </si>
  <si>
    <t>SBA ‘비더비’…‘글로벌 K-뷰티’ 거점으로 자리매김</t>
  </si>
  <si>
    <t>https://blog.naver.com/PostView.naver?blogId=tenantnews&amp;logNo=223908370720&amp;redirect=Dlog&amp;widgetTypeCall=true&amp;directAccess=false</t>
  </si>
  <si>
    <t>서울시, 2025 서울 유니콘 챌린지 개최</t>
  </si>
  <si>
    <t>https://blog.naver.com/PostView.naver?blogId=titiho_&amp;logNo=223908359768&amp;redirect=Dlog&amp;widgetTypeCall=true&amp;directAccess=false</t>
  </si>
  <si>
    <t>2025 일본 로피타 리테일 채널 수출상담회 참여기업 모집</t>
  </si>
  <si>
    <t>https://blog.naver.com/PostView.naver?blogId=titiho_&amp;logNo=223908358121&amp;redirect=Dlog&amp;widgetTypeCall=true&amp;directAccess=false</t>
  </si>
  <si>
    <t>(25.6.23.월) 한눈에 보는 부동산뉴스</t>
  </si>
  <si>
    <t>https://blog.naver.com/PostView.naver?blogId=anko-0&amp;logNo=223908328085&amp;redirect=Dlog&amp;widgetTypeCall=true&amp;directAccess=false</t>
  </si>
  <si>
    <t>[서울경제] 장애인도 편하게 치과치료…신촌에 '서울시 장애인 구강진료센터' 문 열어(25.06.19)</t>
  </si>
  <si>
    <t>https://blog.naver.com/PostView.naver?blogId=m2hwaseo&amp;logNo=223908326117&amp;redirect=Dlog&amp;widgetTypeCall=true&amp;directAccess=false</t>
  </si>
  <si>
    <t>이가람</t>
  </si>
  <si>
    <t>6월23일 장전주요뉴스</t>
  </si>
  <si>
    <t>https://blog.naver.com/PostView.naver?blogId=lgrstock&amp;logNo=223908317524&amp;redirect=Dlog&amp;widgetTypeCall=true&amp;directAccess=false</t>
  </si>
  <si>
    <t>2025년 6월 23일, 오늘의 주요 경제뉴스 스크랩(국내 글로벌)</t>
  </si>
  <si>
    <t>https://blog.naver.com/PostView.naver?blogId=promising_people&amp;logNo=223907989480&amp;redirect=Dlog&amp;widgetTypeCall=true&amp;directAccess=false</t>
  </si>
  <si>
    <t>청훤역리관</t>
  </si>
  <si>
    <t>■ 트럼프 이란 공격, 5대 일간지 및 3대 경제신문 1면 후속 기사</t>
  </si>
  <si>
    <t>https://blog.naver.com/PostView.naver?blogId=cheonghwon&amp;logNo=223908125362&amp;redirect=Dlog&amp;widgetTypeCall=true&amp;directAccess=false</t>
  </si>
  <si>
    <t>승자Seungza</t>
  </si>
  <si>
    <t>6월 26일 목 마감 후</t>
  </si>
  <si>
    <t>https://blog.naver.com/PostView.naver?blogId=rkd282&amp;logNo=223912976299&amp;redirect=Dlog&amp;widgetTypeCall=true&amp;directAccess=false</t>
  </si>
  <si>
    <t>리치꼬꼬</t>
  </si>
  <si>
    <t>[증시]25y26w: AI : 반도체: 지수리스크 : 로봇 밸류체인:</t>
  </si>
  <si>
    <t>https://blog.naver.com/PostView.naver?blogId=123rhfod&amp;logNo=223912973903&amp;redirect=Dlog&amp;widgetTypeCall=true&amp;directAccess=false</t>
  </si>
  <si>
    <t>베트콩</t>
  </si>
  <si>
    <t>경제79동기모임250626</t>
  </si>
  <si>
    <t>https://blog.naver.com/PostView.naver?blogId=jkh8163&amp;logNo=223912858723&amp;redirect=Dlog&amp;widgetTypeCall=true&amp;directAccess=false</t>
  </si>
  <si>
    <t>미국의 이란 핵시설 공습이 북한에 주는 메시지</t>
  </si>
  <si>
    <t>https://blog.naver.com/PostView.naver?blogId=ksahn1960&amp;logNo=223912643374&amp;redirect=Dlog&amp;widgetTypeCall=true&amp;directAccess=false</t>
  </si>
  <si>
    <t>수냇동이 운동장</t>
  </si>
  <si>
    <t>식물성 기름 섭취하면~ 제2형 당뇨병 예방</t>
  </si>
  <si>
    <t>https://blog.naver.com/PostView.naver?blogId=dignpdlfp702&amp;logNo=223912622326&amp;redirect=Dlog&amp;widgetTypeCall=true&amp;directAccess=false</t>
  </si>
  <si>
    <t>상속 증여세의 행방.. 잘봐야되겠지.</t>
  </si>
  <si>
    <t>https://blog.naver.com/PostView.naver?blogId=gangchel&amp;logNo=223912603932&amp;redirect=Dlog&amp;widgetTypeCall=true&amp;directAccess=false</t>
  </si>
  <si>
    <t>엔비디아 주가 150달러 돌파, 젠슨 황 "AI 다음은 로봇"… 엔비디아 지붕 뚫고 마이크론도 호실적 "AI 효과 꺼지지 않았다"</t>
  </si>
  <si>
    <t>https://blog.naver.com/PostView.naver?blogId=jch4512&amp;logNo=223912569871&amp;redirect=Dlog&amp;widgetTypeCall=true&amp;directAccess=false</t>
  </si>
  <si>
    <t>서울창업허브 M+, 스타트업의 글로벌 진출 지원 본격화</t>
  </si>
  <si>
    <t>https://blog.naver.com/PostView.naver?blogId=seoulsba&amp;logNo=223912110538&amp;redirect=Dlog&amp;widgetTypeCall=true&amp;directAccess=false</t>
  </si>
  <si>
    <t>[칼럼베껴쓰기 1277] 심해 희토류/김현수 논설위원/서울경제/2025 06 18</t>
  </si>
  <si>
    <t>https://blog.naver.com/PostView.naver?blogId=sacuja1&amp;logNo=223912089685&amp;redirect=Dlog&amp;widgetTypeCall=true&amp;directAccess=false</t>
  </si>
  <si>
    <t>[칼럼베껴쓰기 1276] 황금주/신경립 논설위원/서울경제/2025 06 17</t>
  </si>
  <si>
    <t>https://blog.naver.com/PostView.naver?blogId=sacuja1&amp;logNo=223912089530&amp;redirect=Dlog&amp;widgetTypeCall=true&amp;directAccess=false</t>
  </si>
  <si>
    <t>일트</t>
  </si>
  <si>
    <t>주주 충실의무 시대엔…"기업 의사결정 방식 통째로 바꿔야"상법 개정, 기업 족쇄되나…M&amp;A·신주발행 등 소송리스크↑JP모건도 "코스피 3500 가능"</t>
  </si>
  <si>
    <t>https://blog.naver.com/PostView.naver?blogId=illther2&amp;logNo=223912086524&amp;redirect=Dlog&amp;widgetTypeCall=true&amp;directAccess=false</t>
  </si>
  <si>
    <t>삐삐 보급 일등공신 박성득 전 차관 별세</t>
  </si>
  <si>
    <t>https://blog.naver.com/PostView.naver?blogId=yfish66&amp;logNo=223911990119&amp;redirect=Dlog&amp;widgetTypeCall=true&amp;directAccess=false</t>
  </si>
  <si>
    <t>경제 스터디 38일차 임대차 3법 내용정리</t>
  </si>
  <si>
    <t>https://blog.naver.com/PostView.naver?blogId=yesnogirl_410&amp;logNo=223911986034&amp;redirect=Dlog&amp;widgetTypeCall=true&amp;directAccess=false</t>
  </si>
  <si>
    <t>2025년 6월 26일, 오늘의 주요 경제뉴스 스크랩(국내 글로벌)</t>
  </si>
  <si>
    <t>https://blog.naver.com/PostView.naver?blogId=promising_people&amp;logNo=223911797796&amp;redirect=Dlog&amp;widgetTypeCall=true&amp;directAccess=false</t>
  </si>
  <si>
    <t>예산 90% 삭감, 정상 추진 어려운 SMR 개발</t>
  </si>
  <si>
    <t>https://blog.naver.com/PostView.naver?blogId=ksahn1960&amp;logNo=223911737855&amp;redirect=Dlog&amp;widgetTypeCall=true&amp;directAccess=false</t>
  </si>
  <si>
    <t>AI '공정 이용'</t>
  </si>
  <si>
    <t>https://blog.naver.com/PostView.naver?blogId=dlxhrhf&amp;logNo=223911684666&amp;redirect=Dlog&amp;widgetTypeCall=true&amp;directAccess=false</t>
  </si>
  <si>
    <t>정론지</t>
  </si>
  <si>
    <t>왕정순 시의원, 서울시의 ‘경제위기대응체계' 구축 성과 거둬</t>
  </si>
  <si>
    <t>https://blog.naver.com/PostView.naver?blogId=kdnews21&amp;logNo=223911428504&amp;redirect=Dlog&amp;widgetTypeCall=true&amp;directAccess=false</t>
  </si>
  <si>
    <t>시네마 달</t>
  </si>
  <si>
    <t>&lt;내가 누워있을 때&gt; 실관람객 호평 화제! 이제부터 안방극장에서도 만난다! IPTV 및 극장 동시 서비스 전격 오픈!</t>
  </si>
  <si>
    <t>https://blog.naver.com/PostView.naver?blogId=cinema_dal&amp;logNo=223911261428&amp;redirect=Dlog&amp;widgetTypeCall=true&amp;directAccess=false</t>
  </si>
  <si>
    <t>서울창업허브 공덕, 대·중견기업과 혁신 스타트업의 기술협력 시작 알린다!</t>
  </si>
  <si>
    <t>https://blog.naver.com/PostView.naver?blogId=seoulsba&amp;logNo=223910859234&amp;redirect=Dlog&amp;widgetTypeCall=true&amp;directAccess=false</t>
  </si>
  <si>
    <t>노력</t>
  </si>
  <si>
    <t>2025.06.25. SK하이닉스 시총 사상 첫 200조원 돌파...</t>
  </si>
  <si>
    <t>https://blog.naver.com/PostView.naver?blogId=phj3828&amp;logNo=223910985411&amp;redirect=Dlog&amp;widgetTypeCall=true&amp;directAccess=false</t>
  </si>
  <si>
    <t>첨단한옥창호</t>
  </si>
  <si>
    <t>첨단한옥창호, 단열·내구성 잡은 '원목 자동문' 출시</t>
  </si>
  <si>
    <t>https://blog.naver.com/PostView.naver?blogId=ghanok2013&amp;logNo=223910897153&amp;redirect=Dlog&amp;widgetTypeCall=true&amp;directAccess=false</t>
  </si>
  <si>
    <t>[칼럼베껴쓰기 1270] 독일의 방공호/오현환 논설위원/서울경제/2025 06 10</t>
  </si>
  <si>
    <t>https://blog.naver.com/PostView.naver?blogId=sacuja1&amp;logNo=223910847334&amp;redirect=Dlog&amp;widgetTypeCall=true&amp;directAccess=false</t>
  </si>
  <si>
    <t>[칼럼베껴쓰기 1274] 바이마르+ 그룹/문성진 논설위원/서울경제/2025 06 15</t>
  </si>
  <si>
    <t>https://blog.naver.com/PostView.naver?blogId=sacuja1&amp;logNo=223910848069&amp;redirect=Dlog&amp;widgetTypeCall=true&amp;directAccess=false</t>
  </si>
  <si>
    <t>[칼럼베껴쓰기 1271] 개빈 뉴섬/홍병문 논설위원/서울경제/2025 06 11</t>
  </si>
  <si>
    <t>https://blog.naver.com/PostView.naver?blogId=sacuja1&amp;logNo=223910847491&amp;redirect=Dlog&amp;widgetTypeCall=true&amp;directAccess=false</t>
  </si>
  <si>
    <t>글로벌 증시요약 (2025년 06월 24일)</t>
  </si>
  <si>
    <t>https://blog.naver.com/PostView.naver?blogId=npl119&amp;logNo=223910807597&amp;redirect=Dlog&amp;widgetTypeCall=true&amp;directAccess=false</t>
  </si>
  <si>
    <t>카카오페이, 원화 스테이블코인 도입 기대감에 143% 주가 급등…매매거래 재개</t>
  </si>
  <si>
    <t>https://blog.naver.com/PostView.naver?blogId=krsongc2&amp;logNo=223910805747&amp;redirect=Dlog&amp;widgetTypeCall=true&amp;directAccess=false</t>
  </si>
  <si>
    <t>“스마트폰은 당신을 이해하는 동반자” 삼성전자, 갤럭시 언팩 2025서 '미래 인터페이스' 공개 예고</t>
  </si>
  <si>
    <t>https://blog.naver.com/PostView.naver?blogId=koreakwh1&amp;logNo=223910749199&amp;redirect=Dlog&amp;widgetTypeCall=true&amp;directAccess=false</t>
  </si>
  <si>
    <t>기후・환경 주요뉴스</t>
  </si>
  <si>
    <t>https://blog.naver.com/PostView.naver?blogId=c1c1b1b1&amp;logNo=223910748999&amp;redirect=Dlog&amp;widgetTypeCall=true&amp;directAccess=false</t>
  </si>
  <si>
    <t>2025년 6월 25일, 오늘의 주요 경제뉴스 스크랩(국내 글로벌)</t>
  </si>
  <si>
    <t>https://blog.naver.com/PostView.naver?blogId=promising_people&amp;logNo=223910563531&amp;redirect=Dlog&amp;widgetTypeCall=true&amp;directAccess=false</t>
  </si>
  <si>
    <t>지아</t>
  </si>
  <si>
    <t>모든 근심걱정은 사라지게 돼있어</t>
  </si>
  <si>
    <t>https://blog.naver.com/PostView.naver?blogId=olzlor__&amp;logNo=223910583362&amp;redirect=Dlog&amp;widgetTypeCall=true&amp;directAccess=false</t>
  </si>
  <si>
    <t>지혜</t>
  </si>
  <si>
    <t>이번 부동산 정책으로 가장 큰 피해를 보는 사람 &amp; 향후 미래 빅 피처(지극히 주관적인 생각)</t>
  </si>
  <si>
    <t>https://blog.naver.com/PostView.naver?blogId=project_muse&amp;logNo=223915082502&amp;redirect=Dlog&amp;widgetTypeCall=true&amp;directAccess=false</t>
  </si>
  <si>
    <t>2025년 6월 28일, "내란 특검, 윤 전 대통령 공개 소환"에 대한 X 반응</t>
  </si>
  <si>
    <t>https://blog.naver.com/PostView.naver?blogId=shinswoong75&amp;logNo=223914939787&amp;redirect=Dlog&amp;widgetTypeCall=true&amp;directAccess=false</t>
  </si>
  <si>
    <t>2025년 6월 28일, 오늘의 주요 경제뉴스 스크랩(국내 글로벌)</t>
  </si>
  <si>
    <t>https://blog.naver.com/PostView.naver?blogId=promising_people&amp;logNo=223914540489&amp;redirect=Dlog&amp;widgetTypeCall=true&amp;directAccess=false</t>
  </si>
  <si>
    <t>현대차그룹, 타임지 '세계 영향력 있는 100대 기업' 올라…韓 기업 중 유일</t>
  </si>
  <si>
    <t>https://blog.naver.com/PostView.naver?blogId=mrqu&amp;logNo=223914522269&amp;redirect=Dlog&amp;widgetTypeCall=true&amp;directAccess=false</t>
  </si>
  <si>
    <t>분양홈</t>
  </si>
  <si>
    <t>아파트 청약 경쟁률 가르는 기준은 '분상제'? "적용 단지, 미적용 단지 6배"</t>
  </si>
  <si>
    <t>https://blog.naver.com/PostView.naver?blogId=juhan5839&amp;logNo=223903340226&amp;redirect=Dlog&amp;widgetTypeCall=true&amp;directAccess=false</t>
  </si>
  <si>
    <t>Inklogist</t>
  </si>
  <si>
    <t>2025년 6월 27일, "대통령실 대변인 브리핑"에 대한 X 반응</t>
  </si>
  <si>
    <t>https://blog.naver.com/PostView.naver?blogId=shinswoong75&amp;logNo=223914217557&amp;redirect=Dlog&amp;widgetTypeCall=true&amp;directAccess=false</t>
  </si>
  <si>
    <t>2025년 6월 27일, "이재명 대통령, 호국 보훈의 달 맞아 초청 행사 개최"에 대한 X 반응</t>
  </si>
  <si>
    <t>https://blog.naver.com/PostView.naver?blogId=shinswoong75&amp;logNo=223914212724&amp;redirect=Dlog&amp;widgetTypeCall=true&amp;directAccess=false</t>
  </si>
  <si>
    <t>명경지수</t>
  </si>
  <si>
    <t>일본 정부가 경고한 동해 연안 대지진 가능성, '내가 본 미래' 예언과 돗돔 출현의 불안한 공통점?</t>
  </si>
  <si>
    <t>https://blog.naver.com/PostView.naver?blogId=mrqsn&amp;logNo=223914187679&amp;redirect=Dlog&amp;widgetTypeCall=true&amp;directAccess=false</t>
  </si>
  <si>
    <t>삼성전자, 디스플레이 탑재 스마트워치 스트랩 특허 출원</t>
  </si>
  <si>
    <t>https://blog.naver.com/PostView.naver?blogId=koreakwh1&amp;logNo=223913600053&amp;redirect=Dlog&amp;widgetTypeCall=true&amp;directAccess=false</t>
  </si>
  <si>
    <t>“6억 대출 제한 시대” – 개인과 법인의 길목에서 부동산 투자자의 전략을 다시 짜다</t>
  </si>
  <si>
    <t>https://blog.naver.com/PostView.naver?blogId=skrlaqkrtk&amp;logNo=223913493718&amp;redirect=Dlog&amp;widgetTypeCall=true&amp;directAccess=false</t>
  </si>
  <si>
    <t>대한민국예술원, 장미희·이숭원·이건용 등 7인 신입회원 받아…총 82명으로</t>
  </si>
  <si>
    <t>https://blog.naver.com/PostView.naver?blogId=mrqu&amp;logNo=223913468585&amp;redirect=Dlog&amp;widgetTypeCall=true&amp;directAccess=false</t>
  </si>
  <si>
    <t>홍심</t>
  </si>
  <si>
    <t>더클라세움 새로운 비즈니스 모델 제시하며 도약</t>
  </si>
  <si>
    <t>https://blog.naver.com/PostView.naver?blogId=21sinpung&amp;logNo=223911565067&amp;redirect=Dlog&amp;widgetTypeCall=true&amp;directAccess=false</t>
  </si>
  <si>
    <t>“한국주식은 안하는게 정답이다” 의 영상 요약</t>
  </si>
  <si>
    <t>https://blog.naver.com/PostView.naver?blogId=lucidjun&amp;logNo=223913217401&amp;redirect=Dlog&amp;widgetTypeCall=true&amp;directAccess=false</t>
  </si>
  <si>
    <t>2025년 6월 27일, 오늘의 주요 경제뉴스 스크랩(국내 글로벌)</t>
  </si>
  <si>
    <t>https://blog.naver.com/PostView.naver?blogId=promising_people&amp;logNo=223913064300&amp;redirect=Dlog&amp;widgetTypeCall=true&amp;directAccess=false</t>
  </si>
  <si>
    <t>영덕대게 태양광군</t>
  </si>
  <si>
    <t>나와 잘 지내기</t>
  </si>
  <si>
    <t>25.6.26 텔레그램 정리</t>
  </si>
  <si>
    <t>https://blog.naver.com/PostView.naver?blogId=audwlsqor&amp;logNo=223913067295&amp;redirect=Dlog&amp;widgetTypeCall=true&amp;directAccess=false</t>
  </si>
  <si>
    <t>하루</t>
  </si>
  <si>
    <t>주말 테슬라 뉴스 (25.6.28.~6.30. 22:00)</t>
  </si>
  <si>
    <t>https://blog.naver.com/PostView.naver?blogId=babylon-tower&amp;logNo=223917154390&amp;redirect=Dlog&amp;widgetTypeCall=true&amp;directAccess=false</t>
  </si>
  <si>
    <t>위메이크뉴스</t>
  </si>
  <si>
    <t>“놀리면 뭐하니”…세텍 전시장, 공실 대신 신기술 실험장으로</t>
  </si>
  <si>
    <t>https://blog.naver.com/PostView.naver?blogId=wemakenews&amp;logNo=223917067616&amp;redirect=Dlog&amp;widgetTypeCall=true&amp;directAccess=false</t>
  </si>
  <si>
    <t>[시장정리] 2025년 6월30일 오늘의 급등주는?</t>
  </si>
  <si>
    <t>https://blog.naver.com/PostView.naver?blogId=seanhong99&amp;logNo=223917004609&amp;redirect=Dlog&amp;widgetTypeCall=true&amp;directAccess=false</t>
  </si>
  <si>
    <t>마리아</t>
  </si>
  <si>
    <t>◈ 6.27 부동산 대책 ◈</t>
  </si>
  <si>
    <t>https://blog.naver.com/PostView.naver?blogId=kanna4994&amp;logNo=223916963010&amp;redirect=Dlog&amp;widgetTypeCall=true&amp;directAccess=false</t>
  </si>
  <si>
    <t>디딤돌</t>
  </si>
  <si>
    <t>대출 총량 유동성 줄이기</t>
  </si>
  <si>
    <t>https://blog.naver.com/PostView.naver?blogId=penguin0805&amp;logNo=223916849488&amp;redirect=Dlog&amp;widgetTypeCall=true&amp;directAccess=false</t>
  </si>
  <si>
    <t>자연보호</t>
  </si>
  <si>
    <t>"미세플라스틱, 페트병보다 유리병에 더 많다고?"…이유는 '이것' 때문이라는데</t>
  </si>
  <si>
    <t>https://blog.naver.com/PostView.naver?blogId=milklove1010&amp;logNo=223916579421&amp;redirect=Dlog&amp;widgetTypeCall=true&amp;directAccess=false</t>
  </si>
  <si>
    <t>25.06.30 매매일지</t>
  </si>
  <si>
    <t>https://blog.naver.com/PostView.naver?blogId=hoeddug&amp;logNo=223916527501&amp;redirect=Dlog&amp;widgetTypeCall=true&amp;directAccess=false</t>
  </si>
  <si>
    <t>세텍(SETEC) 전시장, 중소기업 신기술·신제품 실증 지원 7월 16일까지 2차 모집</t>
  </si>
  <si>
    <t>https://blog.naver.com/PostView.naver?blogId=kmts9&amp;logNo=223916475870&amp;redirect=Dlog&amp;widgetTypeCall=true&amp;directAccess=false</t>
  </si>
  <si>
    <t>세텍(SETEC) 전시장, ‘공실→실증무대’로 변모… 중소기업 신기술‧신제품 실증 지원 2차 모집</t>
  </si>
  <si>
    <t>https://blog.naver.com/PostView.naver?blogId=seoulsba&amp;logNo=223916294023&amp;redirect=Dlog&amp;widgetTypeCall=true&amp;directAccess=false</t>
  </si>
  <si>
    <t>주 5일제 근로자, 내년 118일 쉰다…올해보다 하루 줄어</t>
  </si>
  <si>
    <t>https://blog.naver.com/PostView.naver?blogId=eremoval&amp;logNo=223916420954&amp;redirect=Dlog&amp;widgetTypeCall=true&amp;directAccess=false</t>
  </si>
  <si>
    <t>은행다니는 J과장</t>
  </si>
  <si>
    <t>임시공휴일, 이대로 괜찮을까?"내수 진작이 아니라 해외로 빠져나가는 소비만 늘어난다면…"</t>
  </si>
  <si>
    <t>https://blog.naver.com/PostView.naver?blogId=sydney0709&amp;logNo=223916192973&amp;redirect=Dlog&amp;widgetTypeCall=true&amp;directAccess=false</t>
  </si>
  <si>
    <t>2025년 6월 30일, 오늘의 주요 경제뉴스 스크랩(국내 글로벌)</t>
  </si>
  <si>
    <t>https://blog.naver.com/PostView.naver?blogId=promising_people&amp;logNo=223915965529&amp;redirect=Dlog&amp;widgetTypeCall=true&amp;directAccess=false</t>
  </si>
  <si>
    <t>이화여대·서울대 산하 기업 대표단, 중국망 방문…건강제품으로 중국시장 진출 본격화</t>
  </si>
  <si>
    <t>https://blog.naver.com/PostView.naver?blogId=enhanok70&amp;logNo=223916109306&amp;redirect=Dlog&amp;widgetTypeCall=true&amp;directAccess=false</t>
  </si>
  <si>
    <t>지은</t>
  </si>
  <si>
    <t>[치킨] 롯데마트 / 통큰치킨</t>
  </si>
  <si>
    <t>https://blog.naver.com/PostView.naver?blogId=iamjieunpark&amp;logNo=223915998587&amp;redirect=Dlog&amp;widgetTypeCall=true&amp;directAccess=false</t>
  </si>
  <si>
    <t>김긍정</t>
  </si>
  <si>
    <t>도료(페인트) 산업 분석</t>
  </si>
  <si>
    <t>https://blog.naver.com/PostView.naver?blogId=dh7736&amp;logNo=223915598727&amp;redirect=Dlog&amp;widgetTypeCall=true&amp;directAccess=false</t>
  </si>
  <si>
    <t>하이넬</t>
  </si>
  <si>
    <t>사람이 이념이 빠뀐게 없는데 당연 도돌이표</t>
  </si>
  <si>
    <t>https://blog.naver.com/PostView.naver?blogId=usstockpmet8091&amp;logNo=223915491938&amp;redirect=Dlog&amp;widgetTypeCall=true&amp;directAccess=false</t>
  </si>
  <si>
    <t>데일리안</t>
  </si>
  <si>
    <t>고물가에 대형마트 편의점 400∼500원대 라면 '불티'</t>
  </si>
  <si>
    <t>https://blog.naver.com/PostView.naver?blogId=zeenokim&amp;logNo=223916159848&amp;redirect=Dlog&amp;widgetTypeCall=true&amp;directAccess=false</t>
  </si>
  <si>
    <t>bz4 뉴스링크 - 1,723호 (2025.06.30 월)</t>
  </si>
  <si>
    <t>https://blog.naver.com/PostView.naver?blogId=lettermate&amp;logNo=223915730357&amp;redirect=Dlog&amp;widgetTypeCall=true&amp;directAccess=false</t>
  </si>
  <si>
    <t>6월 29일 - 오늘의 만평</t>
  </si>
  <si>
    <t>https://blog.naver.com/PostView.naver?blogId=u2won2&amp;logNo=223915281841&amp;redirect=Dlog&amp;widgetTypeCall=true&amp;directAccess=false</t>
  </si>
  <si>
    <t>오징어 게임' 시즌3 피날레 이벤트, 황동혁 감독-이정재, 함께 만드는 ‘세모’</t>
  </si>
  <si>
    <t>https://blog.naver.com/PostView.naver?blogId=jch4512&amp;logNo=223915075137&amp;redirect=Dlog&amp;widgetTypeCall=true&amp;directAccess=false</t>
  </si>
  <si>
    <t>MK</t>
  </si>
  <si>
    <t>(글엔 글 #1) 언남동 적환장(기흥구 적환장 확충 사업) 관련 기사 모음(2024년) - 헨젤과 그레텔 과자 부스러기를 찾아서..</t>
  </si>
  <si>
    <t>https://blog.naver.com/PostView.naver?blogId=mkdays&amp;logNo=223914669957&amp;redirect=Dlog&amp;widgetTypeCall=true&amp;directAccess=false</t>
  </si>
  <si>
    <t>심자</t>
  </si>
  <si>
    <t>아픈 너구리를 만났다.</t>
  </si>
  <si>
    <t>https://blog.naver.com/PostView.naver?blogId=simjy0&amp;logNo=223914606808&amp;redirect=Dlog&amp;widgetTypeCall=true&amp;directAccess=false</t>
  </si>
  <si>
    <t>"문제제기부터 법안발의까지"…'저격수' 주진우, '청문회 스타'로 부상</t>
  </si>
  <si>
    <t>https://blog.naver.com/PostView.naver?blogId=dudujw&amp;logNo=223914601904&amp;redirect=Dlog&amp;widgetTypeCall=true&amp;directAccess=false</t>
  </si>
  <si>
    <t>검찰, '대장동 사건' 김만배 징역 12년·유동규 징역 7년 구형</t>
  </si>
  <si>
    <t>https://blog.naver.com/PostView.naver?blogId=wangbee-&amp;logNo=223913868924&amp;redirect=Dlog&amp;widgetTypeCall=true&amp;directAccess=false</t>
  </si>
  <si>
    <t>250627 부동산 주요뉴스</t>
  </si>
  <si>
    <t>https://blog.naver.com/PostView.naver?blogId=ebdn0083&amp;logNo=223913822455&amp;redirect=Dlog&amp;widgetTypeCall=true&amp;directAccess=false</t>
  </si>
  <si>
    <t>어제의 부동산 핫이슈-2025.06.27(금)</t>
  </si>
  <si>
    <t>https://blog.naver.com/PostView.naver?blogId=ten_coms&amp;logNo=223913584528&amp;redirect=Dlog&amp;widgetTypeCall=true&amp;directAccess=false</t>
  </si>
  <si>
    <t>김손사</t>
  </si>
  <si>
    <t>"K팝 유포한 22세男 공개총살, ♥사용 금지"…          탈북민 충격 폭로</t>
  </si>
  <si>
    <t>https://blog.naver.com/PostView.naver?blogId=wangbee-&amp;logNo=223913273990&amp;redirect=Dlog&amp;widgetTypeCall=true&amp;directAccess=false</t>
  </si>
  <si>
    <t>오늘의 신문 만평(2025. 6. 27., 금)</t>
  </si>
  <si>
    <t>https://blog.naver.com/PostView.naver?blogId=kominerba&amp;logNo=223913185639&amp;redirect=Dlog&amp;widgetTypeCall=true&amp;directAccess=false</t>
  </si>
  <si>
    <t>[250626] 상한가 or 큰 거래량 종목 기록</t>
  </si>
  <si>
    <t>https://blog.naver.com/PostView.naver?blogId=anything_by_j&amp;logNo=223913039255&amp;redirect=Dlog&amp;widgetTypeCall=true&amp;directAccess=false</t>
  </si>
  <si>
    <t>경찰, '이준석 성상납 제공' 주장 관련 김성진 대표 구치소 방문 조사</t>
  </si>
  <si>
    <t>https://blog.naver.com/PostView.naver?blogId=eremoval&amp;logNo=223912956284&amp;redirect=Dlog&amp;widgetTypeCall=true&amp;directAccess=false</t>
  </si>
  <si>
    <t>“[긴급방송] 증시 급락 긴급 점검 (25.06.26)” 의 영상 요약</t>
  </si>
  <si>
    <t>https://blog.naver.com/PostView.naver?blogId=lucidjun&amp;logNo=223912490767&amp;redirect=Dlog&amp;widgetTypeCall=true&amp;directAccess=false</t>
  </si>
  <si>
    <t>고양특례시장 이동환</t>
  </si>
  <si>
    <t>세계적인 공연을 더욱 활성화해 '1,000만 명이 찾는 세계적인 공연 거점도시'로의 성장을 이루겠습니다. '고양성공시대, 시민행복시대'를 완성하는데 최선을 다하겠습니다.</t>
  </si>
  <si>
    <t>https://blog.naver.com/PostView.naver?blogId=dhlcall&amp;logNo=223912370415&amp;redirect=Dlog&amp;widgetTypeCall=true&amp;directAccess=false</t>
  </si>
  <si>
    <t>영웅0929</t>
  </si>
  <si>
    <t>영웅0929 '20250625' 001 뉴스에서 매일 하나씩 "20250625 국내 주요 뉴스"</t>
  </si>
  <si>
    <t>https://blog.naver.com/PostView.naver?blogId=heroles&amp;logNo=223910688673&amp;redirect=Dlog&amp;widgetTypeCall=true&amp;directAccess=false</t>
  </si>
  <si>
    <t>국민의힘, 김문석 청문회에 "'묻지마 청문회'...요식행위 불과"</t>
  </si>
  <si>
    <t>https://blog.naver.com/PostView.naver?blogId=standby11&amp;logNo=223910594135&amp;redirect=Dlog&amp;widgetTypeCall=true&amp;directAccess=false</t>
  </si>
  <si>
    <t>[데일리안] 국토부 산하기관장 물갈이 ‘신호탄’?...HUG 다음 타자는</t>
  </si>
  <si>
    <t>https://blog.naver.com/PostView.naver?blogId=bdmonth&amp;logNo=223909966373&amp;redirect=Dlog&amp;widgetTypeCall=true&amp;directAccess=false</t>
  </si>
  <si>
    <t>용오름</t>
  </si>
  <si>
    <t>이종납, 자신을 소개하다</t>
  </si>
  <si>
    <t>https://blog.naver.com/PostView.naver?blogId=ljn1124&amp;logNo=223909472573&amp;redirect=Dlog&amp;widgetTypeCall=true&amp;directAccess=false</t>
  </si>
  <si>
    <t>해피포유</t>
  </si>
  <si>
    <t>개포우성7차 아파트, 삼성물산-대우건설 수주전 치열, 8월 23일 조합원 총회에서 결정예정</t>
  </si>
  <si>
    <t>https://blog.naver.com/PostView.naver?blogId=iseokp&amp;logNo=223909171591&amp;redirect=Dlog&amp;widgetTypeCall=true&amp;directAccess=false</t>
  </si>
  <si>
    <t>정인지하수자원기술단</t>
  </si>
  <si>
    <t>전북 남원서 깊이 2m 싱크홀 사고</t>
  </si>
  <si>
    <t>https://blog.naver.com/PostView.naver?blogId=jigwtech&amp;logNo=223909137938&amp;redirect=Dlog&amp;widgetTypeCall=true&amp;directAccess=false</t>
  </si>
  <si>
    <t>여가부 장관 후보자 강선우·해수부 장관 후보자 전재수</t>
  </si>
  <si>
    <t>https://blog.naver.com/PostView.naver?blogId=hun4339&amp;logNo=223908741514&amp;redirect=Dlog&amp;widgetTypeCall=true&amp;directAccess=false</t>
  </si>
  <si>
    <t>네이버  연예</t>
  </si>
  <si>
    <t>https://blog.naver.com/PostView.naver?blogId=c1c1b1b1&amp;logNo=223907738972&amp;redirect=Dlog&amp;widgetTypeCall=true&amp;directAccess=false</t>
  </si>
  <si>
    <t>엔터~~~언론사 전체</t>
  </si>
  <si>
    <t>https://blog.naver.com/PostView.naver?blogId=c1c1b1b1&amp;logNo=223906880078&amp;redirect=Dlog&amp;widgetTypeCall=true&amp;directAccess=false</t>
  </si>
  <si>
    <t>운빨로비상눈이보배</t>
  </si>
  <si>
    <t>부동산취득시효 점유와 소유의 의사 실무사례.2차 추경 '20조' 푼다.전 국민 소비쿠폰? 괜히 물가 자극할라.글로벌경제부동산2025.06.21</t>
  </si>
  <si>
    <t>https://blog.naver.com/PostView.naver?blogId=dimgnaa&amp;logNo=223906556048&amp;redirect=Dlog&amp;widgetTypeCall=true&amp;directAccess=false</t>
  </si>
  <si>
    <t>트럼프 관세, 협상 서둘러야 하는 이유</t>
  </si>
  <si>
    <t>https://blog.naver.com/PostView.naver?blogId=jjoodol&amp;logNo=223906031724&amp;redirect=Dlog&amp;widgetTypeCall=true&amp;directAccess=false</t>
  </si>
  <si>
    <t>똑소리나게 제대로</t>
  </si>
  <si>
    <t>전자영 경기도의원 “대규모 점포 내 개별점포도 지역화폐 사용 가능해야”</t>
  </si>
  <si>
    <t>https://blog.naver.com/PostView.naver?blogId=goodyongin&amp;logNo=223905837413&amp;redirect=Dlog&amp;widgetTypeCall=true&amp;directAccess=false</t>
  </si>
  <si>
    <t>소나무</t>
  </si>
  <si>
    <t>미국방부 '한국등 아시아동맹 GDP5% 국방비 지출'</t>
  </si>
  <si>
    <t>https://blog.naver.com/PostView.naver?blogId=sjk60&amp;logNo=223905646519&amp;redirect=Dlog&amp;widgetTypeCall=true&amp;directAccess=false</t>
  </si>
  <si>
    <t>LG헬로비전,"월 1~2만원에 무약정"… 2030 전용 인터넷 출시</t>
  </si>
  <si>
    <t>https://blog.naver.com/PostView.naver?blogId=jch4512&amp;logNo=223905543786&amp;redirect=Dlog&amp;widgetTypeCall=true&amp;directAccess=false</t>
  </si>
  <si>
    <t>달팽이웰니스</t>
  </si>
  <si>
    <t>SSG닷컴, 디저트 맛집 '치플레' 치즈케이크 3종 판매</t>
  </si>
  <si>
    <t>https://blog.naver.com/PostView.naver?blogId=vkbjinv&amp;logNo=223905505422&amp;redirect=Dlog&amp;widgetTypeCall=true&amp;directAccess=false</t>
  </si>
  <si>
    <t>묶인 개 향해 비비탄총 ‘탕탕’…“바퀴벌레도 이렇게는…”</t>
  </si>
  <si>
    <t>https://blog.naver.com/PostView.naver?blogId=clean127&amp;logNo=223904491904&amp;redirect=Dlog&amp;widgetTypeCall=true&amp;directAccess=false</t>
  </si>
  <si>
    <t>생명연, 운동 효과 내는 단백질 ‘CLCF1’ 발견…노화된 근육·뼈 회복에 핵심</t>
  </si>
  <si>
    <t>https://blog.naver.com/PostView.naver?blogId=jch4512&amp;logNo=223904429115&amp;redirect=Dlog&amp;widgetTypeCall=true&amp;directAccess=false</t>
  </si>
  <si>
    <t>"이북요리 집에서 즐긴다" SSG닷컴, 리북방 최지형 셰프 손잡고 간편식 3종 출시</t>
  </si>
  <si>
    <t>https://blog.naver.com/PostView.naver?blogId=vkbjinv&amp;logNo=223904336227&amp;redirect=Dlog&amp;widgetTypeCall=true&amp;directAccess=false</t>
  </si>
  <si>
    <t>(25.6.19.목) 한눈에 보는 부동산뉴스</t>
  </si>
  <si>
    <t>https://blog.naver.com/PostView.naver?blogId=anko-0&amp;logNo=223904271589&amp;redirect=Dlog&amp;widgetTypeCall=true&amp;directAccess=false</t>
  </si>
  <si>
    <t>최상위 에듀케어</t>
  </si>
  <si>
    <t>[에듀 뉴스] 국어 사회 과학 서·논술형 AI가 채점…경기도교육청, 평가시스템 개통</t>
  </si>
  <si>
    <t>https://blog.naver.com/PostView.naver?blogId=dhartexam&amp;logNo=223904255811&amp;redirect=Dlog&amp;widgetTypeCall=true&amp;directAccess=false</t>
  </si>
  <si>
    <t>구리시, 2025년 와구리맛집 선정 선호도 조사 실시</t>
  </si>
  <si>
    <t>https://blog.naver.com/PostView.naver?blogId=vkbjinv&amp;logNo=223903137945&amp;redirect=Dlog&amp;widgetTypeCall=true&amp;directAccess=false</t>
  </si>
  <si>
    <t>머니 바이블</t>
  </si>
  <si>
    <t>&lt;‘최저임금 업종별 차등적용’ 노사 줄다리기 본격화&gt;&lt;국세청, '가짜 일감' 의혹 SK텔레콤 고발&gt;SK그룹 계열사에_가짜 일감줘_검찰고발_by제주세무회계사 선정 뉴스</t>
  </si>
  <si>
    <t>https://blog.naver.com/PostView.naver?blogId=pwc2214&amp;logNo=223903085857&amp;redirect=Dlog&amp;widgetTypeCall=true&amp;directAccess=false</t>
  </si>
  <si>
    <t>경찰에게 5초 만에 제압된 음주운전 전직 격투기 선수.</t>
  </si>
  <si>
    <t>https://blog.naver.com/PostView.naver?blogId=zeenokim&amp;logNo=223902976915&amp;redirect=Dlog&amp;widgetTypeCall=true&amp;directAccess=false</t>
  </si>
  <si>
    <t>엔터</t>
  </si>
  <si>
    <t>https://blog.naver.com/PostView.naver?blogId=c1c1b1b1&amp;logNo=223902923234&amp;redirect=Dlog&amp;widgetTypeCall=true&amp;directAccess=false</t>
  </si>
  <si>
    <t>국제 주요뉴스</t>
  </si>
  <si>
    <t>https://blog.naver.com/PostView.naver?blogId=c1c1b1b1&amp;logNo=223902918112&amp;redirect=Dlog&amp;widgetTypeCall=true&amp;directAccess=false</t>
  </si>
  <si>
    <t>롯데家 3세' 신유열, 바이오 USA 2025 참관</t>
  </si>
  <si>
    <t>https://blog.naver.com/PostView.naver?blogId=smailesnail&amp;logNo=223901854202&amp;redirect=Dlog&amp;widgetTypeCall=true&amp;directAccess=false</t>
  </si>
  <si>
    <t>2025년 6월 16일, 우딥. X 반응</t>
  </si>
  <si>
    <t>https://blog.naver.com/PostView.naver?blogId=shinswoong75&amp;logNo=223901418040&amp;redirect=Dlog&amp;widgetTypeCall=true&amp;directAccess=false</t>
  </si>
  <si>
    <t>주진우</t>
  </si>
  <si>
    <t>유성원</t>
  </si>
  <si>
    <t>“일부 여성들의 주장에 끌려 다니고 표만 의식하는 못난 남성들 부끄럽지 않느냐”며 “달고 다니지 말고 떼고 다니라”</t>
  </si>
  <si>
    <t>https://blog.naver.com/PostView.naver?blogId=nanunculus&amp;logNo=223900610707&amp;redirect=Dlog&amp;widgetTypeCall=true&amp;directAccess=false</t>
  </si>
  <si>
    <t>더불어민주당 새 원내사령탑은 김병기…당권 경쟁은 찐명 박찬대 vs  친명 정청래‘2파전’</t>
  </si>
  <si>
    <t>https://blog.naver.com/PostView.naver?blogId=underwind-&amp;logNo=223899665835&amp;redirect=Dlog&amp;widgetTypeCall=true&amp;directAccess=false</t>
  </si>
  <si>
    <t>6월 15일 - 오늘의 만평</t>
  </si>
  <si>
    <t>https://blog.naver.com/PostView.naver?blogId=u2won2&amp;logNo=223899653116&amp;redirect=Dlog&amp;widgetTypeCall=true&amp;directAccess=false</t>
  </si>
  <si>
    <t>금오공대, 액체 금속 복합체 기반 고민감 유연 압력센서 개발</t>
  </si>
  <si>
    <t>https://blog.naver.com/PostView.naver?blogId=jch4512&amp;logNo=223899438658&amp;redirect=Dlog&amp;widgetTypeCall=true&amp;directAccess=false</t>
  </si>
  <si>
    <t>오늘의 신문 만평(2025. 6. 14., 토)</t>
  </si>
  <si>
    <t>https://blog.naver.com/PostView.naver?blogId=kominerba&amp;logNo=223898755067&amp;redirect=Dlog&amp;widgetTypeCall=true&amp;directAccess=false</t>
  </si>
  <si>
    <t>이재명의 최종병기' 김병기, 민주당 새 원내사령탑으로</t>
  </si>
  <si>
    <t>https://blog.naver.com/PostView.naver?blogId=standby11&amp;logNo=223898488717&amp;redirect=Dlog&amp;widgetTypeCall=true&amp;directAccess=false</t>
  </si>
  <si>
    <t>&lt;무능,무책임한 좌경용공 민주팔이 기회주의 조갱때..최소한 인간의 양심이 있다면 위장 보수 가면쓰고 사이비 진보 분탕질 포기하고 더불당으로 복당하는 게..위장 보수 사이비 진보 한</t>
  </si>
  <si>
    <t>https://blog.naver.com/PostView.naver?blogId=yesktj&amp;logNo=223897216932&amp;redirect=Dlog&amp;widgetTypeCall=true&amp;directAccess=false</t>
  </si>
  <si>
    <t>이재명 잘 뽑았다 : 李 대통령의 작심 발언과 국민의 기대</t>
  </si>
  <si>
    <t>https://blog.naver.com/PostView.naver?blogId=josao&amp;logNo=223896532261&amp;redirect=Dlog&amp;widgetTypeCall=true&amp;directAccess=false</t>
  </si>
  <si>
    <t>[공유] "확인 해봤는데"…우원식 의장, 여야 '재판중지법' 대립에 어떤 말?</t>
  </si>
  <si>
    <t>https://blog.naver.com/PostView.naver?blogId=brk1012&amp;logNo=223896449160&amp;redirect=Dlog&amp;widgetTypeCall=true&amp;directAccess=false</t>
  </si>
  <si>
    <t>Ultracharm</t>
  </si>
  <si>
    <t>[공유] 데일리안같은 신문은 출입금지 시켜야 함</t>
  </si>
  <si>
    <t>https://blog.naver.com/PostView.naver?blogId=ultracharm&amp;logNo=223895791313&amp;redirect=Dlog&amp;widgetTypeCall=true&amp;directAccess=false</t>
  </si>
  <si>
    <t>손흥민 아이 아니었다...검찰 “다른 남성의 아이 임신한 채 범행”</t>
  </si>
  <si>
    <t>https://blog.naver.com/PostView.naver?blogId=cjhmk&amp;logNo=223895561219&amp;redirect=Dlog&amp;widgetTypeCall=true&amp;directAccess=false</t>
  </si>
  <si>
    <t>끝없는 힘겨루기…김용태, 개혁 저항에 내려놓나</t>
  </si>
  <si>
    <t>https://blog.naver.com/PostView.naver?blogId=etisot&amp;logNo=223895158121&amp;redirect=Dlog&amp;widgetTypeCall=true&amp;directAccess=false</t>
  </si>
  <si>
    <t>(25.6.10.화) 한눈에 보는 부동산뉴스</t>
  </si>
  <si>
    <t>https://blog.naver.com/PostView.naver?blogId=anko-0&amp;logNo=223894170690&amp;redirect=Dlog&amp;widgetTypeCall=true&amp;directAccess=false</t>
  </si>
  <si>
    <t>이재명 정부, '가산금리 손질'로 소비자 부담 완화?…은행권 '긴장'</t>
  </si>
  <si>
    <t>https://blog.naver.com/PostView.naver?blogId=clean127&amp;logNo=223894143186&amp;redirect=Dlog&amp;widgetTypeCall=true&amp;directAccess=false</t>
  </si>
  <si>
    <t>[데일리 헬스] 62세 맞아? 배우 황신혜 ‘이거’ 먹고 동안외모+몸매 유지</t>
  </si>
  <si>
    <t>https://blog.naver.com/PostView.naver?blogId=clean127&amp;logNo=223894142202&amp;redirect=Dlog&amp;widgetTypeCall=true&amp;directAccess=false</t>
  </si>
  <si>
    <t>💚0610 화05 🟦사건 사고 💤제목으로 간추린 간밤 사건 사고 뉴스</t>
  </si>
  <si>
    <t>https://blog.naver.com/PostView.naver?blogId=gusteam&amp;logNo=223894086839&amp;redirect=Dlog&amp;widgetTypeCall=true&amp;directAccess=false</t>
  </si>
  <si>
    <t>2주차에 '슈퍼 추경' 카드?…이재명 정부, 확장재정 본격 가동</t>
  </si>
  <si>
    <t>https://blog.naver.com/PostView.naver?blogId=etisot&amp;logNo=223893964901&amp;redirect=Dlog&amp;widgetTypeCall=true&amp;directAccess=false</t>
  </si>
  <si>
    <t>마을버스 훔쳐 월북 시도한 30대 탈북민…법원, 징역형 집유 선고</t>
  </si>
  <si>
    <t>https://blog.naver.com/PostView.naver?blogId=pgy0804&amp;logNo=223893472156&amp;redirect=Dlog&amp;widgetTypeCall=true&amp;directAccess=false</t>
  </si>
  <si>
    <t>삼성바이오에피스, 日 니프로와 상업화 파트너십 계약 체결</t>
  </si>
  <si>
    <t>https://blog.naver.com/PostView.naver?blogId=smailesnail&amp;logNo=223893177532&amp;redirect=Dlog&amp;widgetTypeCall=true&amp;directAccess=false</t>
  </si>
  <si>
    <t>GS25 - 자체브랜드(PB) 및 차별화 상품이 국내를 넘어 일본 전역으로 뻗어 나간다는 계획</t>
  </si>
  <si>
    <t>https://blog.naver.com/PostView.naver?blogId=rfkang49&amp;logNo=223892181561&amp;redirect=Dlog&amp;widgetTypeCall=true&amp;directAccess=false</t>
  </si>
  <si>
    <t>필리핀 국가 공중보건 비상 상태 선포 위기 HIV</t>
  </si>
  <si>
    <t>Charly</t>
  </si>
  <si>
    <t>부경대 와인 또는 데이트하기 좋은 맛집 파니니숲</t>
  </si>
  <si>
    <t>https://blog.naver.com/PostView.naver?blogId=lim8575922&amp;logNo=223891315781&amp;redirect=Dlog&amp;widgetTypeCall=true&amp;directAccess=false</t>
  </si>
  <si>
    <t>文·尹은 당선 다음날…李대통령, 트럼프와 첫 통화 언제할까</t>
  </si>
  <si>
    <t>https://blog.naver.com/PostView.naver?blogId=etisot&amp;logNo=223890076868&amp;redirect=Dlog&amp;widgetTypeCall=true&amp;directAccess=false</t>
  </si>
  <si>
    <t>본부2</t>
  </si>
  <si>
    <t>새 정부 출범, 시장 회복 기대감↑...전국 1551가구 공급, 현대 힐스테이트 곤지암 1차 635가구 중 최종 잔여분...</t>
  </si>
  <si>
    <t>https://blog.naver.com/PostView.naver?blogId=ttbs7010&amp;logNo=223889608739&amp;redirect=Dlog&amp;widgetTypeCall=true&amp;directAccess=false</t>
  </si>
  <si>
    <t>미래에셋증권 - 시총 10조 돌파,,,</t>
  </si>
  <si>
    <t>https://blog.naver.com/PostView.naver?blogId=ok2014827&amp;logNo=223888763706&amp;redirect=Dlog&amp;widgetTypeCall=true&amp;directAccess=false</t>
  </si>
  <si>
    <t>알리바바</t>
  </si>
  <si>
    <t>1117. 전 경기도 평화부지사 이화영 ‘대북송금’ 등 혐의 대법원 상고심 징역 7년 8개월 확정.</t>
  </si>
  <si>
    <t>https://blog.naver.com/PostView.naver?blogId=seskman&amp;logNo=223889313650&amp;redirect=Dlog&amp;widgetTypeCall=true&amp;directAccess=false</t>
  </si>
  <si>
    <t>청소한세계</t>
  </si>
  <si>
    <t>지질연, 숏크리트 한계 극복한 ‘콘크리트 비탈면 생태복원기술’ 개발</t>
  </si>
  <si>
    <t>https://blog.naver.com/PostView.naver?blogId=jch4512&amp;logNo=223888110528&amp;redirect=Dlog&amp;widgetTypeCall=true&amp;directAccess=false</t>
  </si>
  <si>
    <t>정샘터</t>
  </si>
  <si>
    <t>1. 아직도 구시대적인 정부의 시장개입 대책을 요구하는 건설.부동산업계</t>
  </si>
  <si>
    <t>https://blog.naver.com/PostView.naver?blogId=tapeda&amp;logNo=223888013511&amp;redirect=Dlog&amp;widgetTypeCall=true&amp;directAccess=false</t>
  </si>
  <si>
    <t>HD현대에너지솔루션 : 태양광 모듈 제조사에서 출발하여 토탈 에너지 솔루션으로의 전환 추구</t>
  </si>
  <si>
    <t>https://blog.naver.com/PostView.naver?blogId=yellowpotato12&amp;logNo=223884926867&amp;redirect=Dlog&amp;widgetTypeCall=true&amp;directAccess=false</t>
  </si>
  <si>
    <t>KAIST, '벽' 달리는 사족보행 로봇 라이보 개발...산악·험지 거뜬, 못하는게 없는 만능 ‘로봇개’</t>
  </si>
  <si>
    <t>https://blog.naver.com/PostView.naver?blogId=jch4512&amp;logNo=223887687216&amp;redirect=Dlog&amp;widgetTypeCall=true&amp;directAccess=false</t>
  </si>
  <si>
    <t>48세라고? 하지원 근황 깜놀…‘이 음식’ 추천</t>
  </si>
  <si>
    <t>https://blog.naver.com/PostView.naver?blogId=leesoehs&amp;logNo=223887616929&amp;redirect=Dlog&amp;widgetTypeCall=true&amp;directAccess=false</t>
  </si>
  <si>
    <t>Justice</t>
  </si>
  <si>
    <t>신한은행, 4일부터 주담대 만기 40년으로 연장…전세대출도 재개</t>
  </si>
  <si>
    <t>https://blog.naver.com/PostView.naver?blogId=tpskyjh82&amp;logNo=223886718820&amp;redirect=Dlog&amp;widgetTypeCall=true&amp;directAccess=false</t>
  </si>
  <si>
    <t>진도 앞바다 일가족 4명 탑승 차량 사고, 해경 수색 중</t>
  </si>
  <si>
    <t>https://blog.naver.com/PostView.naver?blogId=krsongc2&amp;logNo=223886451326&amp;redirect=Dlog&amp;widgetTypeCall=true&amp;directAccess=false</t>
  </si>
  <si>
    <t>이재명 '사법거래 의혹' 파문…김문수 "충격적, 대법원에 내통자 있단 실토?"</t>
  </si>
  <si>
    <t>https://blog.naver.com/PostView.naver?blogId=eremoval&amp;logNo=223886141506&amp;redirect=Dlog&amp;widgetTypeCall=true&amp;directAccess=false</t>
  </si>
  <si>
    <t>호돌이</t>
  </si>
  <si>
    <t>5호선 화재, 서울 5호선 지하철 화재 발생...</t>
  </si>
  <si>
    <t>https://blog.naver.com/PostView.naver?blogId=lupin1800&amp;logNo=223885828739&amp;redirect=Dlog&amp;widgetTypeCall=true&amp;directAccess=false</t>
  </si>
  <si>
    <t>지리사랑</t>
  </si>
  <si>
    <t>비즈워치</t>
  </si>
  <si>
    <t>“이재명 정부 첫 부동산 대책 김영삼의 전격적 금융실명제처럼 원인진단과 속도에 놀랐다” 의 영상 요약</t>
  </si>
  <si>
    <t>https://blog.naver.com/PostView.naver?blogId=lucidjun&amp;logNo=223914461092&amp;redirect=Dlog&amp;widgetTypeCall=true&amp;directAccess=false</t>
  </si>
  <si>
    <t>양봉</t>
  </si>
  <si>
    <t>TIGER 200</t>
  </si>
  <si>
    <t>https://blog.naver.com/PostView.naver?blogId=iisteady&amp;logNo=223906385170&amp;redirect=Dlog&amp;widgetTypeCall=true&amp;directAccess=false</t>
  </si>
  <si>
    <t>롯데그룹 - 약 3800억원에 달하는 롯데글로벌로지스의 풋옵션(매도청구권) 부담 중 일부를 덜어냈음</t>
  </si>
  <si>
    <t>https://blog.naver.com/PostView.naver?blogId=rfkang49&amp;logNo=223905727092&amp;redirect=Dlog&amp;widgetTypeCall=true&amp;directAccess=false</t>
  </si>
  <si>
    <t>“2025년 일본발 금융 충격 시나리오” 의 영상 요약</t>
  </si>
  <si>
    <t>https://blog.naver.com/PostView.naver?blogId=lucidjun&amp;logNo=223905430568&amp;redirect=Dlog&amp;widgetTypeCall=true&amp;directAccess=false</t>
  </si>
  <si>
    <t>(25.6.17.화) 한눈에 보는 부동산뉴스</t>
  </si>
  <si>
    <t>https://blog.naver.com/PostView.naver?blogId=anko-0&amp;logNo=223901809639&amp;redirect=Dlog&amp;widgetTypeCall=true&amp;directAccess=false</t>
  </si>
  <si>
    <t>(25.6.15.일) 한눈에 보는 부동산뉴스</t>
  </si>
  <si>
    <t>https://blog.naver.com/PostView.naver?blogId=anko-0&amp;logNo=223899681222&amp;redirect=Dlog&amp;widgetTypeCall=true&amp;directAccess=false</t>
  </si>
  <si>
    <t>한미약품 - 비만 치료제나 항암제에 비해 시장 주목도가 낮은 희귀질환 분야에서 예상 밖의 기술이전 성과를 낼 수 있을지 관심 부각</t>
  </si>
  <si>
    <t>https://blog.naver.com/PostView.naver?blogId=rfkang49&amp;logNo=223892355002&amp;redirect=Dlog&amp;widgetTypeCall=true&amp;directAccess=false</t>
  </si>
  <si>
    <t>이재명 정부 공약에 꼭 맞는 ETF 골라볼까</t>
  </si>
  <si>
    <t>https://blog.naver.com/PostView.naver?blogId=recsy&amp;logNo=223891812774&amp;redirect=Dlog&amp;widgetTypeCall=true&amp;directAccess=false</t>
  </si>
  <si>
    <t>2025년6월3일(화) 주요 뉴스 요약 정리 (뉴스 클리핑/뉴스 브리핑)</t>
  </si>
  <si>
    <t>https://blog.naver.com/PostView.naver?blogId=hope4life&amp;logNo=223886875708&amp;redirect=Dlog&amp;widgetTypeCall=true&amp;directAccess=false</t>
  </si>
  <si>
    <t>아시아경제</t>
  </si>
  <si>
    <t>김성준의 세상보기</t>
  </si>
  <si>
    <t>파국 치닫는 트럼프-머스크 브로맨스…비트코인·테슬라주가 '휘청' | 출처 : 아시아경제 |</t>
  </si>
  <si>
    <t>https://blog.naver.com/PostView.naver?blogId=ksj2020v&amp;logNo=223890847487&amp;redirect=Dlog&amp;widgetTypeCall=true&amp;directAccess=false</t>
  </si>
  <si>
    <t>트럼프–머스크 ‘브로맨스’ 파국, 테슬라 주가 폭락과 미국 증시 영향</t>
  </si>
  <si>
    <t>https://blog.naver.com/PostView.naver?blogId=police1965&amp;logNo=223890800713&amp;redirect=Dlog&amp;widgetTypeCall=true&amp;directAccess=false</t>
  </si>
  <si>
    <t>란란</t>
  </si>
  <si>
    <t>기준금리는 내렸다는데 주담대금리는 그대로네??</t>
  </si>
  <si>
    <t>https://blog.naver.com/PostView.naver?blogId=somethingk&amp;logNo=223890538459&amp;redirect=Dlog&amp;widgetTypeCall=true&amp;directAccess=false</t>
  </si>
  <si>
    <t>청룡검객</t>
  </si>
  <si>
    <t>11년만의 만남! 세종시사회복지사협회,세종시사회복지행정연구회</t>
  </si>
  <si>
    <t>https://blog.naver.com/PostView.naver?blogId=rokmc482&amp;logNo=223890356381&amp;redirect=Dlog&amp;widgetTypeCall=true&amp;directAccess=false</t>
  </si>
  <si>
    <t>🌐 2025.06.05. 글로벌 증시요약</t>
  </si>
  <si>
    <t>https://blog.naver.com/PostView.naver?blogId=npl119&amp;logNo=223890278023&amp;redirect=Dlog&amp;widgetTypeCall=true&amp;directAccess=false</t>
  </si>
  <si>
    <t>숲길</t>
  </si>
  <si>
    <t>250605</t>
  </si>
  <si>
    <t>https://blog.naver.com/PostView.naver?blogId=techtips&amp;logNo=223889984747&amp;redirect=Dlog&amp;widgetTypeCall=true&amp;directAccess=false</t>
  </si>
  <si>
    <t>직장인</t>
  </si>
  <si>
    <t>2025/06/05 상한가 종목</t>
  </si>
  <si>
    <t>https://blog.naver.com/PostView.naver?blogId=intheriverck&amp;logNo=223889620528&amp;redirect=Dlog&amp;widgetTypeCall=true&amp;directAccess=false</t>
  </si>
  <si>
    <t>자유를 꿈꾸며</t>
  </si>
  <si>
    <t>수원당수지구C3·D3블록(1149가구·74~112㎡) 공급</t>
  </si>
  <si>
    <t>https://blog.naver.com/PostView.naver?blogId=sonyk17&amp;logNo=223889608158&amp;redirect=Dlog&amp;widgetTypeCall=true&amp;directAccess=false</t>
  </si>
  <si>
    <t>흐돌</t>
  </si>
  <si>
    <t>2025-06-05 특징주</t>
  </si>
  <si>
    <t>https://blog.naver.com/PostView.naver?blogId=namwung1&amp;logNo=223889510617&amp;redirect=Dlog&amp;widgetTypeCall=true&amp;directAccess=false</t>
  </si>
  <si>
    <t>쪽지쪽지</t>
  </si>
  <si>
    <t>사회 곳곳에서 '오너리스크'문제가 터지고 있고</t>
  </si>
  <si>
    <t>https://blog.naver.com/PostView.naver?blogId=jdwndz&amp;logNo=223889509039&amp;redirect=Dlog&amp;widgetTypeCall=true&amp;directAccess=false</t>
  </si>
  <si>
    <t>■1. 공정과 공공이익을 위해서도.'재초환'은 유지되어야!이</t>
  </si>
  <si>
    <t>https://blog.naver.com/PostView.naver?blogId=tapeda&amp;logNo=223889303703&amp;redirect=Dlog&amp;widgetTypeCall=true&amp;directAccess=false</t>
  </si>
  <si>
    <t>손에 잡히는 경제 250605 - 상법개정 , 체코원전, 희토류 수출통제</t>
  </si>
  <si>
    <t>https://blog.naver.com/PostView.naver?blogId=jichuuu0116&amp;logNo=223889191971&amp;redirect=Dlog&amp;widgetTypeCall=true&amp;directAccess=false</t>
  </si>
  <si>
    <t>2025년 6월 4일, 비상경제점검 TF 회의결과. X반응</t>
  </si>
  <si>
    <t>https://blog.naver.com/PostView.naver?blogId=shinswoong75&amp;logNo=223889136952&amp;redirect=Dlog&amp;widgetTypeCall=true&amp;directAccess=false</t>
  </si>
  <si>
    <t>우즈벡 정보마당</t>
  </si>
  <si>
    <t>[우즈베키스탄] 한국과의 경제 협력 대혁신! 270억 달러 메가 프로젝트부터 스마트 팩토리까지</t>
  </si>
  <si>
    <t>https://blog.naver.com/PostView.naver?blogId=uzinfo82&amp;logNo=223888558834&amp;redirect=Dlog&amp;widgetTypeCall=true&amp;directAccess=false</t>
  </si>
  <si>
    <t>변화</t>
  </si>
  <si>
    <t>이재명 대통령 복지공약 9가지! 앞으로 복지정책 이렇게 바뀝니다. 출산·노후·외로움까지 챙긴다…이재명式 복지 로드맵 가동!</t>
  </si>
  <si>
    <t>https://blog.naver.com/PostView.naver?blogId=wouk0691&amp;logNo=223889082717&amp;redirect=Dlog&amp;widgetTypeCall=true&amp;directAccess=false</t>
  </si>
  <si>
    <t>6/5 핵심뉴스선정 (원전, 한미협력, 반도체)</t>
  </si>
  <si>
    <t>https://blog.naver.com/PostView.naver?blogId=not_money_wisdom&amp;logNo=223888992988&amp;redirect=Dlog&amp;widgetTypeCall=true&amp;directAccess=false</t>
  </si>
  <si>
    <t>투자게임</t>
  </si>
  <si>
    <t>2025.06.04(수) 특징주</t>
  </si>
  <si>
    <t>https://blog.naver.com/PostView.naver?blogId=investgame&amp;logNo=223888856184&amp;redirect=Dlog&amp;widgetTypeCall=true&amp;directAccess=false</t>
  </si>
  <si>
    <t>상한가 &amp; 천만주 정리 #480_2025.6.4(수)</t>
  </si>
  <si>
    <t>https://blog.naver.com/PostView.naver?blogId=changee72&amp;logNo=223888722223&amp;redirect=Dlog&amp;widgetTypeCall=true&amp;directAccess=false</t>
  </si>
  <si>
    <t>대뚱가</t>
  </si>
  <si>
    <t>AI 반도체 전쟁, 엔비디아 AI 반도체 공급망 악재가 해소된다</t>
  </si>
  <si>
    <t>https://blog.naver.com/PostView.naver?blogId=hyjang0908&amp;logNo=223888682328&amp;redirect=Dlog&amp;widgetTypeCall=true&amp;directAccess=false</t>
  </si>
  <si>
    <t>AI 반도체 전쟁, 엔비디아에 아마존이 도전장을 내밀고있다</t>
  </si>
  <si>
    <t>https://blog.naver.com/PostView.naver?blogId=hyjang0908&amp;logNo=223888646320&amp;redirect=Dlog&amp;widgetTypeCall=true&amp;directAccess=false</t>
  </si>
  <si>
    <t>2025/06/04:상한가종목/ 상승률 상위종목/ 오늘의 주요 상승테마</t>
  </si>
  <si>
    <t>https://blog.naver.com/PostView.naver?blogId=timeinvestment&amp;logNo=223888602068&amp;redirect=Dlog&amp;widgetTypeCall=true&amp;directAccess=false</t>
  </si>
  <si>
    <t>시크릿</t>
  </si>
  <si>
    <t>건강 챌린지</t>
  </si>
  <si>
    <t>https://blog.naver.com/PostView.naver?blogId=rjei2&amp;logNo=223888548884&amp;redirect=Dlog&amp;widgetTypeCall=true&amp;directAccess=false</t>
  </si>
  <si>
    <t>이준석 후보, 8.34% 득표로 선거비 보전 실패… "책임은 모두 제 몫"</t>
  </si>
  <si>
    <t>https://blog.naver.com/PostView.naver?blogId=krsongc2&amp;logNo=223888090235&amp;redirect=Dlog&amp;widgetTypeCall=true&amp;directAccess=false</t>
  </si>
  <si>
    <t>6월4일 장전주요뉴스</t>
  </si>
  <si>
    <t>https://blog.naver.com/PostView.naver?blogId=lgrstock&amp;logNo=223887919288&amp;redirect=Dlog&amp;widgetTypeCall=true&amp;directAccess=false</t>
  </si>
  <si>
    <t>25.05.28 #기본자본 #K-ICS #M&amp;A #계약이전</t>
  </si>
  <si>
    <t>https://blog.naver.com/PostView.naver?blogId=duwjdals1005&amp;logNo=223887587443&amp;redirect=Dlog&amp;widgetTypeCall=true&amp;directAccess=false</t>
  </si>
  <si>
    <t>플로우</t>
  </si>
  <si>
    <t>태웅</t>
  </si>
  <si>
    <t>https://blog.naver.com/PostView.naver?blogId=diddid2327&amp;logNo=223887572844&amp;redirect=Dlog&amp;widgetTypeCall=true&amp;directAccess=false</t>
  </si>
  <si>
    <t>[속보]이재명, 출구조사서 압승!   채널A,MBN,방송3사</t>
  </si>
  <si>
    <t>https://blog.naver.com/PostView.naver?blogId=gkirohamo&amp;logNo=223887483909&amp;redirect=Dlog&amp;widgetTypeCall=true&amp;directAccess=false</t>
  </si>
  <si>
    <t>자전과 공전</t>
  </si>
  <si>
    <t>2025년 6월 3일 신문을 통해 알게 된 것들</t>
  </si>
  <si>
    <t>https://blog.naver.com/PostView.naver?blogId=abcd9361&amp;logNo=223886728034&amp;redirect=Dlog&amp;widgetTypeCall=true&amp;directAccess=false</t>
  </si>
  <si>
    <t>일랑일랑 퍼플</t>
  </si>
  <si>
    <t>25-06-02</t>
  </si>
  <si>
    <t>https://blog.naver.com/PostView.naver?blogId=h8706&amp;logNo=223886581461&amp;redirect=Dlog&amp;widgetTypeCall=true&amp;directAccess=false</t>
  </si>
  <si>
    <t>컴트루</t>
  </si>
  <si>
    <t>국제산업연관표 정의, 중요성, 장단점, 관련 자료</t>
  </si>
  <si>
    <t>https://blog.naver.com/PostView.naver?blogId=bookwithme410&amp;logNo=223886533044&amp;redirect=Dlog&amp;widgetTypeCall=true&amp;directAccess=false</t>
  </si>
  <si>
    <t>덕도님</t>
  </si>
  <si>
    <t>(5/31~6/2) 中 위버스, 사마라에 $3억 XRP 펀드 운용 위임</t>
  </si>
  <si>
    <t>https://blog.naver.com/PostView.naver?blogId=deokdo1&amp;logNo=223886527662&amp;redirect=Dlog&amp;widgetTypeCall=true&amp;directAccess=false</t>
  </si>
  <si>
    <t>Pro memoria</t>
  </si>
  <si>
    <t>양자 우위/Quantum Supremacy/量子优势</t>
  </si>
  <si>
    <t>https://blog.naver.com/PostView.naver?blogId=leiapreciosa&amp;logNo=223886397150&amp;redirect=Dlog&amp;widgetTypeCall=true&amp;directAccess=false</t>
  </si>
  <si>
    <t>[차트리뷰] 오늘의 특징주, 20년 신고가 태웅, 언제 어떻게 매매했으면 좋았을까?</t>
  </si>
  <si>
    <t>https://blog.naver.com/PostView.naver?blogId=hejiongxi&amp;logNo=223886330177&amp;redirect=Dlog&amp;widgetTypeCall=true&amp;directAccess=false</t>
  </si>
  <si>
    <t>2025/06/02:상한가종목/ 상승률 상위종목/ 오늘의 주요 상승테마</t>
  </si>
  <si>
    <t>https://blog.naver.com/PostView.naver?blogId=timeinvestment&amp;logNo=223886330251&amp;redirect=Dlog&amp;widgetTypeCall=true&amp;directAccess=false</t>
  </si>
  <si>
    <t>시장 경제 트렌드 변화, 반도체 시장에서 중국의 빅테크 중심 대체 전략에 속도를 낸다</t>
  </si>
  <si>
    <t>https://blog.naver.com/PostView.naver?blogId=hyjang0908&amp;logNo=223886160632&amp;redirect=Dlog&amp;widgetTypeCall=true&amp;directAccess=false</t>
  </si>
  <si>
    <t>임대소득 과세 포석?…'전월세 신고제'에 떠는 임대차 시장</t>
  </si>
  <si>
    <t>https://blog.naver.com/PostView.naver?blogId=yoosy65&amp;logNo=223885694621&amp;redirect=Dlog&amp;widgetTypeCall=true&amp;directAccess=false</t>
  </si>
  <si>
    <t>시장 경제 트렌드 변화, 생산에 사람보다 로봇이 많아진다</t>
  </si>
  <si>
    <t>https://blog.naver.com/PostView.naver?blogId=hyjang0908&amp;logNo=223885893157&amp;redirect=Dlog&amp;widgetTypeCall=true&amp;directAccess=false</t>
  </si>
  <si>
    <t>멋진월요일</t>
  </si>
  <si>
    <t>극단적 선택 부르는 우울증…이렇게 고칠 수 있다</t>
  </si>
  <si>
    <t>https://blog.naver.com/PostView.naver?blogId=w_monday&amp;logNo=223885812361&amp;redirect=Dlog&amp;widgetTypeCall=true&amp;directAccess=false</t>
  </si>
  <si>
    <t>햇빛 뚱이맘</t>
  </si>
  <si>
    <t>20250602 경제신문기사 공부하기</t>
  </si>
  <si>
    <t>https://blog.naver.com/PostView.naver?blogId=djqandyd75&amp;logNo=223885749529&amp;redirect=Dlog&amp;widgetTypeCall=true&amp;directAccess=false</t>
  </si>
  <si>
    <t>250601 부동산 주요뉴스</t>
  </si>
  <si>
    <t>https://blog.naver.com/PostView.naver?blogId=ebdn0083&amp;logNo=223885721036&amp;redirect=Dlog&amp;widgetTypeCall=true&amp;directAccess=false</t>
  </si>
  <si>
    <t>JYP엔터테인먼트 : 25년 실적 반등이 기대되는 종합 엔터테인먼트 기업</t>
  </si>
  <si>
    <t>https://blog.naver.com/PostView.naver?blogId=yellowpotato12&amp;logNo=223877324014&amp;redirect=Dlog&amp;widgetTypeCall=true&amp;directAccess=false</t>
  </si>
  <si>
    <t>메타바이오메드 (5월 30일 분석 )</t>
  </si>
  <si>
    <t>https://blog.naver.com/PostView.naver?blogId=gsisib&amp;logNo=223885316346&amp;redirect=Dlog&amp;widgetTypeCall=true&amp;directAccess=false</t>
  </si>
  <si>
    <t>독서는 삶의 무기</t>
  </si>
  <si>
    <t>서울대 아니라 ‘국졸’이었어도 당당하다</t>
  </si>
  <si>
    <t>https://blog.naver.com/PostView.naver?blogId=casj007&amp;logNo=223885097434&amp;redirect=Dlog&amp;widgetTypeCall=true&amp;directAccess=false</t>
  </si>
  <si>
    <t>hyun</t>
  </si>
  <si>
    <t>우주 데이터 센터</t>
  </si>
  <si>
    <t>https://blog.naver.com/PostView.naver?blogId=agilent3&amp;logNo=223884915432&amp;redirect=Dlog&amp;widgetTypeCall=true&amp;directAccess=false</t>
  </si>
  <si>
    <t>월천사서</t>
  </si>
  <si>
    <t>25.5.28. 토모큐브 (수급은 근거 중 하나일뿐..)</t>
  </si>
  <si>
    <t>https://blog.naver.com/PostView.naver?blogId=heycoco7&amp;logNo=223884807443&amp;redirect=Dlog&amp;widgetTypeCall=true&amp;directAccess=false</t>
  </si>
  <si>
    <t>박스견</t>
  </si>
  <si>
    <t>머꽃</t>
  </si>
  <si>
    <t>해외에서 김 요오드 과다로 규제한 이유</t>
  </si>
  <si>
    <t>https://blog.naver.com/PostView.naver?blogId=sbar_h&amp;logNo=223884336306&amp;redirect=Dlog&amp;widgetTypeCall=true&amp;directAccess=false</t>
  </si>
  <si>
    <t>25.06.10. ~ 12.크립토 시황 브리핑</t>
  </si>
  <si>
    <t>https://blog.naver.com/PostView.naver?blogId=heojh90&amp;logNo=223897378561&amp;redirect=Dlog&amp;widgetTypeCall=true&amp;directAccess=false</t>
  </si>
  <si>
    <t>일본의 경제, 근로자 실질임금 감소 추세이다</t>
  </si>
  <si>
    <t>https://blog.naver.com/PostView.naver?blogId=hyjang0908&amp;logNo=223897019948&amp;redirect=Dlog&amp;widgetTypeCall=true&amp;directAccess=false</t>
  </si>
  <si>
    <t>2025-06-12 특징주</t>
  </si>
  <si>
    <t>https://blog.naver.com/PostView.naver?blogId=namwung1&amp;logNo=223896906096&amp;redirect=Dlog&amp;widgetTypeCall=true&amp;directAccess=false</t>
  </si>
  <si>
    <t>김자봉</t>
  </si>
  <si>
    <t>이웃과 먹거리 나누며 지속 가능한 공동체 문화 만들어요</t>
  </si>
  <si>
    <t>https://blog.naver.com/PostView.naver?blogId=gimhae1365&amp;logNo=223896807387&amp;redirect=Dlog&amp;widgetTypeCall=true&amp;directAccess=false</t>
  </si>
  <si>
    <t>꾸르</t>
  </si>
  <si>
    <t>포모 주의</t>
  </si>
  <si>
    <t>https://blog.naver.com/PostView.naver?blogId=ruandoufu&amp;logNo=223896704282&amp;redirect=Dlog&amp;widgetTypeCall=true&amp;directAccess=false</t>
  </si>
  <si>
    <t>명랑부동산</t>
  </si>
  <si>
    <t>신대방동 명랑부동산 2025,06.12 (목) 뉴스 브리핑</t>
  </si>
  <si>
    <t>https://blog.naver.com/PostView.naver?blogId=saxophone06&amp;logNo=223896502636&amp;redirect=Dlog&amp;widgetTypeCall=true&amp;directAccess=false</t>
  </si>
  <si>
    <t>&lt;뉴욕 증시&gt; CPI 예상치 하회, 미중 합의 불구 증시는 숨 고르기</t>
  </si>
  <si>
    <t>https://blog.naver.com/PostView.naver?blogId=pokara61&amp;logNo=223896491505&amp;redirect=Dlog&amp;widgetTypeCall=true&amp;directAccess=false</t>
  </si>
  <si>
    <t>2025년 6월 12일 신문을 통해 알게 된 것들</t>
  </si>
  <si>
    <t>https://blog.naver.com/PostView.naver?blogId=abcd9361&amp;logNo=223896357637&amp;redirect=Dlog&amp;widgetTypeCall=true&amp;directAccess=false</t>
  </si>
  <si>
    <t>열배평생제공</t>
  </si>
  <si>
    <t>李 “주식시장에서 장난치면 패가망신한다는 걸 보여줄 것” by 서울신문 20250611</t>
  </si>
  <si>
    <t>https://blog.naver.com/PostView.naver?blogId=crazybeliever&amp;logNo=223896320040&amp;redirect=Dlog&amp;widgetTypeCall=true&amp;directAccess=false</t>
  </si>
  <si>
    <t>[연구] 순천 관련</t>
  </si>
  <si>
    <t>https://blog.naver.com/PostView.naver?blogId=leedaehaw&amp;logNo=223896234010&amp;redirect=Dlog&amp;widgetTypeCall=true&amp;directAccess=false</t>
  </si>
  <si>
    <t>경제윗미 / Day 8 / 환율</t>
  </si>
  <si>
    <t>https://blog.naver.com/PostView.naver?blogId=dohagirl&amp;logNo=223896046308&amp;redirect=Dlog&amp;widgetTypeCall=true&amp;directAccess=false</t>
  </si>
  <si>
    <t>미국과 중국 무역협상 훈풍으로, 결과 기대감에 주요 지표 상승하였다</t>
  </si>
  <si>
    <t>https://blog.naver.com/PostView.naver?blogId=hyjang0908&amp;logNo=223895885819&amp;redirect=Dlog&amp;widgetTypeCall=true&amp;directAccess=false</t>
  </si>
  <si>
    <t>kimjc0000</t>
  </si>
  <si>
    <t>꽌시문화를 깊이 이해하는 대법관</t>
  </si>
  <si>
    <t>https://blog.naver.com/PostView.naver?blogId=mydairy_book&amp;logNo=223895150587&amp;redirect=Dlog&amp;widgetTypeCall=true&amp;directAccess=false</t>
  </si>
  <si>
    <t>2025년 6월 10일 가상자산 시장뉴스(코인뉴스)</t>
  </si>
  <si>
    <t>https://blog.naver.com/PostView.naver?blogId=tone123&amp;logNo=223894796667&amp;redirect=Dlog&amp;widgetTypeCall=true&amp;directAccess=false</t>
  </si>
  <si>
    <t>전력 수요 대응하며, 지구 온난화 관리 RE100와 CF100 필요하다.</t>
  </si>
  <si>
    <t>https://blog.naver.com/PostView.naver?blogId=hyjang0908&amp;logNo=223894752572&amp;redirect=Dlog&amp;widgetTypeCall=true&amp;directAccess=false</t>
  </si>
  <si>
    <t>파주타임스pajutimes</t>
  </si>
  <si>
    <t>기획연재 - ESG 시대, 우리 기업의 미래를 묻다</t>
  </si>
  <si>
    <t>https://blog.naver.com/PostView.naver?blogId=pajutimes&amp;logNo=223894749755&amp;redirect=Dlog&amp;widgetTypeCall=true&amp;directAccess=false</t>
  </si>
  <si>
    <t>2025/06/10:상한가종목/ 상승률 상위종목/ 오늘의 주요 상승테마</t>
  </si>
  <si>
    <t>https://blog.naver.com/PostView.naver?blogId=timeinvestment&amp;logNo=223894738002&amp;redirect=Dlog&amp;widgetTypeCall=true&amp;directAccess=false</t>
  </si>
  <si>
    <t>정성호 "판사 바뀌면 또 李대통령 재판 가능성…입법으로 깔끔하게 정리해야"</t>
  </si>
  <si>
    <t>https://blog.naver.com/PostView.naver?blogId=yesktj&amp;logNo=223894701291&amp;redirect=Dlog&amp;widgetTypeCall=true&amp;directAccess=false</t>
  </si>
  <si>
    <t>미투온(201490)</t>
  </si>
  <si>
    <t>https://blog.naver.com/PostView.naver?blogId=kang-pro1023&amp;logNo=223894660802&amp;redirect=Dlog&amp;widgetTypeCall=true&amp;directAccess=false</t>
  </si>
  <si>
    <t>2025-06-10 특징주</t>
  </si>
  <si>
    <t>https://blog.naver.com/PostView.naver?blogId=namwung1&amp;logNo=223894591180&amp;redirect=Dlog&amp;widgetTypeCall=true&amp;directAccess=false</t>
  </si>
  <si>
    <t>12일 본회의 연기…민주, 쟁점 법안 처리 숨 고르기 | 출처 : 아시아경제 |</t>
  </si>
  <si>
    <t>https://blog.naver.com/PostView.naver?blogId=ksj2020v&amp;logNo=223894585195&amp;redirect=Dlog&amp;widgetTypeCall=true&amp;directAccess=false</t>
  </si>
  <si>
    <t>[화성뉴스] 신세계프라퍼티는 화성국제테마파크, 2025년 착공·2029년 개장 목표 추진 중</t>
  </si>
  <si>
    <t>https://blog.naver.com/PostView.naver?blogId=vitakim520&amp;logNo=223894443772&amp;redirect=Dlog&amp;widgetTypeCall=true&amp;directAccess=false</t>
  </si>
  <si>
    <t>rome122</t>
  </si>
  <si>
    <t>25년 6월 뉴스</t>
  </si>
  <si>
    <t>https://blog.naver.com/PostView.naver?blogId=rome122&amp;logNo=223894299174&amp;redirect=Dlog&amp;widgetTypeCall=true&amp;directAccess=false</t>
  </si>
  <si>
    <t>맹</t>
  </si>
  <si>
    <t>6월9일 월요일 장 마감 정리</t>
  </si>
  <si>
    <t>https://blog.naver.com/PostView.naver?blogId=yosin72&amp;logNo=223893778557&amp;redirect=Dlog&amp;widgetTypeCall=true&amp;directAccess=false</t>
  </si>
  <si>
    <t>2025년 6월 9일, 제2차 비상경제점검TF회의, X 반응</t>
  </si>
  <si>
    <t>https://blog.naver.com/PostView.naver?blogId=shinswoong75&amp;logNo=223893707581&amp;redirect=Dlog&amp;widgetTypeCall=true&amp;directAccess=false</t>
  </si>
  <si>
    <t>kmmi0101</t>
  </si>
  <si>
    <t>2025년 6월 첫째주 경제뉴스 스크랩</t>
  </si>
  <si>
    <t>https://blog.naver.com/PostView.naver?blogId=kmmi0101&amp;logNo=223893703696&amp;redirect=Dlog&amp;widgetTypeCall=true&amp;directAccess=false</t>
  </si>
  <si>
    <t>[아시아경제] 건설·부동산업계 "지금은 기다릴 때"…이재명 정부 첫 신호는 '인사'</t>
  </si>
  <si>
    <t>https://blog.naver.com/PostView.naver?blogId=bdmonth&amp;logNo=223893401617&amp;redirect=Dlog&amp;widgetTypeCall=true&amp;directAccess=false</t>
  </si>
  <si>
    <t>카카오페이(377300)</t>
  </si>
  <si>
    <t>https://blog.naver.com/PostView.naver?blogId=kang-pro1023&amp;logNo=223893401059&amp;redirect=Dlog&amp;widgetTypeCall=true&amp;directAccess=false</t>
  </si>
  <si>
    <t>글로벌 전기차 시장 지각변동 주도, 중국의 BYD 가격경쟁 승부수</t>
  </si>
  <si>
    <t>https://blog.naver.com/PostView.naver?blogId=hyjang0908&amp;logNo=223893383443&amp;redirect=Dlog&amp;widgetTypeCall=true&amp;directAccess=false</t>
  </si>
  <si>
    <t>2025-06-09 특징주</t>
  </si>
  <si>
    <t>https://blog.naver.com/PostView.naver?blogId=namwung1&amp;logNo=223893330431&amp;redirect=Dlog&amp;widgetTypeCall=true&amp;directAccess=false</t>
  </si>
  <si>
    <t>지구촌나눔운동</t>
  </si>
  <si>
    <t>[아시아경제]지구촌나눔운동, 라오스 농업농촌개발 정책실행계획 공식 전달</t>
  </si>
  <si>
    <t>https://blog.naver.com/PostView.naver?blogId=gcsblog&amp;logNo=223893310692&amp;redirect=Dlog&amp;widgetTypeCall=true&amp;directAccess=false</t>
  </si>
  <si>
    <t>이준석 제명 청원 40만…대선 끝나도 후폭풍 여전 + [참고적인 지적]</t>
  </si>
  <si>
    <t>https://blog.naver.com/PostView.naver?blogId=kominerba&amp;logNo=223893232632&amp;redirect=Dlog&amp;widgetTypeCall=true&amp;directAccess=false</t>
  </si>
  <si>
    <t>한화오션 - 캐나다 잠수함 사업에 한걸음 더 다가갔다는 언론보도</t>
  </si>
  <si>
    <t>https://blog.naver.com/PostView.naver?blogId=rfkang49&amp;logNo=223892295182&amp;redirect=Dlog&amp;widgetTypeCall=true&amp;directAccess=false</t>
  </si>
  <si>
    <t>[집테크]서울 부동산 세대교체…젊은 층이 사고, 고령층은 판다</t>
  </si>
  <si>
    <t>https://blog.naver.com/PostView.naver?blogId=yoosy65&amp;logNo=223889140105&amp;redirect=Dlog&amp;widgetTypeCall=true&amp;directAccess=false</t>
  </si>
  <si>
    <t>글로벌 전기차 시장에서 중국 전기차 산업은 결정적인 기로에 서 있다.</t>
  </si>
  <si>
    <t>https://blog.naver.com/PostView.naver?blogId=hyjang0908&amp;logNo=223891674546&amp;redirect=Dlog&amp;widgetTypeCall=true&amp;directAccess=false</t>
  </si>
  <si>
    <t>글로벌 전기차 시장이 요동치고 있다. 글로벌 1위 BYD 가격 전쟁 시작</t>
  </si>
  <si>
    <t>https://blog.naver.com/PostView.naver?blogId=hyjang0908&amp;logNo=223891484434&amp;redirect=Dlog&amp;widgetTypeCall=true&amp;directAccess=false</t>
  </si>
  <si>
    <t>"서울 신축 34평이 9억대"…올해 남은 '로또청약' 분양가 상한제 단지 어디[실전재테크]</t>
  </si>
  <si>
    <t>https://blog.naver.com/PostView.naver?blogId=yoosy65&amp;logNo=223889134024&amp;redirect=Dlog&amp;widgetTypeCall=true&amp;directAccess=false</t>
  </si>
  <si>
    <t>SGC에너지도 지주회사｜배당소득 분리과세｜상속·증여세 공정화법을 대입해보면 어떨까?!</t>
  </si>
  <si>
    <t>https://blog.naver.com/PostView.naver?blogId=gangchel&amp;logNo=223891240182&amp;redirect=Dlog&amp;widgetTypeCall=true&amp;directAccess=false</t>
  </si>
  <si>
    <t>(25.6.7.토) 한눈에 보는 부동산뉴스</t>
  </si>
  <si>
    <t>https://blog.naver.com/PostView.naver?blogId=anko-0&amp;logNo=223891235741&amp;redirect=Dlog&amp;widgetTypeCall=true&amp;directAccess=false</t>
  </si>
  <si>
    <t>광무 - 정밀화학소재 전문기업 이피캠텍의 주식 5만주(0.49%)를 장외에서 추가 매입</t>
  </si>
  <si>
    <t>https://blog.naver.com/PostView.naver?blogId=rfkang49&amp;logNo=223891234961&amp;redirect=Dlog&amp;widgetTypeCall=true&amp;directAccess=false</t>
  </si>
  <si>
    <t>2025년 6월 7일 뉴스산책, 아침에 일찍일어나는 새가 더 많은 벌레를 포식한다</t>
  </si>
  <si>
    <t>https://blog.naver.com/PostView.naver?blogId=neosea_com&amp;logNo=223891144091&amp;redirect=Dlog&amp;widgetTypeCall=true&amp;directAccess=false</t>
  </si>
  <si>
    <t>무한긍정</t>
  </si>
  <si>
    <t>[6/5]장마감</t>
  </si>
  <si>
    <t>https://blog.naver.com/PostView.naver?blogId=infinitepositivity&amp;logNo=223890954359&amp;redirect=Dlog&amp;widgetTypeCall=true&amp;directAccess=false</t>
  </si>
  <si>
    <t>라운드</t>
  </si>
  <si>
    <t>2025년 6월 15일 주요 IT 경제 뉴스 5선</t>
  </si>
  <si>
    <t>https://blog.naver.com/PostView.naver?blogId=aswe1232&amp;logNo=223900001542&amp;redirect=Dlog&amp;widgetTypeCall=true&amp;directAccess=false</t>
  </si>
  <si>
    <t>나이벡 - 6000억원 규모 기술이전 소식에 전환사채(CB) 투자자들의 기대감이 높아지고 있다는 언론보도</t>
  </si>
  <si>
    <t>https://blog.naver.com/PostView.naver?blogId=rfkang49&amp;logNo=223899935735&amp;redirect=Dlog&amp;widgetTypeCall=true&amp;directAccess=false</t>
  </si>
  <si>
    <t>밍데이</t>
  </si>
  <si>
    <t>인생우상향 경제 스터디 1주차 - (4)</t>
  </si>
  <si>
    <t>https://blog.naver.com/PostView.naver?blogId=mingdayz&amp;logNo=223899347045&amp;redirect=Dlog&amp;widgetTypeCall=true&amp;directAccess=false</t>
  </si>
  <si>
    <t>이스라엘과 이란 중동사태 영향으로 주요 자산 흔들린다</t>
  </si>
  <si>
    <t>https://blog.naver.com/PostView.naver?blogId=hyjang0908&amp;logNo=223899088808&amp;redirect=Dlog&amp;widgetTypeCall=true&amp;directAccess=false</t>
  </si>
  <si>
    <t>펌글-소금빵 원조는 1000원, 한국은 3000원…선진국보다 비싼 빵값[빵값의 비밀]</t>
  </si>
  <si>
    <t>https://blog.naver.com/PostView.naver?blogId=ai1009&amp;logNo=223899080663&amp;redirect=Dlog&amp;widgetTypeCall=true&amp;directAccess=false</t>
  </si>
  <si>
    <t>[아시아경제] 그리운 금강산과 남자의 자격의 공통점은?</t>
  </si>
  <si>
    <t>https://blog.naver.com/PostView.naver?blogId=camiplay&amp;logNo=223899025586&amp;redirect=Dlog&amp;widgetTypeCall=true&amp;directAccess=false</t>
  </si>
  <si>
    <t>콘텐츠 정보 스크랩_텍스트_2025.06.08.~2025.06.14.</t>
  </si>
  <si>
    <t>https://blog.naver.com/PostView.naver?blogId=leedaehaw&amp;logNo=223898912723&amp;redirect=Dlog&amp;widgetTypeCall=true&amp;directAccess=false</t>
  </si>
  <si>
    <t>2024-2025 한국 20·30 여성 성인식과 정신건강</t>
  </si>
  <si>
    <t>https://blog.naver.com/PostView.naver?blogId=axparnters&amp;logNo=223895556622&amp;redirect=Dlog&amp;widgetTypeCall=true&amp;directAccess=false</t>
  </si>
  <si>
    <t>ecofarm</t>
  </si>
  <si>
    <t>MSCI 시장 재분류 결과 발표 예정...남북경협 관련주의 강세는 구매의 맛을 자극한다</t>
  </si>
  <si>
    <t>https://blog.naver.com/PostView.naver?blogId=wooklin&amp;logNo=223898835397&amp;redirect=Dlog&amp;widgetTypeCall=true&amp;directAccess=false</t>
  </si>
  <si>
    <t>테슬라의 승부수, 완전자율주행 도전을 시작하다</t>
  </si>
  <si>
    <t>https://blog.naver.com/PostView.naver?blogId=hyjang0908&amp;logNo=223898286799&amp;redirect=Dlog&amp;widgetTypeCall=true&amp;directAccess=false</t>
  </si>
  <si>
    <t>리프</t>
  </si>
  <si>
    <t>이번 YES24 해킹 사태로 알게 된 업계 1위의 충격적 이면 ~.~ 250612 알라딘 해킹 사태 때 출판업계 모의 해킹 훈련 혼자 거부,이번 KISA 기술 지원도 거부 거짓말</t>
  </si>
  <si>
    <t>https://blog.naver.com/PostView.naver?blogId=starring___&amp;logNo=223898242692&amp;redirect=Dlog&amp;widgetTypeCall=true&amp;directAccess=false</t>
  </si>
  <si>
    <t>행복한 부자</t>
  </si>
  <si>
    <t>2025-06-13 주식 시장 주요 뉴스 및 주도 테마</t>
  </si>
  <si>
    <t>https://blog.naver.com/PostView.naver?blogId=mychocobox&amp;logNo=223898236660&amp;redirect=Dlog&amp;widgetTypeCall=true&amp;directAccess=false</t>
  </si>
  <si>
    <t>2025/06/13:상한가종목/ 상승률 상위종목/ 오늘의 주요상승테마</t>
  </si>
  <si>
    <t>https://blog.naver.com/PostView.naver?blogId=timeinvestment&amp;logNo=223898217825&amp;redirect=Dlog&amp;widgetTypeCall=true&amp;directAccess=false</t>
  </si>
  <si>
    <t>20250613 TACO와 관세의 반복</t>
  </si>
  <si>
    <t>https://blog.naver.com/PostView.naver?blogId=lgs6674&amp;logNo=223898062287&amp;redirect=Dlog&amp;widgetTypeCall=true&amp;directAccess=false</t>
  </si>
  <si>
    <t>2025-06-13 특징주</t>
  </si>
  <si>
    <t>https://blog.naver.com/PostView.naver?blogId=namwung1&amp;logNo=223898061483&amp;redirect=Dlog&amp;widgetTypeCall=true&amp;directAccess=false</t>
  </si>
  <si>
    <t>Mmm</t>
  </si>
  <si>
    <t>해킹당해도 정부엔 말 못하는 현실…‘예스24 사태’가 보여준 보안의 민낯</t>
  </si>
  <si>
    <t>https://blog.naver.com/PostView.naver?blogId=meowk&amp;logNo=223897942089&amp;redirect=Dlog&amp;widgetTypeCall=true&amp;directAccess=false</t>
  </si>
  <si>
    <t>신대방동 명랑부동산 2025.06.13 (금) 뉴스 브리핑</t>
  </si>
  <si>
    <t>https://blog.naver.com/PostView.naver?blogId=saxophone06&amp;logNo=223897678197&amp;redirect=Dlog&amp;widgetTypeCall=true&amp;directAccess=false</t>
  </si>
  <si>
    <t>2025년 6월 13일 신문을 통해 알게 된 것들</t>
  </si>
  <si>
    <t>https://blog.naver.com/PostView.naver?blogId=abcd9361&amp;logNo=223897515696&amp;redirect=Dlog&amp;widgetTypeCall=true&amp;directAccess=false</t>
  </si>
  <si>
    <t>일부 소비 쿠폰 거부 운동 전 국민 민생지원금</t>
  </si>
  <si>
    <t>https://blog.naver.com/PostView.naver?blogId=stella5092&amp;logNo=223906297525&amp;redirect=Dlog&amp;widgetTypeCall=true&amp;directAccess=false</t>
  </si>
  <si>
    <t>【주진우 국회의원 재산 의혹 관련 고발장 제출】김경호</t>
  </si>
  <si>
    <t>https://blog.naver.com/PostView.naver?blogId=kimdaisuke&amp;logNo=223906288051&amp;redirect=Dlog&amp;widgetTypeCall=true&amp;directAccess=false</t>
  </si>
  <si>
    <t>큐브엔터 - 주력 아티스트의 재계약 이슈가 해소된 만큼, 한한령 해제 시 주가 상승이 더욱 탄력받을 것</t>
  </si>
  <si>
    <t>https://blog.naver.com/PostView.naver?blogId=rfkang49&amp;logNo=223905693738&amp;redirect=Dlog&amp;widgetTypeCall=true&amp;directAccess=false</t>
  </si>
  <si>
    <t>그레이스</t>
  </si>
  <si>
    <t>2025년 6월 20일 금요일, 신문을 통해 알게 된 것들</t>
  </si>
  <si>
    <t>https://blog.naver.com/PostView.naver?blogId=youn4424&amp;logNo=223905396731&amp;redirect=Dlog&amp;widgetTypeCall=true&amp;directAccess=false</t>
  </si>
  <si>
    <t>6월 18일 수요일 장 마감 정리</t>
  </si>
  <si>
    <t>https://blog.naver.com/PostView.naver?blogId=yosin72&amp;logNo=223905119717&amp;redirect=Dlog&amp;widgetTypeCall=true&amp;directAccess=false</t>
  </si>
  <si>
    <t>미국 관세효과 불확실 연준 금리 동결, 한국은 경제 상황 고려 속도 조절한다</t>
  </si>
  <si>
    <t>https://blog.naver.com/PostView.naver?blogId=hyjang0908&amp;logNo=223904955205&amp;redirect=Dlog&amp;widgetTypeCall=true&amp;directAccess=false</t>
  </si>
  <si>
    <t>아마존의 승부수, 자율주행 전기차 시장에 본격 참전한다</t>
  </si>
  <si>
    <t>https://blog.naver.com/PostView.naver?blogId=hyjang0908&amp;logNo=223904949684&amp;redirect=Dlog&amp;widgetTypeCall=true&amp;directAccess=false</t>
  </si>
  <si>
    <t>wisemomy</t>
  </si>
  <si>
    <t>부산교육청, 7월 1일자 지방공무원 565명 정기인사…[인사] 부산시교육청</t>
  </si>
  <si>
    <t>https://blog.naver.com/PostView.naver?blogId=jyubu2004&amp;logNo=223904809168&amp;redirect=Dlog&amp;widgetTypeCall=true&amp;directAccess=false</t>
  </si>
  <si>
    <t>[시장정리] 2025년 6월18일 오늘의 급등주는?</t>
  </si>
  <si>
    <t>https://blog.naver.com/PostView.naver?blogId=seanhong99&amp;logNo=223903987467&amp;redirect=Dlog&amp;widgetTypeCall=true&amp;directAccess=false</t>
  </si>
  <si>
    <t>중국 경제는 일부 지표 개선되지만, 장기적인 구조 개혁과 새로운 성장 동력 확보 필요하다.</t>
  </si>
  <si>
    <t>https://blog.naver.com/PostView.naver?blogId=hyjang0908&amp;logNo=223903856086&amp;redirect=Dlog&amp;widgetTypeCall=true&amp;directAccess=false</t>
  </si>
  <si>
    <t>글로벌 통상 변화, 중국은 희토류를 전략 무기화 하였다</t>
  </si>
  <si>
    <t>https://blog.naver.com/PostView.naver?blogId=hyjang0908&amp;logNo=223903852000&amp;redirect=Dlog&amp;widgetTypeCall=true&amp;directAccess=false</t>
  </si>
  <si>
    <t>2025/06/18:상한가종목/ 상승률 상위종목/ 오늘의 주요 상승테마</t>
  </si>
  <si>
    <t>https://blog.naver.com/PostView.naver?blogId=timeinvestment&amp;logNo=223903775704&amp;redirect=Dlog&amp;widgetTypeCall=true&amp;directAccess=false</t>
  </si>
  <si>
    <t>⊙빙과류 시장규모</t>
  </si>
  <si>
    <t>https://blog.naver.com/PostView.naver?blogId=merchandising114&amp;logNo=223903774600&amp;redirect=Dlog&amp;widgetTypeCall=true&amp;directAccess=false</t>
  </si>
  <si>
    <t>한국은 국내외 정치적 이슈와 경기침체로 국가경쟁력이 하락했다</t>
  </si>
  <si>
    <t>https://blog.naver.com/PostView.naver?blogId=hyjang0908&amp;logNo=223903766475&amp;redirect=Dlog&amp;widgetTypeCall=true&amp;directAccess=false</t>
  </si>
  <si>
    <t>성장을 위해 국가경쟁력 이해하고, 중장기적 개선 노력이 필요하다.</t>
  </si>
  <si>
    <t>https://blog.naver.com/PostView.naver?blogId=hyjang0908&amp;logNo=223903705002&amp;redirect=Dlog&amp;widgetTypeCall=true&amp;directAccess=false</t>
  </si>
  <si>
    <t>2025-06-18 특징주</t>
  </si>
  <si>
    <t>https://blog.naver.com/PostView.naver?blogId=namwung1&amp;logNo=223903463436&amp;redirect=Dlog&amp;widgetTypeCall=true&amp;directAccess=false</t>
  </si>
  <si>
    <t>김미애</t>
  </si>
  <si>
    <t>★'센텀2 테크노밸리' 조성 탄력!★ 풍산이전 ➡️ 입주의향서 부산시 제출!  *국민의힘, 해운대을, 국회의원, 김미애, 반송, 반여, 재송</t>
  </si>
  <si>
    <t>https://blog.naver.com/PostView.naver?blogId=015law&amp;logNo=223903219108&amp;redirect=Dlog&amp;widgetTypeCall=true&amp;directAccess=false</t>
  </si>
  <si>
    <t>"AI 반도체 생태계 만들자"…삼성전자, 새 정부에 지원책 건의 준비</t>
  </si>
  <si>
    <t>https://blog.naver.com/PostView.naver?blogId=amg_asiae&amp;logNo=223903153484&amp;redirect=Dlog&amp;widgetTypeCall=true&amp;directAccess=false</t>
  </si>
  <si>
    <t>대한법률구조공단</t>
  </si>
  <si>
    <t>[가맹사업법] 청년 가맹점주를 지켜준 법률구조공단</t>
  </si>
  <si>
    <t>https://blog.naver.com/PostView.naver?blogId=smile-law&amp;logNo=223903128450&amp;redirect=Dlog&amp;widgetTypeCall=true&amp;directAccess=false</t>
  </si>
  <si>
    <t>[25.06.18] 부실대출 증가, 어떻게 해결할까?</t>
  </si>
  <si>
    <t>https://blog.naver.com/PostView.naver?blogId=mikhail33&amp;logNo=223903099024&amp;redirect=Dlog&amp;widgetTypeCall=true&amp;directAccess=false</t>
  </si>
  <si>
    <t>(25.6.18.수) 한눈에 보는 부동산뉴스</t>
  </si>
  <si>
    <t>https://blog.naver.com/PostView.naver?blogId=anko-0&amp;logNo=223903056010&amp;redirect=Dlog&amp;widgetTypeCall=true&amp;directAccess=false</t>
  </si>
  <si>
    <t>2025년 6월 18일 신문을 통해 알게 된 것들</t>
  </si>
  <si>
    <t>https://blog.naver.com/PostView.naver?blogId=abcd9361&amp;logNo=223902971369&amp;redirect=Dlog&amp;widgetTypeCall=true&amp;directAccess=false</t>
  </si>
  <si>
    <t>IT・과학 주요뉴스</t>
  </si>
  <si>
    <t>https://blog.naver.com/PostView.naver?blogId=c1c1b1b1&amp;logNo=223902919215&amp;redirect=Dlog&amp;widgetTypeCall=true&amp;directAccess=false</t>
  </si>
  <si>
    <t>[시장정리] 2025년 6월17일 오늘의 급등주는?</t>
  </si>
  <si>
    <t>https://blog.naver.com/PostView.naver?blogId=seanhong99&amp;logNo=223902686147&amp;redirect=Dlog&amp;widgetTypeCall=true&amp;directAccess=false</t>
  </si>
  <si>
    <t>기술혁신 트렌드 변화, 양자컴퓨터가 새로운 과학 패러다임이다</t>
  </si>
  <si>
    <t>https://blog.naver.com/PostView.naver?blogId=hyjang0908&amp;logNo=223902445808&amp;redirect=Dlog&amp;widgetTypeCall=true&amp;directAccess=false</t>
  </si>
  <si>
    <t>2025/06/17: 상한가종목/ 상승률 상위종목/ 오늘의 주요 상승테마</t>
  </si>
  <si>
    <t>https://blog.naver.com/PostView.naver?blogId=timeinvestment&amp;logNo=223902373734&amp;redirect=Dlog&amp;widgetTypeCall=true&amp;directAccess=false</t>
  </si>
  <si>
    <t>2025-06-17 특징주</t>
  </si>
  <si>
    <t>https://blog.naver.com/PostView.naver?blogId=namwung1&amp;logNo=223902220777&amp;redirect=Dlog&amp;widgetTypeCall=true&amp;directAccess=false</t>
  </si>
  <si>
    <t>english-injae</t>
  </si>
  <si>
    <t>[입시뉴스] 영어교육과 신입생 100% 이과?… 문과침공 가속</t>
  </si>
  <si>
    <t>https://blog.naver.com/PostView.naver?blogId=english-injae&amp;logNo=223901999747&amp;redirect=Dlog&amp;widgetTypeCall=true&amp;directAccess=false</t>
  </si>
  <si>
    <t>[25.06.17] 불확실성의 끝판왕, 중동</t>
  </si>
  <si>
    <t>https://blog.naver.com/PostView.naver?blogId=mikhail33&amp;logNo=223901851746&amp;redirect=Dlog&amp;widgetTypeCall=true&amp;directAccess=false</t>
  </si>
  <si>
    <t>신대방동 명랑부동산 2025.06.17 (화) 뉴스 브리핑</t>
  </si>
  <si>
    <t>https://blog.naver.com/PostView.naver?blogId=saxophone06&amp;logNo=223901800028&amp;redirect=Dlog&amp;widgetTypeCall=true&amp;directAccess=false</t>
  </si>
  <si>
    <t>2025년 6월 17일 신문을 통해 알게 된 것들</t>
  </si>
  <si>
    <t>https://blog.naver.com/PostView.naver?blogId=abcd9361&amp;logNo=223901574660&amp;redirect=Dlog&amp;widgetTypeCall=true&amp;directAccess=false</t>
  </si>
  <si>
    <t>2025.6.16-월요일</t>
  </si>
  <si>
    <t>https://blog.naver.com/PostView.naver?blogId=my-dream-&amp;logNo=223901520158&amp;redirect=Dlog&amp;widgetTypeCall=true&amp;directAccess=false</t>
  </si>
  <si>
    <t>흐름결이</t>
  </si>
  <si>
    <t>250616 매매일지</t>
  </si>
  <si>
    <t>https://blog.naver.com/PostView.naver?blogId=flow_seeker&amp;logNo=223901504748&amp;redirect=Dlog&amp;widgetTypeCall=true&amp;directAccess=false</t>
  </si>
  <si>
    <t>“이번엔 진짜 끝을 보려는 트럼프? 중동 전쟁의 수혜주들” 의 영상 요약</t>
  </si>
  <si>
    <t>https://blog.naver.com/PostView.naver?blogId=lucidjun&amp;logNo=223901359420&amp;redirect=Dlog&amp;widgetTypeCall=true&amp;directAccess=false</t>
  </si>
  <si>
    <t>글로벌 전기차 시장이 춘추 전국시대가 되었다</t>
  </si>
  <si>
    <t>https://blog.naver.com/PostView.naver?blogId=hyjang0908&amp;logNo=223901313905&amp;redirect=Dlog&amp;widgetTypeCall=true&amp;directAccess=false</t>
  </si>
  <si>
    <t>2025-06-16 특징주</t>
  </si>
  <si>
    <t>https://blog.naver.com/PostView.naver?blogId=namwung1&amp;logNo=223900985109&amp;redirect=Dlog&amp;widgetTypeCall=true&amp;directAccess=false</t>
  </si>
  <si>
    <t>라일라</t>
  </si>
  <si>
    <t>야쿠자도 제쳤다…일본서 신종 범죄조직의 정체 | 출처 : 아시아경제 |</t>
  </si>
  <si>
    <t>https://blog.naver.com/PostView.naver?blogId=jwaeuniiish&amp;logNo=223900600129&amp;redirect=Dlog&amp;widgetTypeCall=true&amp;directAccess=false</t>
  </si>
  <si>
    <t>믿음의경주</t>
  </si>
  <si>
    <t>이요한</t>
  </si>
  <si>
    <t>[해군] 한 후배를 회고하며</t>
  </si>
  <si>
    <t>https://blog.naver.com/PostView.naver?blogId=dygks90654&amp;logNo=223900503923&amp;redirect=Dlog&amp;widgetTypeCall=true&amp;directAccess=false</t>
  </si>
  <si>
    <t>6월24일 화요일 장 마감 정리</t>
  </si>
  <si>
    <t>https://blog.naver.com/PostView.naver?blogId=yosin72&amp;logNo=223911731340&amp;redirect=Dlog&amp;widgetTypeCall=true&amp;directAccess=false</t>
  </si>
  <si>
    <t>[시장정리] 2025년 6월25일 오늘의 급등주는?</t>
  </si>
  <si>
    <t>https://blog.naver.com/PostView.naver?blogId=seanhong99&amp;logNo=223911618037&amp;redirect=Dlog&amp;widgetTypeCall=true&amp;directAccess=false</t>
  </si>
  <si>
    <t>2025/06/25:상한가종목/ 상승률 상위종목/ 오늘의 주요 상승테마</t>
  </si>
  <si>
    <t>https://blog.naver.com/PostView.naver?blogId=timeinvestment&amp;logNo=223911607317&amp;redirect=Dlog&amp;widgetTypeCall=true&amp;directAccess=false</t>
  </si>
  <si>
    <t>2025.6.25-수요일</t>
  </si>
  <si>
    <t>https://blog.naver.com/PostView.naver?blogId=my-dream-&amp;logNo=223911585262&amp;redirect=Dlog&amp;widgetTypeCall=true&amp;directAccess=false</t>
  </si>
  <si>
    <t>트럼프의 승부수, 이스라엘과 이란 전쟁 휴전합의, 중동 사태는 풀기 어려운 문제로 살얼음판이다</t>
  </si>
  <si>
    <t>https://blog.naver.com/PostView.naver?blogId=hyjang0908&amp;logNo=223911023000&amp;redirect=Dlog&amp;widgetTypeCall=true&amp;directAccess=false</t>
  </si>
  <si>
    <t>서울 반포동 래미안 원베일리, 72억원에 거래…반포 아파트 시장 회복 조짐</t>
  </si>
  <si>
    <t>https://blog.naver.com/PostView.naver?blogId=krsongc2&amp;logNo=223910847671&amp;redirect=Dlog&amp;widgetTypeCall=true&amp;directAccess=false</t>
  </si>
  <si>
    <t>대전시, 123번 시내버스 노선 신설...관저동~구암역 연결 강화</t>
  </si>
  <si>
    <t>https://blog.naver.com/PostView.naver?blogId=ganaria3&amp;logNo=223909144727&amp;redirect=Dlog&amp;widgetTypeCall=true&amp;directAccess=false</t>
  </si>
  <si>
    <t>약물운전 혐의로 입건된 개그맨 이경규, 경찰 조사 후 혐의 시인</t>
  </si>
  <si>
    <t>https://blog.naver.com/PostView.naver?blogId=krsongc2&amp;logNo=223910794294&amp;redirect=Dlog&amp;widgetTypeCall=true&amp;directAccess=false</t>
  </si>
  <si>
    <t>&lt;뉴욕 증시&gt; 이-이 휴전으로 나스닥 1.4% 상승</t>
  </si>
  <si>
    <t>https://blog.naver.com/PostView.naver?blogId=pokara61&amp;logNo=223910750369&amp;redirect=Dlog&amp;widgetTypeCall=true&amp;directAccess=false</t>
  </si>
  <si>
    <t>[시장정리] 2025년 6월24일 오늘의 급등주는?</t>
  </si>
  <si>
    <t>https://blog.naver.com/PostView.naver?blogId=seanhong99&amp;logNo=223910501250&amp;redirect=Dlog&amp;widgetTypeCall=true&amp;directAccess=false</t>
  </si>
  <si>
    <t>글로벌 경제 트렌드, 트럼프발 이민자 정책이 미국 경제를 흔들고있다</t>
  </si>
  <si>
    <t>https://blog.naver.com/PostView.naver?blogId=hyjang0908&amp;logNo=223910168642&amp;redirect=Dlog&amp;widgetTypeCall=true&amp;directAccess=false</t>
  </si>
  <si>
    <t>글로벌 경제 트렌드, 미국의 경제 전반이 트리플 악재 위험이 크다.</t>
  </si>
  <si>
    <t>https://blog.naver.com/PostView.naver?blogId=hyjang0908&amp;logNo=223910149817&amp;redirect=Dlog&amp;widgetTypeCall=true&amp;directAccess=false</t>
  </si>
  <si>
    <t>바이오포트</t>
  </si>
  <si>
    <t>https://blog.naver.com/PostView.naver?blogId=silverspiri5&amp;logNo=223910042844&amp;redirect=Dlog&amp;widgetTypeCall=true&amp;directAccess=false</t>
  </si>
  <si>
    <t>수성웹툰 - 반도체 자회사 퓨쳐하이테크가 고대역폭 메모리(HBM) 검사장비 부문에서 실적 호조를 이어가고 있는 상황</t>
  </si>
  <si>
    <t>https://blog.naver.com/PostView.naver?blogId=rfkang49&amp;logNo=223909681184&amp;redirect=Dlog&amp;widgetTypeCall=true&amp;directAccess=false</t>
  </si>
  <si>
    <t>국비무료 취업교육</t>
  </si>
  <si>
    <t>아시아경제 교육생팀 '정원사들', 식의약 데이터 활용 경진대회서 우수상 수상</t>
  </si>
  <si>
    <t>https://blog.naver.com/PostView.naver?blogId=ai_edutech&amp;logNo=223909601725&amp;redirect=Dlog&amp;widgetTypeCall=true&amp;directAccess=false</t>
  </si>
  <si>
    <t>텐포</t>
  </si>
  <si>
    <t>[Daily News, 6/24(화)]</t>
  </si>
  <si>
    <t>https://blog.naver.com/PostView.naver?blogId=ydkyusung386&amp;logNo=223909016477&amp;redirect=Dlog&amp;widgetTypeCall=true&amp;directAccess=false</t>
  </si>
  <si>
    <t>yecirwww</t>
  </si>
  <si>
    <t>250623 스터디(인바운드)</t>
  </si>
  <si>
    <t>https://blog.naver.com/PostView.naver?blogId=yecirwww&amp;logNo=223909386043&amp;redirect=Dlog&amp;widgetTypeCall=true&amp;directAccess=false</t>
  </si>
  <si>
    <t>핫핸드 Hot Hand</t>
  </si>
  <si>
    <t>6/23(월) 매매일지</t>
  </si>
  <si>
    <t>https://blog.naver.com/PostView.naver?blogId=hopetoraisemystock&amp;logNo=223909123900&amp;redirect=Dlog&amp;widgetTypeCall=true&amp;directAccess=false</t>
  </si>
  <si>
    <t>yyhdbooks</t>
  </si>
  <si>
    <t>아시아경제에서 &lt;의젓한 사람들&gt;을 소개해주었습니다</t>
  </si>
  <si>
    <t>https://blog.naver.com/PostView.naver?blogId=yyhdbooks&amp;logNo=223909043514&amp;redirect=Dlog&amp;widgetTypeCall=true&amp;directAccess=false</t>
  </si>
  <si>
    <t>동케</t>
  </si>
  <si>
    <t>W2. 결혼날짜 정하기</t>
  </si>
  <si>
    <t>https://blog.naver.com/PostView.naver?blogId=y_dxy0&amp;logNo=223908848147&amp;redirect=Dlog&amp;widgetTypeCall=true&amp;directAccess=false</t>
  </si>
  <si>
    <t>미국의 참전과 중동사태 악화, 한국 경제의 긴장 고조 예상된다</t>
  </si>
  <si>
    <t>https://blog.naver.com/PostView.naver?blogId=hyjang0908&amp;logNo=223908744267&amp;redirect=Dlog&amp;widgetTypeCall=true&amp;directAccess=false</t>
  </si>
  <si>
    <t>김민석 국무총리 후보자 인사청문회, 쟁점과 여야 입장 집중 분석</t>
  </si>
  <si>
    <t>https://blog.naver.com/PostView.naver?blogId=underwind-&amp;logNo=223908667242&amp;redirect=Dlog&amp;widgetTypeCall=true&amp;directAccess=false</t>
  </si>
  <si>
    <t>[아시아경제]지구촌나눔운동, '트럼프 2.0 시대' 국제개발협력 전략 제시</t>
  </si>
  <si>
    <t>https://blog.naver.com/PostView.naver?blogId=gcsblog&amp;logNo=223908548188&amp;redirect=Dlog&amp;widgetTypeCall=true&amp;directAccess=false</t>
  </si>
  <si>
    <t>[지정학적 리스크] 트럼프는 이스라엘과 이란 전쟁에 개입하는 정치적 결정을 하였다</t>
  </si>
  <si>
    <t>https://blog.naver.com/PostView.naver?blogId=hyjang0908&amp;logNo=223907866804&amp;redirect=Dlog&amp;widgetTypeCall=true&amp;directAccess=false</t>
  </si>
  <si>
    <t>요동치는 국제정세…李대통령 '국익·실용외교' 딜레마</t>
  </si>
  <si>
    <t>https://blog.naver.com/PostView.naver?blogId=etisot&amp;logNo=223907258194&amp;redirect=Dlog&amp;widgetTypeCall=true&amp;directAccess=false</t>
  </si>
  <si>
    <t>시간 투자자 모래시계</t>
  </si>
  <si>
    <t>2025.06.21(토) 크라우드웍스 #소버린AI</t>
  </si>
  <si>
    <t>https://blog.naver.com/PostView.naver?blogId=moneytime0135&amp;logNo=223906846880&amp;redirect=Dlog&amp;widgetTypeCall=true&amp;directAccess=false</t>
  </si>
  <si>
    <t>중국이 네이처 인덱스 순위에서 2년 연속 1위를 차지하며, 주류 과학계에서 선두를 굳히고있다</t>
  </si>
  <si>
    <t>https://blog.naver.com/PostView.naver?blogId=hyjang0908&amp;logNo=223906783488&amp;redirect=Dlog&amp;widgetTypeCall=true&amp;directAccess=false</t>
  </si>
  <si>
    <t>6월 20일 금요일 장 마감 정리</t>
  </si>
  <si>
    <t>https://blog.naver.com/PostView.naver?blogId=yosin72&amp;logNo=223906746539&amp;redirect=Dlog&amp;widgetTypeCall=true&amp;directAccess=false</t>
  </si>
  <si>
    <t>2025.6.20-금요일</t>
  </si>
  <si>
    <t>https://blog.naver.com/PostView.naver?blogId=my-dream-&amp;logNo=223906735274&amp;redirect=Dlog&amp;widgetTypeCall=true&amp;directAccess=false</t>
  </si>
  <si>
    <t>쪼쪼마미</t>
  </si>
  <si>
    <t>[경기 화성] 남광장유일한 대형카페 더카페라운지X페르케노 동탄점</t>
  </si>
  <si>
    <t>https://blog.naver.com/PostView.naver?blogId=hyejins33&amp;logNo=223906520975&amp;redirect=Dlog&amp;widgetTypeCall=true&amp;directAccess=false</t>
  </si>
  <si>
    <t>2025.6.30-월요일</t>
  </si>
  <si>
    <t>https://blog.naver.com/PostView.naver?blogId=my-dream-&amp;logNo=223917215859&amp;redirect=Dlog&amp;widgetTypeCall=true&amp;directAccess=false</t>
  </si>
  <si>
    <t>AI 글로벌 트렌드, 중국이 AI 컴퓨팅 센터로 글로벌 경쟁력을 높인다</t>
  </si>
  <si>
    <t>https://blog.naver.com/PostView.naver?blogId=hyjang0908&amp;logNo=223916888609&amp;redirect=Dlog&amp;widgetTypeCall=true&amp;directAccess=false</t>
  </si>
  <si>
    <t>AI 글로벌 트렌드, MS 차세대 AI칩 출시 지연으로 엔비디아와 기술격차 벌어졌다</t>
  </si>
  <si>
    <t>https://blog.naver.com/PostView.naver?blogId=hyjang0908&amp;logNo=223916872418&amp;redirect=Dlog&amp;widgetTypeCall=true&amp;directAccess=false</t>
  </si>
  <si>
    <t>jongrodk</t>
  </si>
  <si>
    <t>Kee Yong Chong (*1971) "Dawn whirling chants“</t>
  </si>
  <si>
    <t>https://blog.naver.com/PostView.naver?blogId=jongrodkkim&amp;logNo=223916272312&amp;redirect=Dlog&amp;widgetTypeCall=true&amp;directAccess=false</t>
  </si>
  <si>
    <t>hsc6055</t>
  </si>
  <si>
    <t>의료폐기물처리시설 영업이익 감정평가 사례</t>
  </si>
  <si>
    <t>https://blog.naver.com/PostView.naver?blogId=hsc6055&amp;logNo=223915936333&amp;redirect=Dlog&amp;widgetTypeCall=true&amp;directAccess=false</t>
  </si>
  <si>
    <t>“2025년 7월에 발생한다는 일본 대지진의 진실” 의 영상 요약</t>
  </si>
  <si>
    <t>https://blog.naver.com/PostView.naver?blogId=lucidjun&amp;logNo=223915782291&amp;redirect=Dlog&amp;widgetTypeCall=true&amp;directAccess=false</t>
  </si>
  <si>
    <t>김정관 두산에너빌리티 사장, 산업통상자원부 장관 후보자 내정</t>
  </si>
  <si>
    <t>https://blog.naver.com/PostView.naver?blogId=underwind-&amp;logNo=223915631661&amp;redirect=Dlog&amp;widgetTypeCall=true&amp;directAccess=false</t>
  </si>
  <si>
    <t>해원지</t>
  </si>
  <si>
    <t>미래사회 리더십 ' 홈 커밍데이' ...  수원시 양성평등 지원 사업 '수원시 여성지도자대학 '</t>
  </si>
  <si>
    <t>https://blog.naver.com/PostView.naver?blogId=aqua9988&amp;logNo=223915261570&amp;redirect=Dlog&amp;widgetTypeCall=true&amp;directAccess=false</t>
  </si>
  <si>
    <t>조상땅찾기 지적자료</t>
  </si>
  <si>
    <t>도로 조상땅 찾기 서비스 일제시대 보상여부!</t>
  </si>
  <si>
    <t>https://blog.naver.com/PostView.naver?blogId=jyn8121&amp;logNo=223915052727&amp;redirect=Dlog&amp;widgetTypeCall=true&amp;directAccess=false</t>
  </si>
  <si>
    <t>없던글없던길</t>
  </si>
  <si>
    <t>창작자 보상 체계가 없다면, AI 발전은 그림의 떡일 뿐이다.</t>
  </si>
  <si>
    <t>https://blog.naver.com/PostView.naver?blogId=budoganando&amp;logNo=223914786003&amp;redirect=Dlog&amp;widgetTypeCall=true&amp;directAccess=false</t>
  </si>
  <si>
    <t>"미국서 태어나도 시민권 못 준다"…트럼프 '출생시민권 금지' 일부 허용한 美대법</t>
  </si>
  <si>
    <t>https://blog.naver.com/PostView.naver?blogId=eremoval&amp;logNo=223914757878&amp;redirect=Dlog&amp;widgetTypeCall=true&amp;directAccess=false</t>
  </si>
  <si>
    <t>글로벌 경제를 이끄는 미국 주요 경제 지표의 불안정 상황이 지속되고있다</t>
  </si>
  <si>
    <t>https://blog.naver.com/PostView.naver?blogId=hyjang0908&amp;logNo=223914748833&amp;redirect=Dlog&amp;widgetTypeCall=true&amp;directAccess=false</t>
  </si>
  <si>
    <t>[시장정리] 2025년 6월27일 오늘의 급등주는?</t>
  </si>
  <si>
    <t>https://blog.naver.com/PostView.naver?blogId=seanhong99&amp;logNo=223914642121&amp;redirect=Dlog&amp;widgetTypeCall=true&amp;directAccess=false</t>
  </si>
  <si>
    <t>쮸</t>
  </si>
  <si>
    <t>휴림로봇 주가분석 원전 엔비디아 관련주?</t>
  </si>
  <si>
    <t>https://blog.naver.com/PostView.naver?blogId=wndnjs752&amp;logNo=223914492786&amp;redirect=Dlog&amp;widgetTypeCall=true&amp;directAccess=false</t>
  </si>
  <si>
    <t>물이 생기게 된 이유 (물의 미스터리...)</t>
  </si>
  <si>
    <t>https://blog.naver.com/PostView.naver?blogId=cscg6472&amp;logNo=223914428467&amp;redirect=Dlog&amp;widgetTypeCall=true&amp;directAccess=false</t>
  </si>
  <si>
    <t>길부동산</t>
  </si>
  <si>
    <t>2025년 6월 27일 (금) 아시아경제</t>
  </si>
  <si>
    <t>https://blog.naver.com/PostView.naver?blogId=theblock101&amp;logNo=223913821422&amp;redirect=Dlog&amp;widgetTypeCall=true&amp;directAccess=false</t>
  </si>
  <si>
    <t>together</t>
  </si>
  <si>
    <t>세계적 콩쿠르 우승한 하버드 새내기 김세현 "영문학 공부, 피아노 연주에 도움"  |</t>
  </si>
  <si>
    <t>https://blog.naver.com/PostView.naver?blogId=hongbis&amp;logNo=223913807003&amp;redirect=Dlog&amp;widgetTypeCall=true&amp;directAccess=false</t>
  </si>
  <si>
    <t>글로벌 경제 트렌드, 트럼프의 연준 독립성 흔드는 금리 갈등 본격화 된다</t>
  </si>
  <si>
    <t>https://blog.naver.com/PostView.naver?blogId=hyjang0908&amp;logNo=223913636270&amp;redirect=Dlog&amp;widgetTypeCall=true&amp;directAccess=false</t>
  </si>
  <si>
    <t>2025년 6월 27일 금요일, 신문을 통해 알게 된 것들</t>
  </si>
  <si>
    <t>https://blog.naver.com/PostView.naver?blogId=youn4424&amp;logNo=223913274068&amp;redirect=Dlog&amp;widgetTypeCall=true&amp;directAccess=false</t>
  </si>
  <si>
    <t>신대방동 명랑부동산 2025.06.27 (금) 뉴스 브리핑</t>
  </si>
  <si>
    <t>https://blog.naver.com/PostView.naver?blogId=saxophone06&amp;logNo=223913264426&amp;redirect=Dlog&amp;widgetTypeCall=true&amp;directAccess=false</t>
  </si>
  <si>
    <t>2025년 6월 27일 신문을 통해 알게 된 것들</t>
  </si>
  <si>
    <t>https://blog.naver.com/PostView.naver?blogId=abcd9361&amp;logNo=223913120636&amp;redirect=Dlog&amp;widgetTypeCall=true&amp;directAccess=false</t>
  </si>
  <si>
    <t>안철수 "국민의힘 집단지도체제? 변종 히드라에 불과"</t>
  </si>
  <si>
    <t>https://blog.naver.com/PostView.naver?blogId=eremoval&amp;logNo=223913090432&amp;redirect=Dlog&amp;widgetTypeCall=true&amp;directAccess=false</t>
  </si>
  <si>
    <t>2025년 6월 26일, "나토 다녀온 위성락, 한미 정상회담 조속 추진 공감대"에 대한 X 반응</t>
  </si>
  <si>
    <t>https://blog.naver.com/PostView.naver?blogId=shinswoong75&amp;logNo=223913028908&amp;redirect=Dlog&amp;widgetTypeCall=true&amp;directAccess=false</t>
  </si>
  <si>
    <t>[시장정리] 2025년 6월26일 오늘의 급등주는?</t>
  </si>
  <si>
    <t>https://blog.naver.com/PostView.naver?blogId=seanhong99&amp;logNo=223912937459&amp;redirect=Dlog&amp;widgetTypeCall=true&amp;directAccess=false</t>
  </si>
  <si>
    <t>2025.6.26-목요일</t>
  </si>
  <si>
    <t>https://blog.naver.com/PostView.naver?blogId=my-dream-&amp;logNo=223912858065&amp;redirect=Dlog&amp;widgetTypeCall=true&amp;directAccess=false</t>
  </si>
  <si>
    <t>글로벌 경제 트렌드, 일본의 경제 성장이 지속 정체 상황이다</t>
  </si>
  <si>
    <t>https://blog.naver.com/PostView.naver?blogId=hyjang0908&amp;logNo=223912738751&amp;redirect=Dlog&amp;widgetTypeCall=true&amp;directAccess=false</t>
  </si>
  <si>
    <t>top_trader</t>
  </si>
  <si>
    <t>신대방동 명랑부동산 2025.06.26 (목) 뉴스 브리핑</t>
  </si>
  <si>
    <t>https://blog.naver.com/PostView.naver?blogId=saxophone06&amp;logNo=223912018829&amp;redirect=Dlog&amp;widgetTypeCall=true&amp;directAccess=false</t>
  </si>
  <si>
    <t>2025년 6월 26일 목요일, 신문을 통해 알게 된 것들</t>
  </si>
  <si>
    <t>https://blog.naver.com/PostView.naver?blogId=youn4424&amp;logNo=223911993763&amp;redirect=Dlog&amp;widgetTypeCall=true&amp;directAccess=false</t>
  </si>
  <si>
    <t>2025년 6월 26일 신문을 통해 알게 된 것들</t>
  </si>
  <si>
    <t>https://blog.naver.com/PostView.naver?blogId=abcd9361&amp;logNo=223911853674&amp;redirect=Dlog&amp;widgetTypeCall=true&amp;directAccess=false</t>
  </si>
  <si>
    <t>국민일보</t>
  </si>
  <si>
    <t>마음의 휴식</t>
  </si>
  <si>
    <t>두산퓨얼셀, 생활바이오가스 수소연료전지 개발</t>
  </si>
  <si>
    <t>https://blog.naver.com/PostView.naver?blogId=chkcc&amp;logNo=223917074647&amp;redirect=Dlog&amp;widgetTypeCall=true&amp;directAccess=false</t>
  </si>
  <si>
    <t>미국에서 거론되는 중국 권력 교체설 집중 분석</t>
  </si>
  <si>
    <t>https://blog.naver.com/PostView.naver?blogId=ksahn1960&amp;logNo=223917013975&amp;redirect=Dlog&amp;widgetTypeCall=true&amp;directAccess=false</t>
  </si>
  <si>
    <t>‘폭싹 속았수다’에 눈물 쏟은 李대통령 “갱년기 때문은 아닌 것 같고”</t>
  </si>
  <si>
    <t>https://blog.naver.com/PostView.naver?blogId=samo2001&amp;logNo=223916863163&amp;redirect=Dlog&amp;widgetTypeCall=true&amp;directAccess=false</t>
  </si>
  <si>
    <t>화평케 하는 자</t>
  </si>
  <si>
    <t>수영장과 헬스장 이용료도 소득공제</t>
  </si>
  <si>
    <t>https://blog.naver.com/PostView.naver?blogId=jssuh2013&amp;logNo=223916455266&amp;redirect=Dlog&amp;widgetTypeCall=true&amp;directAccess=false</t>
  </si>
  <si>
    <t>[칼럼베껴쓰기 1290] 테헤란로/김준동 논설위원/국민일보/2025 06 25</t>
  </si>
  <si>
    <t>https://blog.naver.com/PostView.naver?blogId=sacuja1&amp;logNo=223916215062&amp;redirect=Dlog&amp;widgetTypeCall=true&amp;directAccess=false</t>
  </si>
  <si>
    <t>2025년 6월 30일 (월) 국민일보</t>
  </si>
  <si>
    <t>https://blog.naver.com/PostView.naver?blogId=theblock101&amp;logNo=223916174387&amp;redirect=Dlog&amp;widgetTypeCall=true&amp;directAccess=false</t>
  </si>
  <si>
    <t>오늘의 신문 만평(2025. 6. 30., 월)</t>
  </si>
  <si>
    <t>https://blog.naver.com/PostView.naver?blogId=kominerba&amp;logNo=223916118646&amp;redirect=Dlog&amp;widgetTypeCall=true&amp;directAccess=false</t>
  </si>
  <si>
    <t>1964회.2025.6/30 시사만평 및 시사만화</t>
  </si>
  <si>
    <t>https://blog.naver.com/PostView.naver?blogId=totalpro1&amp;logNo=223915995194&amp;redirect=Dlog&amp;widgetTypeCall=true&amp;directAccess=false</t>
  </si>
  <si>
    <t>[사설] 스테이블코인 , 혁신과 불안 사이 균형이 필요하다</t>
  </si>
  <si>
    <t>https://blog.naver.com/PostView.naver?blogId=gur0&amp;logNo=223915665739&amp;redirect=Dlog&amp;widgetTypeCall=true&amp;directAccess=false</t>
  </si>
  <si>
    <t>공주 아이유</t>
  </si>
  <si>
    <t>다음.~~~주요뉴~스.2025년6월29일</t>
  </si>
  <si>
    <t>https://blog.naver.com/PostView.naver?blogId=c1c1b1b1&amp;logNo=223915199700&amp;redirect=Dlog&amp;widgetTypeCall=true&amp;directAccess=false</t>
  </si>
  <si>
    <t>[경제,시사 이슈 스터디] 경제 윗미 6월 4주차</t>
  </si>
  <si>
    <t>https://blog.naver.com/PostView.naver?blogId=cherry40120&amp;logNo=223914132897&amp;redirect=Dlog&amp;widgetTypeCall=true&amp;directAccess=false</t>
  </si>
  <si>
    <t>까멜리아</t>
  </si>
  <si>
    <t>완성형 도시 복합개발 집값 상승효과…청라국제도시 아이파크 오피스텔 주목</t>
  </si>
  <si>
    <t>https://blog.naver.com/PostView.naver?blogId=binstar0712&amp;logNo=223913757737&amp;redirect=Dlog&amp;widgetTypeCall=true&amp;directAccess=false</t>
  </si>
  <si>
    <t>K채널</t>
  </si>
  <si>
    <t>k채널/영광군,「2025 국민팜 엑스포」에서 귀농․귀촌 정책 적극 홍보 나서</t>
  </si>
  <si>
    <t>https://blog.naver.com/PostView.naver?blogId=komo5659&amp;logNo=223913610201&amp;redirect=Dlog&amp;widgetTypeCall=true&amp;directAccess=false</t>
  </si>
  <si>
    <t>노블스마일</t>
  </si>
  <si>
    <t>노무법인 마로</t>
  </si>
  <si>
    <t>[칼럼] 지금은 맞고, 그때는 틀리다.</t>
  </si>
  <si>
    <t>https://blog.naver.com/PostView.naver?blogId=marohelp&amp;logNo=223908660404&amp;redirect=Dlog&amp;widgetTypeCall=true&amp;directAccess=false</t>
  </si>
  <si>
    <t>[칼럼베껴쓰기 1284] 한, 일을 규정하는 말/손병호 논설위원/국민일보/2025 06 20</t>
  </si>
  <si>
    <t>https://blog.naver.com/PostView.naver?blogId=sacuja1&amp;logNo=223913299149&amp;redirect=Dlog&amp;widgetTypeCall=true&amp;directAccess=false</t>
  </si>
  <si>
    <t>[칼럼베껴쓰기 1282]  도박의 기준/김준동 논설위원/국민일보/2025 06 18</t>
  </si>
  <si>
    <t>https://blog.naver.com/PostView.naver?blogId=sacuja1&amp;logNo=223913298786&amp;redirect=Dlog&amp;widgetTypeCall=true&amp;directAccess=false</t>
  </si>
  <si>
    <t>[칼럼베껴쓰기 1283] 포르도/정승훈 논설위원/국민일보/2025 06 19</t>
  </si>
  <si>
    <t>https://blog.naver.com/PostView.naver?blogId=sacuja1&amp;logNo=223913298919&amp;redirect=Dlog&amp;widgetTypeCall=true&amp;directAccess=false</t>
  </si>
  <si>
    <t>men</t>
  </si>
  <si>
    <t>지난번</t>
  </si>
  <si>
    <t>https://blog.naver.com/PostView.naver?blogId=menofgod09302&amp;logNo=223913266663&amp;redirect=Dlog&amp;widgetTypeCall=true&amp;directAccess=false</t>
  </si>
  <si>
    <t>2025년 6월 27일 (금) 국민일보</t>
  </si>
  <si>
    <t>https://blog.naver.com/PostView.naver?blogId=theblock101&amp;logNo=223913243164&amp;redirect=Dlog&amp;widgetTypeCall=true&amp;directAccess=false</t>
  </si>
  <si>
    <t>만평...네이버(언론사제공) 2025년6월27일</t>
  </si>
  <si>
    <t>https://blog.naver.com/PostView.naver?blogId=c1c1b1b1&amp;logNo=223913238248&amp;redirect=Dlog&amp;widgetTypeCall=true&amp;directAccess=false</t>
  </si>
  <si>
    <t>25.06.26 장중 매매 한전기술 &amp; 유라클</t>
  </si>
  <si>
    <t>https://blog.naver.com/PostView.naver?blogId=hoeddug&amp;logNo=223913163070&amp;redirect=Dlog&amp;widgetTypeCall=true&amp;directAccess=false</t>
  </si>
  <si>
    <t>오늘의 신문 만평 (2025년 6월 27일)</t>
  </si>
  <si>
    <t>https://blog.naver.com/PostView.naver?blogId=rlarmrcjs&amp;logNo=223912913331&amp;redirect=Dlog&amp;widgetTypeCall=true&amp;directAccess=false</t>
  </si>
  <si>
    <t>Joseph Kim</t>
  </si>
  <si>
    <t>로잔운동과 한국 복음주의의 좌경화: 침묵 속의 전복과 자기모순의 교차로</t>
  </si>
  <si>
    <t>https://blog.naver.com/PostView.naver?blogId=yontaek&amp;logNo=223912182410&amp;redirect=Dlog&amp;widgetTypeCall=true&amp;directAccess=false</t>
  </si>
  <si>
    <t>택시 기사 살해 후 피해 택시 몰고 다닌 20대 긴급 체포</t>
  </si>
  <si>
    <t>https://blog.naver.com/PostView.naver?blogId=rkdsoddl20&amp;logNo=223912152808&amp;redirect=Dlog&amp;widgetTypeCall=true&amp;directAccess=false</t>
  </si>
  <si>
    <t>2025년 6월 26일 (목) 국민일보</t>
  </si>
  <si>
    <t>https://blog.naver.com/PostView.naver?blogId=theblock101&amp;logNo=223912057113&amp;redirect=Dlog&amp;widgetTypeCall=true&amp;directAccess=false</t>
  </si>
  <si>
    <t>“'중동 불안' 종료 이후 투자 방향성, 자산 배분 어떻게 해야할까? | 경읽남과 토론합시다 | 홍춘욱 박사 2편” 의 영상 요약</t>
  </si>
  <si>
    <t>https://blog.naver.com/PostView.naver?blogId=lucidjun&amp;logNo=223912014375&amp;redirect=Dlog&amp;widgetTypeCall=true&amp;directAccess=false</t>
  </si>
  <si>
    <t>여름</t>
  </si>
  <si>
    <t>경제신문 읽기 | 아파트값 급등하자 뚝 떨어진 전세가율(250626_국민일보)</t>
  </si>
  <si>
    <t>https://blog.naver.com/PostView.naver?blogId=yeoreumlog&amp;logNo=223911823014&amp;redirect=Dlog&amp;widgetTypeCall=true&amp;directAccess=false</t>
  </si>
  <si>
    <t>[국민일보] 오르고, 오르고, 또 오른다… 수도권 집값, 이래도 되나</t>
  </si>
  <si>
    <t>https://blog.naver.com/PostView.naver?blogId=bdmonth&amp;logNo=223911803230&amp;redirect=Dlog&amp;widgetTypeCall=true&amp;directAccess=false</t>
  </si>
  <si>
    <t>[경제공부] 경제윗미 Day12 - 추가경정예산 | 장단점</t>
  </si>
  <si>
    <t>https://blog.naver.com/PostView.naver?blogId=howryou-&amp;logNo=223911687786&amp;redirect=Dlog&amp;widgetTypeCall=true&amp;directAccess=false</t>
  </si>
  <si>
    <t>리드예술기획</t>
  </si>
  <si>
    <t>[8월12일] 박성진 첼로 독주회 '바르샤바의 봄'</t>
  </si>
  <si>
    <t>https://blog.naver.com/PostView.naver?blogId=leadclassic&amp;logNo=223911350463&amp;redirect=Dlog&amp;widgetTypeCall=true&amp;directAccess=false</t>
  </si>
  <si>
    <t>김건희 연대기: 사실, 증언, 그리고 논란의 기록</t>
  </si>
  <si>
    <t>https://blog.naver.com/PostView.naver?blogId=solvunoq&amp;logNo=223911081305&amp;redirect=Dlog&amp;widgetTypeCall=true&amp;directAccess=false</t>
  </si>
  <si>
    <t>일지매</t>
  </si>
  <si>
    <t>(도서 소개) 네가 벌거벗은 몸으로 올래?</t>
  </si>
  <si>
    <t>https://blog.naver.com/PostView.naver?blogId=pkw3324&amp;logNo=223910865284&amp;redirect=Dlog&amp;widgetTypeCall=true&amp;directAccess=false</t>
  </si>
  <si>
    <t>경상투데이</t>
  </si>
  <si>
    <t>안동시, 국민팜 엑스포 `산림 청장상` 쾌거… 귀농귀촌 활성화 정책·홍보 노력 돋보여</t>
  </si>
  <si>
    <t>https://blog.naver.com/PostView.naver?blogId=gst3000&amp;logNo=223910324222&amp;redirect=Dlog&amp;widgetTypeCall=true&amp;directAccess=false</t>
  </si>
  <si>
    <t>케이콤바트 K COMBAT</t>
  </si>
  <si>
    <t>국민일보, 울산신문, 울산제일일보등 언론보도, ‘2025 K-COMBAT’ 세계 타이틀·국제전 울산 대표 선발전</t>
  </si>
  <si>
    <t>https://blog.naver.com/PostView.naver?blogId=k-combat2&amp;logNo=223909907661&amp;redirect=Dlog&amp;widgetTypeCall=true&amp;directAccess=false</t>
  </si>
  <si>
    <t>박단 전공의 대표 “실망만 안겨… 모든 직 내려놓겠다”</t>
  </si>
  <si>
    <t>https://blog.naver.com/PostView.naver?blogId=eremoval&amp;logNo=223909733824&amp;redirect=Dlog&amp;widgetTypeCall=true&amp;directAccess=false</t>
  </si>
  <si>
    <t>[속보] “네타냐후, 트럼프와 통화서 ‘이란이 공격 멈추면 휴전 동의’”</t>
  </si>
  <si>
    <t>https://blog.naver.com/PostView.naver?blogId=hg6918&amp;logNo=223909643178&amp;redirect=Dlog&amp;widgetTypeCall=true&amp;directAccess=false</t>
  </si>
  <si>
    <t>바울</t>
  </si>
  <si>
    <t>[역경의 열매] 문성모 (22) 교회 모든 예배 설교 직접 맡아… 이웃 사랑 나눔도</t>
  </si>
  <si>
    <t>https://blog.naver.com/PostView.naver?blogId=suh3030&amp;logNo=223909451551&amp;redirect=Dlog&amp;widgetTypeCall=true&amp;directAccess=false</t>
  </si>
  <si>
    <t>영원히 주 찬양</t>
  </si>
  <si>
    <t>신학) '성령충만'의 바른 의미는 / Gemini</t>
  </si>
  <si>
    <t>https://blog.naver.com/PostView.naver?blogId=godinthebible&amp;logNo=223909402532&amp;redirect=Dlog&amp;widgetTypeCall=true&amp;directAccess=false</t>
  </si>
  <si>
    <t>“이건 사람이 쓴 게 아니네”… AI 생성 댓글, 특유의 말투 있다</t>
  </si>
  <si>
    <t>https://blog.naver.com/PostView.naver?blogId=etisot&amp;logNo=223909329779&amp;redirect=Dlog&amp;widgetTypeCall=true&amp;directAccess=false</t>
  </si>
  <si>
    <t>250623 부동산 주요뉴스</t>
  </si>
  <si>
    <t>https://blog.naver.com/PostView.naver?blogId=ebdn0083&amp;logNo=223908865448&amp;redirect=Dlog&amp;widgetTypeCall=true&amp;directAccess=false</t>
  </si>
  <si>
    <t>예인예술기획</t>
  </si>
  <si>
    <t>[7월 21일] 이은지 피아노 독주회</t>
  </si>
  <si>
    <t>https://blog.naver.com/PostView.naver?blogId=yeinarts&amp;logNo=223908848056&amp;redirect=Dlog&amp;widgetTypeCall=true&amp;directAccess=false</t>
  </si>
  <si>
    <t>혜화1117</t>
  </si>
  <si>
    <t>생명의말씀사</t>
  </si>
  <si>
    <t>국민일보 | 그간 놓친 기독교책의 진가…여기서 발견해 보세요(2025 서울국제도서전)</t>
  </si>
  <si>
    <t>https://blog.naver.com/PostView.naver?blogId=wlpbook&amp;logNo=223908438233&amp;redirect=Dlog&amp;widgetTypeCall=true&amp;directAccess=false</t>
  </si>
  <si>
    <t>[국민일보] 여야 의원들, 통합·화해·평화 위해 한마음 기도(25.06.19)</t>
  </si>
  <si>
    <t>https://blog.naver.com/PostView.naver?blogId=m2hwaseo&amp;logNo=223908327651&amp;redirect=Dlog&amp;widgetTypeCall=true&amp;directAccess=false</t>
  </si>
  <si>
    <t>LEEDAEHO</t>
  </si>
  <si>
    <t>75번째, 정국 주도권 확보를 위해 끊임없이 사태를 확산하는 막후대권자/뉴욕 9.11테러와의 차이점</t>
  </si>
  <si>
    <t>https://blog.naver.com/PostView.naver?blogId=daeho7103&amp;logNo=223908255779&amp;redirect=Dlog&amp;widgetTypeCall=true&amp;directAccess=false</t>
  </si>
  <si>
    <t>읽고 쓴다</t>
  </si>
  <si>
    <t>역대상23장1절~32절 큐티] 나는 오늘 정리정돈한다!</t>
  </si>
  <si>
    <t>https://blog.naver.com/PostView.naver?blogId=hajueun5&amp;logNo=223907941943&amp;redirect=Dlog&amp;widgetTypeCall=true&amp;directAccess=false</t>
  </si>
  <si>
    <t>국정위 “부동산 잡겠다고 신도시 만들지 말라”</t>
  </si>
  <si>
    <t>https://blog.naver.com/PostView.naver?blogId=samo2001&amp;logNo=223907866663&amp;redirect=Dlog&amp;widgetTypeCall=true&amp;directAccess=false</t>
  </si>
  <si>
    <t>〔5625〕  다이소에서 비타민을 살 권리/ 한승주 논설위원/ 국민일보 2025. 3. 19.</t>
  </si>
  <si>
    <t>https://blog.naver.com/PostView.naver?blogId=kje06&amp;logNo=223907707368&amp;redirect=Dlog&amp;widgetTypeCall=true&amp;directAccess=false</t>
  </si>
  <si>
    <t>〔5624〕  '크보빵’에서 태안화력까지 왜 죽음은 반복되나/ 한승주 논설위원/ 국민일보 2025. 6. 11.</t>
  </si>
  <si>
    <t>https://blog.naver.com/PostView.naver?blogId=kje06&amp;logNo=223907701549&amp;redirect=Dlog&amp;widgetTypeCall=true&amp;directAccess=false</t>
  </si>
  <si>
    <t>트럼프 부자되겠네</t>
  </si>
  <si>
    <t>https://blog.naver.com/PostView.naver?blogId=ds1sku&amp;logNo=223907560857&amp;redirect=Dlog&amp;widgetTypeCall=true&amp;directAccess=false</t>
  </si>
  <si>
    <t>코라시아</t>
  </si>
  <si>
    <t>좌파 정권이 들어서면 서울 아파트시장은 '불장(Bull Market)'이 된다. 왜?</t>
  </si>
  <si>
    <t>https://blog.naver.com/PostView.naver?blogId=sangminusa&amp;logNo=223907524399&amp;redirect=Dlog&amp;widgetTypeCall=true&amp;directAccess=false</t>
  </si>
  <si>
    <t>celinelifestudio</t>
  </si>
  <si>
    <t>[속보] 트럼프 “이란 핵 시설 공격 완료… 포르도에 폭탄 투하”</t>
  </si>
  <si>
    <t>https://blog.naver.com/PostView.naver?blogId=celinelifestudio&amp;logNo=223907457890&amp;redirect=Dlog&amp;widgetTypeCall=true&amp;directAccess=false</t>
  </si>
  <si>
    <t>잠꾸러기</t>
  </si>
  <si>
    <t>김제시 2025년 국민팜 엑스포 참가 우수지자체 수상</t>
  </si>
  <si>
    <t>https://blog.naver.com/PostView.naver?blogId=leebangheui&amp;logNo=223907133461&amp;redirect=Dlog&amp;widgetTypeCall=true&amp;directAccess=false</t>
  </si>
  <si>
    <t>기독장병 4500명, 군 복음화·한반도 평화 위해 기도 외 (6/21)</t>
  </si>
  <si>
    <t>https://blog.naver.com/PostView.naver?blogId=khchojh&amp;logNo=223906675563&amp;redirect=Dlog&amp;widgetTypeCall=true&amp;directAccess=false</t>
  </si>
  <si>
    <t>대한지방자치뉴스</t>
  </si>
  <si>
    <t>전북 농어촌유학, 수도권 학생·학부모 주목</t>
  </si>
  <si>
    <t>https://blog.naver.com/PostView.naver?blogId=klan9800&amp;logNo=223906620338&amp;redirect=Dlog&amp;widgetTypeCall=true&amp;directAccess=false</t>
  </si>
  <si>
    <t>우리 명신이가 아니 김건희가 많이 아파' 윤석열 변명.</t>
  </si>
  <si>
    <t>https://blog.naver.com/PostView.naver?blogId=zeenokim&amp;logNo=223906523641&amp;redirect=Dlog&amp;widgetTypeCall=true&amp;directAccess=false</t>
  </si>
  <si>
    <t>[경제, 시사 이슈 스터디] 경제 윗미 6월 3주차</t>
  </si>
  <si>
    <t>https://blog.naver.com/PostView.naver?blogId=cherry40120&amp;logNo=223906193684&amp;redirect=Dlog&amp;widgetTypeCall=true&amp;directAccess=false</t>
  </si>
  <si>
    <t>꿀송이</t>
  </si>
  <si>
    <t>진정주사모 기도학교 29-30강</t>
  </si>
  <si>
    <t>https://blog.naver.com/PostView.naver?blogId=lchunhee7&amp;logNo=223906007041&amp;redirect=Dlog&amp;widgetTypeCall=true&amp;directAccess=false</t>
  </si>
  <si>
    <t>尹 “아내가 진짜 많이 아파”...김건희 입원 논란에 입 열었다</t>
  </si>
  <si>
    <t>https://blog.naver.com/PostView.naver?blogId=fnnewscom&amp;logNo=223905980930&amp;redirect=Dlog&amp;widgetTypeCall=true&amp;directAccess=false</t>
  </si>
  <si>
    <t>25.06.20 매매일지  (종베 - 3전 1승2패 / 장중 -</t>
  </si>
  <si>
    <t>https://blog.naver.com/PostView.naver?blogId=hoeddug&amp;logNo=223905899195&amp;redirect=Dlog&amp;widgetTypeCall=true&amp;directAccess=false</t>
  </si>
  <si>
    <t>평택자치신문</t>
  </si>
  <si>
    <t>한국관광고, 제23회 전국 중학생 관광외국어 말하기대회 성료</t>
  </si>
  <si>
    <t>https://blog.naver.com/PostView.naver?blogId=seo8587&amp;logNo=223905654388&amp;redirect=Dlog&amp;widgetTypeCall=true&amp;directAccess=false</t>
  </si>
  <si>
    <t>한일 수교60주년 80세 이상 할머니들, 제주와 부산에서 대마도와 오사카까지</t>
  </si>
  <si>
    <t>https://blog.naver.com/PostView.naver?blogId=differance-dolly&amp;logNo=223904211542&amp;redirect=Dlog&amp;widgetTypeCall=true&amp;directAccess=false</t>
  </si>
  <si>
    <t>&lt;한강, 1968&gt; 대서특필</t>
  </si>
  <si>
    <t>https://blog.naver.com/PostView.naver?blogId=hyehwa11-17&amp;logNo=223905471009&amp;redirect=Dlog&amp;widgetTypeCall=true&amp;directAccess=false</t>
  </si>
  <si>
    <t>군주론, 트럼프 풍자</t>
  </si>
  <si>
    <t>https://blog.naver.com/PostView.naver?blogId=differance-dolly&amp;logNo=223905033844&amp;redirect=Dlog&amp;widgetTypeCall=true&amp;directAccess=false</t>
  </si>
  <si>
    <t>&lt;개인 사적 채무이자 모든 기업 통틀어 최고영업이익 갱신중인 금융권 부실채권을 왜 피땀흘린 국민혈세로 채워주나..이게 땀흘려 성실하게 살아가는 국민 힘 빠지게 만드는 무능,무책임</t>
  </si>
  <si>
    <t>https://blog.naver.com/PostView.naver?blogId=yesktj&amp;logNo=223905048460&amp;redirect=Dlog&amp;widgetTypeCall=true&amp;directAccess=false</t>
  </si>
  <si>
    <t>염승환 LS증권이사, "개미들에게 고함' "지금은 국장복귀 타이밍..... 코스피는 오늘도 3000 근접중...... 투자자 예탁금 65조 대기....유동성랠리 시동거나~</t>
  </si>
  <si>
    <t>https://blog.naver.com/PostView.naver?blogId=kkkmhyun&amp;logNo=223904726080&amp;redirect=Dlog&amp;widgetTypeCall=true&amp;directAccess=false</t>
  </si>
  <si>
    <t>[칼럼베껴쓰기 1256] '동지에서 적으로'.. 트럼프 VS 머스크/고세욱 논설위원/국민일보/2025 06 07</t>
  </si>
  <si>
    <t>https://blog.naver.com/PostView.naver?blogId=sacuja1&amp;logNo=223904265231&amp;redirect=Dlog&amp;widgetTypeCall=true&amp;directAccess=false</t>
  </si>
  <si>
    <t>someday</t>
  </si>
  <si>
    <t>[신문 스크랩] 광주 시내버스 파업 관련(6월 3주차)</t>
  </si>
  <si>
    <t>https://blog.naver.com/PostView.naver?blogId=jhe0422&amp;logNo=223903992509&amp;redirect=Dlog&amp;widgetTypeCall=true&amp;directAccess=false</t>
  </si>
  <si>
    <t>이든예술기획</t>
  </si>
  <si>
    <t>바른언론시민행동</t>
  </si>
  <si>
    <t>[팩트체크] "대통령은 '재판 정지'가 다수설"… 민주당 의원들 주장 거짓</t>
  </si>
  <si>
    <t>https://blog.naver.com/PostView.naver?blogId=truth-guardian&amp;logNo=223903465379&amp;redirect=Dlog&amp;widgetTypeCall=true&amp;directAccess=false</t>
  </si>
  <si>
    <t>Destiny</t>
  </si>
  <si>
    <t>신규 투자 유치(전환사채 230억)</t>
  </si>
  <si>
    <t>https://blog.naver.com/PostView.naver?blogId=jhjy2004&amp;logNo=223903456943&amp;redirect=Dlog&amp;widgetTypeCall=true&amp;directAccess=false</t>
  </si>
  <si>
    <t>[6월 경제스터디 13일차] 한국주식 코스피, 코스닥이란?</t>
  </si>
  <si>
    <t>https://blog.naver.com/PostView.naver?blogId=lovemin2929&amp;logNo=223903444450&amp;redirect=Dlog&amp;widgetTypeCall=true&amp;directAccess=false</t>
  </si>
  <si>
    <t>누구라도</t>
  </si>
  <si>
    <t>여사님 한복에 깊은 뜻이 있다니까......!</t>
  </si>
  <si>
    <t>https://blog.naver.com/PostView.naver?blogId=jhannes&amp;logNo=223903423182&amp;redirect=Dlog&amp;widgetTypeCall=true&amp;directAccess=false</t>
  </si>
  <si>
    <t>문화 주요뉴스</t>
  </si>
  <si>
    <t>https://blog.naver.com/PostView.naver?blogId=c1c1b1b1&amp;logNo=223902918496&amp;redirect=Dlog&amp;widgetTypeCall=true&amp;directAccess=false</t>
  </si>
  <si>
    <t>이스라엘·이란 충돌에 불 붙은 국제유가… 정유·석유화학 ‘한숨’</t>
  </si>
  <si>
    <t>https://blog.naver.com/PostView.naver?blogId=2muchtalker_y&amp;logNo=223902669061&amp;redirect=Dlog&amp;widgetTypeCall=true&amp;directAccess=false</t>
  </si>
  <si>
    <t>새정부 내년 최저임금 줄다리기 시작</t>
  </si>
  <si>
    <t>https://blog.naver.com/PostView.naver?blogId=2muchtalker_y&amp;logNo=223902667074&amp;redirect=Dlog&amp;widgetTypeCall=true&amp;directAccess=false</t>
  </si>
  <si>
    <t>상법·방송3법 이르면 이번주 입법… 민주 쟁점 법안 속도전 ‘전운 고조’</t>
  </si>
  <si>
    <t>https://blog.naver.com/PostView.naver?blogId=2muchtalker_y&amp;logNo=223902664269&amp;redirect=Dlog&amp;widgetTypeCall=true&amp;directAccess=false</t>
  </si>
  <si>
    <t>천칭자리</t>
  </si>
  <si>
    <t>"의정 갈등에 자살시도자 응급실 퇴짜 늘었다."</t>
  </si>
  <si>
    <t>https://blog.naver.com/PostView.naver?blogId=librathird91&amp;logNo=223902628260&amp;redirect=Dlog&amp;widgetTypeCall=true&amp;directAccess=false</t>
  </si>
  <si>
    <t>AI 딥러닝 기반 날씨 예보의 예측 정확도는?</t>
  </si>
  <si>
    <t>https://blog.naver.com/PostView.naver?blogId=neoyounggod&amp;logNo=223902612996&amp;redirect=Dlog&amp;widgetTypeCall=true&amp;directAccess=false</t>
  </si>
  <si>
    <t>왕건부동산</t>
  </si>
  <si>
    <t>동상이몽, 각자 기억의 건너저편</t>
  </si>
  <si>
    <t>https://blog.naver.com/PostView.naver?blogId=bigson8989&amp;logNo=223902376152&amp;redirect=Dlog&amp;widgetTypeCall=true&amp;directAccess=false</t>
  </si>
  <si>
    <t>휴린정</t>
  </si>
  <si>
    <t>대통령실, 李-트럼프 회담 무산 “미측 양해 구해”</t>
  </si>
  <si>
    <t>https://blog.naver.com/PostView.naver?blogId=baterbo&amp;logNo=223902252357&amp;redirect=Dlog&amp;widgetTypeCall=true&amp;directAccess=false</t>
  </si>
  <si>
    <t>르시엘</t>
  </si>
  <si>
    <t>개인적으로 관심있는 오전 뉴스 정리</t>
  </si>
  <si>
    <t>https://blog.naver.com/PostView.naver?blogId=mjhsyeagk3410&amp;logNo=223902014039&amp;redirect=Dlog&amp;widgetTypeCall=true&amp;directAccess=false</t>
  </si>
  <si>
    <t>판소리의 동시대성을 보여 주다</t>
  </si>
  <si>
    <t>https://blog.naver.com/PostView.naver?blogId=ntok2010&amp;logNo=223901999199&amp;redirect=Dlog&amp;widgetTypeCall=true&amp;directAccess=false</t>
  </si>
  <si>
    <t>에스더</t>
  </si>
  <si>
    <t>[사설] 이 대통령 G7 출국 ... 신뢰 구축으로 실용외교 초석 놓길</t>
  </si>
  <si>
    <t>https://blog.naver.com/PostView.naver?blogId=slowfisher&amp;logNo=223901982866&amp;redirect=Dlog&amp;widgetTypeCall=true&amp;directAccess=false</t>
  </si>
  <si>
    <t>더불어민주당, 8월 2일 차기 당대표 선출…친명계 중심으로 당권 경쟁 본격화</t>
  </si>
  <si>
    <t>https://blog.naver.com/PostView.naver?blogId=underwind-&amp;logNo=223901935601&amp;redirect=Dlog&amp;widgetTypeCall=true&amp;directAccess=false</t>
  </si>
  <si>
    <t>■1. 너무 요란 떨지 말아야!R가격은 여전히 하락세가 더 강</t>
  </si>
  <si>
    <t>https://blog.naver.com/PostView.naver?blogId=tapeda&amp;logNo=223901791146&amp;redirect=Dlog&amp;widgetTypeCall=true&amp;directAccess=false</t>
  </si>
  <si>
    <t>오늘의 신문 만평 (2025년 6월 17일)</t>
  </si>
  <si>
    <t>https://blog.naver.com/PostView.naver?blogId=rlarmrcjs&amp;logNo=223901420440&amp;redirect=Dlog&amp;widgetTypeCall=true&amp;directAccess=false</t>
  </si>
  <si>
    <t>“유승준, 한국인들의 돈이 더 필요합니까?”</t>
  </si>
  <si>
    <t>https://blog.naver.com/PostView.naver?blogId=baterbo&amp;logNo=223901048517&amp;redirect=Dlog&amp;widgetTypeCall=true&amp;directAccess=false</t>
  </si>
  <si>
    <t>[국민일보] 서울 집값 잡을 방법은… “맞춤형 공급·수요 관리 대책”</t>
  </si>
  <si>
    <t>https://blog.naver.com/PostView.naver?blogId=bdmonth&amp;logNo=223901033699&amp;redirect=Dlog&amp;widgetTypeCall=true&amp;directAccess=false</t>
  </si>
  <si>
    <t>‘일하는 노인 = 일하는 청년’…노인 경제활동참가율‘최고’</t>
  </si>
  <si>
    <t>https://blog.naver.com/PostView.naver?blogId=eremoval&amp;logNo=223900852328&amp;redirect=Dlog&amp;widgetTypeCall=true&amp;directAccess=false</t>
  </si>
  <si>
    <t>리얼파워</t>
  </si>
  <si>
    <t>낡은 전력망 갈아엎는 유럽… 국내 전력기기 업계, 공략 ‘잰걸음’</t>
  </si>
  <si>
    <t>https://blog.naver.com/PostView.naver?blogId=drchang59&amp;logNo=223900793315&amp;redirect=Dlog&amp;widgetTypeCall=true&amp;directAccess=false</t>
  </si>
  <si>
    <t>"One Theater"</t>
  </si>
  <si>
    <t>https://blog.naver.com/PostView.naver?blogId=jyj4874&amp;logNo=223900379347&amp;redirect=Dlog&amp;widgetTypeCall=true&amp;directAccess=false</t>
  </si>
  <si>
    <t>오직예수</t>
  </si>
  <si>
    <t>병은 꼭 죄 때문에 오는 것인가 아니다 그러나 죄로 인해 병도 온다.</t>
  </si>
  <si>
    <t>https://blog.naver.com/PostView.naver?blogId=dream0691&amp;logNo=223900738074&amp;redirect=Dlog&amp;widgetTypeCall=true&amp;directAccess=false</t>
  </si>
  <si>
    <t>[Daily News, 6/16(월)]</t>
  </si>
  <si>
    <t>https://blog.naver.com/PostView.naver?blogId=ydkyusung386&amp;logNo=223900164416&amp;redirect=Dlog&amp;widgetTypeCall=true&amp;directAccess=false</t>
  </si>
  <si>
    <t>트럼프와 관세·안보 담판 주목… 한·미·일 정상회담 가능성</t>
  </si>
  <si>
    <t>https://blog.naver.com/PostView.naver?blogId=etisot&amp;logNo=223900382297&amp;redirect=Dlog&amp;widgetTypeCall=true&amp;directAccess=false</t>
  </si>
  <si>
    <t>실로암요양원</t>
  </si>
  <si>
    <t>내일 16일부터 적용되는 카톡 개정 주요내용 + 관련기사</t>
  </si>
  <si>
    <t>https://blog.naver.com/PostView.naver?blogId=siloamsilver&amp;logNo=223900285108&amp;redirect=Dlog&amp;widgetTypeCall=true&amp;directAccess=false</t>
  </si>
  <si>
    <t>물바람</t>
  </si>
  <si>
    <t>영적분별력을 방해하는 요소들/ 예수님 vs 하나님나라 (2025.6.15)</t>
  </si>
  <si>
    <t>https://blog.naver.com/PostView.naver?blogId=mulbab2000&amp;logNo=223899896117&amp;redirect=Dlog&amp;widgetTypeCall=true&amp;directAccess=false</t>
  </si>
  <si>
    <t>대건</t>
  </si>
  <si>
    <t>[한마당] 노인 학대</t>
  </si>
  <si>
    <t>https://blog.naver.com/PostView.naver?blogId=koronaend&amp;logNo=223899881372&amp;redirect=Dlog&amp;widgetTypeCall=true&amp;directAccess=false</t>
  </si>
  <si>
    <t>jose24</t>
  </si>
  <si>
    <t>시리 seeri</t>
  </si>
  <si>
    <t>[테이스팅 노트] 2025년 영천다원_국화잎차</t>
  </si>
  <si>
    <t>https://blog.naver.com/PostView.naver?blogId=7979hskim&amp;logNo=223899032728&amp;redirect=Dlog&amp;widgetTypeCall=true&amp;directAccess=false</t>
  </si>
  <si>
    <t>[경제, 시사 이슈 스터디] 경제 윗미 6월 2주차</t>
  </si>
  <si>
    <t>https://blog.naver.com/PostView.naver?blogId=cherry40120&amp;logNo=223898408113&amp;redirect=Dlog&amp;widgetTypeCall=true&amp;directAccess=false</t>
  </si>
  <si>
    <t>GCN</t>
  </si>
  <si>
    <t>한세대학교(총장 백인자), 사단법인 성민원(이사장 권태진)과 업무협약</t>
  </si>
  <si>
    <t>https://blog.naver.com/PostView.naver?blogId=gcn2020&amp;logNo=223898289652&amp;redirect=Dlog&amp;widgetTypeCall=true&amp;directAccess=false</t>
  </si>
  <si>
    <t>전기분야 신기술 스타트업 분석</t>
  </si>
  <si>
    <t>https://blog.naver.com/PostView.naver?blogId=drchang59&amp;logNo=223898266585&amp;redirect=Dlog&amp;widgetTypeCall=true&amp;directAccess=false</t>
  </si>
  <si>
    <t>[국민일보] 정부, 첫 부동산 메시지는 “가용한 모든 수단 검토”</t>
  </si>
  <si>
    <t>https://blog.naver.com/PostView.naver?blogId=bdmonth&amp;logNo=223898200242&amp;redirect=Dlog&amp;widgetTypeCall=true&amp;directAccess=false</t>
  </si>
  <si>
    <t>[속보] 더불어민주당 신임 원내대표에 3선 김병기</t>
  </si>
  <si>
    <t>https://blog.naver.com/PostView.naver?blogId=eremoval&amp;logNo=223898176706&amp;redirect=Dlog&amp;widgetTypeCall=true&amp;directAccess=false</t>
  </si>
  <si>
    <t>psepeter</t>
  </si>
  <si>
    <t>이재명 정부 '천원의 아침밥' 시범 사업 근로자들도 '천원짜리 학식'</t>
  </si>
  <si>
    <t>https://blog.naver.com/PostView.naver?blogId=psepeter&amp;logNo=223898141617&amp;redirect=Dlog&amp;widgetTypeCall=true&amp;directAccess=false</t>
  </si>
  <si>
    <t>과거의메아리</t>
  </si>
  <si>
    <t>zunnukang</t>
  </si>
  <si>
    <t>[中東 火藥庫]  이란, 이스라엘에 미사일로 반격… 텔아비브 곳곳 폭음(2025.6.22)</t>
  </si>
  <si>
    <t>https://blog.naver.com/PostView.naver?blogId=zunnukang&amp;logNo=223898022601&amp;redirect=Dlog&amp;widgetTypeCall=true&amp;directAccess=false</t>
  </si>
  <si>
    <t>우리보청기</t>
  </si>
  <si>
    <t>&lt;아산보청기&gt; 이석증/돌발성 난청--코로나 걸리면 귓병 위험도 증가</t>
  </si>
  <si>
    <t>https://blog.naver.com/PostView.naver?blogId=woory2024-&amp;logNo=223897993743&amp;redirect=Dlog&amp;widgetTypeCall=true&amp;directAccess=false</t>
  </si>
  <si>
    <t>[실시간 이슈] 이스라엘 이란,에어인디아,윤딴딴,조은석,iran</t>
  </si>
  <si>
    <t>https://blog.naver.com/PostView.naver?blogId=junhoda1004&amp;logNo=223897966907&amp;redirect=Dlog&amp;widgetTypeCall=true&amp;directAccess=false</t>
  </si>
  <si>
    <t>얼러리뭉</t>
  </si>
  <si>
    <t>[오늘의 기사] 탁월한 영업사원은 돈으로 움직이지 않는다</t>
  </si>
  <si>
    <t>https://blog.naver.com/PostView.naver?blogId=bigquest&amp;logNo=223897806855&amp;redirect=Dlog&amp;widgetTypeCall=true&amp;directAccess=false</t>
  </si>
  <si>
    <t>청도인</t>
  </si>
  <si>
    <t>이자익 목사 일기 출판</t>
  </si>
  <si>
    <t>https://blog.naver.com/PostView.naver?blogId=kjyoun24&amp;logNo=223897726371&amp;redirect=Dlog&amp;widgetTypeCall=true&amp;directAccess=false</t>
  </si>
  <si>
    <t>이창용 한은 총재 “당분간 완화적 통화정책 유지”</t>
  </si>
  <si>
    <t>https://blog.naver.com/PostView.naver?blogId=etisot&amp;logNo=223897510535&amp;redirect=Dlog&amp;widgetTypeCall=true&amp;directAccess=false</t>
  </si>
  <si>
    <t>비오는날</t>
  </si>
  <si>
    <t>‘시애틀 영웅시대’ 임영웅 생일 맞아 포천시에 성금 기탁</t>
  </si>
  <si>
    <t>https://blog.naver.com/PostView.naver?blogId=ipse3618&amp;logNo=223897354469&amp;redirect=Dlog&amp;widgetTypeCall=true&amp;directAccess=false</t>
  </si>
  <si>
    <t>한국 생활체육뉴스</t>
  </si>
  <si>
    <t>강영자 빅미디어 대표, ‘2025 서울 도전 페스티벌’서 모범기업상 수상</t>
  </si>
  <si>
    <t>https://blog.naver.com/PostView.naver?blogId=sgung2580&amp;logNo=223897005852&amp;redirect=Dlog&amp;widgetTypeCall=true&amp;directAccess=false</t>
  </si>
  <si>
    <t>프린스</t>
  </si>
  <si>
    <t>국민일보 철모르는 모기... 기후변화에 봄~늦가을까지 활동</t>
  </si>
  <si>
    <t>https://blog.naver.com/PostView.naver?blogId=apfhdqkrh&amp;logNo=223896827455&amp;redirect=Dlog&amp;widgetTypeCall=true&amp;directAccess=false</t>
  </si>
  <si>
    <t>심드림취재본부장</t>
  </si>
  <si>
    <t>인생3모작준비하는 유영대 위원 ,  ‘2025 도전 한국인 모범상' 수상</t>
  </si>
  <si>
    <t>https://blog.naver.com/PostView.naver?blogId=goldizzim&amp;logNo=223896584852&amp;redirect=Dlog&amp;widgetTypeCall=true&amp;directAccess=false</t>
  </si>
  <si>
    <t>굿샘영어학원</t>
  </si>
  <si>
    <t>대구문화예술회관 국립발레단 킬리안 프로젝트 공연 개최</t>
  </si>
  <si>
    <t>https://blog.naver.com/PostView.naver?blogId=goodsemedu&amp;logNo=223896314014&amp;redirect=Dlog&amp;widgetTypeCall=true&amp;directAccess=false</t>
  </si>
  <si>
    <t>7억원대 가상화폐 투자사기 혐의 경찰관 송치</t>
  </si>
  <si>
    <t>https://blog.naver.com/PostView.naver?blogId=rkdsoddl20&amp;logNo=223895597014&amp;redirect=Dlog&amp;widgetTypeCall=true&amp;directAccess=false</t>
  </si>
  <si>
    <t>그해그써</t>
  </si>
  <si>
    <t>장애인 소식 알리기 33</t>
  </si>
  <si>
    <t>https://blog.naver.com/PostView.naver?blogId=bhcho0409&amp;logNo=223895319683&amp;redirect=Dlog&amp;widgetTypeCall=true&amp;directAccess=false</t>
  </si>
  <si>
    <t>테슬라 신형 모델 Y 출시,,,</t>
  </si>
  <si>
    <t>https://blog.naver.com/PostView.naver?blogId=ok2014827&amp;logNo=223892128904&amp;redirect=Dlog&amp;widgetTypeCall=true&amp;directAccess=false</t>
  </si>
  <si>
    <t>해당화</t>
  </si>
  <si>
    <t>거룩한방파제 내.외신 기자회견!</t>
  </si>
  <si>
    <t>https://blog.naver.com/PostView.naver?blogId=cbskbr&amp;logNo=223895232011&amp;redirect=Dlog&amp;widgetTypeCall=true&amp;directAccess=false</t>
  </si>
  <si>
    <t>XoneZoom 김대성</t>
  </si>
  <si>
    <t>남의 돈으로 생색내는 인간</t>
  </si>
  <si>
    <t>https://blog.naver.com/PostView.naver?blogId=mydairy_book&amp;logNo=223895047921&amp;redirect=Dlog&amp;widgetTypeCall=true&amp;directAccess=false</t>
  </si>
  <si>
    <t>북민실장대현</t>
  </si>
  <si>
    <t>[국민일보]국가적 위기 속, 한국교회 '북한 구원' 집중 기도회로 모인다</t>
  </si>
  <si>
    <t>https://blog.naver.com/PostView.naver?blogId=nkhrd2018&amp;logNo=223894567931&amp;redirect=Dlog&amp;widgetTypeCall=true&amp;directAccess=false</t>
  </si>
  <si>
    <t>복음의전함, 뉴욕 타임스스퀘어서 2500여 성도와 거리 전도 외 (6/10)</t>
  </si>
  <si>
    <t>https://blog.naver.com/PostView.naver?blogId=khchojh&amp;logNo=223894273077&amp;redirect=Dlog&amp;widgetTypeCall=true&amp;directAccess=false</t>
  </si>
  <si>
    <t>내년 바뀌는 암예방 수칙, 가공육 섭취 제한 포함 가능성</t>
  </si>
  <si>
    <t>https://blog.naver.com/PostView.naver?blogId=dwyun60&amp;logNo=223894219649&amp;redirect=Dlog&amp;widgetTypeCall=true&amp;directAccess=false</t>
  </si>
  <si>
    <t>루시</t>
  </si>
  <si>
    <t>미군, LA에 해병대 700명 투입 - 국민일보 기사분석</t>
  </si>
  <si>
    <t>https://blog.naver.com/PostView.naver?blogId=lectio_traversee&amp;logNo=223894181384&amp;redirect=Dlog&amp;widgetTypeCall=true&amp;directAccess=false</t>
  </si>
  <si>
    <t>반려인 71% “반려동물세 찬성…年 16.2만원 납부 의향”</t>
  </si>
  <si>
    <t>https://blog.naver.com/PostView.naver?blogId=baterbo&amp;logNo=223894180019&amp;redirect=Dlog&amp;widgetTypeCall=true&amp;directAccess=false</t>
  </si>
  <si>
    <t>정진석 전 비서실장, PC 파쇄 지시 등 시민단체가 고발.</t>
  </si>
  <si>
    <t>https://blog.naver.com/PostView.naver?blogId=lkl7383&amp;logNo=223893855822&amp;redirect=Dlog&amp;widgetTypeCall=true&amp;directAccess=false</t>
  </si>
  <si>
    <t>경제신문 읽기 | 상법·방송3법 이르면 이번주 입법… 민주 쟁점 법안 속도전 ‘전운 고조’ (250609_국민일보)</t>
  </si>
  <si>
    <t>https://blog.naver.com/PostView.naver?blogId=yeoreumlog&amp;logNo=223893812711&amp;redirect=Dlog&amp;widgetTypeCall=true&amp;directAccess=false</t>
  </si>
  <si>
    <t>Bridgemaker</t>
  </si>
  <si>
    <t>비주류 기독교인 '이재명' 이 열어갈 새미래?</t>
  </si>
  <si>
    <t>https://blog.naver.com/PostView.naver?blogId=lovadam&amp;logNo=223893676125&amp;redirect=Dlog&amp;widgetTypeCall=true&amp;directAccess=false</t>
  </si>
  <si>
    <t>거지인생</t>
  </si>
  <si>
    <t>[나의 단상] 독립운동하면 3대가 망한다? 문재인 정부 때는 안 도와주고 뭐했길래?</t>
  </si>
  <si>
    <t>https://blog.naver.com/PostView.naver?blogId=gdsolitary&amp;logNo=223893406655&amp;redirect=Dlog&amp;widgetTypeCall=true&amp;directAccess=false</t>
  </si>
  <si>
    <t>250609 부동산 주요뉴스</t>
  </si>
  <si>
    <t>https://blog.naver.com/PostView.naver?blogId=ebdn0083&amp;logNo=223893116246&amp;redirect=Dlog&amp;widgetTypeCall=true&amp;directAccess=false</t>
  </si>
  <si>
    <t>수익천국</t>
  </si>
  <si>
    <t>6/9(월) 매매일지</t>
  </si>
  <si>
    <t>https://blog.naver.com/PostView.naver?blogId=yes0153&amp;logNo=223893030801&amp;redirect=Dlog&amp;widgetTypeCall=true&amp;directAccess=false</t>
  </si>
  <si>
    <t>사용률 증가하지만…육아휴직 쓴 아빠 57%가 ‘대기업맨’</t>
  </si>
  <si>
    <t>https://blog.naver.com/PostView.naver?blogId=dwyun60&amp;logNo=223892955511&amp;redirect=Dlog&amp;widgetTypeCall=true&amp;directAccess=false</t>
  </si>
  <si>
    <t>폴르</t>
  </si>
  <si>
    <t>[공유] 자취 감추는 ‘남아선호’… 한국 등 선진국일수록 뚜렷</t>
  </si>
  <si>
    <t>https://blog.naver.com/PostView.naver?blogId=hadiah&amp;logNo=223892871881&amp;redirect=Dlog&amp;widgetTypeCall=true&amp;directAccess=false</t>
  </si>
  <si>
    <t>2025년 6월 9일 (월) 국민일보 지면기사</t>
  </si>
  <si>
    <t>https://blog.naver.com/PostView.naver?blogId=theblock101&amp;logNo=223892869441&amp;redirect=Dlog&amp;widgetTypeCall=true&amp;directAccess=false</t>
  </si>
  <si>
    <t>250602 -  빌라 6년 임대등록 풀어줘도 "가격 안올라" 집주인 시큰둥</t>
  </si>
  <si>
    <t>https://blog.naver.com/PostView.naver?blogId=pick_me_kab&amp;logNo=223892444347&amp;redirect=Dlog&amp;widgetTypeCall=true&amp;directAccess=false</t>
  </si>
  <si>
    <t>크리스탈</t>
  </si>
  <si>
    <t>"이재명 정부에 집값 들썩? 시장 눈치싸움 돌입</t>
  </si>
  <si>
    <t>https://blog.naver.com/PostView.naver?blogId=puppyunh&amp;logNo=223891397145&amp;redirect=Dlog&amp;widgetTypeCall=true&amp;directAccess=false</t>
  </si>
  <si>
    <t>전학춘</t>
  </si>
  <si>
    <t>사랑받는 민족 '코리안'</t>
  </si>
  <si>
    <t>https://blog.naver.com/PostView.naver?blogId=jun952789&amp;logNo=223891213578&amp;redirect=Dlog&amp;widgetTypeCall=true&amp;directAccess=false</t>
  </si>
  <si>
    <t>마하쌤</t>
  </si>
  <si>
    <t>38 : 글쓰기 좋은 질문 189번</t>
  </si>
  <si>
    <t>https://blog.naver.com/PostView.naver?blogId=musicalian&amp;logNo=223890864020&amp;redirect=Dlog&amp;widgetTypeCall=true&amp;directAccess=false</t>
  </si>
  <si>
    <t>文은 취임 당일, 尹은 당선 5시간 뒤 美대통령 통화… 李는 언제?</t>
  </si>
  <si>
    <t>https://blog.naver.com/PostView.naver?blogId=godloveyouforever&amp;logNo=223890756762&amp;redirect=Dlog&amp;widgetTypeCall=true&amp;directAccess=false</t>
  </si>
  <si>
    <t>7년 구강암 투병…제주남방큰돌고래 ‘턱이’ 사체 발견-죽기 전날까지  무릉리 앞바다에서 유영하는 등 비교적 양호한 모습</t>
  </si>
  <si>
    <t>https://blog.naver.com/PostView.naver?blogId=rkdsoddl20&amp;logNo=223890347482&amp;redirect=Dlog&amp;widgetTypeCall=true&amp;directAccess=false</t>
  </si>
  <si>
    <t>vacer</t>
  </si>
  <si>
    <t>변화하는 건축 트렌드: 국민 평형의 진화와 새로운 비전_6월6일 놓칠 수 없는 핫이슈!</t>
  </si>
  <si>
    <t>https://blog.naver.com/PostView.naver?blogId=richlife-vision&amp;logNo=223890044711&amp;redirect=Dlog&amp;widgetTypeCall=true&amp;directAccess=false</t>
  </si>
  <si>
    <t>6/5(목) 경제윗미 : 소비자물가지수 / 물가 5개월 만에 1%대 됐지만… 가공식품・축산물 고공행진</t>
  </si>
  <si>
    <t>https://blog.naver.com/PostView.naver?blogId=soxocoo&amp;logNo=223890104566&amp;redirect=Dlog&amp;widgetTypeCall=true&amp;directAccess=false</t>
  </si>
  <si>
    <t>“명태균 건 두렵긴 한 모양”… 권영세, 독오른 홍준표에 독설 + [참고적인 지적]</t>
  </si>
  <si>
    <t>https://blog.naver.com/PostView.naver?blogId=kominerba&amp;logNo=223889846223&amp;redirect=Dlog&amp;widgetTypeCall=true&amp;directAccess=false</t>
  </si>
  <si>
    <t>환자가 병원 기억하는 기준은 그곳서 만난 ‘사람’</t>
  </si>
  <si>
    <t>https://blog.naver.com/PostView.naver?blogId=dwyun60&amp;logNo=223889802720&amp;redirect=Dlog&amp;widgetTypeCall=true&amp;directAccess=false</t>
  </si>
  <si>
    <t>알짜배기</t>
  </si>
  <si>
    <t>1주택자, 오피스텔 사서 6년 임대 등록하면 '1가구 1주택' 특례</t>
  </si>
  <si>
    <t>https://blog.naver.com/PostView.naver?blogId=kdchi2063&amp;logNo=223889204639&amp;redirect=Dlog&amp;widgetTypeCall=true&amp;directAccess=false</t>
  </si>
  <si>
    <t>이재명 정부 ‘부동산 가시밭길’… “당분간 현상 유지” 전망</t>
  </si>
  <si>
    <t>https://blog.naver.com/PostView.naver?blogId=samo2001&amp;logNo=223889153475&amp;redirect=Dlog&amp;widgetTypeCall=true&amp;directAccess=false</t>
  </si>
  <si>
    <t>‘와인잔’ 미리내폭포 위로 은하수도 흐르고… 강원도 정선 여행</t>
  </si>
  <si>
    <t>https://blog.naver.com/PostView.naver?blogId=dwyun60&amp;logNo=223889083001&amp;redirect=Dlog&amp;widgetTypeCall=true&amp;directAccess=false</t>
  </si>
  <si>
    <t>CloudHistory</t>
  </si>
  <si>
    <t>giver</t>
  </si>
  <si>
    <t>https://blog.naver.com/PostView.naver?blogId=mgch77&amp;logNo=223889077338&amp;redirect=Dlog&amp;widgetTypeCall=true&amp;directAccess=false</t>
  </si>
  <si>
    <t>다이어리</t>
  </si>
  <si>
    <t>오늘의 게임 뉴스 - 2025년 06월 04일</t>
  </si>
  <si>
    <t>https://blog.naver.com/PostView.naver?blogId=zaxa1019&amp;logNo=223888978086&amp;redirect=Dlog&amp;widgetTypeCall=true&amp;directAccess=false</t>
  </si>
  <si>
    <t>조국, 옥중서신 통해 “이재명정부 성공에 힘 보탤 것”</t>
  </si>
  <si>
    <t>https://blog.naver.com/PostView.naver?blogId=koreakwh1&amp;logNo=223888925691&amp;redirect=Dlog&amp;widgetTypeCall=true&amp;directAccess=false</t>
  </si>
  <si>
    <t>몽촌</t>
  </si>
  <si>
    <t>꽃이 좋아야 나비가 모인다</t>
  </si>
  <si>
    <t>https://blog.naver.com/PostView.naver?blogId=hjh044&amp;logNo=223888768778&amp;redirect=Dlog&amp;widgetTypeCall=true&amp;directAccess=false</t>
  </si>
  <si>
    <t>김실장</t>
  </si>
  <si>
    <t>거부권없는 특검 통과 위헌정당 해산의시작</t>
  </si>
  <si>
    <t>https://blog.naver.com/PostView.naver?blogId=adiu2000&amp;logNo=223888712178&amp;redirect=Dlog&amp;widgetTypeCall=true&amp;directAccess=false</t>
  </si>
  <si>
    <t>결마로</t>
  </si>
  <si>
    <t>대통령 이재명과 헌법 제84조</t>
  </si>
  <si>
    <t>https://blog.naver.com/PostView.naver?blogId=knightblack&amp;logNo=223888659673&amp;redirect=Dlog&amp;widgetTypeCall=true&amp;directAccess=false</t>
  </si>
  <si>
    <t>[단독] 李대통령, 경호처장에 황인권 내정…육군 대장 출신</t>
  </si>
  <si>
    <t>https://blog.naver.com/PostView.naver?blogId=meangju2020&amp;logNo=223888157798&amp;redirect=Dlog&amp;widgetTypeCall=true&amp;directAccess=false</t>
  </si>
  <si>
    <t>스푼지기</t>
  </si>
  <si>
    <t>[한국장애인신문] 밀알복지재단-장애인고용공단, 제11회 스토리텔링 공모전 '일상 속의 장애인' 개최</t>
  </si>
  <si>
    <t>https://blog.naver.com/PostView.naver?blogId=welspoon&amp;logNo=223888037643&amp;redirect=Dlog&amp;widgetTypeCall=true&amp;directAccess=false</t>
  </si>
  <si>
    <t>250603 부동산 주요뉴스</t>
  </si>
  <si>
    <t>https://blog.naver.com/PostView.naver?blogId=ebdn0083&amp;logNo=223888024664&amp;redirect=Dlog&amp;widgetTypeCall=true&amp;directAccess=false</t>
  </si>
  <si>
    <t>2025년 6월 4일 (수) 국민일보 지면기사</t>
  </si>
  <si>
    <t>https://blog.naver.com/PostView.naver?blogId=theblock101&amp;logNo=223887832290&amp;redirect=Dlog&amp;widgetTypeCall=true&amp;directAccess=false</t>
  </si>
  <si>
    <t>silpo</t>
  </si>
  <si>
    <t>대한민국의 통합… 국민은 과연 누구 손을 들어 주었나?</t>
  </si>
  <si>
    <t>https://blog.naver.com/PostView.naver?blogId=silpo&amp;logNo=223887453462&amp;redirect=Dlog&amp;widgetTypeCall=true&amp;directAccess=false</t>
  </si>
  <si>
    <t>2025년 6월 3일 (화) 국민일보 지면기사</t>
  </si>
  <si>
    <t>https://blog.naver.com/PostView.naver?blogId=theblock101&amp;logNo=223886849347&amp;redirect=Dlog&amp;widgetTypeCall=true&amp;directAccess=false</t>
  </si>
  <si>
    <t>양군</t>
  </si>
  <si>
    <t>[2025] 폭싹 삭아버린 '그냥 쉬는 청년'의 근황</t>
  </si>
  <si>
    <t>https://blog.naver.com/PostView.naver?blogId=eeeeee83&amp;logNo=223886771727&amp;redirect=Dlog&amp;widgetTypeCall=true&amp;directAccess=false</t>
  </si>
  <si>
    <t>경제신문 읽기 | 영끌 다시 꿈틀, 5월 가계대출 6조원 이상 늘었다 (250602_국민일보)</t>
  </si>
  <si>
    <t>https://blog.naver.com/PostView.naver?blogId=yeoreumlog&amp;logNo=223886722125&amp;redirect=Dlog&amp;widgetTypeCall=true&amp;directAccess=false</t>
  </si>
  <si>
    <t>위대한 나라위해</t>
  </si>
  <si>
    <t>피난처가 되어준 교회가 있었다는 게 감사하다</t>
  </si>
  <si>
    <t>https://blog.naver.com/PostView.naver?blogId=komissi0&amp;logNo=223886619781&amp;redirect=Dlog&amp;widgetTypeCall=true&amp;directAccess=false</t>
  </si>
  <si>
    <t>namomail</t>
  </si>
  <si>
    <t>네이버 부동산 VR 단지투어!.. “집 보러 가지 마세요!”</t>
  </si>
  <si>
    <t>https://blog.naver.com/PostView.naver?blogId=namomail&amp;logNo=223886619785&amp;redirect=Dlog&amp;widgetTypeCall=true&amp;directAccess=false</t>
  </si>
  <si>
    <t>文과 ‘뇌물재판’ 받는 이상직, 법원에 국민참여재판 신청</t>
  </si>
  <si>
    <t>https://blog.naver.com/PostView.naver?blogId=eremoval&amp;logNo=223886518114&amp;redirect=Dlog&amp;widgetTypeCall=true&amp;directAccess=false</t>
  </si>
  <si>
    <t>한국장애인신문</t>
  </si>
  <si>
    <t>밀알복지재단-장애인고용공단, 제11회 스토리텔링 공모전 '일상 속의 장애인' 개최</t>
  </si>
  <si>
    <t>https://blog.naver.com/PostView.naver?blogId=koreadisablednews&amp;logNo=223886033182&amp;redirect=Dlog&amp;widgetTypeCall=true&amp;directAccess=false</t>
  </si>
  <si>
    <t>내보험케어</t>
  </si>
  <si>
    <t>일과 함께 가꾸어 가는 예술, 기차는 8시에 떠나네 - 원곡 아그네스 발차 /조수미 버전 / 노래 권여사</t>
  </si>
  <si>
    <t>https://blog.naver.com/PostView.naver?blogId=alzza0677&amp;logNo=223885923388&amp;redirect=Dlog&amp;widgetTypeCall=true&amp;directAccess=false</t>
  </si>
  <si>
    <t>에따예브게니</t>
  </si>
  <si>
    <t>유라시아 주간소식 - 2025/5/26 ~ 6/2</t>
  </si>
  <si>
    <t>https://blog.naver.com/PostView.naver?blogId=lyc406&amp;logNo=223885720515&amp;redirect=Dlog&amp;widgetTypeCall=true&amp;directAccess=false</t>
  </si>
  <si>
    <t>역시 꿈의 직장…5대 은행 ‘희망퇴직 위로금’ 평균 3억5000만원</t>
  </si>
  <si>
    <t>https://blog.naver.com/PostView.naver?blogId=dwyun60&amp;logNo=223885678517&amp;redirect=Dlog&amp;widgetTypeCall=true&amp;directAccess=false</t>
  </si>
  <si>
    <t>2025년 6월 2일 (월) 국민일보 지면기사</t>
  </si>
  <si>
    <t>https://blog.naver.com/PostView.naver?blogId=theblock101&amp;logNo=223885568791&amp;redirect=Dlog&amp;widgetTypeCall=true&amp;directAccess=false</t>
  </si>
  <si>
    <t>sansiblue</t>
  </si>
  <si>
    <t>이재명의 칼바람·피바람 ‘숙청’시작: 이재명측과 추종 좌파파단체 들에 의해 고발돼 수사·재판를 받고있거나 수사 대기중인 소위 '윤석열내란사건' 관련자 130명 명단 긴급 공개</t>
  </si>
  <si>
    <t>https://blog.naver.com/PostView.naver?blogId=sansiblue&amp;logNo=223885074444&amp;redirect=Dlog&amp;widgetTypeCall=true&amp;directAccess=false</t>
  </si>
  <si>
    <t>“대선토론회에서 본 후보들의 공감능력… 국민의 아픔부터 느껴야”</t>
  </si>
  <si>
    <t>https://blog.naver.com/PostView.naver?blogId=maingki&amp;logNo=223884753821&amp;redirect=Dlog&amp;widgetTypeCall=true&amp;directAccess=false</t>
  </si>
  <si>
    <t>헤럴드경제</t>
  </si>
  <si>
    <t>베트남 냐짱(나트랑)서 한국 남성 ‘익사’..안전요원 멍때려 4살 아이 父 숨졌다</t>
  </si>
  <si>
    <t>https://blog.naver.com/PostView.naver?blogId=bnmjkl20&amp;logNo=223917002740&amp;redirect=Dlog&amp;widgetTypeCall=true&amp;directAccess=false</t>
  </si>
  <si>
    <t>멘드롱따또</t>
  </si>
  <si>
    <t>한국 언론사를 믿지 못하는 이유, 상당수의 언론사 최대주주가 '건설사'</t>
  </si>
  <si>
    <t>https://blog.naver.com/PostView.naver?blogId=tearhunter&amp;logNo=223916904800&amp;redirect=Dlog&amp;widgetTypeCall=true&amp;directAccess=false</t>
  </si>
  <si>
    <t>11</t>
  </si>
  <si>
    <t>20250630 국민의 힘 - 상법개정안 찬성 입장 선회</t>
  </si>
  <si>
    <t>https://blog.naver.com/PostView.naver?blogId=yehlee77&amp;logNo=223916709712&amp;redirect=Dlog&amp;widgetTypeCall=true&amp;directAccess=false</t>
  </si>
  <si>
    <t>광주진보연대</t>
  </si>
  <si>
    <t>[금호타이어 정상화 시민대책위], 27일 국회 기자회견 및 의원 간담회,  대통령실에 의견서 전달까지.</t>
  </si>
  <si>
    <t>https://blog.naver.com/PostView.naver?blogId=powergwangju&amp;logNo=223916614502&amp;redirect=Dlog&amp;widgetTypeCall=true&amp;directAccess=false</t>
  </si>
  <si>
    <t>국내외 경제 동향 및 주요 뉴스('25.06.30)_6.27 대책···주담대 한도 6억원 만기 30년 이내, 생애최초 LTV 80%→70%로 축소, 전세대출 보증비율 축소</t>
  </si>
  <si>
    <t>https://blog.naver.com/PostView.naver?blogId=pbs6609&amp;logNo=223916284103&amp;redirect=Dlog&amp;widgetTypeCall=true&amp;directAccess=false</t>
  </si>
  <si>
    <t>Sophie Jin</t>
  </si>
  <si>
    <t>[2025 마블런 서울] 마블 캐릭터와 함께하는 도심 축제, HALF 신청(두번째 하프)완료, 대회 정보</t>
  </si>
  <si>
    <t>https://blog.naver.com/PostView.naver?blogId=philosophiejin&amp;logNo=223915753227&amp;redirect=Dlog&amp;widgetTypeCall=true&amp;directAccess=false</t>
  </si>
  <si>
    <t>교통사고 음주 전문</t>
  </si>
  <si>
    <t>차 30㎝ 움직인 것도 엄연한 음주운전…벌금 500만원 선고</t>
  </si>
  <si>
    <t>https://blog.naver.com/PostView.naver?blogId=qw11333&amp;logNo=223915726667&amp;redirect=Dlog&amp;widgetTypeCall=true&amp;directAccess=false</t>
  </si>
  <si>
    <t>MissU</t>
  </si>
  <si>
    <t>수소환원제철 성공 열쇠는 ‘국산 그린수소’</t>
  </si>
  <si>
    <t>https://blog.naver.com/PostView.naver?blogId=miss_u-&amp;logNo=223915576377&amp;redirect=Dlog&amp;widgetTypeCall=true&amp;directAccess=false</t>
  </si>
  <si>
    <t>영웅0929 '20250629' 001 뉴스에서 매일 하나씩 "20250629 국내 주요 뉴스"</t>
  </si>
  <si>
    <t>https://blog.naver.com/PostView.naver?blogId=heroles&amp;logNo=223915184861&amp;redirect=Dlog&amp;widgetTypeCall=true&amp;directAccess=false</t>
  </si>
  <si>
    <t>아닌뎁</t>
  </si>
  <si>
    <t>마릴린먼로의 일생에 관한 미술칼럼을 읽고</t>
  </si>
  <si>
    <t>https://blog.naver.com/PostView.naver?blogId=intacka&amp;logNo=223914913977&amp;redirect=Dlog&amp;widgetTypeCall=true&amp;directAccess=false</t>
  </si>
  <si>
    <t>해피드림연이씨</t>
  </si>
  <si>
    <t>"애 낳으라면서 신생아 대출부터 싹뚝"... '주거사다리'끊길까 잠못드는 청년들</t>
  </si>
  <si>
    <t>https://blog.naver.com/PostView.naver?blogId=plus0818&amp;logNo=223914602915&amp;redirect=Dlog&amp;widgetTypeCall=true&amp;directAccess=false</t>
  </si>
  <si>
    <t>치사빤쓰</t>
  </si>
  <si>
    <t>LG CNS와 삼성SDS의 AI 개발 도구: 혁신이라는 이름의 빈껍데기 광고</t>
  </si>
  <si>
    <t>https://blog.naver.com/PostView.naver?blogId=windyman&amp;logNo=223914560690&amp;redirect=Dlog&amp;widgetTypeCall=true&amp;directAccess=false</t>
  </si>
  <si>
    <t>[06/28] 신문 스크랩</t>
  </si>
  <si>
    <t>https://blog.naver.com/PostView.naver?blogId=chlthr1222&amp;logNo=223914463354&amp;redirect=Dlog&amp;widgetTypeCall=true&amp;directAccess=false</t>
  </si>
  <si>
    <t>섭씨의온도</t>
  </si>
  <si>
    <t>오페라 도산! 도산의 삶과 신념, 오페라로 재조명</t>
  </si>
  <si>
    <t>https://blog.naver.com/PostView.naver?blogId=joskee&amp;logNo=223914267506&amp;redirect=Dlog&amp;widgetTypeCall=true&amp;directAccess=false</t>
  </si>
  <si>
    <t>3주차 경제단어 인증 4</t>
  </si>
  <si>
    <t>https://blog.naver.com/PostView.naver?blogId=kyuhaeart&amp;logNo=223914079720&amp;redirect=Dlog&amp;widgetTypeCall=true&amp;directAccess=false</t>
  </si>
  <si>
    <t>2025년 6월 27일 (금) 해럴드경제</t>
  </si>
  <si>
    <t>https://blog.naver.com/PostView.naver?blogId=theblock101&amp;logNo=223913822480&amp;redirect=Dlog&amp;widgetTypeCall=true&amp;directAccess=false</t>
  </si>
  <si>
    <t>1147. 대책 없는 좌파정부에 무너지는 한국경제. 미군함 보수 유지사업 수주 실패, 싱가포르 업체로</t>
  </si>
  <si>
    <t>https://blog.naver.com/PostView.naver?blogId=seskman&amp;logNo=223913320598&amp;redirect=Dlog&amp;widgetTypeCall=true&amp;directAccess=false</t>
  </si>
  <si>
    <t>굿모닝 5분 브리핑-6/27(상호 관세 유예 연장?, 1Q GDP 역성장, 구리, 실업지표, 팔란티어 공매도 등)</t>
  </si>
  <si>
    <t>https://blog.naver.com/PostView.naver?blogId=yunebal&amp;logNo=223913231225&amp;redirect=Dlog&amp;widgetTypeCall=true&amp;directAccess=false</t>
  </si>
  <si>
    <t>[Daily News, 6/27(금)]</t>
  </si>
  <si>
    <t>https://blog.naver.com/PostView.naver?blogId=ydkyusung386&amp;logNo=223913144071&amp;redirect=Dlog&amp;widgetTypeCall=true&amp;directAccess=false</t>
  </si>
  <si>
    <t>국회의원 김병기</t>
  </si>
  <si>
    <t>[언론보도 / 헤럴드경제] 김병기, 제22대 국회 민주당 2기 원내대표 선출</t>
  </si>
  <si>
    <t>https://blog.naver.com/PostView.naver?blogId=kim-weapon&amp;logNo=223912701693&amp;redirect=Dlog&amp;widgetTypeCall=true&amp;directAccess=false</t>
  </si>
  <si>
    <t>갖추</t>
  </si>
  <si>
    <t>[헤럴드경제] 177억원 횡령 의혹…“완전 망했다” 국민상비약 ‘정로환’의 몰락</t>
  </si>
  <si>
    <t>https://blog.naver.com/PostView.naver?blogId=got-choo&amp;logNo=223912546073&amp;redirect=Dlog&amp;widgetTypeCall=true&amp;directAccess=false</t>
  </si>
  <si>
    <t>김진하 양양군수, 여성 민원인 금품 수수·강제추행 혐의로 징역 2년 선고</t>
  </si>
  <si>
    <t>https://blog.naver.com/PostView.naver?blogId=underwind-&amp;logNo=223912435304&amp;redirect=Dlog&amp;widgetTypeCall=true&amp;directAccess=false</t>
  </si>
  <si>
    <t>손무</t>
  </si>
  <si>
    <t>112 사업의 정리 - 1(피해의 단절)</t>
  </si>
  <si>
    <t>https://blog.naver.com/PostView.naver?blogId=taxyesone&amp;logNo=223912315911&amp;redirect=Dlog&amp;widgetTypeCall=true&amp;directAccess=false</t>
  </si>
  <si>
    <t>[돼지곱창 라떼. 中쓰촨성..매출4배] 한지숙.헤럴드경제 -[요약] 전혀 조화롭지않는 조합의 성공. “여러번 테스트 거친결과 곱창의 맛을 살리면서도 커피풍미를 해치지않는 양” 6g</t>
  </si>
  <si>
    <t>https://blog.naver.com/PostView.naver?blogId=cskw11&amp;logNo=223912294303&amp;redirect=Dlog&amp;widgetTypeCall=true&amp;directAccess=false</t>
  </si>
  <si>
    <t>사랑과꿈</t>
  </si>
  <si>
    <t>오너스컵</t>
  </si>
  <si>
    <t>https://blog.naver.com/PostView.naver?blogId=ljk2109&amp;logNo=223912106914&amp;redirect=Dlog&amp;widgetTypeCall=true&amp;directAccess=false</t>
  </si>
  <si>
    <t>“이건 너무 심했다” 국민 혈세 ‘121억’ 쏟아부었는데…먼지 쌓이는 반도체 장비 ‘수두룩’</t>
  </si>
  <si>
    <t>https://blog.naver.com/PostView.naver?blogId=eremoval&amp;logNo=223911980231&amp;redirect=Dlog&amp;widgetTypeCall=true&amp;directAccess=false</t>
  </si>
  <si>
    <t>[6월 경제스터디 18일차] 분양가상한제 part.2 (실거주의무, 분상제 부작용)</t>
  </si>
  <si>
    <t>https://blog.naver.com/PostView.naver?blogId=lovemin2929&amp;logNo=223911262744&amp;redirect=Dlog&amp;widgetTypeCall=true&amp;directAccess=false</t>
  </si>
  <si>
    <t>YongTa</t>
  </si>
  <si>
    <t>증시동향(0625) 반도체, 자동차, 디지털자산, 원전 &gt; 로봇, 방산...</t>
  </si>
  <si>
    <t>https://blog.naver.com/PostView.naver?blogId=ostasien&amp;logNo=223910951223&amp;redirect=Dlog&amp;widgetTypeCall=true&amp;directAccess=false</t>
  </si>
  <si>
    <t>010 7611 0512</t>
  </si>
  <si>
    <t>장마철 맞은 K-중고차 업계, 앞다퉈 “침수차 ZERO” 선언 [여車저車]</t>
  </si>
  <si>
    <t>https://blog.naver.com/PostView.naver?blogId=dealer_sangho&amp;logNo=223910039585&amp;redirect=Dlog&amp;widgetTypeCall=true&amp;directAccess=false</t>
  </si>
  <si>
    <t>[헤럴드경제] 강남 갭투자 묶자 강동 평균 거래가 ‘역대 최고’ 13억 턱 밑 [부동산360]</t>
  </si>
  <si>
    <t>https://blog.naver.com/PostView.naver?blogId=bdmonth&amp;logNo=223909982735&amp;redirect=Dlog&amp;widgetTypeCall=true&amp;directAccess=false</t>
  </si>
  <si>
    <t>연세암병원</t>
  </si>
  <si>
    <t>췌장암 신약 검증 '오가노이드' 세브란스병원 연구팀 제작 성공 [헤럴드경제]</t>
  </si>
  <si>
    <t>https://blog.naver.com/PostView.naver?blogId=yuhs_ycc&amp;logNo=223909762654&amp;redirect=Dlog&amp;widgetTypeCall=true&amp;directAccess=false</t>
  </si>
  <si>
    <t>스타패션</t>
  </si>
  <si>
    <t>‘마블런 서울 2025’ 참가 접수 1만5천 명 조기 마감... 서울이 히어로로 물든다</t>
  </si>
  <si>
    <t>https://blog.naver.com/PostView.naver?blogId=kstarfashion&amp;logNo=223909734412&amp;redirect=Dlog&amp;widgetTypeCall=true&amp;directAccess=false</t>
  </si>
  <si>
    <t>길라잡이</t>
  </si>
  <si>
    <t>롯데관광개발, ‘이봉주와 함께하는 하롱베이 마라톤.</t>
  </si>
  <si>
    <t>https://blog.naver.com/PostView.naver?blogId=dnk8946&amp;logNo=223909714736&amp;redirect=Dlog&amp;widgetTypeCall=true&amp;directAccess=false</t>
  </si>
  <si>
    <t>해방촌 신흥시장에서 만나는 코카-콜라</t>
  </si>
  <si>
    <t>https://blog.naver.com/PostView.naver?blogId=hun4339&amp;logNo=223908724047&amp;redirect=Dlog&amp;widgetTypeCall=true&amp;directAccess=false</t>
  </si>
  <si>
    <t>小笑 78_(250621)중대백로 부리 색깔은 여름에 끝 부분부터 검게 바뀐다</t>
  </si>
  <si>
    <t>https://blog.naver.com/PostView.naver?blogId=kurosan&amp;logNo=223908421041&amp;redirect=Dlog&amp;widgetTypeCall=true&amp;directAccess=false</t>
  </si>
  <si>
    <t>KBS에서 버린 박보영의 '미지의 서울' 넷플릭스 대박.</t>
  </si>
  <si>
    <t>https://blog.naver.com/PostView.naver?blogId=zeenokim&amp;logNo=223908276885&amp;redirect=Dlog&amp;widgetTypeCall=true&amp;directAccess=false</t>
  </si>
  <si>
    <t>김건희 녹음 파일 4년간 몰랐던 검찰, 증거 확보 은폐?</t>
  </si>
  <si>
    <t>https://blog.naver.com/PostView.naver?blogId=zeenokim&amp;logNo=223908247802&amp;redirect=Dlog&amp;widgetTypeCall=true&amp;directAccess=false</t>
  </si>
  <si>
    <t>편의점 핫템 - '가나디 바나나우유' 품절 대란,,,</t>
  </si>
  <si>
    <t>https://blog.naver.com/PostView.naver?blogId=ok2014827&amp;logNo=223907046060&amp;redirect=Dlog&amp;widgetTypeCall=true&amp;directAccess=false</t>
  </si>
  <si>
    <t>‘비비탄 난사’해 강아지 죽인 일당, 이름·학교·부대 등 신상 공개 확산 논란</t>
  </si>
  <si>
    <t>https://blog.naver.com/PostView.naver?blogId=yfish66&amp;logNo=223907774221&amp;redirect=Dlog&amp;widgetTypeCall=true&amp;directAccess=false</t>
  </si>
  <si>
    <t>2년 연속 ‘세계최고 레스토랑 50곳’ 오른 한국식당…어디?</t>
  </si>
  <si>
    <t>https://blog.naver.com/PostView.naver?blogId=sung8457&amp;logNo=223906651173&amp;redirect=Dlog&amp;widgetTypeCall=true&amp;directAccess=false</t>
  </si>
  <si>
    <t>"불닭 안 판다고요" - 설탕·화학·바이오소재 삼양그룹,,,</t>
  </si>
  <si>
    <t>https://blog.naver.com/PostView.naver?blogId=ok2014827&amp;logNo=223906685838&amp;redirect=Dlog&amp;widgetTypeCall=true&amp;directAccess=false</t>
  </si>
  <si>
    <t>[헤럴드경제] 싸이 한남 고급빌라 48억에 팔았다…시세차익만 20억[부동산360]</t>
  </si>
  <si>
    <t>https://blog.naver.com/PostView.naver?blogId=bdmonth&amp;logNo=223906951452&amp;redirect=Dlog&amp;widgetTypeCall=true&amp;directAccess=false</t>
  </si>
  <si>
    <t>서울 아파트값 급등 잡으려면 강력한 대출관리 시급</t>
  </si>
  <si>
    <t>https://blog.naver.com/PostView.naver?blogId=jang0355&amp;logNo=223906740217&amp;redirect=Dlog&amp;widgetTypeCall=true&amp;directAccess=false</t>
  </si>
  <si>
    <t>2025년 6월 20일, "비상계엄 넘고 관세전쟁 건너…다시 만난 삼천피 시대"에 대한 X 반응</t>
  </si>
  <si>
    <t>https://blog.naver.com/PostView.naver?blogId=shinswoong75&amp;logNo=223906084681&amp;redirect=Dlog&amp;widgetTypeCall=true&amp;directAccess=false</t>
  </si>
  <si>
    <t>2025년 6월 20일, "코스피 3,021.84포인트로 장 마감"에 대한 X 반응</t>
  </si>
  <si>
    <t>https://blog.naver.com/PostView.naver?blogId=shinswoong75&amp;logNo=223906041326&amp;redirect=Dlog&amp;widgetTypeCall=true&amp;directAccess=false</t>
  </si>
  <si>
    <t>"토스뱅크, 27억원대 횡령 사고 발생…재발 방지 대책 강화"</t>
  </si>
  <si>
    <t>https://blog.naver.com/PostView.naver?blogId=krsongc2&amp;logNo=223905760525&amp;redirect=Dlog&amp;widgetTypeCall=true&amp;directAccess=false</t>
  </si>
  <si>
    <t>“간질간질 못 참겠다” 귓속에 면봉, ‘절대 금지!’…더러운 게 다가 아니다</t>
  </si>
  <si>
    <t>https://blog.naver.com/PostView.naver?blogId=pgy0804&amp;logNo=223905490072&amp;redirect=Dlog&amp;widgetTypeCall=true&amp;directAccess=false</t>
  </si>
  <si>
    <t>코스피, 중동戰 리스크 뚫고 2970대 마감…한때 ‘삼천피’ 3.96포인트 앞까지 [투자360]/6월19일증시요약</t>
  </si>
  <si>
    <t>https://blog.naver.com/PostView.naver?blogId=silluel&amp;logNo=223905040736&amp;redirect=Dlog&amp;widgetTypeCall=true&amp;directAccess=false</t>
  </si>
  <si>
    <t>핑렐루야</t>
  </si>
  <si>
    <t>25.6.19 시장단상(시장&amp;정치)</t>
  </si>
  <si>
    <t>https://blog.naver.com/PostView.naver?blogId=asdalstjr99&amp;logNo=223905018957&amp;redirect=Dlog&amp;widgetTypeCall=true&amp;directAccess=false</t>
  </si>
  <si>
    <t>로또네</t>
  </si>
  <si>
    <t>주말루틴 #후암동 미술관을 거닐다가 주저앉아보던 드라마 #우리영화</t>
  </si>
  <si>
    <t>https://blog.naver.com/PostView.naver?blogId=zoo740915&amp;logNo=223904996080&amp;redirect=Dlog&amp;widgetTypeCall=true&amp;directAccess=false</t>
  </si>
  <si>
    <t>경제윗미 / Day 14 / 기준금리, 통화정책</t>
  </si>
  <si>
    <t>https://blog.naver.com/PostView.naver?blogId=dohagirl&amp;logNo=223904543122&amp;redirect=Dlog&amp;widgetTypeCall=true&amp;directAccess=false</t>
  </si>
  <si>
    <t>대경컨테이너</t>
  </si>
  <si>
    <t>9평 네이비 엠블럭 체류형쉼터, 방화문 포인트 실내 평상있는 방에서 힐링~ 농촌 농막</t>
  </si>
  <si>
    <t>https://blog.naver.com/PostView.naver?blogId=dkcontainer&amp;logNo=223904522169&amp;redirect=Dlog&amp;widgetTypeCall=true&amp;directAccess=false</t>
  </si>
  <si>
    <t>bz4 뉴스링크 - 1,716 (2025.06.19 목)</t>
  </si>
  <si>
    <t>https://blog.naver.com/PostView.naver?blogId=lettermate&amp;logNo=223903818609&amp;redirect=Dlog&amp;widgetTypeCall=true&amp;directAccess=false</t>
  </si>
  <si>
    <t>[태국 코로나19 재유행] 여름휴가 앞두고 긴장 “여보, 태국여행 취소할까”</t>
  </si>
  <si>
    <t>https://blog.naver.com/PostView.naver?blogId=goodlife_me&amp;logNo=223903690556&amp;redirect=Dlog&amp;widgetTypeCall=true&amp;directAccess=false</t>
  </si>
  <si>
    <t>석이짱</t>
  </si>
  <si>
    <t>20대 남성 3명 (해병대 포함), 식당 개에 비비총 난사.. 1마리 죽고 2마리 중상</t>
  </si>
  <si>
    <t>https://blog.naver.com/PostView.naver?blogId=make_money_&amp;logNo=223903362860&amp;redirect=Dlog&amp;widgetTypeCall=true&amp;directAccess=false</t>
  </si>
  <si>
    <t>부정선거 의혹' 결정적 제보하면 '10억 현상금', 전한길 폭탄선언,,,,, YTN 등 다수 매체 관련 내용 보도</t>
  </si>
  <si>
    <t>https://blog.naver.com/PostView.naver?blogId=bingoshim&amp;logNo=223903209404&amp;redirect=Dlog&amp;widgetTypeCall=true&amp;directAccess=false</t>
  </si>
  <si>
    <t>청담서민</t>
  </si>
  <si>
    <t>디즈니 수백명 해고 원인과 영향 총정리</t>
  </si>
  <si>
    <t>https://blog.naver.com/PostView.naver?blogId=global55kr&amp;logNo=223894753141&amp;redirect=Dlog&amp;widgetTypeCall=true&amp;directAccess=false</t>
  </si>
  <si>
    <t>생활 주요뉴스</t>
  </si>
  <si>
    <t>https://blog.naver.com/PostView.naver?blogId=c1c1b1b1&amp;logNo=223902918883&amp;redirect=Dlog&amp;widgetTypeCall=true&amp;directAccess=false</t>
  </si>
  <si>
    <t>https://blog.naver.com/PostView.naver?blogId=c1c1b1b1&amp;logNo=223902915551&amp;redirect=Dlog&amp;widgetTypeCall=true&amp;directAccess=false</t>
  </si>
  <si>
    <t>2025년 6월 17일, 이재명 대통령, 남아공 대통령과 정상회담. X 반응.</t>
  </si>
  <si>
    <t>https://blog.naver.com/PostView.naver?blogId=shinswoong75&amp;logNo=223902698268&amp;redirect=Dlog&amp;widgetTypeCall=true&amp;directAccess=false</t>
  </si>
  <si>
    <t>삼목건축사사무소</t>
  </si>
  <si>
    <t>[2016.10.07] 헤럴드경제 '고객 감동 브랜드대상' - 삼목건축사사무소</t>
  </si>
  <si>
    <t>https://blog.naver.com/PostView.naver?blogId=sammokarchi&amp;logNo=223902669329&amp;redirect=Dlog&amp;widgetTypeCall=true&amp;directAccess=false</t>
  </si>
  <si>
    <t>검찰, ‘김건희 공천개입’ 의혹 김진태 지사 조사</t>
  </si>
  <si>
    <t>https://blog.naver.com/PostView.naver?blogId=eremoval&amp;logNo=223902514532&amp;redirect=Dlog&amp;widgetTypeCall=true&amp;directAccess=false</t>
  </si>
  <si>
    <t>융나</t>
  </si>
  <si>
    <t>IBK기업은행, 근로자생활안정자금 신용대출</t>
  </si>
  <si>
    <t>https://blog.naver.com/PostView.naver?blogId=syjylove7&amp;logNo=223902398508&amp;redirect=Dlog&amp;widgetTypeCall=true&amp;directAccess=false</t>
  </si>
  <si>
    <t>대한전선, 英최대 해상풍력 전시회서 토탈 솔루션 전시</t>
  </si>
  <si>
    <t>https://blog.naver.com/PostView.naver?blogId=drchang59&amp;logNo=223902203836&amp;redirect=Dlog&amp;widgetTypeCall=true&amp;directAccess=false</t>
  </si>
  <si>
    <t>파주에서</t>
  </si>
  <si>
    <t>파주시, ‘2025 제13회 대한민국 미래경영대상’ 수상</t>
  </si>
  <si>
    <t>https://blog.naver.com/PostView.naver?blogId=atpaju&amp;logNo=223901814462&amp;redirect=Dlog&amp;widgetTypeCall=true&amp;directAccess=false</t>
  </si>
  <si>
    <t>로렌티쳐</t>
  </si>
  <si>
    <t>🏆 로렌스잉글리쉬트리ㅣ2025 제13회 대한민국 미래경영대상 수상!</t>
  </si>
  <si>
    <t>https://blog.naver.com/PostView.naver?blogId=rains2y&amp;logNo=223901676441&amp;redirect=Dlog&amp;widgetTypeCall=true&amp;directAccess=false</t>
  </si>
  <si>
    <t>25/6/16/counti report</t>
  </si>
  <si>
    <t>https://blog.naver.com/PostView.naver?blogId=gbho0914&amp;logNo=223901263982&amp;redirect=Dlog&amp;widgetTypeCall=true&amp;directAccess=false</t>
  </si>
  <si>
    <t>중동 전쟁 우려 속 비트코인 급락, 장기 투자 전략 주목</t>
  </si>
  <si>
    <t>https://blog.naver.com/PostView.naver?blogId=forever4forest&amp;logNo=223901095075&amp;redirect=Dlog&amp;widgetTypeCall=true&amp;directAccess=false</t>
  </si>
  <si>
    <t>[쿠콘뉴스] 6월 셋째 주 핀테크 최신 동향 정리</t>
  </si>
  <si>
    <t>https://blog.naver.com/PostView.naver?blogId=cooconportal&amp;logNo=223900672730&amp;redirect=Dlog&amp;widgetTypeCall=true&amp;directAccess=false</t>
  </si>
  <si>
    <t>블랙맘바</t>
  </si>
  <si>
    <t>25년 상반기 시리즈 결산</t>
  </si>
  <si>
    <t>https://blog.naver.com/PostView.naver?blogId=racestorys&amp;logNo=223900376400&amp;redirect=Dlog&amp;widgetTypeCall=true&amp;directAccess=false</t>
  </si>
  <si>
    <t>“[뉴스브리핑] 이스라엘의 이란 공습! 이 시점에서 타격한 이유는?” 의 영상 요약</t>
  </si>
  <si>
    <t>https://blog.naver.com/PostView.naver?blogId=lucidjun&amp;logNo=223900249624&amp;redirect=Dlog&amp;widgetTypeCall=true&amp;directAccess=false</t>
  </si>
  <si>
    <t>초코나무</t>
  </si>
  <si>
    <t>민생지원금 (내란회지원금) 25만원 언제 주나요?</t>
  </si>
  <si>
    <t>https://blog.naver.com/PostView.naver?blogId=goprt1004&amp;logNo=223899840838&amp;redirect=Dlog&amp;widgetTypeCall=true&amp;directAccess=false</t>
  </si>
  <si>
    <t>햇볕은춤</t>
  </si>
  <si>
    <t>低 PBR 지주사 종목(2025.05.09. 기준)</t>
  </si>
  <si>
    <t>https://blog.naver.com/PostView.naver?blogId=dallgu&amp;logNo=223899229568&amp;redirect=Dlog&amp;widgetTypeCall=true&amp;directAccess=false</t>
  </si>
  <si>
    <t>positiveart</t>
  </si>
  <si>
    <t>아무도 기다리지 않았다</t>
  </si>
  <si>
    <t>https://blog.naver.com/PostView.naver?blogId=puzzlesh3&amp;logNo=223899152149&amp;redirect=Dlog&amp;widgetTypeCall=true&amp;directAccess=false</t>
  </si>
  <si>
    <t>우공이산</t>
  </si>
  <si>
    <t>고배당을 앞세운 커버드콜 상장지수펀드(ETF)는 지난해부터 퇴직자와 은퇴 준비 계층은 물론 ‘제2의 월급’을 기대하는 소액 투자자들의 관심을 끌었다. 그러나 지난 4월 미국 증시가</t>
  </si>
  <si>
    <t>https://blog.naver.com/PostView.naver?blogId=somethinginmath&amp;logNo=223899148303&amp;redirect=Dlog&amp;widgetTypeCall=true&amp;directAccess=false</t>
  </si>
  <si>
    <t>[25.06.14] 한국 건설업, 정말 심각합니다</t>
  </si>
  <si>
    <t>https://blog.naver.com/PostView.naver?blogId=mikhail33&amp;logNo=223898931071&amp;redirect=Dlog&amp;widgetTypeCall=true&amp;directAccess=false</t>
  </si>
  <si>
    <t>[주말 비][남해안 물폭탄]주말 내내 전국에 비…오늘 밤부터 제주·남해안 '물폭탄' [세상&amp;]</t>
  </si>
  <si>
    <t>https://blog.naver.com/PostView.naver?blogId=eithty2&amp;logNo=223898440210&amp;redirect=Dlog&amp;widgetTypeCall=true&amp;directAccess=false</t>
  </si>
  <si>
    <t>프로그램매매엑셀</t>
  </si>
  <si>
    <t>2025년 06월 13일 오전뉴스</t>
  </si>
  <si>
    <t>https://blog.naver.com/PostView.naver?blogId=programmeme&amp;logNo=223897923622&amp;redirect=Dlog&amp;widgetTypeCall=true&amp;directAccess=false</t>
  </si>
  <si>
    <t>최근 #국내 개인 투자자들은 #미국 #중소형 #AI #소프트웨어 #기업 #이노데이터 에 대거 베팅하며 팔란티어를 대신할 차세대 AI 투자처</t>
  </si>
  <si>
    <t>https://blog.naver.com/PostView.naver?blogId=acamos&amp;logNo=223897897843&amp;redirect=Dlog&amp;widgetTypeCall=true&amp;directAccess=false</t>
  </si>
  <si>
    <t>credi in te</t>
  </si>
  <si>
    <t>[기업분석]달바글로벌_2025.3.분기보고서</t>
  </si>
  <si>
    <t>https://blog.naver.com/PostView.naver?blogId=hyeonhwa83&amp;logNo=223897883346&amp;redirect=Dlog&amp;widgetTypeCall=true&amp;directAccess=false</t>
  </si>
  <si>
    <t>이스라엘, 이란 공습…국제유가 6% 급등</t>
  </si>
  <si>
    <t>https://blog.naver.com/PostView.naver?blogId=brilliant_gh&amp;logNo=223897769862&amp;redirect=Dlog&amp;widgetTypeCall=true&amp;directAccess=false</t>
  </si>
  <si>
    <t>6월 13일 부동산 뉴스</t>
  </si>
  <si>
    <t>https://blog.naver.com/PostView.naver?blogId=cogusal11&amp;logNo=223897505963&amp;redirect=Dlog&amp;widgetTypeCall=true&amp;directAccess=false</t>
  </si>
  <si>
    <t>bhc 치킨 '자율가격제' 시행,,,</t>
  </si>
  <si>
    <t>https://blog.naver.com/PostView.naver?blogId=ok2014827&amp;logNo=223894701929&amp;redirect=Dlog&amp;widgetTypeCall=true&amp;directAccess=false</t>
  </si>
  <si>
    <t>남성 크로커다일</t>
  </si>
  <si>
    <t>경주시, K-MISO CITY 선포..."혁신적이고 스마트하며 개방적인 도시"</t>
  </si>
  <si>
    <t>https://blog.naver.com/PostView.naver?blogId=crocodileblog&amp;logNo=223896591948&amp;redirect=Dlog&amp;widgetTypeCall=true&amp;directAccess=false</t>
  </si>
  <si>
    <t>peoplestory</t>
  </si>
  <si>
    <t>한국지방행정연구원 ‘2025 헤럴드경제 대한민국 미래경영대상’ 국책연구기관 부문 수상</t>
  </si>
  <si>
    <t>https://blog.naver.com/PostView.naver?blogId=peoplestorynews&amp;logNo=223896569378&amp;redirect=Dlog&amp;widgetTypeCall=true&amp;directAccess=false</t>
  </si>
  <si>
    <t>(25.6.12.목) 한눈에 보는 부동산뉴스</t>
  </si>
  <si>
    <t>https://blog.naver.com/PostView.naver?blogId=anko-0&amp;logNo=223896534071&amp;redirect=Dlog&amp;widgetTypeCall=true&amp;directAccess=false</t>
  </si>
  <si>
    <t>[06/12] 신문 스크랩</t>
  </si>
  <si>
    <t>https://blog.naver.com/PostView.naver?blogId=chlthr1222&amp;logNo=223896440576&amp;redirect=Dlog&amp;widgetTypeCall=true&amp;directAccess=false</t>
  </si>
  <si>
    <t>texweb</t>
  </si>
  <si>
    <t>@@@ “이 좋은 걸 아무도 몰라” 李대통령 한탄…만 18세 ‘특별 생일 선물’로 국민연금 더 받는다는데 [예은이]</t>
  </si>
  <si>
    <t>https://blog.naver.com/PostView.naver?blogId=texweb&amp;logNo=223896023942&amp;redirect=Dlog&amp;widgetTypeCall=true&amp;directAccess=false</t>
  </si>
  <si>
    <t>#지민과정국 ,BTS</t>
  </si>
  <si>
    <t>https://blog.naver.com/PostView.naver?blogId=sonamuo0810&amp;logNo=223895362960&amp;redirect=Dlog&amp;widgetTypeCall=true&amp;directAccess=false</t>
  </si>
  <si>
    <t>서울 ‘국평’ 평균 분양가 17억…전국은 7.7억</t>
  </si>
  <si>
    <t>https://blog.naver.com/PostView.naver?blogId=clean127&amp;logNo=223895346993&amp;redirect=Dlog&amp;widgetTypeCall=true&amp;directAccess=false</t>
  </si>
  <si>
    <t>기린</t>
  </si>
  <si>
    <t>한국전력</t>
  </si>
  <si>
    <t>https://blog.naver.com/PostView.naver?blogId=kjs991209&amp;logNo=223895296316&amp;redirect=Dlog&amp;widgetTypeCall=true&amp;directAccess=false</t>
  </si>
  <si>
    <t>경제윗미 / Day 7 / 코리아 디스카운트 해소 기대</t>
  </si>
  <si>
    <t>https://blog.naver.com/PostView.naver?blogId=dohagirl&amp;logNo=223895166535&amp;redirect=Dlog&amp;widgetTypeCall=true&amp;directAccess=false</t>
  </si>
  <si>
    <t>[6월 경제스터디 7일차] 상법 개정 part.3 (장단점 분석)</t>
  </si>
  <si>
    <t>https://blog.naver.com/PostView.naver?blogId=lovemin2929&amp;logNo=223894620286&amp;redirect=Dlog&amp;widgetTypeCall=true&amp;directAccess=false</t>
  </si>
  <si>
    <t>[대구시 달서구][50대 여성 사망][40대 용의자 추적]50대女, 대구 집에서 흉기에 찔려 사망…용의자 추적중</t>
  </si>
  <si>
    <t>https://blog.naver.com/PostView.naver?blogId=eithty2&amp;logNo=223894329899&amp;redirect=Dlog&amp;widgetTypeCall=true&amp;directAccess=false</t>
  </si>
  <si>
    <t>2025년 외국인 관광객 19년 추월 호텔 업종 유망 국내 호텔 거래액 2.3조원 육박</t>
  </si>
  <si>
    <t>https://blog.naver.com/PostView.naver?blogId=esuccess&amp;logNo=223894282550&amp;redirect=Dlog&amp;widgetTypeCall=true&amp;directAccess=false</t>
  </si>
  <si>
    <t>freelwj22</t>
  </si>
  <si>
    <t>신당동떡볶이</t>
  </si>
  <si>
    <t>https://blog.naver.com/PostView.naver?blogId=freelwj22&amp;logNo=223893942120&amp;redirect=Dlog&amp;widgetTypeCall=true&amp;directAccess=false</t>
  </si>
  <si>
    <t>2025년 6월 9일, 이시바 일본 총리와 전화 통화. X 반응</t>
  </si>
  <si>
    <t>https://blog.naver.com/PostView.naver?blogId=shinswoong75&amp;logNo=223893713966&amp;redirect=Dlog&amp;widgetTypeCall=true&amp;directAccess=false</t>
  </si>
  <si>
    <t>[6월 경제스터디 6일차] 이재명정부 상법 개정 추진 part.2 상법개정안 내용</t>
  </si>
  <si>
    <t>https://blog.naver.com/PostView.naver?blogId=lovemin2929&amp;logNo=223893408230&amp;redirect=Dlog&amp;widgetTypeCall=true&amp;directAccess=false</t>
  </si>
  <si>
    <t>오박사</t>
  </si>
  <si>
    <t>본격 이재명노믹스의 시작</t>
  </si>
  <si>
    <t>https://blog.naver.com/PostView.naver?blogId=ojh919&amp;logNo=223893066632&amp;redirect=Dlog&amp;widgetTypeCall=true&amp;directAccess=false</t>
  </si>
  <si>
    <t>술취해 야구장 우산 펴고 전력질주 잠실 레인맨 벌금 20만원 염경엽도 헛웃음</t>
  </si>
  <si>
    <t>https://blog.naver.com/PostView.naver?blogId=psepeter&amp;logNo=223892967133&amp;redirect=Dlog&amp;widgetTypeCall=true&amp;directAccess=false</t>
  </si>
  <si>
    <t>“그 돈 주고 제주도? 차라리 여길 가지”…다들 그러더니 결국 ‘역대급 기록’/‘尹 파면 축하’ 전광판 건 치킨집…이번엔 ‘이재명 당선’ 축하</t>
  </si>
  <si>
    <t>https://blog.naver.com/PostView.naver?blogId=dudujw&amp;logNo=223892847019&amp;redirect=Dlog&amp;widgetTypeCall=true&amp;directAccess=false</t>
  </si>
  <si>
    <t>한국, 플라즈마 난류 억제로 핵융합 상용화 문 활짝</t>
  </si>
  <si>
    <t>https://blog.naver.com/PostView.naver?blogId=trizkee&amp;logNo=223892161454&amp;redirect=Dlog&amp;widgetTypeCall=true&amp;directAccess=false</t>
  </si>
  <si>
    <t>전학천</t>
  </si>
  <si>
    <t>[신문읽는남자]  작은 정책 ㅡ 얼굴이 명함</t>
  </si>
  <si>
    <t>https://blog.naver.com/PostView.naver?blogId=ydhb2m&amp;logNo=223892032351&amp;redirect=Dlog&amp;widgetTypeCall=true&amp;directAccess=false</t>
  </si>
  <si>
    <t>25.06.01 #K-ICS #130% #건전성지표 #기준금리</t>
  </si>
  <si>
    <t>https://blog.naver.com/PostView.naver?blogId=duwjdals1005&amp;logNo=223891727095&amp;redirect=Dlog&amp;widgetTypeCall=true&amp;directAccess=false</t>
  </si>
  <si>
    <t>이재명사랑해대통령</t>
  </si>
  <si>
    <t>[20250604] 취임 당일 이재명 대통령 한 일</t>
  </si>
  <si>
    <t>https://blog.naver.com/PostView.naver?blogId=woawoago&amp;logNo=223891576057&amp;redirect=Dlog&amp;widgetTypeCall=true&amp;directAccess=false</t>
  </si>
  <si>
    <t>피를 토하고 떠난 30대 청년…아무도 그의 죽음을 몰랐다</t>
  </si>
  <si>
    <t>https://blog.naver.com/PostView.naver?blogId=yfish66&amp;logNo=223891526649&amp;redirect=Dlog&amp;widgetTypeCall=true&amp;directAccess=false</t>
  </si>
  <si>
    <t>[06/07] 신문 스크랩</t>
  </si>
  <si>
    <t>https://blog.naver.com/PostView.naver?blogId=chlthr1222&amp;logNo=223891285969&amp;redirect=Dlog&amp;widgetTypeCall=true&amp;directAccess=false</t>
  </si>
  <si>
    <t>테무도 이제 끝인가?!</t>
  </si>
  <si>
    <t>https://blog.naver.com/PostView.naver?blogId=good-mylife&amp;logNo=223891236364&amp;redirect=Dlog&amp;widgetTypeCall=true&amp;directAccess=false</t>
  </si>
  <si>
    <t>1120. 출발부터 험난한 이재명정권. 우방인 미국과 불편한 관계 예상</t>
  </si>
  <si>
    <t>https://blog.naver.com/PostView.naver?blogId=seskman&amp;logNo=223890996984&amp;redirect=Dlog&amp;widgetTypeCall=true&amp;directAccess=false</t>
  </si>
  <si>
    <t>알렉시아</t>
  </si>
  <si>
    <t>&lt;일촌광음도 한가하지 않고 모두가 아우성인 경제전쟁시대에 국민과 국가의 미래는 전무하고 좌경용공 민주팔이의 무능,무책임한 실체 은페용 정략만 위해 무한반복되는 과거퇴행 내란공작,</t>
  </si>
  <si>
    <t>https://blog.naver.com/PostView.naver?blogId=yesktj&amp;logNo=223889841568&amp;redirect=Dlog&amp;widgetTypeCall=true&amp;directAccess=false</t>
  </si>
  <si>
    <t>[헤럴드경제] “1년 새 30억 올랐다” 압구정 신현대 61평 101억 신고가[부동산360]</t>
  </si>
  <si>
    <t>https://blog.naver.com/PostView.naver?blogId=bdmonth&amp;logNo=223889624455&amp;redirect=Dlog&amp;widgetTypeCall=true&amp;directAccess=false</t>
  </si>
  <si>
    <t>6월 전국 아파트 분양예정 단지 리스트 참고하세요.~</t>
  </si>
  <si>
    <t>https://blog.naver.com/PostView.naver?blogId=kkkmhyun&amp;logNo=223889524018&amp;redirect=Dlog&amp;widgetTypeCall=true&amp;directAccess=false</t>
  </si>
  <si>
    <t>미래에셋증권 : 대한민국 대표 종합금융투자회사</t>
  </si>
  <si>
    <t>https://blog.naver.com/PostView.naver?blogId=yellowpotato12&amp;logNo=223884929082&amp;redirect=Dlog&amp;widgetTypeCall=true&amp;directAccess=false</t>
  </si>
  <si>
    <t>케이휘슬</t>
  </si>
  <si>
    <t>“입찰 과정에서 금품수수” 대전 공무원 줄줄이 적발…19명 송치</t>
  </si>
  <si>
    <t>https://blog.naver.com/PostView.naver?blogId=kbeiadm&amp;logNo=223886091652&amp;redirect=Dlog&amp;widgetTypeCall=true&amp;directAccess=false</t>
  </si>
  <si>
    <t>꼬돌이</t>
  </si>
  <si>
    <t>렛츠런파크 부산경남 첫 방문 및 부산광역시장배(G2) 후기</t>
  </si>
  <si>
    <t>https://blog.naver.com/PostView.naver?blogId=tyrano0407&amp;logNo=223888909704&amp;redirect=Dlog&amp;widgetTypeCall=true&amp;directAccess=false</t>
  </si>
  <si>
    <t>암 원적외선 요양원</t>
  </si>
  <si>
    <t>반찬 정기배송, 내게 딱 맞는 키워드는? 고수의 블로그 전략 대공개!</t>
  </si>
  <si>
    <t>https://blog.naver.com/PostView.naver?blogId=lli0101&amp;logNo=223888673689&amp;redirect=Dlog&amp;widgetTypeCall=true&amp;directAccess=false</t>
  </si>
  <si>
    <t>탄곡</t>
  </si>
  <si>
    <t>천상의 화원 소백산 국립공원 연분홍 철쭉꽃 활짝</t>
  </si>
  <si>
    <t>https://blog.naver.com/PostView.naver?blogId=suk27sung27&amp;logNo=223888664850&amp;redirect=Dlog&amp;widgetTypeCall=true&amp;directAccess=false</t>
  </si>
  <si>
    <t>美백악관, ‘이재명 당선’ 첫 메시지에 ‘중국 영향력’이 왜 나와?[디브리핑]</t>
  </si>
  <si>
    <t>https://blog.naver.com/PostView.naver?blogId=etisot&amp;logNo=223888437222&amp;redirect=Dlog&amp;widgetTypeCall=true&amp;directAccess=false</t>
  </si>
  <si>
    <t>[포토뉴스]천상의 화원 소백산 국립공원 연분홍 철쭉꽃 활짝</t>
  </si>
  <si>
    <t>https://blog.naver.com/PostView.naver?blogId=chkh506&amp;logNo=223888343127&amp;redirect=Dlog&amp;widgetTypeCall=true&amp;directAccess=false</t>
  </si>
  <si>
    <t>DS</t>
  </si>
  <si>
    <t>이재명 대통령, 합참의장과 통화</t>
  </si>
  <si>
    <t>https://blog.naver.com/PostView.naver?blogId=creta22&amp;logNo=223888041287&amp;redirect=Dlog&amp;widgetTypeCall=true&amp;directAccess=false</t>
  </si>
  <si>
    <t>(25.6.4.수) 한눈에 보는 부동산뉴스</t>
  </si>
  <si>
    <t>https://blog.naver.com/PostView.naver?blogId=anko-0&amp;logNo=223887931014&amp;redirect=Dlog&amp;widgetTypeCall=true&amp;directAccess=false</t>
  </si>
  <si>
    <t>좀비개미</t>
  </si>
  <si>
    <t>이재명 테마주</t>
  </si>
  <si>
    <t>https://blog.naver.com/PostView.naver?blogId=zomant&amp;logNo=223887904098&amp;redirect=Dlog&amp;widgetTypeCall=true&amp;directAccess=false</t>
  </si>
  <si>
    <t>su</t>
  </si>
  <si>
    <t>“최대 9000조원 빠져나간다” 예금→스테이블코인 초대형 ‘머니무브’ 실현될까 [머니뭐니]</t>
  </si>
  <si>
    <t>https://blog.naver.com/PostView.naver?blogId=oiiiii542&amp;logNo=223887670891&amp;redirect=Dlog&amp;widgetTypeCall=true&amp;directAccess=false</t>
  </si>
  <si>
    <t>해피쏭의 놀멍쉬멍</t>
  </si>
  <si>
    <t>부동산 경매 입찰시 경매 입찰표 작성법</t>
  </si>
  <si>
    <t>https://blog.naver.com/PostView.naver?blogId=happy_song7919&amp;logNo=223887374527&amp;redirect=Dlog&amp;widgetTypeCall=true&amp;directAccess=false</t>
  </si>
  <si>
    <t>리버룸</t>
  </si>
  <si>
    <t>‘내 삶을 바꾸는 공간의 비밀’?...조성익 홍익대 건축학부 교수 특강</t>
  </si>
  <si>
    <t>https://blog.naver.com/PostView.naver?blogId=crete22&amp;logNo=223887003317&amp;redirect=Dlog&amp;widgetTypeCall=true&amp;directAccess=false</t>
  </si>
  <si>
    <t>기배</t>
  </si>
  <si>
    <t>애플 주가 20%하락[6월3일]</t>
  </si>
  <si>
    <t>https://blog.naver.com/PostView.naver?blogId=lkb54321&amp;logNo=223886925553&amp;redirect=Dlog&amp;widgetTypeCall=true&amp;directAccess=false</t>
  </si>
  <si>
    <t>2025.06.03 스포츠</t>
  </si>
  <si>
    <t>https://blog.naver.com/PostView.naver?blogId=kbs651027&amp;logNo=223886879532&amp;redirect=Dlog&amp;widgetTypeCall=true&amp;directAccess=false</t>
  </si>
  <si>
    <t>목사송호영에페수스 유적위해 다시 기도하다,추쿠리치Cukurici둔덕,고대 도시,아르테미스 신전Artemision과 중세 주거지가 남은 아야술루크Ayasuluk언덕,</t>
  </si>
  <si>
    <t>https://blog.naver.com/PostView.naver?blogId=differance-dolly&amp;logNo=223886806022&amp;redirect=Dlog&amp;widgetTypeCall=true&amp;directAccess=false</t>
  </si>
  <si>
    <t>늘건행</t>
  </si>
  <si>
    <t>임영웅 , 소아암·백혈병·희귀난치질환 환아 위한 누적 기부 1억원 돌파😍</t>
  </si>
  <si>
    <t>https://blog.naver.com/PostView.naver?blogId=kesara&amp;logNo=223886212136&amp;redirect=Dlog&amp;widgetTypeCall=true&amp;directAccess=false</t>
  </si>
  <si>
    <t>평범한경계선성격장애</t>
  </si>
  <si>
    <t>정열의 모 떼우기 한달_드디어 미쳤구만</t>
  </si>
  <si>
    <t>https://blog.naver.com/PostView.naver?blogId=ordinarybpdian_diary&amp;logNo=223886089993&amp;redirect=Dlog&amp;widgetTypeCall=true&amp;directAccess=false</t>
  </si>
  <si>
    <t>2025년 6월 2일 (월) 해럴드 경제 지면기사</t>
  </si>
  <si>
    <t>https://blog.naver.com/PostView.naver?blogId=theblock101&amp;logNo=223886078368&amp;redirect=Dlog&amp;widgetTypeCall=true&amp;directAccess=false</t>
  </si>
  <si>
    <t>[쿠콘뉴스] 6월 첫째 주 핀테크 최신 동향 정리</t>
  </si>
  <si>
    <t>https://blog.naver.com/PostView.naver?blogId=cooconportal&amp;logNo=223885775289&amp;redirect=Dlog&amp;widgetTypeCall=true&amp;directAccess=false</t>
  </si>
  <si>
    <t>권성동 “짐 로저스 지지선언? 기어이 국제망신 대형사고”</t>
  </si>
  <si>
    <t>https://blog.naver.com/PostView.naver?blogId=artdio1008&amp;logNo=223885774721&amp;redirect=Dlog&amp;widgetTypeCall=true&amp;directAccess=false</t>
  </si>
  <si>
    <t>하수구서 기어나온 女노숙자…대통령까지 나선 이 나라 ‘발칵’</t>
  </si>
  <si>
    <t>https://blog.naver.com/PostView.naver?blogId=pgy0804&amp;logNo=223884965812&amp;redirect=Dlog&amp;widgetTypeCall=true&amp;directAccess=false</t>
  </si>
  <si>
    <t>합법적 절세로 주목받는 부동산 ‘가족 간 저가 양도’시에 증여세와 양도소득세 정상거래 기준, 반드시 알아야 한다.!!!</t>
  </si>
  <si>
    <t>https://blog.naver.com/PostView.naver?blogId=kkkmhyun&amp;logNo=223884925513&amp;redirect=Dlog&amp;widgetTypeCall=true&amp;directAccess=false</t>
  </si>
  <si>
    <t>“"AI 중심은 대만" 선언한 엔비디아의 한국 패싱..'역 초격차' 현실화? (feat. 이승환 국회미래연구원) / 비디오머그 / 귀에빡종원” 의 영상 요약</t>
  </si>
  <si>
    <t>https://blog.naver.com/PostView.naver?blogId=lucidjun&amp;logNo=223884700167&amp;redirect=Dlog&amp;widgetTypeCall=true&amp;directAccess=false</t>
  </si>
  <si>
    <t>장문성원장</t>
  </si>
  <si>
    <t>2026 의대 모집인원 분석(2025, 2024 비교) - 정시비율, 학생부종합 비율 - 강원대 제외</t>
  </si>
  <si>
    <t>https://blog.naver.com/PostView.naver?blogId=haoori&amp;logNo=223884688371&amp;redirect=Dlog&amp;widgetTypeCall=true&amp;directAccess=false</t>
  </si>
  <si>
    <t>뉴스핌</t>
  </si>
  <si>
    <t>역량성장코치</t>
  </si>
  <si>
    <t>(보도자료) 지방정부 5급 역량평가 적용검토</t>
  </si>
  <si>
    <t>https://blog.naver.com/PostView.naver?blogId=ldw1289&amp;logNo=223916387442&amp;redirect=Dlog&amp;widgetTypeCall=true&amp;directAccess=false</t>
  </si>
  <si>
    <t>“美 SLR 규제 전격 완화, 유동성 폭발 시그널인가 – 섹터별 투자전략 수립, 시스템 리스크 증가에 유의하라.” 의 영상 요약</t>
  </si>
  <si>
    <t>https://blog.naver.com/PostView.naver?blogId=lucidjun&amp;logNo=223916170680&amp;redirect=Dlog&amp;widgetTypeCall=true&amp;directAccess=false</t>
  </si>
  <si>
    <t>“[지식뉴스] "전 세계 돈의 흐름이 이제 바껴요"...트럼프가 6개월 간 감춘 진짜 시나리오 (ft.오건영 단장) / 교양이를 부탁해 / 비디오머그” 의 영상 요약</t>
  </si>
  <si>
    <t>https://blog.naver.com/PostView.naver?blogId=lucidjun&amp;logNo=223916159808&amp;redirect=Dlog&amp;widgetTypeCall=true&amp;directAccess=false</t>
  </si>
  <si>
    <t>로렉스시계수리전문점</t>
  </si>
  <si>
    <t>#경기도 지체장애인 #장애 #장애인 #경기도 #참여 #동두천시 #동두천지체장애인지회 #축제 #운영 #체험 #다양한 #프로그램 #행사 #슐런게임 #함께 #뉴스핌 #사회복지</t>
  </si>
  <si>
    <t>https://blog.naver.com/PostView.naver?blogId=palao30&amp;logNo=223915885092&amp;redirect=Dlog&amp;widgetTypeCall=true&amp;directAccess=false</t>
  </si>
  <si>
    <t>“(1부) 대출의 비극 반드시 위기 옵니다 | 북언더스탠딩 | 부채로 만든 세상 | 자본시장연구원 신보성 연구위원” 의 영상 요약</t>
  </si>
  <si>
    <t>https://blog.naver.com/PostView.naver?blogId=lucidjun&amp;logNo=223915825154&amp;redirect=Dlog&amp;widgetTypeCall=true&amp;directAccess=false</t>
  </si>
  <si>
    <t>해병대 예비역 연대</t>
  </si>
  <si>
    <t>해병대 예비역과 함께한 박정훈 전 해병대 수사단장</t>
  </si>
  <si>
    <t>https://blog.naver.com/PostView.naver?blogId=rokmcrs&amp;logNo=223915009734&amp;redirect=Dlog&amp;widgetTypeCall=true&amp;directAccess=false</t>
  </si>
  <si>
    <t>올림픽 파크포레온 '줍줍'에 역대급 경쟁 예고..자격요건 강화 목소리도</t>
  </si>
  <si>
    <t>https://blog.naver.com/PostView.naver?blogId=foodie-monkey&amp;logNo=223914925354&amp;redirect=Dlog&amp;widgetTypeCall=true&amp;directAccess=false</t>
  </si>
  <si>
    <t>20250627 연중 최저의 미국 금리 &amp; 3년 최저의 달러 인덱스</t>
  </si>
  <si>
    <t>https://blog.naver.com/PostView.naver?blogId=lgs6674&amp;logNo=223913847011&amp;redirect=Dlog&amp;widgetTypeCall=true&amp;directAccess=false</t>
  </si>
  <si>
    <t>임미애</t>
  </si>
  <si>
    <t>더불어민주당 임미애 의원 '윤석열 파면 촉구' 단식 농성 합류</t>
  </si>
  <si>
    <t>https://blog.naver.com/PostView.naver?blogId=miae_326&amp;logNo=223912408424&amp;redirect=Dlog&amp;widgetTypeCall=true&amp;directAccess=false</t>
  </si>
  <si>
    <t>2025년 6월 26일(수)  21~28°C ⛅️(강수30%) 미세,초미세 보통🙂 🎼 Aaron Copland; Appalachian Spring Suite - https:/</t>
  </si>
  <si>
    <t>https://blog.naver.com/PostView.naver?blogId=jaeeunjung&amp;logNo=223911989479&amp;redirect=Dlog&amp;widgetTypeCall=true&amp;directAccess=false</t>
  </si>
  <si>
    <t>서울대공원 테마가든 24년 공모정원(25.6.26)</t>
  </si>
  <si>
    <t>https://blog.naver.com/PostView.naver?blogId=seol0077&amp;logNo=223910411866&amp;redirect=Dlog&amp;widgetTypeCall=true&amp;directAccess=false</t>
  </si>
  <si>
    <t>bz4 뉴스링크 - 1,721호 (2025.06.26 목)</t>
  </si>
  <si>
    <t>https://blog.naver.com/PostView.naver?blogId=lettermate&amp;logNo=223911550402&amp;redirect=Dlog&amp;widgetTypeCall=true&amp;directAccess=false</t>
  </si>
  <si>
    <t>벨라 라이언</t>
  </si>
  <si>
    <t>한국전력 목표주가 ?</t>
  </si>
  <si>
    <t>https://blog.naver.com/PostView.naver?blogId=poohnanda&amp;logNo=223911092136&amp;redirect=Dlog&amp;widgetTypeCall=true&amp;directAccess=false</t>
  </si>
  <si>
    <t>[방탄소년단] 방탄소년단, 美 RIAA 13번째 '플래티넘' 인증…"韓가수 최다 자체 경신" [공식] (마이데일리 기사전문) *BIGHIT MUSIC X &amp; 관련 기사 모음*</t>
  </si>
  <si>
    <t>https://blog.naver.com/PostView.naver?blogId=ysyangel59&amp;logNo=223910397428&amp;redirect=Dlog&amp;widgetTypeCall=true&amp;directAccess=false</t>
  </si>
  <si>
    <t>원택정</t>
  </si>
  <si>
    <t># 2025.06.24. (화). 경신스</t>
  </si>
  <si>
    <t>https://blog.naver.com/PostView.naver?blogId=wjdelxx&amp;logNo=223910125055&amp;redirect=Dlog&amp;widgetTypeCall=true&amp;directAccess=false</t>
  </si>
  <si>
    <t>해결사</t>
  </si>
  <si>
    <t>[시니어 마케팅] AI를 활용한 시니어 안심케어</t>
  </si>
  <si>
    <t>https://blog.naver.com/PostView.naver?blogId=msp3441&amp;logNo=223910008206&amp;redirect=Dlog&amp;widgetTypeCall=true&amp;directAccess=false</t>
  </si>
  <si>
    <t>대전 서구의회 '갈등 폭발'</t>
  </si>
  <si>
    <t>https://blog.naver.com/PostView.naver?blogId=koronaend&amp;logNo=223909648696&amp;redirect=Dlog&amp;widgetTypeCall=true&amp;directAccess=false</t>
  </si>
  <si>
    <t>“이란 전쟁은 투자자에게 어떤 매크로 환경을 의미하나?/ 앞으로는 장기물 대신 단기물을 매입하겠다는 연준?” 의 영상 요약</t>
  </si>
  <si>
    <t>https://blog.naver.com/PostView.naver?blogId=lucidjun&amp;logNo=223909526211&amp;redirect=Dlog&amp;widgetTypeCall=true&amp;directAccess=false</t>
  </si>
  <si>
    <t>“일본 정부도 인정한 ‘대재앙 시나리오’…7월 5일, 정말 시작될까? [이게웬날리지]” 의 영상 요약</t>
  </si>
  <si>
    <t>https://blog.naver.com/PostView.naver?blogId=lucidjun&amp;logNo=223908936590&amp;redirect=Dlog&amp;widgetTypeCall=true&amp;directAccess=false</t>
  </si>
  <si>
    <t># 2025.06.23.(월). 경신스.</t>
  </si>
  <si>
    <t>https://blog.naver.com/PostView.naver?blogId=wjdelxx&amp;logNo=223908921168&amp;redirect=Dlog&amp;widgetTypeCall=true&amp;directAccess=false</t>
  </si>
  <si>
    <t>"이란을 다시 위대하게"...트럼프, '정권교체' 가능성 첫 언급</t>
  </si>
  <si>
    <t>https://blog.naver.com/PostView.naver?blogId=andapim&amp;logNo=223908279730&amp;redirect=Dlog&amp;widgetTypeCall=true&amp;directAccess=false</t>
  </si>
  <si>
    <t>“[이슈] 'SK V프로젝트' 검·경 동시 수사 착수...악재 겹친 최태원·SK텔레콤/2025년 6월 21일(토)/KBS” 의 영상 요약</t>
  </si>
  <si>
    <t>https://blog.naver.com/PostView.naver?blogId=lucidjun&amp;logNo=223908259378&amp;redirect=Dlog&amp;widgetTypeCall=true&amp;directAccess=false</t>
  </si>
  <si>
    <t>[우리금융캐피탈 LPBA 챔피언십 2025, 결승전] 김가영, 차유람에 4-0 셧아웃승 → 8회 연속 우승에 통산 상금 7억원 돌파…최종 결과·결승 경기 결과표</t>
  </si>
  <si>
    <t>https://blog.naver.com/PostView.naver?blogId=sjjeon001&amp;logNo=223908104648&amp;redirect=Dlog&amp;widgetTypeCall=true&amp;directAccess=false</t>
  </si>
  <si>
    <t>미루키키</t>
  </si>
  <si>
    <t>2025 KBO리그, 벌써 600만 관중! 올해는 1200만까지?</t>
  </si>
  <si>
    <t>https://blog.naver.com/PostView.naver?blogId=mirus_&amp;logNo=223908031091&amp;redirect=Dlog&amp;widgetTypeCall=true&amp;directAccess=false</t>
  </si>
  <si>
    <t>망둥이</t>
  </si>
  <si>
    <t>('25.6.22 기사) 현대차그룹 정의선 회장 승계  관련 수혜_현대글로비스</t>
  </si>
  <si>
    <t>https://blog.naver.com/PostView.naver?blogId=intermang&amp;logNo=223907778386&amp;redirect=Dlog&amp;widgetTypeCall=true&amp;directAccess=false</t>
  </si>
  <si>
    <t>“중동 리스크, 미국주식 생존 전략 3가지 (ft. 테슬라 로보택시, 리얼티인컴)” 의 영상 요약</t>
  </si>
  <si>
    <t>https://blog.naver.com/PostView.naver?blogId=lucidjun&amp;logNo=223907080005&amp;redirect=Dlog&amp;widgetTypeCall=true&amp;directAccess=false</t>
  </si>
  <si>
    <t>🌐 2025.06.20. 글로벌 증시 요약</t>
  </si>
  <si>
    <t>https://blog.naver.com/PostView.naver?blogId=npl119&amp;logNo=223906570877&amp;redirect=Dlog&amp;widgetTypeCall=true&amp;directAccess=false</t>
  </si>
  <si>
    <t>도시계획기술사</t>
  </si>
  <si>
    <t>함양군, 국토의 계획 및 이용에 관한 법률 직원 교육</t>
  </si>
  <si>
    <t>https://blog.naver.com/PostView.naver?blogId=planshin&amp;logNo=223906403400&amp;redirect=Dlog&amp;widgetTypeCall=true&amp;directAccess=false</t>
  </si>
  <si>
    <t>가야로 시집간 인도 공주 허황후에서 이재명-모디 정상회담까지 ― 2천년 이어진 한-인도 스토리</t>
  </si>
  <si>
    <t>https://blog.naver.com/PostView.naver?blogId=solvunoq&amp;logNo=223905680368&amp;redirect=Dlog&amp;widgetTypeCall=true&amp;directAccess=false</t>
  </si>
  <si>
    <t>2025년 6월 20일, "12.3 비상계엄 내란 조은석 특검팀 특검보 확정"에 대한 X 반응</t>
  </si>
  <si>
    <t>https://blog.naver.com/PostView.naver?blogId=shinswoong75&amp;logNo=223906037780&amp;redirect=Dlog&amp;widgetTypeCall=true&amp;directAccess=false</t>
  </si>
  <si>
    <t>일요주간</t>
  </si>
  <si>
    <t>"서류만 보고 정화 완료?"…용산 '더 파크사이드' 토양오염 논란 확산</t>
  </si>
  <si>
    <t>https://blog.naver.com/PostView.naver?blogId=ilyoweekly&amp;logNo=223905549174&amp;redirect=Dlog&amp;widgetTypeCall=true&amp;directAccess=false</t>
  </si>
  <si>
    <t>2025년 6월 18일(수)  20~31°C ☀️ 미세,초미세 보통🙂</t>
  </si>
  <si>
    <t>https://blog.naver.com/PostView.naver?blogId=jaeeunjung&amp;logNo=223902996316&amp;redirect=Dlog&amp;widgetTypeCall=true&amp;directAccess=false</t>
  </si>
  <si>
    <t>6월17일 장전주요뉴스</t>
  </si>
  <si>
    <t>https://blog.naver.com/PostView.naver?blogId=lgrstock&amp;logNo=223901806703&amp;redirect=Dlog&amp;widgetTypeCall=true&amp;directAccess=false</t>
  </si>
  <si>
    <t>이스라엘의 이란 공격 시나리오: 다차원적 분석 및 한국에 미치는 영향</t>
  </si>
  <si>
    <t>https://blog.naver.com/PostView.naver?blogId=joy014&amp;logNo=223899777103&amp;redirect=Dlog&amp;widgetTypeCall=true&amp;directAccess=false</t>
  </si>
  <si>
    <t>🔴0615 일05 🟦국제 뉴스 🪐제목으로 간추린 아침 국제 뉴스</t>
  </si>
  <si>
    <t>https://blog.naver.com/PostView.naver?blogId=gusteam&amp;logNo=223899614516&amp;redirect=Dlog&amp;widgetTypeCall=true&amp;directAccess=false</t>
  </si>
  <si>
    <t>흥구석유(024060)</t>
  </si>
  <si>
    <t>https://blog.naver.com/PostView.naver?blogId=kang-pro1023&amp;logNo=223898190299&amp;redirect=Dlog&amp;widgetTypeCall=true&amp;directAccess=false</t>
  </si>
  <si>
    <t>안기자</t>
  </si>
  <si>
    <t>미디어리서치 마지막 대선 여론조사, 실제 결과와 비교해 신뢰도 · 정확도가 높은 이유?</t>
  </si>
  <si>
    <t>https://blog.naver.com/PostView.naver?blogId=agh0078&amp;logNo=223897949001&amp;redirect=Dlog&amp;widgetTypeCall=true&amp;directAccess=false</t>
  </si>
  <si>
    <t>아이닉</t>
  </si>
  <si>
    <t>[PR] 아이닉, 올케어 분유포트 iEK01…"육아 필수템"</t>
  </si>
  <si>
    <t>https://blog.naver.com/PostView.naver?blogId=inic_inc&amp;logNo=223897049279&amp;redirect=Dlog&amp;widgetTypeCall=true&amp;directAccess=false</t>
  </si>
  <si>
    <t>웰시코기</t>
  </si>
  <si>
    <t>25.06.12 기록할만한 내용들</t>
  </si>
  <si>
    <t>https://blog.naver.com/PostView.naver?blogId=welthy_corgi_&amp;logNo=223897030972&amp;redirect=Dlog&amp;widgetTypeCall=true&amp;directAccess=false</t>
  </si>
  <si>
    <t>극작가 소설가 김장운</t>
  </si>
  <si>
    <t>[뉴스핌 기사] 한국현대문화포럼, '김장운AI대학' 주요보직 인사. 한국·미국에 설립..."AI 인류발전에 기여 성과"</t>
  </si>
  <si>
    <t>https://blog.naver.com/PostView.naver?blogId=tldhsrlawkdd&amp;logNo=223896775651&amp;redirect=Dlog&amp;widgetTypeCall=true&amp;directAccess=false</t>
  </si>
  <si>
    <t>💜0612 목10 🟠연예 엔터 💟제목으로 간추린 아침 연예계 엔터테인먼트 뉴스</t>
  </si>
  <si>
    <t>https://blog.naver.com/PostView.naver?blogId=gusteam&amp;logNo=223896626614&amp;redirect=Dlog&amp;widgetTypeCall=true&amp;directAccess=false</t>
  </si>
  <si>
    <t>과천지역박사</t>
  </si>
  <si>
    <t>분양전환 절차와 과천지식정보타운 주요 현안</t>
  </si>
  <si>
    <t>https://blog.naver.com/PostView.naver?blogId=ngg6565&amp;logNo=223895785978&amp;redirect=Dlog&amp;widgetTypeCall=true&amp;directAccess=false</t>
  </si>
  <si>
    <t>美 '알래스카 훈련 참가' KF-16, 이륙 중 화재...조종사 2명 비상탈출</t>
  </si>
  <si>
    <t>https://blog.naver.com/PostView.naver?blogId=andapim&amp;logNo=223895522115&amp;redirect=Dlog&amp;widgetTypeCall=true&amp;directAccess=false</t>
  </si>
  <si>
    <t>한국항공우주 : 군용기 개발 및 생산, 민항기 기체 구조물 제작, 위성 및 우수 발사체 사업 등 다양한 포트폴리오를 운영하는 항공우주 및 방위산업체</t>
  </si>
  <si>
    <t>https://blog.naver.com/PostView.naver?blogId=yellowpotato12&amp;logNo=223884998132&amp;redirect=Dlog&amp;widgetTypeCall=true&amp;directAccess=false</t>
  </si>
  <si>
    <t>한국과학기술한림원</t>
  </si>
  <si>
    <t>Korea, Never Over:확정된 감소, 새로 만드는 미래1-①“한국은, 결코, 끝나지 않는다”다가올 대한민국: 인구감소시대의 설계도를 찾다</t>
  </si>
  <si>
    <t>https://blog.naver.com/PostView.naver?blogId=kast1994&amp;logNo=223894671720&amp;redirect=Dlog&amp;widgetTypeCall=true&amp;directAccess=false</t>
  </si>
  <si>
    <t>큰섬바위</t>
  </si>
  <si>
    <t>이재명이 한 말을 똑똑히 기억한다. 코로나 백신 부작용 피해자에 대한 보상을 절대 모른척 하지 않겠다고......</t>
  </si>
  <si>
    <t>https://blog.naver.com/PostView.naver?blogId=jjh4310&amp;logNo=223894316588&amp;redirect=Dlog&amp;widgetTypeCall=true&amp;directAccess=false</t>
  </si>
  <si>
    <t>2025년 06월 09일 국내시장 장후 시황분석</t>
  </si>
  <si>
    <t>https://blog.naver.com/PostView.naver?blogId=yellowpotato12&amp;logNo=223893929862&amp;redirect=Dlog&amp;widgetTypeCall=true&amp;directAccess=false</t>
  </si>
  <si>
    <t>은하수</t>
  </si>
  <si>
    <t>2주차-월 교육 뇌&amp;심,화재보험중에서.feat.기존화재보험점검)</t>
  </si>
  <si>
    <t>https://blog.naver.com/PostView.naver?blogId=eunha523&amp;logNo=223893862549&amp;redirect=Dlog&amp;widgetTypeCall=true&amp;directAccess=false</t>
  </si>
  <si>
    <t>“왜 6~7월에 조정이 온다고 하는 것인가? S&amp;P500 목표가 6200p.. 그러나 그 이후는 어렵다.” 의 영상 요약</t>
  </si>
  <si>
    <t>https://blog.naver.com/PostView.naver?blogId=lucidjun&amp;logNo=223892897519&amp;redirect=Dlog&amp;widgetTypeCall=true&amp;directAccess=false</t>
  </si>
  <si>
    <t>직업기술교육화정</t>
  </si>
  <si>
    <t>한국폴리텍Ⅶ대학 총동문회는 중국 천진에서 성공한 동문 기업을 방문</t>
  </si>
  <si>
    <t>https://blog.naver.com/PostView.naver?blogId=topeyenet&amp;logNo=223892564882&amp;redirect=Dlog&amp;widgetTypeCall=true&amp;directAccess=false</t>
  </si>
  <si>
    <t>"총리 후보자는 칭화대 출신" 중국서 쏟아지는 이재명 기대감</t>
  </si>
  <si>
    <t>https://blog.naver.com/PostView.naver?blogId=eremoval&amp;logNo=223889877510&amp;redirect=Dlog&amp;widgetTypeCall=true&amp;directAccess=false</t>
  </si>
  <si>
    <t>1149. 신종 전염병 소식2; 중국 윈난성 다리시(大理市)에서, 새벽 4시13분, 5일 규모 5.0 지진 발생;</t>
  </si>
  <si>
    <t>https://blog.naver.com/PostView.naver?blogId=chkwkim&amp;logNo=223889637250&amp;redirect=Dlog&amp;widgetTypeCall=true&amp;directAccess=false</t>
  </si>
  <si>
    <t>제이에스티나(026040)</t>
  </si>
  <si>
    <t>https://blog.naver.com/PostView.naver?blogId=kang-pro1023&amp;logNo=223889491357&amp;redirect=Dlog&amp;widgetTypeCall=true&amp;directAccess=false</t>
  </si>
  <si>
    <t>[PR] 아이닉, 롯데백화점 타임빌라스 수원에서 팝업스토어 운영</t>
  </si>
  <si>
    <t>https://blog.naver.com/PostView.naver?blogId=inic_inc&amp;logNo=223889481836&amp;redirect=Dlog&amp;widgetTypeCall=true&amp;directAccess=false</t>
  </si>
  <si>
    <t>2025년 6월 5일(목)  15~27°C 🌞 미세,초미세 좋음😁</t>
  </si>
  <si>
    <t>https://blog.naver.com/PostView.naver?blogId=jaeeunjung&amp;logNo=223889076683&amp;redirect=Dlog&amp;widgetTypeCall=true&amp;directAccess=false</t>
  </si>
  <si>
    <t>수호천남족그린</t>
  </si>
  <si>
    <t>이재명 대통령 5개 형사재판 향방은 "재판부 정치적 부담 커...중단될 것"</t>
  </si>
  <si>
    <t>https://blog.naver.com/PostView.naver?blogId=ksj2020v&amp;logNo=223888459989&amp;redirect=Dlog&amp;widgetTypeCall=true&amp;directAccess=false</t>
  </si>
  <si>
    <t>2025년 6월 4일, 이재명정부 첫 총리 김민석의원 지명. X반응</t>
  </si>
  <si>
    <t>https://blog.naver.com/PostView.naver?blogId=shinswoong75&amp;logNo=223888454897&amp;redirect=Dlog&amp;widgetTypeCall=true&amp;directAccess=false</t>
  </si>
  <si>
    <t>지엔코(065060)</t>
  </si>
  <si>
    <t>https://blog.naver.com/PostView.naver?blogId=kang-pro1023&amp;logNo=223888251599&amp;redirect=Dlog&amp;widgetTypeCall=true&amp;directAccess=false</t>
  </si>
  <si>
    <t>참나무</t>
  </si>
  <si>
    <t>21대 대선 지역별 판세</t>
  </si>
  <si>
    <t>https://blog.naver.com/PostView.naver?blogId=bgsy&amp;logNo=223888035693&amp;redirect=Dlog&amp;widgetTypeCall=true&amp;directAccess=false</t>
  </si>
  <si>
    <t>국내선물1팀</t>
  </si>
  <si>
    <t>모닝마켓(2025/06/04/수)</t>
  </si>
  <si>
    <t>https://blog.naver.com/PostView.naver?blogId=k72272&amp;logNo=223887902566&amp;redirect=Dlog&amp;widgetTypeCall=true&amp;directAccess=false</t>
  </si>
  <si>
    <t>계엄 옹호'입장문 외신에 전달한 외교부 부대변인 "조태열 외교부장관에게 사전 보고"</t>
  </si>
  <si>
    <t>https://blog.naver.com/PostView.naver?blogId=bnmjkl20&amp;logNo=223887412443&amp;redirect=Dlog&amp;widgetTypeCall=true&amp;directAccess=false</t>
  </si>
  <si>
    <t>“일본 장기채 급등이 보내는 위험 신호...주식시장이 위험하다 (변정규) | 인포맥스라이브 250602” 의 영상 요약</t>
  </si>
  <si>
    <t>https://blog.naver.com/PostView.naver?blogId=lucidjun&amp;logNo=223886889018&amp;redirect=Dlog&amp;widgetTypeCall=true&amp;directAccess=false</t>
  </si>
  <si>
    <t>6.2</t>
  </si>
  <si>
    <t>https://blog.naver.com/PostView.naver?blogId=arsjj&amp;logNo=223885653399&amp;redirect=Dlog&amp;widgetTypeCall=true&amp;directAccess=false</t>
  </si>
  <si>
    <t>한겨레</t>
  </si>
  <si>
    <t>Kambo21</t>
  </si>
  <si>
    <t>어원으로 본 프랑스 문화 샴페인에서 바게트, 빅토르 위고에서 사르트르....    (최연구 지음)</t>
  </si>
  <si>
    <t>https://blog.naver.com/PostView.naver?blogId=hyun3324&amp;logNo=223900231924&amp;redirect=Dlog&amp;widgetTypeCall=true&amp;directAccess=false</t>
  </si>
  <si>
    <t>정애</t>
  </si>
  <si>
    <t>fucking 취준</t>
  </si>
  <si>
    <t>https://blog.naver.com/PostView.naver?blogId=not_every_but_any&amp;logNo=223900201457&amp;redirect=Dlog&amp;widgetTypeCall=true&amp;directAccess=false</t>
  </si>
  <si>
    <t>혜온</t>
  </si>
  <si>
    <t>[책] 부드러운 거리, 정인하</t>
  </si>
  <si>
    <t>https://blog.naver.com/PostView.naver?blogId=shc5256&amp;logNo=223900194069&amp;redirect=Dlog&amp;widgetTypeCall=true&amp;directAccess=false</t>
  </si>
  <si>
    <t>도치</t>
  </si>
  <si>
    <t>李대통령, 첫 순방으로 G7 참석</t>
  </si>
  <si>
    <t>https://blog.naver.com/PostView.naver?blogId=josao&amp;logNo=223899988454&amp;redirect=Dlog&amp;widgetTypeCall=true&amp;directAccess=false</t>
  </si>
  <si>
    <t>은호</t>
  </si>
  <si>
    <t>2025 도서전 - 나만의 책갈피</t>
  </si>
  <si>
    <t>https://blog.naver.com/PostView.naver?blogId=franz_schubert&amp;logNo=223899982020&amp;redirect=Dlog&amp;widgetTypeCall=true&amp;directAccess=false</t>
  </si>
  <si>
    <t>piat_lux</t>
  </si>
  <si>
    <t>[2025년] 심윤경, '나의 아름다운 정원'</t>
  </si>
  <si>
    <t>https://blog.naver.com/PostView.naver?blogId=piat_lux&amp;logNo=223899962402&amp;redirect=Dlog&amp;widgetTypeCall=true&amp;directAccess=false</t>
  </si>
  <si>
    <t>학생</t>
  </si>
  <si>
    <t>한겨레 뉴스 [사설] 이재명 정부는 검찰개혁 반드시 해내야 한다</t>
  </si>
  <si>
    <t>https://blog.naver.com/PostView.naver?blogId=904junelee&amp;logNo=223899817362&amp;redirect=Dlog&amp;widgetTypeCall=true&amp;directAccess=false</t>
  </si>
  <si>
    <t>2025-06-14 사설 윤석열</t>
  </si>
  <si>
    <t>https://blog.naver.com/PostView.naver?blogId=inmuk&amp;logNo=223899812335&amp;redirect=Dlog&amp;widgetTypeCall=true&amp;directAccess=false</t>
  </si>
  <si>
    <t>이헤마음챙김 황윤정</t>
  </si>
  <si>
    <t>[평화운동] 6.6 적대를 멈추고, 이제 평화로!</t>
  </si>
  <si>
    <t>https://blog.naver.com/PostView.naver?blogId=fancy99979&amp;logNo=223899319333&amp;redirect=Dlog&amp;widgetTypeCall=true&amp;directAccess=false</t>
  </si>
  <si>
    <t>KIMBOSAL</t>
  </si>
  <si>
    <t>2025.05. 장강명, 5년 만에 신혼여행</t>
  </si>
  <si>
    <t>https://blog.naver.com/PostView.naver?blogId=kimbosal_everyme&amp;logNo=223899639137&amp;redirect=Dlog&amp;widgetTypeCall=true&amp;directAccess=false</t>
  </si>
  <si>
    <t>서울토박이</t>
  </si>
  <si>
    <t>남북평화는 북핵 제거 이후!!</t>
  </si>
  <si>
    <t>https://blog.naver.com/PostView.naver?blogId=echoxy&amp;logNo=223899563893&amp;redirect=Dlog&amp;widgetTypeCall=true&amp;directAccess=false</t>
  </si>
  <si>
    <t>그늘버섯꽃의 OSIO</t>
  </si>
  <si>
    <t>소쿠리선거 노정희 이재명 공직선거법 위반 무죄의견</t>
  </si>
  <si>
    <t>https://blog.naver.com/PostView.naver?blogId=xianu&amp;logNo=223899435107&amp;redirect=Dlog&amp;widgetTypeCall=true&amp;directAccess=false</t>
  </si>
  <si>
    <t>roadout</t>
  </si>
  <si>
    <t>야구가 뭐길래 / 김양희</t>
  </si>
  <si>
    <t>https://blog.naver.com/PostView.naver?blogId=roadout&amp;logNo=223899433953&amp;redirect=Dlog&amp;widgetTypeCall=true&amp;directAccess=false</t>
  </si>
  <si>
    <t>Anna</t>
  </si>
  <si>
    <t>신문 읽기</t>
  </si>
  <si>
    <t>https://blog.naver.com/PostView.naver?blogId=anna_xo&amp;logNo=223899319825&amp;redirect=Dlog&amp;widgetTypeCall=true&amp;directAccess=false</t>
  </si>
  <si>
    <t>대북전단 살포 논쟁  - "북한 주민을 돕겠다는 의도라면, 비난 대신 ‘배려’가 먼저"</t>
  </si>
  <si>
    <t>https://blog.naver.com/PostView.naver?blogId=sk_jaeking78&amp;logNo=223899285429&amp;redirect=Dlog&amp;widgetTypeCall=true&amp;directAccess=false</t>
  </si>
  <si>
    <t>채채</t>
  </si>
  <si>
    <t>나의 아름다운 정원 (한겨레문학상 수상작) by.심윤경</t>
  </si>
  <si>
    <t>https://blog.naver.com/PostView.naver?blogId=ch990130&amp;logNo=223899236936&amp;redirect=Dlog&amp;widgetTypeCall=true&amp;directAccess=false</t>
  </si>
  <si>
    <t>아프리카 이정화</t>
  </si>
  <si>
    <t>이야기로 만나는 아프리카_문학편 (5) 문학 담론, 국제 회의</t>
  </si>
  <si>
    <t>https://blog.naver.com/PostView.naver?blogId=jh2er&amp;logNo=223899204136&amp;redirect=Dlog&amp;widgetTypeCall=true&amp;directAccess=false</t>
  </si>
  <si>
    <t>글터지기</t>
  </si>
  <si>
    <t>나는 역사다 : 에르네스토 미란다(1941~1976), '미란다의 원칙'을 탄생시킨 범죄자</t>
  </si>
  <si>
    <t>https://blog.naver.com/PostView.naver?blogId=jdj0934&amp;logNo=223899200981&amp;redirect=Dlog&amp;widgetTypeCall=true&amp;directAccess=false</t>
  </si>
  <si>
    <t>우주속을걸어가</t>
  </si>
  <si>
    <t>지금 이 문장 한겨레 주말판에서</t>
  </si>
  <si>
    <t>https://blog.naver.com/PostView.naver?blogId=louise353ahn&amp;logNo=223899195420&amp;redirect=Dlog&amp;widgetTypeCall=true&amp;directAccess=false</t>
  </si>
  <si>
    <t>콘테</t>
  </si>
  <si>
    <t>중동의 화약고: 이스라엘-이란 갈등과 석유 지정학의 새로운 국면</t>
  </si>
  <si>
    <t>https://blog.naver.com/PostView.naver?blogId=avamusic7&amp;logNo=223899079015&amp;redirect=Dlog&amp;widgetTypeCall=true&amp;directAccess=false</t>
  </si>
  <si>
    <t>협동조합청과 공공은행, 마을기금 시대를 열자!</t>
  </si>
  <si>
    <t>https://blog.naver.com/PostView.naver?blogId=jang0355&amp;logNo=223898955375&amp;redirect=Dlog&amp;widgetTypeCall=true&amp;directAccess=false</t>
  </si>
  <si>
    <t>한겨레뉴스 [사설] 대북 확성기 방송 중단, 남북한 소통 확대 첫걸음 되길</t>
  </si>
  <si>
    <t>https://blog.naver.com/PostView.naver?blogId=904junelee&amp;logNo=223898936942&amp;redirect=Dlog&amp;widgetTypeCall=true&amp;directAccess=false</t>
  </si>
  <si>
    <t>Progressive Press</t>
  </si>
  <si>
    <t>방구석 수재(2024-9-26)</t>
  </si>
  <si>
    <t>https://blog.naver.com/PostView.naver?blogId=pressbisang2024&amp;logNo=223898930061&amp;redirect=Dlog&amp;widgetTypeCall=true&amp;directAccess=false</t>
  </si>
  <si>
    <t>오물 풍선(2024-9-25)</t>
  </si>
  <si>
    <t>https://blog.naver.com/PostView.naver?blogId=pressbisang2024&amp;logNo=223898921702&amp;redirect=Dlog&amp;widgetTypeCall=true&amp;directAccess=false</t>
  </si>
  <si>
    <t>남독형독서가</t>
  </si>
  <si>
    <t>본 헌터 - 고경태 &lt;어느 인류학자의 한국 전쟁 유골 추적기&gt;</t>
  </si>
  <si>
    <t>https://blog.naver.com/PostView.naver?blogId=bin0507v&amp;logNo=223898806735&amp;redirect=Dlog&amp;widgetTypeCall=true&amp;directAccess=false</t>
  </si>
  <si>
    <t>[한겨레 칼럼] 이재명 대통령의 역사적 책무, ‘유능한 민주정부’ [아침햇발]</t>
  </si>
  <si>
    <t>https://blog.naver.com/PostView.naver?blogId=kklist21&amp;logNo=223898757049&amp;redirect=Dlog&amp;widgetTypeCall=true&amp;directAccess=false</t>
  </si>
  <si>
    <t>[한겨레 사설] ‘코스피 5000 시대’, 주주 보호·기업 경쟁력 강화 양 바퀴로</t>
  </si>
  <si>
    <t>https://blog.naver.com/PostView.naver?blogId=kklist21&amp;logNo=223898754385&amp;redirect=Dlog&amp;widgetTypeCall=true&amp;directAccess=false</t>
  </si>
  <si>
    <t>[한겨레 사설] 이재명 정부는 검찰개혁 반드시 해내야 한다</t>
  </si>
  <si>
    <t>https://blog.naver.com/PostView.naver?blogId=kklist21&amp;logNo=223898752711&amp;redirect=Dlog&amp;widgetTypeCall=true&amp;directAccess=false</t>
  </si>
  <si>
    <t>[한겨레 사설] 대북 확성기 방송 중단, 남북한 소통 확대 첫걸음 되길</t>
  </si>
  <si>
    <t>https://blog.naver.com/PostView.naver?blogId=kklist21&amp;logNo=223898750555&amp;redirect=Dlog&amp;widgetTypeCall=true&amp;directAccess=false</t>
  </si>
  <si>
    <t>[한겨레 사설] 김병기 민주당 새 원내대표, 민생 회복·정치 복원이 급선무</t>
  </si>
  <si>
    <t>https://blog.naver.com/PostView.naver?blogId=kklist21&amp;logNo=223898749092&amp;redirect=Dlog&amp;widgetTypeCall=true&amp;directAccess=false</t>
  </si>
  <si>
    <t>[한겨레 사설] 이스라엘-이란 전면 대결, 미국 리더십 더 이상 믿을 수 있나</t>
  </si>
  <si>
    <t>https://blog.naver.com/PostView.naver?blogId=kklist21&amp;logNo=223898747296&amp;redirect=Dlog&amp;widgetTypeCall=true&amp;directAccess=false</t>
  </si>
  <si>
    <t>김준우</t>
  </si>
  <si>
    <t>포털 중심 인터넷 뉴스 환경에서 가짜 뉴스 문제를 해결하기 위한 법적 대책이 필요하다.</t>
  </si>
  <si>
    <t>https://blog.naver.com/PostView.naver?blogId=lacrimosa777&amp;logNo=223898537337&amp;redirect=Dlog&amp;widgetTypeCall=true&amp;directAccess=false</t>
  </si>
  <si>
    <t>뉴스썰TV ~ 알리미 황희두님의 오늘자 이재명, 윤석열 소식. 잘한다 이재명! 잼며든 국힘 의원과 보수 패널! 부드러운 이재명 리더십!</t>
  </si>
  <si>
    <t>https://blog.naver.com/PostView.naver?blogId=wishut3281&amp;logNo=223898513512&amp;redirect=Dlog&amp;widgetTypeCall=true&amp;directAccess=false</t>
  </si>
  <si>
    <t>MBCNEWS ~ 스픽스님의 오늘자 윤석열, 이재명 소식. 경찰 더 이상 못참아 긴급체포 검토" 윤석열 전 대통령 반팔, 반바지..아크로비스타 상가 활개치고 다녀</t>
  </si>
  <si>
    <t>https://blog.naver.com/PostView.naver?blogId=wishut3281&amp;logNo=223898498770&amp;redirect=Dlog&amp;widgetTypeCall=true&amp;directAccess=false</t>
  </si>
  <si>
    <t>검찰. 세 특검에 검찰청사 내줘라</t>
  </si>
  <si>
    <t>https://blog.naver.com/PostView.naver?blogId=chkimhee&amp;logNo=223898468488&amp;redirect=Dlog&amp;widgetTypeCall=true&amp;directAccess=false</t>
  </si>
  <si>
    <t>내란 특검 조은석, 감사원 '타이거 사단'과 맞짱 뜬 강골</t>
  </si>
  <si>
    <t>https://blog.naver.com/PostView.naver?blogId=poongkyung1205&amp;logNo=223898352842&amp;redirect=Dlog&amp;widgetTypeCall=true&amp;directAccess=false</t>
  </si>
  <si>
    <t>academic-haan</t>
  </si>
  <si>
    <t>성우제. 외씨버선걸.</t>
  </si>
  <si>
    <t>https://blog.naver.com/PostView.naver?blogId=academic-haan&amp;logNo=223898290924&amp;redirect=Dlog&amp;widgetTypeCall=true&amp;directAccess=false</t>
  </si>
  <si>
    <t>hearim</t>
  </si>
  <si>
    <t>언론도 좀 학습해라</t>
  </si>
  <si>
    <t>https://blog.naver.com/PostView.naver?blogId=hearim0&amp;logNo=223898290101&amp;redirect=Dlog&amp;widgetTypeCall=true&amp;directAccess=false</t>
  </si>
  <si>
    <t>저절로</t>
  </si>
  <si>
    <t>https://blog.naver.com/PostView.naver?blogId=ghenghen08&amp;logNo=223898278696&amp;redirect=Dlog&amp;widgetTypeCall=true&amp;directAccess=false</t>
  </si>
  <si>
    <t>큰바위얼굴</t>
  </si>
  <si>
    <t>20250613 세계일보, 조선일보, 한겨레신문 사설 요약 및 분석</t>
  </si>
  <si>
    <t>https://blog.naver.com/PostView.naver?blogId=junlee915&amp;logNo=223898138449&amp;redirect=Dlog&amp;widgetTypeCall=true&amp;directAccess=false</t>
  </si>
  <si>
    <t>혜삐니스</t>
  </si>
  <si>
    <t>한겨레출판편집학교 98기 2주차</t>
  </si>
  <si>
    <t>https://blog.naver.com/PostView.naver?blogId=hyebbikkong&amp;logNo=223898050279&amp;redirect=Dlog&amp;widgetTypeCall=true&amp;directAccess=false</t>
  </si>
  <si>
    <t>“불붙는 화약고 속 이스라엘의 선제공격! 핵 협상 갈등 속 중동의 미래는? f. 서강대학교 유로메나연구소 성일광 교수 [인뎁스60]” 의 영상 요약</t>
  </si>
  <si>
    <t>https://blog.naver.com/PostView.naver?blogId=lucidjun&amp;logNo=223898010352&amp;redirect=Dlog&amp;widgetTypeCall=true&amp;directAccess=false</t>
  </si>
  <si>
    <t>사인</t>
  </si>
  <si>
    <t>2025년 6월 13일( 금)</t>
  </si>
  <si>
    <t>https://blog.naver.com/PostView.naver?blogId=sudaga&amp;logNo=223898003312&amp;redirect=Dlog&amp;widgetTypeCall=true&amp;directAccess=false</t>
  </si>
  <si>
    <t>10년 만에 A와 B 자산격차가 3배가 된 이유</t>
  </si>
  <si>
    <t>https://blog.naver.com/PostView.naver?blogId=hegel38&amp;logNo=223897976723&amp;redirect=Dlog&amp;widgetTypeCall=true&amp;directAccess=false</t>
  </si>
  <si>
    <t>지금 패닉바잉마저 나오는 이유(ft. 집값)</t>
  </si>
  <si>
    <t>https://blog.naver.com/PostView.naver?blogId=hegel38&amp;logNo=223897964893&amp;redirect=Dlog&amp;widgetTypeCall=true&amp;directAccess=false</t>
  </si>
  <si>
    <t>🎭 브로드웨이를 감동시킨 한국 창작 뮤지컬《Maybe Happy Ending》</t>
  </si>
  <si>
    <t>https://blog.naver.com/PostView.naver?blogId=jesusher&amp;logNo=223897878990&amp;redirect=Dlog&amp;widgetTypeCall=true&amp;directAccess=false</t>
  </si>
  <si>
    <t>에어 인디아 AI171 아마다바드 추락 사고와 제주항공 2216편 무안공항 로컬라이저 충돌 사고의 비교 분석</t>
  </si>
  <si>
    <t>https://blog.naver.com/PostView.naver?blogId=newyorkmanhattan&amp;logNo=223897850045&amp;redirect=Dlog&amp;widgetTypeCall=true&amp;directAccess=false</t>
  </si>
  <si>
    <t>검찰개혁, 명분보다 설계가 먼저다</t>
  </si>
  <si>
    <t>https://blog.naver.com/PostView.naver?blogId=sisa_namu_journal&amp;logNo=223897790846&amp;redirect=Dlog&amp;widgetTypeCall=true&amp;directAccess=false</t>
  </si>
  <si>
    <t>바틀비</t>
  </si>
  <si>
    <t>술꾼들의 모국어(권여선, 2024)</t>
  </si>
  <si>
    <t>https://blog.naver.com/PostView.naver?blogId=meitiandushu&amp;logNo=223897524551&amp;redirect=Dlog&amp;widgetTypeCall=true&amp;directAccess=false</t>
  </si>
  <si>
    <t>2025년 6월 12일, 대통령실 대변인이 이재명 대통령, '이태원 참사현장' 방문 관련 발표. X 반응.</t>
  </si>
  <si>
    <t>https://blog.naver.com/PostView.naver?blogId=shinswoong75&amp;logNo=223897438680&amp;redirect=Dlog&amp;widgetTypeCall=true&amp;directAccess=false</t>
  </si>
  <si>
    <t>한겨레 출판편집학교 98기 1주차</t>
  </si>
  <si>
    <t>https://blog.naver.com/PostView.naver?blogId=hyebbikkong&amp;logNo=223897418783&amp;redirect=Dlog&amp;widgetTypeCall=true&amp;directAccess=false</t>
  </si>
  <si>
    <t>문서제출명령에 대한 항고결과가 나올 때까지 걸린 시간이 1년 2개월.</t>
  </si>
  <si>
    <t>https://blog.naver.com/PostView.naver?blogId=wongoklaw&amp;logNo=223897403220&amp;redirect=Dlog&amp;widgetTypeCall=true&amp;directAccess=false</t>
  </si>
  <si>
    <t>외로운수집가</t>
  </si>
  <si>
    <t>아직도 심판은 끝나지 않았다</t>
  </si>
  <si>
    <t>https://blog.naver.com/PostView.naver?blogId=lonelycollector&amp;logNo=223897369707&amp;redirect=Dlog&amp;widgetTypeCall=true&amp;directAccess=false</t>
  </si>
  <si>
    <t>simula</t>
  </si>
  <si>
    <t>북파 공작원 흑금성 이야기</t>
  </si>
  <si>
    <t>https://blog.naver.com/PostView.naver?blogId=simula&amp;logNo=223897269083&amp;redirect=Dlog&amp;widgetTypeCall=true&amp;directAccess=false</t>
  </si>
  <si>
    <t>레벨업레벨업</t>
  </si>
  <si>
    <t>25년 6월 12일자 기사</t>
  </si>
  <si>
    <t>https://blog.naver.com/PostView.naver?blogId=chltmdth&amp;logNo=223897210927&amp;redirect=Dlog&amp;widgetTypeCall=true&amp;directAccess=false</t>
  </si>
  <si>
    <t>수처작주</t>
  </si>
  <si>
    <t>[출퇴근길_자주통일뉴스] 2025년 6월 12일</t>
  </si>
  <si>
    <t>https://blog.naver.com/PostView.naver?blogId=epnews_one&amp;logNo=223897069640&amp;redirect=Dlog&amp;widgetTypeCall=true&amp;directAccess=false</t>
  </si>
  <si>
    <t>부산교육연구소</t>
  </si>
  <si>
    <t>무지</t>
  </si>
  <si>
    <t>종이신문 읽는 이유와 구독 중인 &lt;조선일보&gt;, &lt;중앙일보&gt; 비교</t>
  </si>
  <si>
    <t>https://blog.naver.com/PostView.naver?blogId=maemuki-&amp;logNo=223896886004&amp;redirect=Dlog&amp;widgetTypeCall=true&amp;directAccess=false</t>
  </si>
  <si>
    <t>BTS완전체 활동일은 언제? 군징집 회피 않고 차례로 복무한 사례 한국 대중문화사에 길이 남는 본보기 될 것, 도쿄관련 모자논란은 직접 해명하는게 바람직</t>
  </si>
  <si>
    <t>https://blog.naver.com/PostView.naver?blogId=differance-dolly&amp;logNo=223896752139&amp;redirect=Dlog&amp;widgetTypeCall=true&amp;directAccess=false</t>
  </si>
  <si>
    <t>[이제서야 말한다. “조은석 검사였다”] 김의겸</t>
  </si>
  <si>
    <t>https://blog.naver.com/PostView.naver?blogId=kimdaisuke&amp;logNo=223896732586&amp;redirect=Dlog&amp;widgetTypeCall=true&amp;directAccess=false</t>
  </si>
  <si>
    <t>첨성선비</t>
  </si>
  <si>
    <t>뉴욕타임스 읽기: 칼럼니스트들 이야기 (1)</t>
  </si>
  <si>
    <t>https://blog.naver.com/PostView.naver?blogId=shichul&amp;logNo=223896693117&amp;redirect=Dlog&amp;widgetTypeCall=true&amp;directAccess=false</t>
  </si>
  <si>
    <t>김병기 의원 아들 국정원 채용 논란: 최근 이슈와 쟁점</t>
  </si>
  <si>
    <t>https://blog.naver.com/PostView.naver?blogId=creta22&amp;logNo=223896674853&amp;redirect=Dlog&amp;widgetTypeCall=true&amp;directAccess=false</t>
  </si>
  <si>
    <t>송재봉의 상상마루</t>
  </si>
  <si>
    <t>북한이탈주민단체, 민주당 이재명 후보 지지선언</t>
  </si>
  <si>
    <t>https://blog.naver.com/PostView.naver?blogId=jbs0151&amp;logNo=223896624847&amp;redirect=Dlog&amp;widgetTypeCall=true&amp;directAccess=false</t>
  </si>
  <si>
    <t>국내외 경제 동향 및 주요 뉴스('25.06.12)_"아파트 평균 분양가" 59㎡ 전국 4.8억·경기 5.8억·서울 12.3억, 84㎡ 전국 6.6억·경기 8.3억·서울 16.2억</t>
  </si>
  <si>
    <t>https://blog.naver.com/PostView.naver?blogId=pbs6609&amp;logNo=223896621443&amp;redirect=Dlog&amp;widgetTypeCall=true&amp;directAccess=false</t>
  </si>
  <si>
    <t>정권이 바뀔 때마다 제도권(?) 역사학자들의 근심이 크다. 황정수</t>
  </si>
  <si>
    <t>https://blog.naver.com/PostView.naver?blogId=kimdaisuke&amp;logNo=223896613195&amp;redirect=Dlog&amp;widgetTypeCall=true&amp;directAccess=false</t>
  </si>
  <si>
    <t>공직자 도덕성, 결단 없이는 되찾을 수 없다</t>
  </si>
  <si>
    <t>https://blog.naver.com/PostView.naver?blogId=sisa_namu_journal&amp;logNo=223896608145&amp;redirect=Dlog&amp;widgetTypeCall=true&amp;directAccess=false</t>
  </si>
  <si>
    <t>바르고 정확한 뉴스</t>
  </si>
  <si>
    <t>좋은 교사는 없고 좋은 직장만 있다?...전북교사노조, 정성호 학회장에 공개 사과 요구</t>
  </si>
  <si>
    <t>https://blog.naver.com/PostView.naver?blogId=theedu3000&amp;logNo=223896587926&amp;redirect=Dlog&amp;widgetTypeCall=true&amp;directAccess=false</t>
  </si>
  <si>
    <t>인디고Jay</t>
  </si>
  <si>
    <t>[데일리 이재명] 2025.6.12(목) 이대통령 경제 행보, 대북확성기 방송 중단, 코스피 ‘허니문 랠리’ 2900 돌파, 검찰청 없앤다, PC 파기 정진석 조사 착수</t>
  </si>
  <si>
    <t>https://blog.naver.com/PostView.naver?blogId=cooljay7&amp;logNo=223896291931&amp;redirect=Dlog&amp;widgetTypeCall=true&amp;directAccess=false</t>
  </si>
  <si>
    <t>아우르연구소</t>
  </si>
  <si>
    <t>언제나 권력 오만은 재발 가능하다</t>
  </si>
  <si>
    <t>https://blog.naver.com/PostView.naver?blogId=aourin&amp;logNo=223896517092&amp;redirect=Dlog&amp;widgetTypeCall=true&amp;directAccess=false</t>
  </si>
  <si>
    <t>지산</t>
  </si>
  <si>
    <t>[가평여행] 문화관광해설사의 자라섬 감상</t>
  </si>
  <si>
    <t>https://blog.naver.com/PostView.naver?blogId=siempre001&amp;logNo=223896515109&amp;redirect=Dlog&amp;widgetTypeCall=true&amp;directAccess=false</t>
  </si>
  <si>
    <t>hug sooni</t>
  </si>
  <si>
    <t>겸손한 달</t>
  </si>
  <si>
    <t>https://blog.naver.com/PostView.naver?blogId=pluspark01&amp;logNo=223896494243&amp;redirect=Dlog&amp;widgetTypeCall=true&amp;directAccess=false</t>
  </si>
  <si>
    <t>"재테크 하는 사람 주목! 앞으로 바뀔 정책| 크랩" 영상 요약</t>
  </si>
  <si>
    <t>https://blog.naver.com/PostView.naver?blogId=lucidjun&amp;logNo=223896492533&amp;redirect=Dlog&amp;widgetTypeCall=true&amp;directAccess=false</t>
  </si>
  <si>
    <t>스트레스 DSR 규제 완화될 지도 모른다</t>
  </si>
  <si>
    <t>https://blog.naver.com/PostView.naver?blogId=hegel38&amp;logNo=223896461498&amp;redirect=Dlog&amp;widgetTypeCall=true&amp;directAccess=false</t>
  </si>
  <si>
    <t>새마을운동: 박정희의 공과 과, 잊혀진 유산에서 개발협력 모델로</t>
  </si>
  <si>
    <t>https://blog.naver.com/PostView.naver?blogId=police1965&amp;logNo=223896449467&amp;redirect=Dlog&amp;widgetTypeCall=true&amp;directAccess=false</t>
  </si>
  <si>
    <t>https://blog.naver.com/PostView.naver?blogId=anna_xo&amp;logNo=223896388595&amp;redirect=Dlog&amp;widgetTypeCall=true&amp;directAccess=false</t>
  </si>
  <si>
    <t>2025년 6월 11일, 국민의힘 의원총회 돌연 취소. X 반응.</t>
  </si>
  <si>
    <t>https://blog.naver.com/PostView.naver?blogId=shinswoong75&amp;logNo=223896244910&amp;redirect=Dlog&amp;widgetTypeCall=true&amp;directAccess=false</t>
  </si>
  <si>
    <t>2025년 6월 11일, '검찰청 폐지' 꺼낸 민주당 "검찰개혁 3개월 내 처리" X 반응.</t>
  </si>
  <si>
    <t>https://blog.naver.com/PostView.naver?blogId=shinswoong75&amp;logNo=223896215157&amp;redirect=Dlog&amp;widgetTypeCall=true&amp;directAccess=false</t>
  </si>
  <si>
    <t>2025년 6월 11일, 내일 제주 장마 시작. X 반응</t>
  </si>
  <si>
    <t>https://blog.naver.com/PostView.naver?blogId=shinswoong75&amp;logNo=223896207217&amp;redirect=Dlog&amp;widgetTypeCall=true&amp;directAccess=false</t>
  </si>
  <si>
    <t>2025년 6월 11일, 대통령실 대변인의 이재명 대통령의 대북 확성기 방송 중지 지시는 국민 안전과 한반도 평화 중심에 두고 신중하게 검토하고 조치에 대한 브리핑. X반응.</t>
  </si>
  <si>
    <t>https://blog.naver.com/PostView.naver?blogId=shinswoong75&amp;logNo=223896179526&amp;redirect=Dlog&amp;widgetTypeCall=true&amp;directAccess=false</t>
  </si>
  <si>
    <t>2025년 6월 11일, 대통령실 대변인 이 대통령, 체코 총리 한국 방문해 주길 기대 브리핑. X 반응.</t>
  </si>
  <si>
    <t>https://blog.naver.com/PostView.naver?blogId=shinswoong75&amp;logNo=223896142518&amp;redirect=Dlog&amp;widgetTypeCall=true&amp;directAccess=false</t>
  </si>
  <si>
    <t>250611</t>
  </si>
  <si>
    <t>https://blog.naver.com/PostView.naver?blogId=techtips&amp;logNo=223896141773&amp;redirect=Dlog&amp;widgetTypeCall=true&amp;directAccess=false</t>
  </si>
  <si>
    <t>2025년 6월 11일, 대통령실 대변인 양 정상, 한반도 정세 등 국제 정세 관련해 의견 교환 브리핑. X 반응.</t>
  </si>
  <si>
    <t>https://blog.naver.com/PostView.naver?blogId=shinswoong75&amp;logNo=223896135894&amp;redirect=Dlog&amp;widgetTypeCall=true&amp;directAccess=false</t>
  </si>
  <si>
    <t>2025년 6월 11일, 대통령실 대변인 양 정상, 원전 넘어 에너지 등 다양한 분야 긴밀히 협력하기로 브리핑. X 반응.</t>
  </si>
  <si>
    <t>https://blog.naver.com/PostView.naver?blogId=shinswoong75&amp;logNo=223896133181&amp;redirect=Dlog&amp;widgetTypeCall=true&amp;directAccess=false</t>
  </si>
  <si>
    <t>2025년 6월 11일, 대통령실 대변인 법무부 장관, 보건복지부 장관, 검찰 총장 순으로 추천 많아 브리핑. X 반응</t>
  </si>
  <si>
    <t>https://blog.naver.com/PostView.naver?blogId=shinswoong75&amp;logNo=223896115348&amp;redirect=Dlog&amp;widgetTypeCall=true&amp;directAccess=false</t>
  </si>
  <si>
    <t>2025년 6월 11일, 대통령실 대변인 국민추천제 접수 현황 브리핑. X 반응.</t>
  </si>
  <si>
    <t>https://blog.naver.com/PostView.naver?blogId=shinswoong75&amp;logNo=223896106209&amp;redirect=Dlog&amp;widgetTypeCall=true&amp;directAccess=false</t>
  </si>
  <si>
    <t>2025년 6월 11일, 대통령실 대변인 이재명 대통령, 한국거래소 방문 브리핑. X 반응.</t>
  </si>
  <si>
    <t>https://blog.naver.com/PostView.naver?blogId=shinswoong75&amp;logNo=223896073297&amp;redirect=Dlog&amp;widgetTypeCall=true&amp;directAccess=false</t>
  </si>
  <si>
    <t>우 주 먼 지</t>
  </si>
  <si>
    <t>『어린 개가 왔다』 정이현 산문 |  한겨레출판(2025)</t>
  </si>
  <si>
    <t>https://blog.naver.com/PostView.naver?blogId=bookuniverse&amp;logNo=223896000604&amp;redirect=Dlog&amp;widgetTypeCall=true&amp;directAccess=false</t>
  </si>
  <si>
    <t>&lt;국민주권 나라의 주인이 누구인지 망각하고 무능,무책임한 좌경용공 민주팔이에 넋나간 나라..기사무관&gt;청와대 시민 관람 8월1일부터 중단…복귀 비용 259억 배정</t>
  </si>
  <si>
    <t>https://blog.naver.com/PostView.naver?blogId=yesktj&amp;logNo=223895580699&amp;redirect=Dlog&amp;widgetTypeCall=true&amp;directAccess=false</t>
  </si>
  <si>
    <t>엄동</t>
  </si>
  <si>
    <t>내 의지력은 보잘 것 없고 단지 상황 때문에 뛴 것은 아닐까?</t>
  </si>
  <si>
    <t>https://blog.naver.com/PostView.naver?blogId=harshwinter&amp;logNo=223895512608&amp;redirect=Dlog&amp;widgetTypeCall=true&amp;directAccess=false</t>
  </si>
  <si>
    <t>역사적 맥락과 현재적 징후</t>
  </si>
  <si>
    <t>https://blog.naver.com/PostView.naver?blogId=poohnanda&amp;logNo=223895482899&amp;redirect=Dlog&amp;widgetTypeCall=true&amp;directAccess=false</t>
  </si>
  <si>
    <t>2025년 6월 10일, 공수처, 대통령기록관 압수수색. X 반응.</t>
  </si>
  <si>
    <t>https://blog.naver.com/PostView.naver?blogId=shinswoong75&amp;logNo=223895173240&amp;redirect=Dlog&amp;widgetTypeCall=true&amp;directAccess=false</t>
  </si>
  <si>
    <t>2025년 6월 10일, 대통령실 대변인 헌정 질서 회복 원하는 국민 의견 부응 조치 브리핑. X 반응.</t>
  </si>
  <si>
    <t>https://blog.naver.com/PostView.naver?blogId=shinswoong75&amp;logNo=223894973365&amp;redirect=Dlog&amp;widgetTypeCall=true&amp;directAccess=false</t>
  </si>
  <si>
    <t>2025년 6월 10일, 대통령실 대변인 순직해병 140일 · 나머지 최장 170일 수사 가능 브리핑. X 반응</t>
  </si>
  <si>
    <t>https://blog.naver.com/PostView.naver?blogId=shinswoong75&amp;logNo=223894967222&amp;redirect=Dlog&amp;widgetTypeCall=true&amp;directAccess=false</t>
  </si>
  <si>
    <t>kejmuse3</t>
  </si>
  <si>
    <t>271. &lt;단어의 집&gt; by 안희연</t>
  </si>
  <si>
    <t>https://blog.naver.com/PostView.naver?blogId=kejmuse3&amp;logNo=223894964573&amp;redirect=Dlog&amp;widgetTypeCall=true&amp;directAccess=false</t>
  </si>
  <si>
    <t>2025년 6월 10일, 대통령실 대변인 제25회 국무회의에서 3개 특검법 및 법률공포안 4건, 대통령령안 3건, 일반안건 1건 심의·의결. X 반응.</t>
  </si>
  <si>
    <t>https://blog.naver.com/PostView.naver?blogId=shinswoong75&amp;logNo=223894960092&amp;redirect=Dlog&amp;widgetTypeCall=true&amp;directAccess=false</t>
  </si>
  <si>
    <t>Hannah Yoon</t>
  </si>
  <si>
    <t>2025년 6월 10일, 대통령실 대변인 청와대 복귀 브리핑. X 반응.</t>
  </si>
  <si>
    <t>https://blog.naver.com/PostView.naver?blogId=shinswoong75&amp;logNo=223894950986&amp;redirect=Dlog&amp;widgetTypeCall=true&amp;directAccess=false</t>
  </si>
  <si>
    <t>2025년 6월 10일, 대통령실 대변인 정부부처 차관 인사 발표. X 반응</t>
  </si>
  <si>
    <t>https://blog.naver.com/PostView.naver?blogId=shinswoong75&amp;logNo=223894947410&amp;redirect=Dlog&amp;widgetTypeCall=true&amp;directAccess=false</t>
  </si>
  <si>
    <t>2025년 6월 10일, 대통령실 대변인 이재명 대통령, 시진핑 주석과 약 30분간 첫 통화. X 반응</t>
  </si>
  <si>
    <t>https://blog.naver.com/PostView.naver?blogId=shinswoong75&amp;logNo=223894943657&amp;redirect=Dlog&amp;widgetTypeCall=true&amp;directAccess=false</t>
  </si>
  <si>
    <t>2025년 6월 10일, 대통령실 대변인 이재명 대통령, 국정기획자문위 설치·운영 규정 개정안 재가. X 반응</t>
  </si>
  <si>
    <t>https://blog.naver.com/PostView.naver?blogId=shinswoong75&amp;logNo=223894940474&amp;redirect=Dlog&amp;widgetTypeCall=true&amp;directAccess=false</t>
  </si>
  <si>
    <t>2025년 6월 10일, 이재명 대통령 제25회 국무회의 주재 X 반응</t>
  </si>
  <si>
    <t>https://blog.naver.com/PostView.naver?blogId=shinswoong75&amp;logNo=223894929316&amp;redirect=Dlog&amp;widgetTypeCall=true&amp;directAccess=false</t>
  </si>
  <si>
    <t>EdenHesed</t>
  </si>
  <si>
    <t>여름 위시리스트</t>
  </si>
  <si>
    <t>https://blog.naver.com/PostView.naver?blogId=eden_hesed&amp;logNo=223894821508&amp;redirect=Dlog&amp;widgetTypeCall=true&amp;directAccess=false</t>
  </si>
  <si>
    <t>[한겨레]  6·10 기념일에 “아~” 안도의 한숨 내뱉은 까닭은(25.06.10)</t>
  </si>
  <si>
    <t>https://blog.naver.com/PostView.naver?blogId=m2hwaseo&amp;logNo=223894778896&amp;redirect=Dlog&amp;widgetTypeCall=true&amp;directAccess=false</t>
  </si>
  <si>
    <t>toothless2008</t>
  </si>
  <si>
    <t>책 '내 문장이 그렇게 이상한가요?' 소개</t>
  </si>
  <si>
    <t>https://blog.naver.com/PostView.naver?blogId=toothless2008&amp;logNo=223894680341&amp;redirect=Dlog&amp;widgetTypeCall=true&amp;directAccess=false</t>
  </si>
  <si>
    <t>다시마군</t>
  </si>
  <si>
    <t>14장. 수확</t>
  </si>
  <si>
    <t>https://blog.naver.com/PostView.naver?blogId=darcyma14&amp;logNo=223894657463&amp;redirect=Dlog&amp;widgetTypeCall=true&amp;directAccess=false</t>
  </si>
  <si>
    <t>새 정권이 들어서고 세상이 격렬하게 꿈틀이고 있다. 출근하다가 갑자기 "민주화는 한판의 승부가 아닙니다"라는 명 헤드라인이 떠올랐다.  김동규</t>
  </si>
  <si>
    <t>https://blog.naver.com/PostView.naver?blogId=kimdaisuke&amp;logNo=223894612208&amp;redirect=Dlog&amp;widgetTypeCall=true&amp;directAccess=false</t>
  </si>
  <si>
    <t>“윤석열 원래 낙천적 ‘무죄 100% 확신’ - 한겨레 기사분석</t>
  </si>
  <si>
    <t>https://blog.naver.com/PostView.naver?blogId=lectio_traversee&amp;logNo=223894603743&amp;redirect=Dlog&amp;widgetTypeCall=true&amp;directAccess=false</t>
  </si>
  <si>
    <t>[오늘 뉴스] 위험 작업에도 ‘2인 1조’ 어겨, 지켜지지 않은 김용균법(한겨레신문)</t>
  </si>
  <si>
    <t>https://blog.naver.com/PostView.naver?blogId=beommo5820&amp;logNo=223894530966&amp;redirect=Dlog&amp;widgetTypeCall=true&amp;directAccess=false</t>
  </si>
  <si>
    <t>[속보] 이 대통령, ‘내란 연루 의혹’ 조태용 국정원장 사표 수리</t>
  </si>
  <si>
    <t>https://blog.naver.com/PostView.naver?blogId=eremoval&amp;logNo=223894520570&amp;redirect=Dlog&amp;widgetTypeCall=true&amp;directAccess=false</t>
  </si>
  <si>
    <t>Trouble Shooter</t>
  </si>
  <si>
    <t>‘건강 문해력’</t>
  </si>
  <si>
    <t>https://blog.naver.com/PostView.naver?blogId=reo0163&amp;logNo=223894500144&amp;redirect=Dlog&amp;widgetTypeCall=true&amp;directAccess=false</t>
  </si>
  <si>
    <t>안나</t>
  </si>
  <si>
    <t>씨네21 No.1507</t>
  </si>
  <si>
    <t>https://blog.naver.com/PostView.naver?blogId=direee&amp;logNo=223894280833&amp;redirect=Dlog&amp;widgetTypeCall=true&amp;directAccess=false</t>
  </si>
  <si>
    <t>little moments diary</t>
  </si>
  <si>
    <t>신문일기 10일차 (한겨레신문, 2025.06.10)</t>
  </si>
  <si>
    <t>https://blog.naver.com/PostView.naver?blogId=little_moments_diary&amp;logNo=223894421530&amp;redirect=Dlog&amp;widgetTypeCall=true&amp;directAccess=false</t>
  </si>
  <si>
    <t>세상보기</t>
  </si>
  <si>
    <t>책 리뷰] 나는 왜 쓰는가</t>
  </si>
  <si>
    <t>https://blog.naver.com/PostView.naver?blogId=eemeelee&amp;logNo=223894392450&amp;redirect=Dlog&amp;widgetTypeCall=true&amp;directAccess=false</t>
  </si>
  <si>
    <t>빈빈</t>
  </si>
  <si>
    <t>생각의 좌표_홍세화</t>
  </si>
  <si>
    <t>https://blog.naver.com/PostView.naver?blogId=ybinbin&amp;logNo=223894285011&amp;redirect=Dlog&amp;widgetTypeCall=true&amp;directAccess=false</t>
  </si>
  <si>
    <t>[공유] 부산시 감사위원회, 대심도 붕괴사고 늑장 보고자 경징계</t>
  </si>
  <si>
    <t>https://blog.naver.com/PostView.naver?blogId=imax62&amp;logNo=223894267255&amp;redirect=Dlog&amp;widgetTypeCall=true&amp;directAccess=false</t>
  </si>
  <si>
    <t>20250610 세계일보, 조선일보, 한겨레신문 사설 요약 및 분석</t>
  </si>
  <si>
    <t>https://blog.naver.com/PostView.naver?blogId=junlee915&amp;logNo=223894258474&amp;redirect=Dlog&amp;widgetTypeCall=true&amp;directAccess=false</t>
  </si>
  <si>
    <t>[한겨레] 특정 보험사의 농업재해보험 독점, 공공성 흔들어</t>
  </si>
  <si>
    <t>https://blog.naver.com/PostView.naver?blogId=tomorrow2998&amp;logNo=223894252723&amp;redirect=Dlog&amp;widgetTypeCall=true&amp;directAccess=false</t>
  </si>
  <si>
    <t>[한겨레] 직장 내 성희롱 피해자 10명 중 7명 “참고 넘어갔다”</t>
  </si>
  <si>
    <t>https://blog.naver.com/PostView.naver?blogId=tomorrow2998&amp;logNo=223894251077&amp;redirect=Dlog&amp;widgetTypeCall=true&amp;directAccess=false</t>
  </si>
  <si>
    <t>강북인터넷뉴스</t>
  </si>
  <si>
    <t>뉴스민 “내란 이후, 우리는 어떤 민주공화정을 만들 것인가?” 기획강좌 개최</t>
  </si>
  <si>
    <t>https://blog.naver.com/PostView.naver?blogId=kbinews&amp;logNo=223894250421&amp;redirect=Dlog&amp;widgetTypeCall=true&amp;directAccess=false</t>
  </si>
  <si>
    <t>[한겨레] 이 대통령, 라면값 ‘콕’ 집어 관리 지시…추경 앞 물가 ‘고삐 죄기’</t>
  </si>
  <si>
    <t>https://blog.naver.com/PostView.naver?blogId=tomorrow2998&amp;logNo=223894248421&amp;redirect=Dlog&amp;widgetTypeCall=true&amp;directAccess=false</t>
  </si>
  <si>
    <t>문리버</t>
  </si>
  <si>
    <t>6/10</t>
  </si>
  <si>
    <t>https://blog.naver.com/PostView.naver?blogId=moonriver_ecomy&amp;logNo=223894179318&amp;redirect=Dlog&amp;widgetTypeCall=true&amp;directAccess=false</t>
  </si>
  <si>
    <t>25.6.10(화)</t>
  </si>
  <si>
    <t>https://blog.naver.com/PostView.naver?blogId=sjj300_kf&amp;logNo=223894117647&amp;redirect=Dlog&amp;widgetTypeCall=true&amp;directAccess=false</t>
  </si>
  <si>
    <t>슬리치</t>
  </si>
  <si>
    <t>[상한가,천만주]이재명 정부 출범 후 4거래일 연속 상승</t>
  </si>
  <si>
    <t>https://blog.naver.com/PostView.naver?blogId=jjinjjin9800&amp;logNo=223894115874&amp;redirect=Dlog&amp;widgetTypeCall=true&amp;directAccess=false</t>
  </si>
  <si>
    <t>iamrunnericano</t>
  </si>
  <si>
    <t>성수동 클래식 해례커피</t>
  </si>
  <si>
    <t>https://blog.naver.com/PostView.naver?blogId=iamrunnericano&amp;logNo=223894013130&amp;redirect=Dlog&amp;widgetTypeCall=true&amp;directAccess=false</t>
  </si>
  <si>
    <t>이니그마</t>
  </si>
  <si>
    <t>열린공감TV, 현장취재! 충격! 김충식 비밀창고 발견...이낙연, 남평오...줄줄이 나오는 이름들</t>
  </si>
  <si>
    <t>https://blog.naver.com/PostView.naver?blogId=croaton6219&amp;logNo=223893973705&amp;redirect=Dlog&amp;widgetTypeCall=true&amp;directAccess=false</t>
  </si>
  <si>
    <t>jangsu Seo</t>
  </si>
  <si>
    <t>[뉴스민 기획강좌] TK리부트 : 광장의 미래 </t>
  </si>
  <si>
    <t>https://blog.naver.com/PostView.naver?blogId=redmark71&amp;logNo=223893945593&amp;redirect=Dlog&amp;widgetTypeCall=true&amp;directAccess=false</t>
  </si>
  <si>
    <t>그녀</t>
  </si>
  <si>
    <t>한강&lt;빛과 실&gt;, 삼청공원 숲속도서관 &amp; 북촌 여기저기</t>
  </si>
  <si>
    <t>https://blog.naver.com/PostView.naver?blogId=rea0701&amp;logNo=223893906434&amp;redirect=Dlog&amp;widgetTypeCall=true&amp;directAccess=false</t>
  </si>
  <si>
    <t>안선생님</t>
  </si>
  <si>
    <t>2025년 6월 9일 상한가,등락률,거래량 특징주 - 스테이블 코인</t>
  </si>
  <si>
    <t>https://blog.naver.com/PostView.naver?blogId=mr___ann&amp;logNo=223893883016&amp;redirect=Dlog&amp;widgetTypeCall=true&amp;directAccess=false</t>
  </si>
  <si>
    <t>2025년 6월 9일, 국민의힘, 5시간 의총에도 차기 지도체제 결론 못 내. X 반응</t>
  </si>
  <si>
    <t>https://blog.naver.com/PostView.naver?blogId=shinswoong75&amp;logNo=223893779406&amp;redirect=Dlog&amp;widgetTypeCall=true&amp;directAccess=false</t>
  </si>
  <si>
    <t>2025년 6월 9일, 홍준표, '추경호 의혹' 관건이라며 국힘 해산 경고에 대한 반응</t>
  </si>
  <si>
    <t>https://blog.naver.com/PostView.naver?blogId=shinswoong75&amp;logNo=223893728486&amp;redirect=Dlog&amp;widgetTypeCall=true&amp;directAccess=false</t>
  </si>
  <si>
    <t>탁지우</t>
  </si>
  <si>
    <t>단 한 사람 (최진영 / 한겨레출판) / 후기와 개인적 해석</t>
  </si>
  <si>
    <t>https://blog.naver.com/PostView.naver?blogId=takjiwoo061&amp;logNo=223893720201&amp;redirect=Dlog&amp;widgetTypeCall=true&amp;directAccess=false</t>
  </si>
  <si>
    <t>2025년 6월 9일, 대통령실 대변인 "경호처 직무대행 체제로 전환" X 반응.</t>
  </si>
  <si>
    <t>https://blog.naver.com/PostView.naver?blogId=shinswoong75&amp;logNo=223893703106&amp;redirect=Dlog&amp;widgetTypeCall=true&amp;directAccess=false</t>
  </si>
  <si>
    <t>산일</t>
  </si>
  <si>
    <t>꼰대 열전</t>
  </si>
  <si>
    <t>https://blog.naver.com/PostView.naver?blogId=nextdoorqueer&amp;logNo=223893460907&amp;redirect=Dlog&amp;widgetTypeCall=true&amp;directAccess=false</t>
  </si>
  <si>
    <t>온둥이네 집</t>
  </si>
  <si>
    <t>[시흥] 또또가는집! 커피맛과 디저트 모두 다 만족스러운 시흥 은계지구 갬성맛집 감성카페 _해례커피앤도브리베이커리</t>
  </si>
  <si>
    <t>https://blog.naver.com/PostView.naver?blogId=youngs-mama&amp;logNo=223893372612&amp;redirect=Dlog&amp;widgetTypeCall=true&amp;directAccess=false</t>
  </si>
  <si>
    <t>아이는</t>
  </si>
  <si>
    <t>시사용어 | 산실(?) 뜻</t>
  </si>
  <si>
    <t>https://blog.naver.com/PostView.naver?blogId=mj_soki&amp;logNo=223893338511&amp;redirect=Dlog&amp;widgetTypeCall=true&amp;directAccess=false</t>
  </si>
  <si>
    <t>에서</t>
  </si>
  <si>
    <t>&lt;장관의 자격: 유홍준&gt; 왜 호치민이 목민심서를 탐독했다고 거짓말했나? 호치민박물관 관장 역사왜곡 항의</t>
  </si>
  <si>
    <t>https://blog.naver.com/PostView.naver?blogId=egeyouri&amp;logNo=223893304103&amp;redirect=Dlog&amp;widgetTypeCall=true&amp;directAccess=false</t>
  </si>
  <si>
    <t>홍준표,  국민의힘 해산 불가피</t>
  </si>
  <si>
    <t>https://blog.naver.com/PostView.naver?blogId=mrsanahi&amp;logNo=223893273885&amp;redirect=Dlog&amp;widgetTypeCall=true&amp;directAccess=false</t>
  </si>
  <si>
    <t>공부하는 파이어족</t>
  </si>
  <si>
    <t>[책읽기]정아은 &lt;모던하트&gt;, “책을 읽고 작가가 궁금해졌으나, 그녀는 이 세상에 없다”</t>
  </si>
  <si>
    <t>https://blog.naver.com/PostView.naver?blogId=groomgorilla&amp;logNo=223893236764&amp;redirect=Dlog&amp;widgetTypeCall=true&amp;directAccess=false</t>
  </si>
  <si>
    <t>첼레스티노</t>
  </si>
  <si>
    <t>재명이!! 드디어 성공</t>
  </si>
  <si>
    <t>https://blog.naver.com/PostView.naver?blogId=celestino519&amp;logNo=223893208457&amp;redirect=Dlog&amp;widgetTypeCall=true&amp;directAccess=false</t>
  </si>
  <si>
    <t>신문일기 9일차 (한겨레신문, 2025.06.09)</t>
  </si>
  <si>
    <t>https://blog.naver.com/PostView.naver?blogId=little_moments_diary&amp;logNo=223893163590&amp;redirect=Dlog&amp;widgetTypeCall=true&amp;directAccess=false</t>
  </si>
  <si>
    <t>신문일기 6일차 (한겨레신문, 2025.06.04)</t>
  </si>
  <si>
    <t>https://blog.naver.com/PostView.naver?blogId=little_moments_diary&amp;logNo=223893106519&amp;redirect=Dlog&amp;widgetTypeCall=true&amp;directAccess=false</t>
  </si>
  <si>
    <t>20250609 세계일보, 조선일보, 한겨레신문 사설 요약 및 분석</t>
  </si>
  <si>
    <t>https://blog.naver.com/PostView.naver?blogId=junlee915&amp;logNo=223892962766&amp;redirect=Dlog&amp;widgetTypeCall=true&amp;directAccess=false</t>
  </si>
  <si>
    <t>피터 린치</t>
  </si>
  <si>
    <t>어제 내 블로그에 달린 어떤 댓글 ㄷㄷ</t>
  </si>
  <si>
    <t>https://blog.naver.com/PostView.naver?blogId=travis88&amp;logNo=223892653645&amp;redirect=Dlog&amp;widgetTypeCall=true&amp;directAccess=false</t>
  </si>
  <si>
    <t>“한국 경제 조용히 무너진다. 요즘 한국에 퍼지는 이상 현상 ( 김정호 교수 )” 의 영상 요약</t>
  </si>
  <si>
    <t>https://blog.naver.com/PostView.naver?blogId=lucidjun&amp;logNo=223892876125&amp;redirect=Dlog&amp;widgetTypeCall=true&amp;directAccess=false</t>
  </si>
  <si>
    <t>dream071015</t>
  </si>
  <si>
    <t>디지털 시대의 플랫폼 노동: 자율성 이면의 경제학적 함정</t>
  </si>
  <si>
    <t>https://blog.naver.com/PostView.naver?blogId=dream071015&amp;logNo=223892788999&amp;redirect=Dlog&amp;widgetTypeCall=true&amp;directAccess=false</t>
  </si>
  <si>
    <t>명탐정J</t>
  </si>
  <si>
    <t>선동 언론과 코끼리 정부의 치졸한 동행</t>
  </si>
  <si>
    <t>https://blog.naver.com/PostView.naver?blogId=vanessay1&amp;logNo=223892698376&amp;redirect=Dlog&amp;widgetTypeCall=true&amp;directAccess=false</t>
  </si>
  <si>
    <t>blackbirdd</t>
  </si>
  <si>
    <t>#2. 다른 길이 있다(김두식), 한겨레 출판- 김대진/ 교사 정체성</t>
  </si>
  <si>
    <t>https://blog.naver.com/PostView.naver?blogId=blackbirdd&amp;logNo=223892616251&amp;redirect=Dlog&amp;widgetTypeCall=true&amp;directAccess=false</t>
  </si>
  <si>
    <t>#1. 다른 길이 있다(김두식), 한겨레 출판 -정혜신, 유시민, 고미숙</t>
  </si>
  <si>
    <t>https://blog.naver.com/PostView.naver?blogId=blackbirdd&amp;logNo=223892602438&amp;redirect=Dlog&amp;widgetTypeCall=true&amp;directAccess=false</t>
  </si>
  <si>
    <t>『반일 종족주의』 비판: 뉴라이트 이영훈의 ‘반일 종족주의’란 무엇일까?</t>
  </si>
  <si>
    <t>https://blog.naver.com/PostView.naver?blogId=beri510&amp;logNo=223892564234&amp;redirect=Dlog&amp;widgetTypeCall=true&amp;directAccess=false</t>
  </si>
  <si>
    <t>sinatmul49</t>
  </si>
  <si>
    <t>[공유] 2025년은 1925년 사악한 일제가천황제 보호와 일본과 조선의 사회주의자들을 탄압하고자 제정한악법, "치안유지법" 제정 100주년 되는시점이다. / 최형록자유주</t>
  </si>
  <si>
    <t>https://blog.naver.com/PostView.naver?blogId=sinatmul49&amp;logNo=223892493525&amp;redirect=Dlog&amp;widgetTypeCall=true&amp;directAccess=false</t>
  </si>
  <si>
    <t>반딧불이</t>
  </si>
  <si>
    <t>교단 너머 이야기</t>
  </si>
  <si>
    <t>https://blog.naver.com/PostView.naver?blogId=fireflybugs&amp;logNo=223892448431&amp;redirect=Dlog&amp;widgetTypeCall=true&amp;directAccess=false</t>
  </si>
  <si>
    <t>윤석열 전 대통령 관저 개 수영장 의혹에 대한 분석</t>
  </si>
  <si>
    <t>https://blog.naver.com/PostView.naver?blogId=crystaltechnology&amp;logNo=223892396901&amp;redirect=Dlog&amp;widgetTypeCall=true&amp;directAccess=false</t>
  </si>
  <si>
    <t>김상연</t>
  </si>
  <si>
    <t>#7주차. 데이터 기반 모니터링 기술, 효과적인가? 효과적이라면 정당한가?</t>
  </si>
  <si>
    <t>https://blog.naver.com/PostView.naver?blogId=kimsangyeonnn&amp;logNo=223892391441&amp;redirect=Dlog&amp;widgetTypeCall=true&amp;directAccess=false</t>
  </si>
  <si>
    <t>2025년 6월 8일, 국민의 힘, 민주당에게 법사위원장 자리 반납 요구 X 반응.</t>
  </si>
  <si>
    <t>https://blog.naver.com/PostView.naver?blogId=shinswoong75&amp;logNo=223892387162&amp;redirect=Dlog&amp;widgetTypeCall=true&amp;directAccess=false</t>
  </si>
  <si>
    <t>어메이징 그레이스</t>
  </si>
  <si>
    <t>한겨레신문 인터뷰</t>
  </si>
  <si>
    <t>https://blog.naver.com/PostView.naver?blogId=amgrace2408&amp;logNo=223892320278&amp;redirect=Dlog&amp;widgetTypeCall=true&amp;directAccess=false</t>
  </si>
  <si>
    <t>윤석열 관저 개 수영장, 까면 깔수록 나오는 의혹.</t>
  </si>
  <si>
    <t>https://blog.naver.com/PostView.naver?blogId=lkl7383&amp;logNo=223892277523&amp;redirect=Dlog&amp;widgetTypeCall=true&amp;directAccess=false</t>
  </si>
  <si>
    <t>김보리</t>
  </si>
  <si>
    <t>[케이팝 사랑과 탈출 사이] ‘‘나는 왜 ‘최애’의 팬 사인회에서 괴로웠나’를 읽고</t>
  </si>
  <si>
    <t>https://blog.naver.com/PostView.naver?blogId=najjang_piece&amp;logNo=223892250275&amp;redirect=Dlog&amp;widgetTypeCall=true&amp;directAccess=false</t>
  </si>
  <si>
    <t>어린왕자</t>
  </si>
  <si>
    <t>소금ㆍ가족간의 화해를 가로막는 자본의 폭력성에 관한 일침ㆍ박범신ㆍ한겨레출판</t>
  </si>
  <si>
    <t>https://blog.naver.com/PostView.naver?blogId=yja9344&amp;logNo=223892207733&amp;redirect=Dlog&amp;widgetTypeCall=true&amp;directAccess=false</t>
  </si>
  <si>
    <t>하바나</t>
  </si>
  <si>
    <t>경상북도 영양군 일월면 주곡리 주실마을숲</t>
  </si>
  <si>
    <t>https://blog.naver.com/PostView.naver?blogId=maeulsup&amp;logNo=223892111437&amp;redirect=Dlog&amp;widgetTypeCall=true&amp;directAccess=false</t>
  </si>
  <si>
    <t>SARATIERX2O25</t>
  </si>
  <si>
    <t>[속보] 李 대통령, 우상호 정무·오광수 민정·이규연 홍보 등 三 수석 임명</t>
  </si>
  <si>
    <t>https://blog.naver.com/PostView.naver?blogId=asleepist&amp;logNo=223892078015&amp;redirect=Dlog&amp;widgetTypeCall=true&amp;directAccess=false</t>
  </si>
  <si>
    <t>나라임자</t>
  </si>
  <si>
    <t>한글이 살고 빛나면 한겨레가 살고 빛난다.</t>
  </si>
  <si>
    <t>https://blog.naver.com/PostView.naver?blogId=idaero47&amp;logNo=223892025716&amp;redirect=Dlog&amp;widgetTypeCall=true&amp;directAccess=false</t>
  </si>
  <si>
    <t>Claire</t>
  </si>
  <si>
    <t>대선을 취재하며 배운 것들</t>
  </si>
  <si>
    <t>https://blog.naver.com/PostView.naver?blogId=komoreb1e&amp;logNo=223892015819&amp;redirect=Dlog&amp;widgetTypeCall=true&amp;directAccess=false</t>
  </si>
  <si>
    <t>쭈양뽀야</t>
  </si>
  <si>
    <t>송경화 저자 &lt;민트 돔 아래에서&gt; . 16년 차 베테랑 기자가 그린 하이퍼리얼리즘 소설!</t>
  </si>
  <si>
    <t>https://blog.naver.com/PostView.naver?blogId=booksoulmate83&amp;logNo=223881171059&amp;redirect=Dlog&amp;widgetTypeCall=true&amp;directAccess=false</t>
  </si>
  <si>
    <t>코스모스</t>
  </si>
  <si>
    <t>우리가 지운 얼굴</t>
  </si>
  <si>
    <t>https://blog.naver.com/PostView.naver?blogId=cosmos909&amp;logNo=223891988840&amp;redirect=Dlog&amp;widgetTypeCall=true&amp;directAccess=false</t>
  </si>
  <si>
    <t>25년 6월 8일 오늘의 주요 경제 뉴스</t>
  </si>
  <si>
    <t>https://blog.naver.com/PostView.naver?blogId=kallikles&amp;logNo=223891977500&amp;redirect=Dlog&amp;widgetTypeCall=true&amp;directAccess=false</t>
  </si>
  <si>
    <t>STRADA</t>
  </si>
  <si>
    <t>표백</t>
  </si>
  <si>
    <t>https://blog.naver.com/PostView.naver?blogId=pack1861&amp;logNo=223891846528&amp;redirect=Dlog&amp;widgetTypeCall=true&amp;directAccess=false</t>
  </si>
  <si>
    <t>이런 보도에 언론의 태도가 왜 조용하지?</t>
  </si>
  <si>
    <t>https://blog.naver.com/PostView.naver?blogId=i2dull&amp;logNo=223891799318&amp;redirect=Dlog&amp;widgetTypeCall=true&amp;directAccess=false</t>
  </si>
  <si>
    <t>트럼프와 이재명의 지각 통화에 대한 의문점</t>
  </si>
  <si>
    <t>https://blog.naver.com/PostView.naver?blogId=vanessay1&amp;logNo=223891756353&amp;redirect=Dlog&amp;widgetTypeCall=true&amp;directAccess=false</t>
  </si>
  <si>
    <t>2025년 6월 7일, 일본 강제동원 배상판결. X 반응.</t>
  </si>
  <si>
    <t>https://blog.naver.com/PostView.naver?blogId=shinswoong75&amp;logNo=223891732732&amp;redirect=Dlog&amp;widgetTypeCall=true&amp;directAccess=false</t>
  </si>
  <si>
    <t>분홍돌고래</t>
  </si>
  <si>
    <t>높고 푸른 사다리</t>
  </si>
  <si>
    <t>https://blog.naver.com/PostView.naver?blogId=sd1438&amp;logNo=223891727763&amp;redirect=Dlog&amp;widgetTypeCall=true&amp;directAccess=false</t>
  </si>
  <si>
    <t>심쿵</t>
  </si>
  <si>
    <t>올해의 은하수 사진 수상작들</t>
  </si>
  <si>
    <t>https://blog.naver.com/PostView.naver?blogId=kigg4955&amp;logNo=223891665128&amp;redirect=Dlog&amp;widgetTypeCall=true&amp;directAccess=false</t>
  </si>
  <si>
    <t>madonda</t>
  </si>
  <si>
    <t>4.3 수형인 명부 UNESCO 세계기록 유산 등재</t>
  </si>
  <si>
    <t>https://blog.naver.com/PostView.naver?blogId=437030&amp;logNo=223891556636&amp;redirect=Dlog&amp;widgetTypeCall=true&amp;directAccess=false</t>
  </si>
  <si>
    <t>책과영화사이로</t>
  </si>
  <si>
    <t>술꾼들의 모국어</t>
  </si>
  <si>
    <t>https://blog.naver.com/PostView.naver?blogId=sustain2017&amp;logNo=223891494356&amp;redirect=Dlog&amp;widgetTypeCall=true&amp;directAccess=false</t>
  </si>
  <si>
    <t>“작동 장면 최초 공개! 국산 온디바이스 AI 이 정도 수준까지 올라왔습니다. | 페르소나AI 유승재 대표 [기업돋보기]” 의 영상 요약</t>
  </si>
  <si>
    <t>https://blog.naver.com/PostView.naver?blogId=lucidjun&amp;logNo=223891494034&amp;redirect=Dlog&amp;widgetTypeCall=true&amp;directAccess=false</t>
  </si>
  <si>
    <t>[다시쓰는 동학·동학농민혁명사]동학 창도 200주년, 동학농민혁명 130주년을 빛낸 문학과 예술, 그리고 시민사회 “과거가 현재를 도울 수 있는가. 죽은 자가 산 자를 구할 수 있</t>
  </si>
  <si>
    <t>https://blog.naver.com/PostView.naver?blogId=dwyun60&amp;logNo=223891492356&amp;redirect=Dlog&amp;widgetTypeCall=true&amp;directAccess=false</t>
  </si>
  <si>
    <t>2025년 6월 7일 한국 6개 일간지 비교 (제목을 다르게 해야)</t>
  </si>
  <si>
    <t>https://blog.naver.com/PostView.naver?blogId=adsdfa&amp;logNo=223891387891&amp;redirect=Dlog&amp;widgetTypeCall=true&amp;directAccess=false</t>
  </si>
  <si>
    <t>[TV-신문] 대통령실 “이재명 대통령, G7 정상회의 초청 받아 참석” / 한미 정상 첫 통화 “관세 협의 조속 노력… / 로이터 “북한 인터넷망 먹통…주요 사이트 접속 불가”</t>
  </si>
  <si>
    <t>https://blog.naver.com/PostView.naver?blogId=kangyeou&amp;logNo=223891319149&amp;redirect=Dlog&amp;widgetTypeCall=true&amp;directAccess=false</t>
  </si>
  <si>
    <t>최영덕 소장</t>
  </si>
  <si>
    <t>1993년 진중문예 소설 당선의 기록</t>
  </si>
  <si>
    <t>https://blog.naver.com/PostView.naver?blogId=oginn&amp;logNo=223891286318&amp;redirect=Dlog&amp;widgetTypeCall=true&amp;directAccess=false</t>
  </si>
  <si>
    <t>LEE레브</t>
  </si>
  <si>
    <t>체공녀 강주룡</t>
  </si>
  <si>
    <t>https://blog.naver.com/PostView.naver?blogId=leehy0095&amp;logNo=223891268296&amp;redirect=Dlog&amp;widgetTypeCall=true&amp;directAccess=false</t>
  </si>
  <si>
    <t>시민언론이 놓쳐서는 안 될 것들</t>
  </si>
  <si>
    <t>https://blog.naver.com/PostView.naver?blogId=jang0355&amp;logNo=223891233713&amp;redirect=Dlog&amp;widgetTypeCall=true&amp;directAccess=false</t>
  </si>
  <si>
    <t>마망</t>
  </si>
  <si>
    <t>진관사 태극기 논란 확인하기</t>
  </si>
  <si>
    <t>https://blog.naver.com/PostView.naver?blogId=poorin76&amp;logNo=223891187024&amp;redirect=Dlog&amp;widgetTypeCall=true&amp;directAccess=false</t>
  </si>
  <si>
    <t>채널A News ~ 정치 돋보기님의 오늘자 이재명 소식. 한국 대선 결과에 일본이 발칵 뒤집힌 의외의 이유.이재명이 김밥 먹으며 회의할 때 김문수는 당권싸움... 좀비정당이 된국힘</t>
  </si>
  <si>
    <t>https://blog.naver.com/PostView.naver?blogId=wishut3281&amp;logNo=223891154551&amp;redirect=Dlog&amp;widgetTypeCall=true&amp;directAccess=false</t>
  </si>
  <si>
    <t>경제 스터디 25일차 이재명 상법 개정</t>
  </si>
  <si>
    <t>https://blog.naver.com/PostView.naver?blogId=yesnogirl_410&amp;logNo=223891122821&amp;redirect=Dlog&amp;widgetTypeCall=true&amp;directAccess=false</t>
  </si>
  <si>
    <t>들꽃향</t>
  </si>
  <si>
    <t>하얀 엉겅퀴</t>
  </si>
  <si>
    <t>https://blog.naver.com/PostView.naver?blogId=minbeomkr&amp;logNo=223890460132&amp;redirect=Dlog&amp;widgetTypeCall=true&amp;directAccess=false</t>
  </si>
  <si>
    <t>오네시모</t>
  </si>
  <si>
    <t>유월에는 기도를 드립시다.</t>
  </si>
  <si>
    <t>https://blog.naver.com/PostView.naver?blogId=bkt6707&amp;logNo=223891096300&amp;redirect=Dlog&amp;widgetTypeCall=true&amp;directAccess=false</t>
  </si>
  <si>
    <t>[한겨레 사설] 성장·재정 역할 강조한 대통령실 인사…민생 회복 주도하길</t>
  </si>
  <si>
    <t>https://blog.naver.com/PostView.naver?blogId=kklist21&amp;logNo=223891046244&amp;redirect=Dlog&amp;widgetTypeCall=true&amp;directAccess=false</t>
  </si>
  <si>
    <t>[한겨레 사설] 윤 정권의 ‘보훈 갈라치기’ 극복 선언한 이 대통령 현충일 추념사</t>
  </si>
  <si>
    <t>https://blog.naver.com/PostView.naver?blogId=kklist21&amp;logNo=223891044573&amp;redirect=Dlog&amp;widgetTypeCall=true&amp;directAccess=false</t>
  </si>
  <si>
    <t>연암</t>
  </si>
  <si>
    <t>이창수</t>
  </si>
  <si>
    <t>https://blog.naver.com/PostView.naver?blogId=yunou21c&amp;logNo=223891041863&amp;redirect=Dlog&amp;widgetTypeCall=true&amp;directAccess=false</t>
  </si>
  <si>
    <t>쭈여니</t>
  </si>
  <si>
    <t>이재명 지지율 높은 이유와 정책 삶 사주 분석 자서전 10% 할인</t>
  </si>
  <si>
    <t>https://blog.naver.com/PostView.naver?blogId=roseday6413&amp;logNo=223891041790&amp;redirect=Dlog&amp;widgetTypeCall=true&amp;directAccess=false</t>
  </si>
  <si>
    <t>디지털문화뉴스</t>
  </si>
  <si>
    <t>“조태용·한덕수 내란 방조”…경찰 수사보고서에 적시</t>
  </si>
  <si>
    <t>https://blog.naver.com/PostView.naver?blogId=mitra1004&amp;logNo=223890983617&amp;redirect=Dlog&amp;widgetTypeCall=true&amp;directAccess=false</t>
  </si>
  <si>
    <t>Charles M</t>
  </si>
  <si>
    <t>경찰 수사보고서 “조태용 국정원장, ‘정치인 체포’ 보고받고도 미조치…내란 동조 혐의 ”</t>
  </si>
  <si>
    <t>https://blog.naver.com/PostView.naver?blogId=neoworld2009&amp;logNo=223890884361&amp;redirect=Dlog&amp;widgetTypeCall=true&amp;directAccess=false</t>
  </si>
  <si>
    <t>노을Jihae</t>
  </si>
  <si>
    <t>책빵에는 책과 빵이 있다</t>
  </si>
  <si>
    <t>https://blog.naver.com/PostView.naver?blogId=sunset_jh01&amp;logNo=223890811892&amp;redirect=Dlog&amp;widgetTypeCall=true&amp;directAccess=false</t>
  </si>
  <si>
    <t>[한겨레출판 하니포터 10기] 난생처음 어린 개와 살게 된 한 소설가의 애틋한 모험담, 어린 개가 왔다 | 정이현 산문</t>
  </si>
  <si>
    <t>https://blog.naver.com/PostView.naver?blogId=27jinju&amp;logNo=223890807164&amp;redirect=Dlog&amp;widgetTypeCall=true&amp;directAccess=false</t>
  </si>
  <si>
    <t>조율연</t>
  </si>
  <si>
    <t>*日記抄(2012. 02.03~21)</t>
  </si>
  <si>
    <t>https://blog.naver.com/PostView.naver?blogId=yulyun&amp;logNo=223890804875&amp;redirect=Dlog&amp;widgetTypeCall=true&amp;directAccess=false</t>
  </si>
  <si>
    <t>부부한의사</t>
  </si>
  <si>
    <t>Jee</t>
  </si>
  <si>
    <t>[00] 100일간 글을 써보자</t>
  </si>
  <si>
    <t>https://blog.naver.com/PostView.naver?blogId=jee_8&amp;logNo=223890758208&amp;redirect=Dlog&amp;widgetTypeCall=true&amp;directAccess=false</t>
  </si>
  <si>
    <t>[필독]이 재명 대통령님, 이렇게 하십시요.. 5년안에 전시작전권을 완벽하게 돌려주고 정전협상 유지도 대한민국이 북한과 직접한다고 한다. 그럼 당분간 혈맹은 유지된다고 말이다.</t>
  </si>
  <si>
    <t>https://blog.naver.com/PostView.naver?blogId=samsongeko1&amp;logNo=223890746261&amp;redirect=Dlog&amp;widgetTypeCall=true&amp;directAccess=false</t>
  </si>
  <si>
    <t>비 바이 윤</t>
  </si>
  <si>
    <t>나는 왜 쓰는가-조지오웰 에세이/신념과 정치의 문학</t>
  </si>
  <si>
    <t>https://blog.naver.com/PostView.naver?blogId=jj1567352&amp;logNo=223890682423&amp;redirect=Dlog&amp;widgetTypeCall=true&amp;directAccess=false</t>
  </si>
  <si>
    <t>뉴스타파 Newstapa ~ 백브리핑님의 오늘자 이재명 소식. 모든 것은 이재명 정권 임기내에 바뀌어진다. 모든 것을 원래대로 돌려놓을 시간</t>
  </si>
  <si>
    <t>https://blog.naver.com/PostView.naver?blogId=wishut3281&amp;logNo=223890666649&amp;redirect=Dlog&amp;widgetTypeCall=true&amp;directAccess=false</t>
  </si>
  <si>
    <t>[한겨레신문 사설] 3대 특검법 통과, 지체된 ‘내란 청산’ 신속·단호하게 Passed the 3rd Special Prosecutor Act, Delayed 'Clearing t</t>
  </si>
  <si>
    <t>https://blog.naver.com/PostView.naver?blogId=ceta211&amp;logNo=223890507774&amp;redirect=Dlog&amp;widgetTypeCall=true&amp;directAccess=false</t>
  </si>
  <si>
    <t>정치 읽어주는 여자 ~ 시사저널TV님의 오늘자 이재명 소식. 이재명의 절대권력은 양날의 검. 확 달라진 대한민국 정부! 강력해진 특검..'尹부부' 겨눈다!</t>
  </si>
  <si>
    <t>https://blog.naver.com/PostView.naver?blogId=wishut3281&amp;logNo=223890487376&amp;redirect=Dlog&amp;widgetTypeCall=true&amp;directAccess=false</t>
  </si>
  <si>
    <t>이재용</t>
  </si>
  <si>
    <t>강경애문학의 대상a와 인천 4</t>
  </si>
  <si>
    <t>https://blog.naver.com/PostView.naver?blogId=livefishes&amp;logNo=223890470084&amp;redirect=Dlog&amp;widgetTypeCall=true&amp;directAccess=false</t>
  </si>
  <si>
    <t>“테슬라 14% 급락, 트럼프와 머스크가 싸운 이유” 의 영상 요약</t>
  </si>
  <si>
    <t>https://blog.naver.com/PostView.naver?blogId=lucidjun&amp;logNo=223890382286&amp;redirect=Dlog&amp;widgetTypeCall=true&amp;directAccess=false</t>
  </si>
  <si>
    <t>판결] 이화영 전 경기부지사 대북송금 징역 7년8개월 확정, 이재명 대통령 재판 영향 줄듯</t>
  </si>
  <si>
    <t>https://blog.naver.com/PostView.naver?blogId=eemeelee&amp;logNo=223890353094&amp;redirect=Dlog&amp;widgetTypeCall=true&amp;directAccess=false</t>
  </si>
  <si>
    <t>Reminiscence</t>
  </si>
  <si>
    <t>BOK 이슈노트 250605_일본경제로부터 되새겨볼 교훈</t>
  </si>
  <si>
    <t>https://blog.naver.com/PostView.naver?blogId=signofwinner&amp;logNo=223890300221&amp;redirect=Dlog&amp;widgetTypeCall=true&amp;directAccess=false</t>
  </si>
  <si>
    <t>배천장</t>
  </si>
  <si>
    <t>조지 오웰의 삶과 사유를 관통하는 세 권의 책</t>
  </si>
  <si>
    <t>https://blog.naver.com/PostView.naver?blogId=michin1255&amp;logNo=223890260748&amp;redirect=Dlog&amp;widgetTypeCall=true&amp;directAccess=false</t>
  </si>
  <si>
    <t>김어준의 겸손은 힘들다 뉴스공장 ~ [팟빵]매불쇼님의 오늘자 이재명 소식.  이재명 당선직후 검찰 피바람, 검사들 줄줄이 사표 터졌다. 내란·김건희·해병특검' 통과</t>
  </si>
  <si>
    <t>https://blog.naver.com/PostView.naver?blogId=wishut3281&amp;logNo=223890226721&amp;redirect=Dlog&amp;widgetTypeCall=true&amp;directAccess=false</t>
  </si>
  <si>
    <t>‘검사징계법’ 본회의 통과…법무부장관도 검사 징계 청구 가능 - 한겨레</t>
  </si>
  <si>
    <t>https://blog.naver.com/PostView.naver?blogId=testdirt&amp;logNo=223890221341&amp;redirect=Dlog&amp;widgetTypeCall=true&amp;directAccess=false</t>
  </si>
  <si>
    <t>기니</t>
  </si>
  <si>
    <t>서론: 아나키즘적 활동으로서 과학 개괄(Feyerabend 2019, 53-8)</t>
  </si>
  <si>
    <t>https://blog.naver.com/PostView.naver?blogId=lguinea&amp;logNo=223890152926&amp;redirect=Dlog&amp;widgetTypeCall=true&amp;directAccess=false</t>
  </si>
  <si>
    <t>이번엔 코감기 250605</t>
  </si>
  <si>
    <t>https://blog.naver.com/PostView.naver?blogId=anna_xo&amp;logNo=223890128025&amp;redirect=Dlog&amp;widgetTypeCall=true&amp;directAccess=false</t>
  </si>
  <si>
    <t>서라한</t>
  </si>
  <si>
    <t>이재명 대통령 시대의 대한민국: 전망과 과제</t>
  </si>
  <si>
    <t>https://blog.naver.com/PostView.naver?blogId=dkdltmxm2&amp;logNo=223890092303&amp;redirect=Dlog&amp;widgetTypeCall=true&amp;directAccess=false</t>
  </si>
  <si>
    <t>이재명대통령님 임기 이틀동안 발생한 언론사들의 쓰레기짓</t>
  </si>
  <si>
    <t>https://blog.naver.com/PostView.naver?blogId=kyh070181&amp;logNo=223889985650&amp;redirect=Dlog&amp;widgetTypeCall=true&amp;directAccess=false</t>
  </si>
  <si>
    <t>for YW</t>
  </si>
  <si>
    <t>죽은 다음</t>
  </si>
  <si>
    <t>https://blog.naver.com/PostView.naver?blogId=yewon327&amp;logNo=223889978965&amp;redirect=Dlog&amp;widgetTypeCall=true&amp;directAccess=false</t>
  </si>
  <si>
    <t>에나</t>
  </si>
  <si>
    <t>최고의 리뷰툰 (고전 리뷰툰, 냉정과 열정: 열정 편 / 키두니스트)</t>
  </si>
  <si>
    <t>https://blog.naver.com/PostView.naver?blogId=kwansooko&amp;logNo=223889976566&amp;redirect=Dlog&amp;widgetTypeCall=true&amp;directAccess=false</t>
  </si>
  <si>
    <t>MBN News ~ 정치 돋보기님의 오늘자 이재명 소식. 오전 8시쯤 임기 시작. 새 대통령 출근 첫날은... 이재명이라면 의지와 자신감을 가지고 정권잡는 즉시 국정운영하면 된다!</t>
  </si>
  <si>
    <t>https://blog.naver.com/PostView.naver?blogId=wishut3281&amp;logNo=223889965873&amp;redirect=Dlog&amp;widgetTypeCall=true&amp;directAccess=false</t>
  </si>
  <si>
    <t>피클나무</t>
  </si>
  <si>
    <t>죽음을 생각하는 건 언제나 삶을 생각하는 일이다 | 조수경, 「아침을 볼 때마다 당신을 떠올릴 거야」</t>
  </si>
  <si>
    <t>https://blog.naver.com/PostView.naver?blogId=bestldw0318&amp;logNo=223889840074&amp;redirect=Dlog&amp;widgetTypeCall=true&amp;directAccess=false</t>
  </si>
  <si>
    <t>민주당 '더 강력한 상법재정안' 재발의李대통령 "2~3주내 통과시킬 것". 재계 속앓이만</t>
  </si>
  <si>
    <t>https://blog.naver.com/PostView.naver?blogId=leebyongsu&amp;logNo=223889636991&amp;redirect=Dlog&amp;widgetTypeCall=true&amp;directAccess=false</t>
  </si>
  <si>
    <t>wealthy Kim</t>
  </si>
  <si>
    <t>[피노의시선] 영어영역 문제 유출사건의 주요쟁점</t>
  </si>
  <si>
    <t>https://blog.naver.com/PostView.naver?blogId=etran&amp;logNo=223889515146&amp;redirect=Dlog&amp;widgetTypeCall=true&amp;directAccess=false</t>
  </si>
  <si>
    <t>청소노동자와 찍은 사진엔 이재명 대통령의 ‘가족사’가 담겨 있다</t>
  </si>
  <si>
    <t>https://blog.naver.com/PostView.naver?blogId=ceta211&amp;logNo=223889461196&amp;redirect=Dlog&amp;widgetTypeCall=true&amp;directAccess=false</t>
  </si>
  <si>
    <t>임산수평</t>
  </si>
  <si>
    <t>주가 부양하겠다는 첫대통령</t>
  </si>
  <si>
    <t>https://blog.naver.com/PostView.naver?blogId=musoum69&amp;logNo=223889459709&amp;redirect=Dlog&amp;widgetTypeCall=true&amp;directAccess=false</t>
  </si>
  <si>
    <t>화식열전</t>
  </si>
  <si>
    <t>중국이 움직인다(feat. 북한도 움직인다)</t>
  </si>
  <si>
    <t>https://blog.naver.com/PostView.naver?blogId=hwasikyuljeon&amp;logNo=223889418788&amp;redirect=Dlog&amp;widgetTypeCall=true&amp;directAccess=false</t>
  </si>
  <si>
    <t>달빛여정</t>
  </si>
  <si>
    <t>이종석 국정원장 후보, 이재명 정부 초대 정보 수장 지명의 의미와 프로필 정리</t>
  </si>
  <si>
    <t>https://blog.naver.com/PostView.naver?blogId=moonlife_kr&amp;logNo=223889289040&amp;redirect=Dlog&amp;widgetTypeCall=true&amp;directAccess=false</t>
  </si>
  <si>
    <t>자아전거</t>
  </si>
  <si>
    <t>글은 목적과 이유가 분명해야 한다</t>
  </si>
  <si>
    <t>https://blog.naver.com/PostView.naver?blogId=menandmen&amp;logNo=223889372983&amp;redirect=Dlog&amp;widgetTypeCall=true&amp;directAccess=false</t>
  </si>
  <si>
    <t>Nexus News</t>
  </si>
  <si>
    <t>“여사 아닌 씨?” 김혜경이라는 이름 앞에 던져진 질문??대통령이 바뀌었다. 그리고 그 순간, 언론의 언어도 바뀌었다.</t>
  </si>
  <si>
    <t>https://blog.naver.com/PostView.naver?blogId=jnexus&amp;logNo=223889366185&amp;redirect=Dlog&amp;widgetTypeCall=true&amp;directAccess=false</t>
  </si>
  <si>
    <t>주모</t>
  </si>
  <si>
    <t>오랜만이다</t>
  </si>
  <si>
    <t>https://blog.naver.com/PostView.naver?blogId=inlove6662&amp;logNo=223889325000&amp;redirect=Dlog&amp;widgetTypeCall=true&amp;directAccess=false</t>
  </si>
  <si>
    <t>각시탈</t>
  </si>
  <si>
    <t>충격!!! 늘봄학교에서 어린 아이들에게 친일, 독재 사상 교육을... 리박스쿨의 정체, 경악 그자체다.</t>
  </si>
  <si>
    <t>https://blog.naver.com/PostView.naver?blogId=evergreen-k&amp;logNo=223889237532&amp;redirect=Dlog&amp;widgetTypeCall=true&amp;directAccess=false</t>
  </si>
  <si>
    <t>BOBBY AXELROD</t>
  </si>
  <si>
    <t>[김혜경 여사 김혜경씨]호칭[이재명 대통령  김혜경 대통령 부인][오태규 전 한겨례 논설실장 오마이뉴스][대통령 부인 여사 호칭에 이의있습니다.]</t>
  </si>
  <si>
    <t>https://blog.naver.com/PostView.naver?blogId=smartmoney&amp;logNo=223889233343&amp;redirect=Dlog&amp;widgetTypeCall=true&amp;directAccess=false</t>
  </si>
  <si>
    <t>박성민연구소</t>
  </si>
  <si>
    <t>드골의 통합(김상수 기자 페북글)</t>
  </si>
  <si>
    <t>https://blog.naver.com/PostView.naver?blogId=teleioi&amp;logNo=223889218367&amp;redirect=Dlog&amp;widgetTypeCall=true&amp;directAccess=false</t>
  </si>
  <si>
    <t>6/5</t>
  </si>
  <si>
    <t>https://blog.naver.com/PostView.naver?blogId=moonriver_ecomy&amp;logNo=223889124920&amp;redirect=Dlog&amp;widgetTypeCall=true&amp;directAccess=false</t>
  </si>
  <si>
    <t>잘포</t>
  </si>
  <si>
    <t>[영상] 이재명 대통령 당선자 “국민통합, 억강부약” 13분 연설</t>
  </si>
  <si>
    <t>https://blog.naver.com/PostView.naver?blogId=jalpo&amp;logNo=223889105694&amp;redirect=Dlog&amp;widgetTypeCall=true&amp;directAccess=false</t>
  </si>
  <si>
    <t>정책지식 2025.6.5.</t>
  </si>
  <si>
    <t>https://blog.naver.com/PostView.naver?blogId=trim9134&amp;logNo=223889097872&amp;redirect=Dlog&amp;widgetTypeCall=true&amp;directAccess=false</t>
  </si>
  <si>
    <t>리박스쿨 댓글 조작 의혹과 자유민주연구원 김문수 고문 논란 정리</t>
  </si>
  <si>
    <t>https://blog.naver.com/PostView.naver?blogId=underwind-&amp;logNo=223889091221&amp;redirect=Dlog&amp;widgetTypeCall=true&amp;directAccess=false</t>
  </si>
  <si>
    <t>신문일기 3일차 (한겨레, 2025.05.30)</t>
  </si>
  <si>
    <t>https://blog.naver.com/PostView.naver?blogId=little_moments_diary&amp;logNo=223889040259&amp;redirect=Dlog&amp;widgetTypeCall=true&amp;directAccess=false</t>
  </si>
  <si>
    <t>중앙대학교 이재명 지지 현수막 훼손 사건</t>
  </si>
  <si>
    <t>https://blog.naver.com/PostView.naver?blogId=newyorkmanhattan&amp;logNo=223888864780&amp;redirect=Dlog&amp;widgetTypeCall=true&amp;directAccess=false</t>
  </si>
  <si>
    <t>2025년 6월, 예스24 종합 베스트셀러 순위</t>
  </si>
  <si>
    <t>https://blog.naver.com/PostView.naver?blogId=maemuki-&amp;logNo=223888757994&amp;redirect=Dlog&amp;widgetTypeCall=true&amp;directAccess=false</t>
  </si>
  <si>
    <t>“이재명 대통령 체제, 새정부 첫 부동산 전망 제대로 하겠습니다” 의 영상 요약</t>
  </si>
  <si>
    <t>https://blog.naver.com/PostView.naver?blogId=lucidjun&amp;logNo=223888733332&amp;redirect=Dlog&amp;widgetTypeCall=true&amp;directAccess=false</t>
  </si>
  <si>
    <t>2025년 6월 4일, 이재명 대통령 취임사 X반응</t>
  </si>
  <si>
    <t>https://blog.naver.com/PostView.naver?blogId=shinswoong75&amp;logNo=223888574424&amp;redirect=Dlog&amp;widgetTypeCall=true&amp;directAccess=false</t>
  </si>
  <si>
    <t>김대중.노무현.문재인-좌파정권의 바통을 받은 리재명-문재인5년간의 -적폐청산을 안하고,리재명구속 못한 엄청큰 윤석열정권의 실수가 한국을 또한번 망쪼로 가</t>
  </si>
  <si>
    <t>https://blog.naver.com/PostView.naver?blogId=danbeenongbu&amp;logNo=223888137269&amp;redirect=Dlog&amp;widgetTypeCall=true&amp;directAccess=false</t>
  </si>
  <si>
    <t>나누며 하나되기</t>
  </si>
  <si>
    <t>(국민뉴스) 천태종 나누며하나되기,취약계층을 위한 따뜻한 겨울나기 행복나눔 실천</t>
  </si>
  <si>
    <t>https://blog.naver.com/PostView.naver?blogId=insidemaa&amp;logNo=223888089361&amp;redirect=Dlog&amp;widgetTypeCall=true&amp;directAccess=false</t>
  </si>
  <si>
    <t>권력 아닌 책임의 시간... 제도 개혁은 지금부터</t>
  </si>
  <si>
    <t>https://blog.naver.com/PostView.naver?blogId=sisa_namu_journal&amp;logNo=223888083970&amp;redirect=Dlog&amp;widgetTypeCall=true&amp;directAccess=false</t>
  </si>
  <si>
    <t>천상천하</t>
  </si>
  <si>
    <t>이재명 대통령, 4일 아침 6시21분 임기 시작…군통수권 인수</t>
  </si>
  <si>
    <t>https://blog.naver.com/PostView.naver?blogId=jkhan012&amp;logNo=223888031723&amp;redirect=Dlog&amp;widgetTypeCall=true&amp;directAccess=false</t>
  </si>
  <si>
    <t>wealchy</t>
  </si>
  <si>
    <t>나의 폴라 일지. 김금희 #4</t>
  </si>
  <si>
    <t>https://blog.naver.com/PostView.naver?blogId=wealchy&amp;logNo=223887931873&amp;redirect=Dlog&amp;widgetTypeCall=true&amp;directAccess=false</t>
  </si>
  <si>
    <t>싸이코가 뜬다 - 권리</t>
  </si>
  <si>
    <t>https://blog.naver.com/PostView.naver?blogId=bin0507v&amp;logNo=223887931394&amp;redirect=Dlog&amp;widgetTypeCall=true&amp;directAccess=false</t>
  </si>
  <si>
    <t>피터</t>
  </si>
  <si>
    <t>대한민국, 이재명 시대 개막! '내란 심판' 민심, 통합과 민생에 모든 시선 집중</t>
  </si>
  <si>
    <t>https://blog.naver.com/PostView.naver?blogId=peterwok&amp;logNo=223887925401&amp;redirect=Dlog&amp;widgetTypeCall=true&amp;directAccess=false</t>
  </si>
  <si>
    <t>제로책방 zero</t>
  </si>
  <si>
    <t>미스 함무라비</t>
  </si>
  <si>
    <t>https://blog.naver.com/PostView.naver?blogId=sszero&amp;logNo=223887904304&amp;redirect=Dlog&amp;widgetTypeCall=true&amp;directAccess=false</t>
  </si>
  <si>
    <t>보험신화</t>
  </si>
  <si>
    <t>이재명 대통령 당선…국민은 내란을 심판했다</t>
  </si>
  <si>
    <t>https://blog.naver.com/PostView.naver?blogId=cybernmt&amp;logNo=223887896739&amp;redirect=Dlog&amp;widgetTypeCall=true&amp;directAccess=false</t>
  </si>
  <si>
    <t>gubi</t>
  </si>
  <si>
    <t>25.06.04_뉴스정리 &amp; 키워드</t>
  </si>
  <si>
    <t>https://blog.naver.com/PostView.naver?blogId=seol3531&amp;logNo=223887869176&amp;redirect=Dlog&amp;widgetTypeCall=true&amp;directAccess=false</t>
  </si>
  <si>
    <t>“지금은 금보다 '이 자산' 사세요, 곧 전세계 화폐 휴지조각 된다 (유신익 박사 풀버전)” 의 영상 요약</t>
  </si>
  <si>
    <t>https://blog.naver.com/PostView.naver?blogId=lucidjun&amp;logNo=223887853405&amp;redirect=Dlog&amp;widgetTypeCall=true&amp;directAccess=false</t>
  </si>
  <si>
    <t>뉴스토마토 ~ 스픽스님의 오늘자 이재명 소식. 안동 도촌리에서 난 용, 이재명! 21대 대통령으로 올라섰다! 출구조사 발표하자 민주당, 국민의 힘 확연히 다른 표정</t>
  </si>
  <si>
    <t>https://blog.naver.com/PostView.naver?blogId=wishut3281&amp;logNo=223887844228&amp;redirect=Dlog&amp;widgetTypeCall=true&amp;directAccess=false</t>
  </si>
  <si>
    <t>베르거</t>
  </si>
  <si>
    <t>이재명, 영남·강원 뺀 모든 곳 우세, 4050 압도적 지지</t>
  </si>
  <si>
    <t>https://blog.naver.com/PostView.naver?blogId=winhyun&amp;logNo=223887829443&amp;redirect=Dlog&amp;widgetTypeCall=true&amp;directAccess=false</t>
  </si>
  <si>
    <t>hibread13</t>
  </si>
  <si>
    <t>🍃~농업의 이전과 전자쓰레기의 이전~📱</t>
  </si>
  <si>
    <t>https://blog.naver.com/PostView.naver?blogId=yeanjun_913&amp;logNo=223887781316&amp;redirect=Dlog&amp;widgetTypeCall=true&amp;directAccess=false</t>
  </si>
  <si>
    <t>등대마루</t>
  </si>
  <si>
    <t>https://blog.naver.com/PostView.naver?blogId=dima0306&amp;logNo=223887778244&amp;redirect=Dlog&amp;widgetTypeCall=true&amp;directAccess=false</t>
  </si>
  <si>
    <t>이관장</t>
  </si>
  <si>
    <t>[기흥구 마북동 주짓수]한겨레 주짓수/ 특공무술 / 킥복싱 - 3칭5감(3가지 칭찬 5가지 감사)</t>
  </si>
  <si>
    <t>https://blog.naver.com/PostView.naver?blogId=sabum777&amp;logNo=223887706272&amp;redirect=Dlog&amp;widgetTypeCall=true&amp;directAccess=false</t>
  </si>
  <si>
    <t>차차</t>
  </si>
  <si>
    <t>최태성, &lt;최소한의 한국사&gt;</t>
  </si>
  <si>
    <t>https://blog.naver.com/PostView.naver?blogId=947mhz&amp;logNo=223887693808&amp;redirect=Dlog&amp;widgetTypeCall=true&amp;directAccess=false</t>
  </si>
  <si>
    <t>내년 지방선거와 차기 총선, 차기 대선에서도 더불어민주당을 민다.. 난 이 재명 대통령의 연임도 국민이 허용해야 한다고 생각한다.. 진정한 개혁이나 변화는 5년안에는 불가능하다.</t>
  </si>
  <si>
    <t>https://blog.naver.com/PostView.naver?blogId=samsongeko1&amp;logNo=223887673155&amp;redirect=Dlog&amp;widgetTypeCall=true&amp;directAccess=false</t>
  </si>
  <si>
    <t>데이지st</t>
  </si>
  <si>
    <t>신조협려무뢰한</t>
  </si>
  <si>
    <t>이재명 대통령의 성공을 기원한다</t>
  </si>
  <si>
    <t>https://blog.naver.com/PostView.naver?blogId=kpop_movie_stock_and&amp;logNo=223887628411&amp;redirect=Dlog&amp;widgetTypeCall=true&amp;directAccess=false</t>
  </si>
  <si>
    <t>깔깔마녀</t>
  </si>
  <si>
    <t>탱크, 김희재</t>
  </si>
  <si>
    <t>https://blog.naver.com/PostView.naver?blogId=angela_becky&amp;logNo=223887617442&amp;redirect=Dlog&amp;widgetTypeCall=true&amp;directAccess=false</t>
  </si>
  <si>
    <t>비상계엄 6개월, 갈등을 넘어 통합으로</t>
  </si>
  <si>
    <t>https://blog.naver.com/PostView.naver?blogId=sisa_namu_journal&amp;logNo=223887615000&amp;redirect=Dlog&amp;widgetTypeCall=true&amp;directAccess=false</t>
  </si>
  <si>
    <t>[영상] 윤석열·김건희 투표…“국민께 사과 안 하나” “샤넬백 받았나” 묻자</t>
  </si>
  <si>
    <t>https://blog.naver.com/PostView.naver?blogId=dima0306&amp;logNo=223887538804&amp;redirect=Dlog&amp;widgetTypeCall=true&amp;directAccess=false</t>
  </si>
  <si>
    <t>출구조사 이재명 51.7%-김문수 39.3%-이준석 7.7%</t>
  </si>
  <si>
    <t>https://blog.naver.com/PostView.naver?blogId=jkhan012&amp;logNo=223887525164&amp;redirect=Dlog&amp;widgetTypeCall=true&amp;directAccess=false</t>
  </si>
  <si>
    <t>신림동안씨</t>
  </si>
  <si>
    <t>이재명이 대통령이 되어도 대한민국은 망하지 않는다.</t>
  </si>
  <si>
    <t>https://blog.naver.com/PostView.naver?blogId=pdahnchul&amp;logNo=223887493449&amp;redirect=Dlog&amp;widgetTypeCall=true&amp;directAccess=false</t>
  </si>
  <si>
    <t>백조히프</t>
  </si>
  <si>
    <t>“잊으라”는 말은 상실에 대한 위로가 될 수 없다</t>
  </si>
  <si>
    <t>https://blog.naver.com/PostView.naver?blogId=corazon27&amp;logNo=223887439981&amp;redirect=Dlog&amp;widgetTypeCall=true&amp;directAccess=false</t>
  </si>
  <si>
    <t>[땅 밑에 천연수소 ‘석유 17만년분’ 있다…매장지는 어디] 곽노필.한겨레 -[요약] ■두 가지 경로 통한 10억년 생성량 추정 ■석유와 달리 모든 대륙에서 추출 가능</t>
  </si>
  <si>
    <t>https://blog.naver.com/PostView.naver?blogId=cskw11&amp;logNo=223887201643&amp;redirect=Dlog&amp;widgetTypeCall=true&amp;directAccess=false</t>
  </si>
  <si>
    <t>샴스</t>
  </si>
  <si>
    <t>[대선예측] 이재명 48.5~50.1%, 김문수 39.1~39.7%, 이준석 9.3~10.3%</t>
  </si>
  <si>
    <t>https://blog.naver.com/PostView.naver?blogId=shams2073&amp;logNo=223886950727&amp;redirect=Dlog&amp;widgetTypeCall=true&amp;directAccess=false</t>
  </si>
  <si>
    <t>유나바머</t>
  </si>
  <si>
    <t>회사 대표의 말</t>
  </si>
  <si>
    <t>https://blog.naver.com/PostView.naver?blogId=calmwaves&amp;logNo=223886939455&amp;redirect=Dlog&amp;widgetTypeCall=true&amp;directAccess=false</t>
  </si>
  <si>
    <t>나</t>
  </si>
  <si>
    <t>소중한 하루 하루</t>
  </si>
  <si>
    <t>짐 로저스 "이재명 지지 한적 없다" ... MBC '이재명 지지' 두고 공방... 짐 로저스 입장은?" "대국민 사기극이 맞다"</t>
  </si>
  <si>
    <t>https://blog.naver.com/PostView.naver?blogId=ys92king&amp;logNo=223886910721&amp;redirect=Dlog&amp;widgetTypeCall=true&amp;directAccess=false</t>
  </si>
  <si>
    <t>김어준의 겸손은 힘들다 뉴스공장 2025년 6월 3일 &amp; 만평+Shorts</t>
  </si>
  <si>
    <t>https://blog.naver.com/PostView.naver?blogId=javenuee&amp;logNo=223886439869&amp;redirect=Dlog&amp;widgetTypeCall=true&amp;directAccess=false</t>
  </si>
  <si>
    <t>(거버넌스) 상법개정안, 취임 2∼3주 안에 처리 "보완해서 더 세게"</t>
  </si>
  <si>
    <t>https://blog.naver.com/PostView.naver?blogId=saentis&amp;logNo=223886601946&amp;redirect=Dlog&amp;widgetTypeCall=true&amp;directAccess=false</t>
  </si>
  <si>
    <t>청담 대모</t>
  </si>
  <si>
    <t>초등 6학년 5월 독서 목록</t>
  </si>
  <si>
    <t>https://blog.naver.com/PostView.naver?blogId=cdbig&amp;logNo=223886596671&amp;redirect=Dlog&amp;widgetTypeCall=true&amp;directAccess=false</t>
  </si>
  <si>
    <t>ahnils</t>
  </si>
  <si>
    <t>한겨레 만평(권범철 2025.04.04)</t>
  </si>
  <si>
    <t>https://blog.naver.com/PostView.naver?blogId=ahnils&amp;logNo=223886582788&amp;redirect=Dlog&amp;widgetTypeCall=true&amp;directAccess=false</t>
  </si>
  <si>
    <t>서천 돈키호테</t>
  </si>
  <si>
    <t>이재명 과반 가능할까? 여론조사 전문가 3인은 이렇게 봤다</t>
  </si>
  <si>
    <t>https://blog.naver.com/PostView.naver?blogId=58donquijote&amp;logNo=223886571976&amp;redirect=Dlog&amp;widgetTypeCall=true&amp;directAccess=false</t>
  </si>
  <si>
    <t>문종수</t>
  </si>
  <si>
    <t>황령-250602</t>
  </si>
  <si>
    <t>https://blog.naver.com/PostView.naver?blogId=mgs557&amp;logNo=223886490555&amp;redirect=Dlog&amp;widgetTypeCall=true&amp;directAccess=false</t>
  </si>
  <si>
    <t>마이꼬</t>
  </si>
  <si>
    <t>[바라보라 글쓰기 챌린지 10기] 2025.6.2(월) 2일차: 습관성 배고픔은 어마어마한 욕망이었던 것-시인의 밥상</t>
  </si>
  <si>
    <t>https://blog.naver.com/PostView.naver?blogId=hopeforheaven731&amp;logNo=223886328556&amp;redirect=Dlog&amp;widgetTypeCall=true&amp;directAccess=false</t>
  </si>
  <si>
    <t>김 머 니</t>
  </si>
  <si>
    <t>기분이 너무 이상하다 여름인데 24년도 마지막 날 같다 25년도인데</t>
  </si>
  <si>
    <t>https://blog.naver.com/PostView.naver?blogId=summerandy&amp;logNo=223886334973&amp;redirect=Dlog&amp;widgetTypeCall=true&amp;directAccess=false</t>
  </si>
  <si>
    <t>초승달</t>
  </si>
  <si>
    <t>이도영 시사만화상 대상에 “윤석열 정권 풍자” 그린 권범철 화백</t>
  </si>
  <si>
    <t>https://blog.naver.com/PostView.naver?blogId=bgjho&amp;logNo=223886313332&amp;redirect=Dlog&amp;widgetTypeCall=true&amp;directAccess=false</t>
  </si>
  <si>
    <t>mindlenews2022</t>
  </si>
  <si>
    <t>벼랑 끝에 선 한국, 이재명이 구해낼 수 있을까?</t>
  </si>
  <si>
    <t>https://blog.naver.com/PostView.naver?blogId=mindlenews2022&amp;logNo=223886300399&amp;redirect=Dlog&amp;widgetTypeCall=true&amp;directAccess=false</t>
  </si>
  <si>
    <t>리진LEEJIN</t>
  </si>
  <si>
    <t>이진희 칼럼 : 한국공공정책신문- 성직자 윤리가 더욱 중요한 이유</t>
  </si>
  <si>
    <t>https://blog.naver.com/PostView.naver?blogId=happytogether123&amp;logNo=223886149406&amp;redirect=Dlog&amp;widgetTypeCall=true&amp;directAccess=false</t>
  </si>
  <si>
    <t>https://blog.naver.com/PostView.naver?blogId=jang0355&amp;logNo=223886155942&amp;redirect=Dlog&amp;widgetTypeCall=true&amp;directAccess=false</t>
  </si>
  <si>
    <t>마고함니</t>
  </si>
  <si>
    <t>[독서일기]&lt;나의 폴라 일지&gt;/김금희 작가 남극 탐방 산문</t>
  </si>
  <si>
    <t>https://blog.naver.com/PostView.naver?blogId=hyees2021&amp;logNo=223886125736&amp;redirect=Dlog&amp;widgetTypeCall=true&amp;directAccess=false</t>
  </si>
  <si>
    <t>(한겨레는 대체 농구 용어 왜 이래?)어어~ FA 막날 250602 이정현 (김선형 잡기 실패(?)원주DB 2년,0601 라건아 KBL 복귀 가스공사?!!</t>
  </si>
  <si>
    <t>https://blog.naver.com/PostView.naver?blogId=starring___&amp;logNo=223886048330&amp;redirect=Dlog&amp;widgetTypeCall=true&amp;directAccess=false</t>
  </si>
  <si>
    <t>여은</t>
  </si>
  <si>
    <t>2025년 5월</t>
  </si>
  <si>
    <t>https://blog.naver.com/PostView.naver?blogId=eun108y&amp;logNo=223885975379&amp;redirect=Dlog&amp;widgetTypeCall=true&amp;directAccess=false</t>
  </si>
  <si>
    <t>20250602 세계일보, 조선일보, 한겨레신문 사설 요약 및 분석</t>
  </si>
  <si>
    <t>https://blog.naver.com/PostView.naver?blogId=junlee915&amp;logNo=223885928293&amp;redirect=Dlog&amp;widgetTypeCall=true&amp;directAccess=false</t>
  </si>
  <si>
    <t>응암동 매바위</t>
  </si>
  <si>
    <t>[대선 D-2] 황교안 사퇴 “김문수 돕겠다” 왜?…윤석열 계엄선포 이유와 동일</t>
  </si>
  <si>
    <t>https://blog.naver.com/PostView.naver?blogId=sunclubs&amp;logNo=223885917844&amp;redirect=Dlog&amp;widgetTypeCall=true&amp;directAccess=false</t>
  </si>
  <si>
    <t>신문과방송</t>
  </si>
  <si>
    <t>[뉴스 빅데이터로 본 122일간의 보도] IMF·사회적 참사 넘어선 계엄 보도량, 현대史 이슈 중 압도적</t>
  </si>
  <si>
    <t>https://blog.naver.com/PostView.naver?blogId=kpfjra_&amp;logNo=223885844472&amp;redirect=Dlog&amp;widgetTypeCall=true&amp;directAccess=false</t>
  </si>
  <si>
    <t>[피노의시선] 리박스쿨 사건의 문제와 쟁점</t>
  </si>
  <si>
    <t>https://blog.naver.com/PostView.naver?blogId=etran&amp;logNo=223885717005&amp;redirect=Dlog&amp;widgetTypeCall=true&amp;directAccess=false</t>
  </si>
  <si>
    <t>뾰롱이아빠</t>
  </si>
  <si>
    <t>25년 6월에 구매한 도서 목록</t>
  </si>
  <si>
    <t>https://blog.naver.com/PostView.naver?blogId=gdpswpf007&amp;logNo=223885698741&amp;redirect=Dlog&amp;widgetTypeCall=true&amp;directAccess=false</t>
  </si>
  <si>
    <t>언론 참칭 조선일보는 정치검사 윤석열이 조작한 ‘이재명 악마화’.김상수</t>
  </si>
  <si>
    <t>https://blog.naver.com/PostView.naver?blogId=kimdaisuke&amp;logNo=223885648149&amp;redirect=Dlog&amp;widgetTypeCall=true&amp;directAccess=false</t>
  </si>
  <si>
    <t>🗳️ 대선 하루 전, 여론전·공작전·심리전 총력전… "이름을 지우는 자, 이름으로 버티는 자"</t>
  </si>
  <si>
    <t>https://blog.naver.com/PostView.naver?blogId=peterwok&amp;logNo=223885602041&amp;redirect=Dlog&amp;widgetTypeCall=true&amp;directAccess=false</t>
  </si>
  <si>
    <t>김문수 지지 ( 反반 이재명 ) 댓글공작'이 드러난 리박스쿨과 늘봄 방과후 교실은 그동안 '방과후 공교육'을 내세워 초중고 학생들 대상으로 극우 세뇌 작업을 해왔다.</t>
  </si>
  <si>
    <t>https://blog.naver.com/PostView.naver?blogId=misael&amp;logNo=223885595883&amp;redirect=Dlog&amp;widgetTypeCall=true&amp;directAccess=false</t>
  </si>
  <si>
    <t>dictator</t>
  </si>
  <si>
    <t>[한겨레-STI 분석] 이재명 50.1%, 김문수 39.7%, 이준석 10.3%</t>
  </si>
  <si>
    <t>https://blog.naver.com/PostView.naver?blogId=dictator-&amp;logNo=223885586005&amp;redirect=Dlog&amp;widgetTypeCall=true&amp;directAccess=false</t>
  </si>
  <si>
    <t>데이터정보사회연구소</t>
  </si>
  <si>
    <t>AI 발전이 사회에 미치는 영향 [산업의 효율성, 새로운 과제, 방향성]</t>
  </si>
  <si>
    <t>https://blog.naver.com/PostView.naver?blogId=kidisofficial&amp;logNo=223885417450&amp;redirect=Dlog&amp;widgetTypeCall=true&amp;directAccess=false</t>
  </si>
  <si>
    <t>봄빛</t>
  </si>
  <si>
    <t>202505 독서일기</t>
  </si>
  <si>
    <t>https://blog.naver.com/PostView.naver?blogId=sunny1976_&amp;logNo=223885383657&amp;redirect=Dlog&amp;widgetTypeCall=true&amp;directAccess=false</t>
  </si>
  <si>
    <t>동닙</t>
  </si>
  <si>
    <t>“이재명·이준석을 까야 돼”…리박스쿨 ‘자손군’ 100여명, 조직적 댓글 공작</t>
  </si>
  <si>
    <t>https://blog.naver.com/PostView.naver?blogId=dongneep&amp;logNo=223885378633&amp;redirect=Dlog&amp;widgetTypeCall=true&amp;directAccess=false</t>
  </si>
  <si>
    <t>바파</t>
  </si>
  <si>
    <t>여론조사 꽃, 마지막 회/ 5월 한겨레 만평</t>
  </si>
  <si>
    <t>https://blog.naver.com/PostView.naver?blogId=bs5439&amp;logNo=223885349003&amp;redirect=Dlog&amp;widgetTypeCall=true&amp;directAccess=false</t>
  </si>
  <si>
    <t>‘자손군’ 100여명,</t>
  </si>
  <si>
    <t>https://blog.naver.com/PostView.naver?blogId=yunou21c&amp;logNo=223885334818&amp;redirect=Dlog&amp;widgetTypeCall=true&amp;directAccess=false</t>
  </si>
  <si>
    <t>양천구 권우성</t>
  </si>
  <si>
    <t>인기 연예프로그램: 솔로지옥 시즌2 시즌3 하트시그널 시즌4 돌싱글즈5 결말 리뷰 연애 예능 추천</t>
  </si>
  <si>
    <t>https://blog.naver.com/PostView.naver?blogId=kws3128pdm&amp;logNo=223885264826&amp;redirect=Dlog&amp;widgetTypeCall=true&amp;directAccess=false</t>
  </si>
  <si>
    <t>한겨레중고등학교: 한겨레중고생, 평화기행을 통해 역사와 통일교육</t>
  </si>
  <si>
    <t>https://blog.naver.com/PostView.naver?blogId=happytogether123&amp;logNo=223885220708&amp;redirect=Dlog&amp;widgetTypeCall=true&amp;directAccess=false</t>
  </si>
  <si>
    <t>한겨레중고등학교: 한겨레고, 전통성년식 거행</t>
  </si>
  <si>
    <t>https://blog.naver.com/PostView.naver?blogId=happytogether123&amp;logNo=223885215955&amp;redirect=Dlog&amp;widgetTypeCall=true&amp;directAccess=false</t>
  </si>
  <si>
    <t>한겨레중고등학교: 한국어교육 혁신방안 교직원 대토론회</t>
  </si>
  <si>
    <t>https://blog.naver.com/PostView.naver?blogId=happytogether123&amp;logNo=223885213518&amp;redirect=Dlog&amp;widgetTypeCall=true&amp;directAccess=false</t>
  </si>
  <si>
    <t>만사OK</t>
  </si>
  <si>
    <t>2025/06/04 엔드 오브 타임(Until the end of time)</t>
  </si>
  <si>
    <t>https://blog.naver.com/PostView.naver?blogId=star66000&amp;logNo=223885143790&amp;redirect=Dlog&amp;widgetTypeCall=true&amp;directAccess=false</t>
  </si>
  <si>
    <t>로미평강용이</t>
  </si>
  <si>
    <t>홍은전 ‘그냥, 사람’ 리뷰: 사회적 약자와 인권 현장에서 배우는 다양한 삶의 의미</t>
  </si>
  <si>
    <t>https://blog.naver.com/PostView.naver?blogId=heejlim&amp;logNo=223881184250&amp;redirect=Dlog&amp;widgetTypeCall=true&amp;directAccess=false</t>
  </si>
  <si>
    <t>한겨레의 기사와 설난영의 발언이다. / 기훈</t>
  </si>
  <si>
    <t>https://blog.naver.com/PostView.naver?blogId=yujmmm&amp;logNo=223885112917&amp;redirect=Dlog&amp;widgetTypeCall=true&amp;directAccess=false</t>
  </si>
  <si>
    <t>SBS뉴스 ~ 파란아이님의 오늘자 윤석열 소식. 국민의 힘 김문수, 윤석열과 손절! 국힘 난리났다ㅋ 윤석열 긴급 메시지 선언;; "우리 근처에 얼씬도 XX마"</t>
  </si>
  <si>
    <t>https://blog.naver.com/PostView.naver?blogId=wishut3281&amp;logNo=223885091149&amp;redirect=Dlog&amp;widgetTypeCall=true&amp;directAccess=false</t>
  </si>
  <si>
    <t>Connie 커니</t>
  </si>
  <si>
    <t>매일경제 종이신문 구독 해지하기</t>
  </si>
  <si>
    <t>https://blog.naver.com/PostView.naver?blogId=swimppark&amp;logNo=223885053389&amp;redirect=Dlog&amp;widgetTypeCall=true&amp;directAccess=false</t>
  </si>
  <si>
    <t>한겨레TV ~ 정치 돋보기님의 오늘자 윤석열 소식. 다6월 3일엔 민주정부의 새 대통령으로! 투표해야 이긴다! 국민의 힘을 압도적으로 이겨서 윤석열 김건희 재입당 막자!</t>
  </si>
  <si>
    <t>https://blog.naver.com/PostView.naver?blogId=wishut3281&amp;logNo=223884860555&amp;redirect=Dlog&amp;widgetTypeCall=true&amp;directAccess=false</t>
  </si>
  <si>
    <t>뉴라이트의 역사전쟁 3라운드 - 대안교과서, 교학사 교과서, 반일종족주의 -</t>
  </si>
  <si>
    <t>https://blog.naver.com/PostView.naver?blogId=beri510&amp;logNo=223884827341&amp;redirect=Dlog&amp;widgetTypeCall=true&amp;directAccess=false</t>
  </si>
  <si>
    <t>꽃 같은 말을</t>
  </si>
  <si>
    <t>연애의 본질이 시대에 따라 다르다. 어장관리-옛날에 놀줄아는. 썸타기- 생각 하는중(좋아ox) 등 에서 철학적인 인간의 본성과 경제성 까지 종합까지 분석된 계획된 만남과 상업화</t>
  </si>
  <si>
    <t>https://blog.naver.com/PostView.naver?blogId=efor6&amp;logNo=223884823364&amp;redirect=Dlog&amp;widgetTypeCall=true&amp;directAccess=false</t>
  </si>
  <si>
    <t>지보리</t>
  </si>
  <si>
    <t>입속 지느러미-조예은</t>
  </si>
  <si>
    <t>https://blog.naver.com/PostView.naver?blogId=leewldms737&amp;logNo=223884718113&amp;redirect=Dlog&amp;widgetTypeCall=true&amp;directAccess=false</t>
  </si>
  <si>
    <t>히로</t>
  </si>
  <si>
    <t>이혁진 장편 소설 - 누운 배</t>
  </si>
  <si>
    <t>https://blog.naver.com/PostView.naver?blogId=dsecool&amp;logNo=223917224681&amp;redirect=Dlog&amp;widgetTypeCall=true&amp;directAccess=false</t>
  </si>
  <si>
    <t>보리아빠</t>
  </si>
  <si>
    <t>[6/30(월) 모니터링] 1. 주요 언론  - 1면 : ‘민주당 내각’… 與의원들이 절반 포진 - 尹측 “소환은 7월 3일 후로” 특검 “1일 나오라”</t>
  </si>
  <si>
    <t>https://blog.naver.com/PostView.naver?blogId=daummalgo&amp;logNo=223917178987&amp;redirect=Dlog&amp;widgetTypeCall=true&amp;directAccess=false</t>
  </si>
  <si>
    <t>2025년 6월의 독서기록과 메모일지</t>
  </si>
  <si>
    <t>https://blog.naver.com/PostView.naver?blogId=roadout&amp;logNo=223917121869&amp;redirect=Dlog&amp;widgetTypeCall=true&amp;directAccess=false</t>
  </si>
  <si>
    <t>레드베리</t>
  </si>
  <si>
    <t>전 세계 초능력에 대한 오컬트적 관점의 종합 보고</t>
  </si>
  <si>
    <t>https://blog.naver.com/PostView.naver?blogId=toriaya&amp;logNo=223901424662&amp;redirect=Dlog&amp;widgetTypeCall=true&amp;directAccess=false</t>
  </si>
  <si>
    <t>웹툰이머전시공작소</t>
  </si>
  <si>
    <t>‘샤오미15’ 국내 출시..."MBC·한겨레, 홍보는 우리에게 맡겨~"</t>
  </si>
  <si>
    <t>https://blog.naver.com/PostView.naver?blogId=js00lee2&amp;logNo=223917078231&amp;redirect=Dlog&amp;widgetTypeCall=true&amp;directAccess=false</t>
  </si>
  <si>
    <t>김푸르다</t>
  </si>
  <si>
    <t>나경원, 알찬 김밥 차려놓고 ‘웰빙 농성’…“자기정치병에 약 없다”</t>
  </si>
  <si>
    <t>https://blog.naver.com/PostView.naver?blogId=kkj55580&amp;logNo=223917013506&amp;redirect=Dlog&amp;widgetTypeCall=true&amp;directAccess=false</t>
  </si>
  <si>
    <t>김씨네</t>
  </si>
  <si>
    <t>PC방 죽돌이의 삶))</t>
  </si>
  <si>
    <t>https://blog.naver.com/PostView.naver?blogId=green7067&amp;logNo=223916971494&amp;redirect=Dlog&amp;widgetTypeCall=true&amp;directAccess=false</t>
  </si>
  <si>
    <t>파도의 일</t>
  </si>
  <si>
    <t>[From, 250630] 여행 기록</t>
  </si>
  <si>
    <t>https://blog.naver.com/PostView.naver?blogId=jaehyung137&amp;logNo=223916863157&amp;redirect=Dlog&amp;widgetTypeCall=true&amp;directAccess=false</t>
  </si>
  <si>
    <t>“"요즘 한국에 퍼지는 계층 붕괴 현상" 이게 심각하다는 사실 조차 모른다. 모두가 가난해지는 시대 온다 (조현승 박사 / 1부)” 의 영상 요약</t>
  </si>
  <si>
    <t>https://blog.naver.com/PostView.naver?blogId=lucidjun&amp;logNo=223916531747&amp;redirect=Dlog&amp;widgetTypeCall=true&amp;directAccess=false</t>
  </si>
  <si>
    <t>뭉크스</t>
  </si>
  <si>
    <t>돌봄의 응달에서</t>
  </si>
  <si>
    <t>https://blog.naver.com/PostView.naver?blogId=jyanis1&amp;logNo=223916368016&amp;redirect=Dlog&amp;widgetTypeCall=true&amp;directAccess=false</t>
  </si>
  <si>
    <t>두쿠</t>
  </si>
  <si>
    <t>[단독] 내란특검, 윤석열 혐의 추가…‘국무위원에 직권남용’ 수사 중</t>
  </si>
  <si>
    <t>https://blog.naver.com/PostView.naver?blogId=darrel09&amp;logNo=223916245270&amp;redirect=Dlog&amp;widgetTypeCall=true&amp;directAccess=false</t>
  </si>
  <si>
    <t>왜 기자는 기레기가 됐나?</t>
  </si>
  <si>
    <t>https://blog.naver.com/PostView.naver?blogId=travis88&amp;logNo=223915935080&amp;redirect=Dlog&amp;widgetTypeCall=true&amp;directAccess=false</t>
  </si>
  <si>
    <t>[정치 뉴스] 李대통령, 검찰개혁 고강도 드라이브… ‘정·윤·봉’ 꺼내 들었다</t>
  </si>
  <si>
    <t>https://blog.naver.com/PostView.naver?blogId=news-dotcom&amp;logNo=223916180642&amp;redirect=Dlog&amp;widgetTypeCall=true&amp;directAccess=false</t>
  </si>
  <si>
    <t>김어준의 겸손은 힘들다 뉴스공장 2025년 6월 30일 &amp; 만평+Shorts</t>
  </si>
  <si>
    <t>https://blog.naver.com/PostView.naver?blogId=javenuee&amp;logNo=223915894100&amp;redirect=Dlog&amp;widgetTypeCall=true&amp;directAccess=false</t>
  </si>
  <si>
    <t>조국 전 대표의 옥중 편지, ‘검찰개혁’ 인사 비판…이재명 정부의 인선 시험대에 오르다</t>
  </si>
  <si>
    <t>https://blog.naver.com/PostView.naver?blogId=underwind-&amp;logNo=223916169953&amp;redirect=Dlog&amp;widgetTypeCall=true&amp;directAccess=false</t>
  </si>
  <si>
    <t>25년 6월 30일 오늘의 주요 경제 뉴스</t>
  </si>
  <si>
    <t>https://blog.naver.com/PostView.naver?blogId=kallikles&amp;logNo=223916131223&amp;redirect=Dlog&amp;widgetTypeCall=true&amp;directAccess=false</t>
  </si>
  <si>
    <t>한겨레21 / 1567 / 25.6.16.</t>
  </si>
  <si>
    <t>https://blog.naver.com/PostView.naver?blogId=yujmmm&amp;logNo=223916128551&amp;redirect=Dlog&amp;widgetTypeCall=true&amp;directAccess=false</t>
  </si>
  <si>
    <t>죽을 각오라면 산다</t>
  </si>
  <si>
    <t>최효진의 세상이야기</t>
  </si>
  <si>
    <t>https://blog.naver.com/PostView.naver?blogId=petercskim01&amp;logNo=223916123828&amp;redirect=Dlog&amp;widgetTypeCall=true&amp;directAccess=false</t>
  </si>
  <si>
    <t>나야다이앤</t>
  </si>
  <si>
    <t>세 여인 - 조선희</t>
  </si>
  <si>
    <t>https://blog.naver.com/PostView.naver?blogId=dianne_cho14&amp;logNo=223916003248&amp;redirect=Dlog&amp;widgetTypeCall=true&amp;directAccess=false</t>
  </si>
  <si>
    <t>시간은 추억이고 몰입이며 생</t>
  </si>
  <si>
    <t>https://blog.naver.com/PostView.naver?blogId=kje06&amp;logNo=223915952962&amp;redirect=Dlog&amp;widgetTypeCall=true&amp;directAccess=false</t>
  </si>
  <si>
    <t>7세, 세상을 커다란 놀이공원처럼 느껴야 하는 나이</t>
  </si>
  <si>
    <t>https://blog.naver.com/PostView.naver?blogId=kje06&amp;logNo=223915949946&amp;redirect=Dlog&amp;widgetTypeCall=true&amp;directAccess=false</t>
  </si>
  <si>
    <t>〔5639〕  수술대 오른 퇴직급여, ‘연금퍼즐’ 풀릴까/ 황보연 논설위원/ 한겨레 2025. 6. 29.</t>
  </si>
  <si>
    <t>https://blog.naver.com/PostView.naver?blogId=kje06&amp;logNo=223915937251&amp;redirect=Dlog&amp;widgetTypeCall=true&amp;directAccess=false</t>
  </si>
  <si>
    <t>[자산배분] 이재명정부의 새 인선</t>
  </si>
  <si>
    <t>https://blog.naver.com/PostView.naver?blogId=star_of_self&amp;logNo=223915798117&amp;redirect=Dlog&amp;widgetTypeCall=true&amp;directAccess=false</t>
  </si>
  <si>
    <t>hanbaljjak</t>
  </si>
  <si>
    <t>2025서울국제도서전과 한일문화교류 동행 콘서트</t>
  </si>
  <si>
    <t>https://blog.naver.com/PostView.naver?blogId=verticalgardening&amp;logNo=223915703886&amp;redirect=Dlog&amp;widgetTypeCall=true&amp;directAccess=false</t>
  </si>
  <si>
    <t>솔한나</t>
  </si>
  <si>
    <t>2025년 서울 아파트 시장 구조 변화와 연동된 국내주식 폭등·폭락 가능 종목 분석</t>
  </si>
  <si>
    <t>https://blog.naver.com/PostView.naver?blogId=g901gg&amp;logNo=223915671646&amp;redirect=Dlog&amp;widgetTypeCall=true&amp;directAccess=false</t>
  </si>
  <si>
    <t>작가y</t>
  </si>
  <si>
    <t>문학동네 신인문학상, 창비 신인문학상 투고</t>
  </si>
  <si>
    <t>https://blog.naver.com/PostView.naver?blogId=cosmic224&amp;logNo=223915668724&amp;redirect=Dlog&amp;widgetTypeCall=true&amp;directAccess=false</t>
  </si>
  <si>
    <t>나경원 국회 철야농성…"캠핑, 바캉스 같다"</t>
  </si>
  <si>
    <t>https://blog.naver.com/PostView.naver?blogId=lkl7383&amp;logNo=223915661023&amp;redirect=Dlog&amp;widgetTypeCall=true&amp;directAccess=false</t>
  </si>
  <si>
    <t>깊은강</t>
  </si>
  <si>
    <t>비 온 뒤, 윌리엄 트레버</t>
  </si>
  <si>
    <t>https://blog.naver.com/PostView.naver?blogId=cleardeep&amp;logNo=223915590985&amp;redirect=Dlog&amp;widgetTypeCall=true&amp;directAccess=false</t>
  </si>
  <si>
    <t>이선생 칼럼 ~ 정치 돋보기님의 오늘자 이재명, 윤석열 소식. 이 대통령, 골목상권 살아야 경제 살고 민생 산다. 첫 특검 조사 받고 나온 윤석열의 표정관리란?</t>
  </si>
  <si>
    <t>https://blog.naver.com/PostView.naver?blogId=wishut3281&amp;logNo=223915581036&amp;redirect=Dlog&amp;widgetTypeCall=true&amp;directAccess=false</t>
  </si>
  <si>
    <t>우원식 국회의장 “국회 ‘로텐더홀’, 잘못된 이름 바꾸겠다”</t>
  </si>
  <si>
    <t>https://blog.naver.com/PostView.naver?blogId=koolap&amp;logNo=223915545762&amp;redirect=Dlog&amp;widgetTypeCall=true&amp;directAccess=false</t>
  </si>
  <si>
    <t>김용일</t>
  </si>
  <si>
    <t>나경원 웰빙 농성</t>
  </si>
  <si>
    <t>https://blog.naver.com/PostView.naver?blogId=kywcn&amp;logNo=223915501902&amp;redirect=Dlog&amp;widgetTypeCall=true&amp;directAccess=false</t>
  </si>
  <si>
    <t>고도</t>
  </si>
  <si>
    <t>부동산 초강력' 정책에 조선 "소비자 아우성" 한겨레 "급등세 꺾일 것"</t>
  </si>
  <si>
    <t>https://blog.naver.com/PostView.naver?blogId=reach8011&amp;logNo=223915490599&amp;redirect=Dlog&amp;widgetTypeCall=true&amp;directAccess=false</t>
  </si>
  <si>
    <t>아인소프</t>
  </si>
  <si>
    <t>맑은 영류</t>
  </si>
  <si>
    <t>https://blog.naver.com/PostView.naver?blogId=happylife862&amp;logNo=223915450582&amp;redirect=Dlog&amp;widgetTypeCall=true&amp;directAccess=false</t>
  </si>
  <si>
    <t>호동</t>
  </si>
  <si>
    <t>아! 백두산</t>
  </si>
  <si>
    <t>https://blog.naver.com/PostView.naver?blogId=hodong21&amp;logNo=223915440614&amp;redirect=Dlog&amp;widgetTypeCall=true&amp;directAccess=false</t>
  </si>
  <si>
    <t>아카도라</t>
  </si>
  <si>
    <t>탱크   - 김희재</t>
  </si>
  <si>
    <t>https://blog.naver.com/PostView.naver?blogId=kindlove1212&amp;logNo=223915438323&amp;redirect=Dlog&amp;widgetTypeCall=true&amp;directAccess=false</t>
  </si>
  <si>
    <t>풍래수면시</t>
  </si>
  <si>
    <t>250629 - 효율적 시장 가설 이론은 틀렸다. 구조적인 전환에 주목하자. 부동산 숏, 한국주식 롱, 알트코인 가치투자가 가능한 이유</t>
  </si>
  <si>
    <t>https://blog.naver.com/PostView.naver?blogId=fromis9__&amp;logNo=223915425435&amp;redirect=Dlog&amp;widgetTypeCall=true&amp;directAccess=false</t>
  </si>
  <si>
    <t>헤일리</t>
  </si>
  <si>
    <t>&lt;그림책 활동 수업-뚱딴지 선생님과 재미있게 배우는&gt;(김혜진) 학교도서관저널 초등그림책 수업</t>
  </si>
  <si>
    <t>https://blog.naver.com/PostView.naver?blogId=starter0108&amp;logNo=223915349048&amp;redirect=Dlog&amp;widgetTypeCall=true&amp;directAccess=false</t>
  </si>
  <si>
    <t>**PD수첩, 윤석열 계엄선포 발언 보도를 통해 본 언론의 역할과 책임**</t>
  </si>
  <si>
    <t>https://blog.naver.com/PostView.naver?blogId=ormaverh-m&amp;logNo=223915284525&amp;redirect=Dlog&amp;widgetTypeCall=true&amp;directAccess=false</t>
  </si>
  <si>
    <t>[공식]새날 ~ 정치 돋보기님의 오늘자 이재명, 윤석열 소식. 특검 출석 땡깡 부리는 윤석열부터, 휠체어 퇴원 퍼포먼스 부리는 김건희까지... 관용이고 특혜필요없다. 구속시켜라</t>
  </si>
  <si>
    <t>https://blog.naver.com/PostView.naver?blogId=wishut3281&amp;logNo=223915177384&amp;redirect=Dlog&amp;widgetTypeCall=true&amp;directAccess=false</t>
  </si>
  <si>
    <t>나지</t>
  </si>
  <si>
    <t>시간이란 마치 길들여야 할 한 마리 나태한 짐승 같지 않은가</t>
  </si>
  <si>
    <t>https://blog.naver.com/PostView.naver?blogId=n_n_jina&amp;logNo=223915118024&amp;redirect=Dlog&amp;widgetTypeCall=true&amp;directAccess=false</t>
  </si>
  <si>
    <t>오코</t>
  </si>
  <si>
    <t>2025년 서울국제도서전 후기 겸 구입한 책 정리</t>
  </si>
  <si>
    <t>https://blog.naver.com/PostView.naver?blogId=oko_record&amp;logNo=223914986662&amp;redirect=Dlog&amp;widgetTypeCall=true&amp;directAccess=false</t>
  </si>
  <si>
    <t>도서출판 귀거래사</t>
  </si>
  <si>
    <t>차마 하지 않는 말</t>
  </si>
  <si>
    <t>https://blog.naver.com/PostView.naver?blogId=palma59&amp;logNo=223914918780&amp;redirect=Dlog&amp;widgetTypeCall=true&amp;directAccess=false</t>
  </si>
  <si>
    <t>호랑</t>
  </si>
  <si>
    <t>6/18(수) ~ 6/20(금) 광주광역시 여행 (1)</t>
  </si>
  <si>
    <t>https://blog.naver.com/PostView.naver?blogId=dearho1296&amp;logNo=223914876606&amp;redirect=Dlog&amp;widgetTypeCall=true&amp;directAccess=false</t>
  </si>
  <si>
    <t>최고경영자</t>
  </si>
  <si>
    <t>백기행과 김영한의 사랑, 그리고 길상사 !!</t>
  </si>
  <si>
    <t>https://blog.naver.com/PostView.naver?blogId=ageonguard&amp;logNo=223914641136&amp;redirect=Dlog&amp;widgetTypeCall=true&amp;directAccess=false</t>
  </si>
  <si>
    <t>퍼즐한조각</t>
  </si>
  <si>
    <t>111. 20250619</t>
  </si>
  <si>
    <t>https://blog.naver.com/PostView.naver?blogId=nongrim&amp;logNo=223914598892&amp;redirect=Dlog&amp;widgetTypeCall=true&amp;directAccess=false</t>
  </si>
  <si>
    <t>메멘토 모리</t>
  </si>
  <si>
    <t>한겨레는 거른다.</t>
  </si>
  <si>
    <t>https://blog.naver.com/PostView.naver?blogId=ani9907&amp;logNo=223914525006&amp;redirect=Dlog&amp;widgetTypeCall=true&amp;directAccess=false</t>
  </si>
  <si>
    <t>아라한</t>
  </si>
  <si>
    <t>대온실 수리 보고서</t>
  </si>
  <si>
    <t>https://blog.naver.com/PostView.naver?blogId=livertty&amp;logNo=223914411648&amp;redirect=Dlog&amp;widgetTypeCall=true&amp;directAccess=false</t>
  </si>
  <si>
    <t>CineAho</t>
  </si>
  <si>
    <t>한국 세대 갈등의 사회적 구조와 세계적 비교</t>
  </si>
  <si>
    <t>https://blog.naver.com/PostView.naver?blogId=sineaho&amp;logNo=223911974853&amp;redirect=Dlog&amp;widgetTypeCall=true&amp;directAccess=false</t>
  </si>
  <si>
    <t>곽카몰리</t>
  </si>
  <si>
    <t>서울 다크투어 가볼만한곳 무료데이트 코스 추천~</t>
  </si>
  <si>
    <t>https://blog.naver.com/PostView.naver?blogId=kwacamole&amp;logNo=223914267719&amp;redirect=Dlog&amp;widgetTypeCall=true&amp;directAccess=false</t>
  </si>
  <si>
    <t>소</t>
  </si>
  <si>
    <t>근근이 읽다</t>
  </si>
  <si>
    <t>https://blog.naver.com/PostView.naver?blogId=cellist73&amp;logNo=223914240506&amp;redirect=Dlog&amp;widgetTypeCall=true&amp;directAccess=false</t>
  </si>
  <si>
    <t>헐크 HULK</t>
  </si>
  <si>
    <t>2025년 두번째 동클 모임(6월 27일, 금)</t>
  </si>
  <si>
    <t>https://blog.naver.com/PostView.naver?blogId=ktlee5483&amp;logNo=223914200740&amp;redirect=Dlog&amp;widgetTypeCall=true&amp;directAccess=false</t>
  </si>
  <si>
    <t>비오는수요일</t>
  </si>
  <si>
    <t>대출규제와 서민</t>
  </si>
  <si>
    <t>https://blog.naver.com/PostView.naver?blogId=another38&amp;logNo=223914165708&amp;redirect=Dlog&amp;widgetTypeCall=true&amp;directAccess=false</t>
  </si>
  <si>
    <t>김용승 영등포 행복</t>
  </si>
  <si>
    <t>소유</t>
  </si>
  <si>
    <t>비열함이 인생 중에 높임을 받는 때에 악인들이 곳곳에서 날뛰는도다</t>
  </si>
  <si>
    <t>https://blog.naver.com/PostView.naver?blogId=raceyoo&amp;logNo=223913746563&amp;redirect=Dlog&amp;widgetTypeCall=true&amp;directAccess=false</t>
  </si>
  <si>
    <t>[한겨레] [단독] 장애인 보조견 막아도 신고 ‘험난’…최근 5년 과태료 18건뿐인 이유(25.06.27)</t>
  </si>
  <si>
    <t>https://blog.naver.com/PostView.naver?blogId=m2hwaseo&amp;logNo=223913715160&amp;redirect=Dlog&amp;widgetTypeCall=true&amp;directAccess=false</t>
  </si>
  <si>
    <t>재하</t>
  </si>
  <si>
    <t>2025 서울국제도서전 마지막날 짧은 후기</t>
  </si>
  <si>
    <t>https://blog.naver.com/PostView.naver?blogId=leejaehada&amp;logNo=223913652668&amp;redirect=Dlog&amp;widgetTypeCall=true&amp;directAccess=false</t>
  </si>
  <si>
    <t>“김민석은 되고 한덕수는 왜 욕먹었나?”…여론 흐름의 결정적 차이 3가지</t>
  </si>
  <si>
    <t>https://blog.naver.com/PostView.naver?blogId=hw2979&amp;logNo=223913556695&amp;redirect=Dlog&amp;widgetTypeCall=true&amp;directAccess=false</t>
  </si>
  <si>
    <t>세상에서 가장 파렴치한을 꼽으라고 한다면…</t>
  </si>
  <si>
    <t>https://blog.naver.com/PostView.naver?blogId=yujmmm&amp;logNo=223913405080&amp;redirect=Dlog&amp;widgetTypeCall=true&amp;directAccess=false</t>
  </si>
  <si>
    <t>20250627 세계일보, 조선일보, 한겨레신문 사설 요약 및 분석</t>
  </si>
  <si>
    <t>https://blog.naver.com/PostView.naver?blogId=junlee915&amp;logNo=223913323656&amp;redirect=Dlog&amp;widgetTypeCall=true&amp;directAccess=false</t>
  </si>
  <si>
    <t>holly1998</t>
  </si>
  <si>
    <t>직무급! '동일노동 동일임금'</t>
  </si>
  <si>
    <t>https://blog.naver.com/PostView.naver?blogId=holly1998&amp;logNo=223913306313&amp;redirect=Dlog&amp;widgetTypeCall=true&amp;directAccess=false</t>
  </si>
  <si>
    <t>아이러브캐릭터</t>
  </si>
  <si>
    <t>MBC 라디오 시사 ~ 시사건건님의 오늘자 이재명, 윤석열 소식. 거짓으로 드러난 윤석열의 이재명 죽이기, 세상이 윤석열과 김건희에게 가혹하고 이재명에게는 빛의 꽃길이 있다.</t>
  </si>
  <si>
    <t>https://blog.naver.com/PostView.naver?blogId=wishut3281&amp;logNo=223913234214&amp;redirect=Dlog&amp;widgetTypeCall=true&amp;directAccess=false</t>
  </si>
  <si>
    <t>시사IN(시사인) ~ 울산MBC뉴스님의 오늘자 이재명, 윤석열 소식. 민생추경, 국민 삶을 지키는 국민주권정부와 함께 살아간다</t>
  </si>
  <si>
    <t>https://blog.naver.com/PostView.naver?blogId=wishut3281&amp;logNo=223913198781&amp;redirect=Dlog&amp;widgetTypeCall=true&amp;directAccess=false</t>
  </si>
  <si>
    <t>25년 6월 27일 오늘의 주요 경제 뉴스</t>
  </si>
  <si>
    <t>https://blog.naver.com/PostView.naver?blogId=kallikles&amp;logNo=223913185418&amp;redirect=Dlog&amp;widgetTypeCall=true&amp;directAccess=false</t>
  </si>
  <si>
    <t>2025년 6월 26일, "이재명 대통령, 변화 바라는 국민 희망 우리 헌법 더 풍요롭게"에 대한 X 반응</t>
  </si>
  <si>
    <t>https://blog.naver.com/PostView.naver?blogId=shinswoong75&amp;logNo=223912955829&amp;redirect=Dlog&amp;widgetTypeCall=true&amp;directAccess=false</t>
  </si>
  <si>
    <t>2025년 6월 26일, "오늘 첫 규제합리화 TF 회의 진행"에 대한 X 반응</t>
  </si>
  <si>
    <t>https://blog.naver.com/PostView.naver?blogId=shinswoong75&amp;logNo=223912943282&amp;redirect=Dlog&amp;widgetTypeCall=true&amp;directAccess=false</t>
  </si>
  <si>
    <t>2025년 6월 26일, "국정기획위원회 대변인 브리핑"에 대한 X반응</t>
  </si>
  <si>
    <t>https://blog.naver.com/PostView.naver?blogId=shinswoong75&amp;logNo=223912940068&amp;redirect=Dlog&amp;widgetTypeCall=true&amp;directAccess=false</t>
  </si>
  <si>
    <t>투유맘</t>
  </si>
  <si>
    <t>나의 아름다운 정원, 심윤경</t>
  </si>
  <si>
    <t>https://blog.naver.com/PostView.naver?blogId=f177117&amp;logNo=223912914135&amp;redirect=Dlog&amp;widgetTypeCall=true&amp;directAccess=false</t>
  </si>
  <si>
    <t>한겨레중고등학교: 한겨레중고-서울강남구자원봉사센터 업무협약식</t>
  </si>
  <si>
    <t>https://blog.naver.com/PostView.naver?blogId=happytogether123&amp;logNo=223912856685&amp;redirect=Dlog&amp;widgetTypeCall=true&amp;directAccess=false</t>
  </si>
  <si>
    <t>미니님 사진가 민</t>
  </si>
  <si>
    <t>마포구 공덕동 - 만리재가 평지가 되고 있다.만리시장입구-주민센터-골목길-한겨레신문사-성우이용원-서울역</t>
  </si>
  <si>
    <t>https://blog.naver.com/PostView.naver?blogId=axl96&amp;logNo=223912828337&amp;redirect=Dlog&amp;widgetTypeCall=true&amp;directAccess=false</t>
  </si>
  <si>
    <t>섭 수학과학학원</t>
  </si>
  <si>
    <t>2025년 6월 26일 교육뉴스</t>
  </si>
  <si>
    <t>https://blog.naver.com/PostView.naver?blogId=supmath84&amp;logNo=223912645601&amp;redirect=Dlog&amp;widgetTypeCall=true&amp;directAccess=false</t>
  </si>
  <si>
    <t>찾아가는 여행</t>
  </si>
  <si>
    <t>활성산소를 잠재우는 식탁 위의 백신</t>
  </si>
  <si>
    <t>https://blog.naver.com/PostView.naver?blogId=qman1003&amp;logNo=223912549999&amp;redirect=Dlog&amp;widgetTypeCall=true&amp;directAccess=false</t>
  </si>
  <si>
    <t>마을과 돌봄 아카데미 - 죽음을 준비하는 삶 성찰</t>
  </si>
  <si>
    <t>https://blog.naver.com/PostView.naver?blogId=pnukmed10&amp;logNo=223912385645&amp;redirect=Dlog&amp;widgetTypeCall=true&amp;directAccess=false</t>
  </si>
  <si>
    <t>tiffany117</t>
  </si>
  <si>
    <t>한겨레출판</t>
  </si>
  <si>
    <t>한국일보문학상·한무숙문학상 수상 작가 최제훈 신작 소설! - 《아뇨, 아무것도》 출간</t>
  </si>
  <si>
    <t>https://blog.naver.com/PostView.naver?blogId=hani_book&amp;logNo=223912362541&amp;redirect=Dlog&amp;widgetTypeCall=true&amp;directAccess=false</t>
  </si>
  <si>
    <t>미호랑</t>
  </si>
  <si>
    <t>김금희 산문 - 나의 폴라 일지</t>
  </si>
  <si>
    <t>https://blog.naver.com/PostView.naver?blogId=miky_perky&amp;logNo=223912245776&amp;redirect=Dlog&amp;widgetTypeCall=true&amp;directAccess=false</t>
  </si>
  <si>
    <t>꼰대선생 틈틈이</t>
  </si>
  <si>
    <t>이로운 보수 의로운 진보 / 최강욱, 최강혁</t>
  </si>
  <si>
    <t>https://blog.naver.com/PostView.naver?blogId=w0752&amp;logNo=223910070050&amp;redirect=Dlog&amp;widgetTypeCall=true&amp;directAccess=false</t>
  </si>
  <si>
    <t>정우혁</t>
  </si>
  <si>
    <t>농업에 풍년이 들었다. 농부의 총수입이 어떻게 될 것인지를 탄력성과 관련하여 서술</t>
  </si>
  <si>
    <t>https://blog.naver.com/PostView.naver?blogId=tosk1902&amp;logNo=223912164260&amp;redirect=Dlog&amp;widgetTypeCall=true&amp;directAccess=false</t>
  </si>
  <si>
    <t>산골내음</t>
  </si>
  <si>
    <t>독서모임 면과면 / 나는 부모를 버렸습니다. 정희승(24)</t>
  </si>
  <si>
    <t>https://blog.naver.com/PostView.naver?blogId=lucia9550&amp;logNo=223912126205&amp;redirect=Dlog&amp;widgetTypeCall=true&amp;directAccess=false</t>
  </si>
  <si>
    <t>yyjjss3081</t>
  </si>
  <si>
    <t>[충청대세뉴스] 아산시, 6월 행복아산 시민아카데미 성료</t>
  </si>
  <si>
    <t>https://blog.naver.com/PostView.naver?blogId=yyjjss3081&amp;logNo=223912029562&amp;redirect=Dlog&amp;widgetTypeCall=true&amp;directAccess=false</t>
  </si>
  <si>
    <t>김용민TV ~ [공식]새날님의 오늘자 이재명, 윤석열 소식. 절대 권력의 추악한 몰락..  지옥의 문이 열린다.</t>
  </si>
  <si>
    <t>https://blog.naver.com/PostView.naver?blogId=wishut3281&amp;logNo=223912005387&amp;redirect=Dlog&amp;widgetTypeCall=true&amp;directAccess=false</t>
  </si>
  <si>
    <t>이은주</t>
  </si>
  <si>
    <t>일곱살 아이 닮은 인형에 센서 내장 어르신들이 토닥이면 ‘쌍방향 교감</t>
  </si>
  <si>
    <t>https://blog.naver.com/PostView.naver?blogId=kyahak&amp;logNo=223911999721&amp;redirect=Dlog&amp;widgetTypeCall=true&amp;directAccess=false</t>
  </si>
  <si>
    <t>기억남기기</t>
  </si>
  <si>
    <t>한국 옷 인도서 소각, 환경 오염 심화와 글로벌 문제</t>
  </si>
  <si>
    <t>https://blog.naver.com/PostView.naver?blogId=tyifsk0531&amp;logNo=223911970088&amp;redirect=Dlog&amp;widgetTypeCall=true&amp;directAccess=false</t>
  </si>
  <si>
    <t>이승하</t>
  </si>
  <si>
    <t>미당 서정주, 그 인간과 문학</t>
  </si>
  <si>
    <t>https://blog.naver.com/PostView.naver?blogId=shpoem&amp;logNo=223911970004&amp;redirect=Dlog&amp;widgetTypeCall=true&amp;directAccess=false</t>
  </si>
  <si>
    <t>유이</t>
  </si>
  <si>
    <t>6월은 책의 달 :: 서울국제도서전 &amp; 국립어린이 청소년 도서관 방문 후기.</t>
  </si>
  <si>
    <t>https://blog.naver.com/PostView.naver?blogId=yuitokoi&amp;logNo=223911813228&amp;redirect=Dlog&amp;widgetTypeCall=true&amp;directAccess=false</t>
  </si>
  <si>
    <t>이윤재 시인 수필가</t>
  </si>
  <si>
    <t>이재명 대통령의 광주 군공항 무안 이전 추진과 상무지구 주택가격에 미치는 영향</t>
  </si>
  <si>
    <t>https://blog.naver.com/PostView.naver?blogId=kacipi&amp;logNo=223911645028&amp;redirect=Dlog&amp;widgetTypeCall=true&amp;directAccess=false</t>
  </si>
  <si>
    <t>개졸려</t>
  </si>
  <si>
    <t>2025 서울 국제 도서전 일요일; 이제 출판사와 낯가림은 끝</t>
  </si>
  <si>
    <t>https://blog.naver.com/PostView.naver?blogId=v_of_interests&amp;logNo=223911497945&amp;redirect=Dlog&amp;widgetTypeCall=true&amp;directAccess=false</t>
  </si>
  <si>
    <t>살몽혼</t>
  </si>
  <si>
    <t>무라카미 하루키</t>
  </si>
  <si>
    <t>https://blog.naver.com/PostView.naver?blogId=zerokc&amp;logNo=223911497153&amp;redirect=Dlog&amp;widgetTypeCall=true&amp;directAccess=false</t>
  </si>
  <si>
    <t>Jinnnny</t>
  </si>
  <si>
    <t>2025 서울국제도서전 믿을 구석 첫방문 후기</t>
  </si>
  <si>
    <t>https://blog.naver.com/PostView.naver?blogId=aug_18th&amp;logNo=223911459528&amp;redirect=Dlog&amp;widgetTypeCall=true&amp;directAccess=false</t>
  </si>
  <si>
    <t>Dunn</t>
  </si>
  <si>
    <t>김희재 [탱크]</t>
  </si>
  <si>
    <t>https://blog.naver.com/PostView.naver?blogId=dunn1052&amp;logNo=223911334932&amp;redirect=Dlog&amp;widgetTypeCall=true&amp;directAccess=false</t>
  </si>
  <si>
    <t>김건희 여사 체포영장, 전직 대통령 부부의 초유의 상황</t>
  </si>
  <si>
    <t>https://blog.naver.com/PostView.naver?blogId=dbghwns2&amp;logNo=223911219254&amp;redirect=Dlog&amp;widgetTypeCall=true&amp;directAccess=false</t>
  </si>
  <si>
    <t>jhc6503</t>
  </si>
  <si>
    <t>3줄쓰기 21: "기억하지 않는 6.25"(250625)</t>
  </si>
  <si>
    <t>https://blog.naver.com/PostView.naver?blogId=jhc6503&amp;logNo=223911020595&amp;redirect=Dlog&amp;widgetTypeCall=true&amp;directAccess=false</t>
  </si>
  <si>
    <t>마저 타지 못한 불꽃이 너 하나 뿐이더냐?</t>
  </si>
  <si>
    <t>https://blog.naver.com/PostView.naver?blogId=yujmmm&amp;logNo=223910942733&amp;redirect=Dlog&amp;widgetTypeCall=true&amp;directAccess=false</t>
  </si>
  <si>
    <t>BTS 슈가 연세대학교 자폐아동센터 50억 기부 배경</t>
  </si>
  <si>
    <t>https://blog.naver.com/PostView.naver?blogId=newyorkmanhattan&amp;logNo=223910850270&amp;redirect=Dlog&amp;widgetTypeCall=true&amp;directAccess=false</t>
  </si>
  <si>
    <t>봄날의 햇살</t>
  </si>
  <si>
    <t>https://blog.naver.com/PostView.naver?blogId=joyao93&amp;logNo=223910829803&amp;redirect=Dlog&amp;widgetTypeCall=true&amp;directAccess=false</t>
  </si>
  <si>
    <t>전지우</t>
  </si>
  <si>
    <t>미지의 서울</t>
  </si>
  <si>
    <t>https://blog.naver.com/PostView.naver?blogId=smchun74&amp;logNo=223910810552&amp;redirect=Dlog&amp;widgetTypeCall=true&amp;directAccess=false</t>
  </si>
  <si>
    <t>[6/25(수) 모니터링] 1. 주요 언론 - 1면 : “왜 송미령인가…” 李대통령 농림장관 유임에 與도 野도 부글</t>
  </si>
  <si>
    <t>https://blog.naver.com/PostView.naver?blogId=daummalgo&amp;logNo=223910803026&amp;redirect=Dlog&amp;widgetTypeCall=true&amp;directAccess=false</t>
  </si>
  <si>
    <t>캔디</t>
  </si>
  <si>
    <t>수직적 세계관, 사회운동도 바뀌어야</t>
  </si>
  <si>
    <t>https://blog.naver.com/PostView.naver?blogId=anyoneunion&amp;logNo=223910743567&amp;redirect=Dlog&amp;widgetTypeCall=true&amp;directAccess=false</t>
  </si>
  <si>
    <t>이재명 시장 “나라면 정청래처럼 말하지 않았을 것</t>
  </si>
  <si>
    <t>https://blog.naver.com/PostView.naver?blogId=jhannes&amp;logNo=223910683343&amp;redirect=Dlog&amp;widgetTypeCall=true&amp;directAccess=false</t>
  </si>
  <si>
    <t>elmar</t>
  </si>
  <si>
    <t>안탈리아 구시가</t>
  </si>
  <si>
    <t>https://blog.naver.com/PostView.naver?blogId=elmar73&amp;logNo=223910610704&amp;redirect=Dlog&amp;widgetTypeCall=true&amp;directAccess=false</t>
  </si>
  <si>
    <t>Log</t>
  </si>
  <si>
    <t>[오늘의 글] 국제도서전에서 받은 '한겨레 신문'</t>
  </si>
  <si>
    <t>https://blog.naver.com/PostView.naver?blogId=rladmsgp744&amp;logNo=223910509927&amp;redirect=Dlog&amp;widgetTypeCall=true&amp;directAccess=false</t>
  </si>
  <si>
    <t>Architect SY</t>
  </si>
  <si>
    <t>1998-2025년 서울 및 수도권 아파트 가격 변동의 요인과 관계 분석</t>
  </si>
  <si>
    <t>https://blog.naver.com/PostView.naver?blogId=moidesign&amp;logNo=223910490441&amp;redirect=Dlog&amp;widgetTypeCall=true&amp;directAccess=false</t>
  </si>
  <si>
    <t>읶끼</t>
  </si>
  <si>
    <t>도서전에 가면 시집도 있고 ♫</t>
  </si>
  <si>
    <t>https://blog.naver.com/PostView.naver?blogId=lucia253&amp;logNo=223910426031&amp;redirect=Dlog&amp;widgetTypeCall=true&amp;directAccess=false</t>
  </si>
  <si>
    <t>예리</t>
  </si>
  <si>
    <t>2025 서울 국제도서전</t>
  </si>
  <si>
    <t>https://blog.naver.com/PostView.naver?blogId=dukvegi5&amp;logNo=223910355497&amp;redirect=Dlog&amp;widgetTypeCall=true&amp;directAccess=false</t>
  </si>
  <si>
    <t>김 한기</t>
  </si>
  <si>
    <t>우리 안의 절대악, 조선일보.</t>
  </si>
  <si>
    <t>https://blog.naver.com/PostView.naver?blogId=sisi2621&amp;logNo=223910219560&amp;redirect=Dlog&amp;widgetTypeCall=true&amp;directAccess=false</t>
  </si>
  <si>
    <t>수리동동</t>
  </si>
  <si>
    <t>삼삼한 글쓰기-간단 자기소개</t>
  </si>
  <si>
    <t>https://blog.naver.com/PostView.naver?blogId=glgrimm&amp;logNo=223910196369&amp;redirect=Dlog&amp;widgetTypeCall=true&amp;directAccess=false</t>
  </si>
  <si>
    <t>순수한시선</t>
  </si>
  <si>
    <t>후쿠시마 오염수보다 위험한 북한 김정은 핵폐수 방류. 서울 한강 인천 서해 등 방사능 피폭 피해 위성사진 미국 대응.</t>
  </si>
  <si>
    <t>https://blog.naver.com/PostView.naver?blogId=start-928&amp;logNo=223910161520&amp;redirect=Dlog&amp;widgetTypeCall=true&amp;directAccess=false</t>
  </si>
  <si>
    <t>기산 노희상</t>
  </si>
  <si>
    <t>백두산은 말한다</t>
  </si>
  <si>
    <t>https://blog.naver.com/PostView.naver?blogId=sang5900&amp;logNo=223910101104&amp;redirect=Dlog&amp;widgetTypeCall=true&amp;directAccess=false</t>
  </si>
  <si>
    <t>서다운</t>
  </si>
  <si>
    <t>[한겨레] 민주당, 사전투표소 앞 카메라 설치한 부정선거론자들 경찰 고발</t>
  </si>
  <si>
    <t>https://blog.naver.com/PostView.naver?blogId=vitominc&amp;logNo=223910061993&amp;redirect=Dlog&amp;widgetTypeCall=true&amp;directAccess=false</t>
  </si>
  <si>
    <t>one</t>
  </si>
  <si>
    <t>에세이 : 어린 개가 왔다 - 정이현 산문</t>
  </si>
  <si>
    <t>https://blog.naver.com/PostView.naver?blogId=blog_one&amp;logNo=223910003666&amp;redirect=Dlog&amp;widgetTypeCall=true&amp;directAccess=false</t>
  </si>
  <si>
    <t>셀</t>
  </si>
  <si>
    <t>2025 서울국제도서전 책 하울 : 하룰라라 가요~☁️</t>
  </si>
  <si>
    <t>https://blog.naver.com/PostView.naver?blogId=serrrra46&amp;logNo=223909971168&amp;redirect=Dlog&amp;widgetTypeCall=true&amp;directAccess=false</t>
  </si>
  <si>
    <t>은은한 온도</t>
  </si>
  <si>
    <t>나의 인터뷰, 기사에 실리다. | 글과 말이 더 넓은 세상으로.</t>
  </si>
  <si>
    <t>https://blog.naver.com/PostView.naver?blogId=enenhanondo&amp;logNo=223909961432&amp;redirect=Dlog&amp;widgetTypeCall=true&amp;directAccess=false</t>
  </si>
  <si>
    <t>나는 솔로' 성폭행 혐의 사건</t>
  </si>
  <si>
    <t>https://blog.naver.com/PostView.naver?blogId=newyorkmanhattan&amp;logNo=223909941451&amp;redirect=Dlog&amp;widgetTypeCall=true&amp;directAccess=false</t>
  </si>
  <si>
    <t>Zooe</t>
  </si>
  <si>
    <t>컴백 마이 홈타운</t>
  </si>
  <si>
    <t>https://blog.naver.com/PostView.naver?blogId=zooment_&amp;logNo=223909861782&amp;redirect=Dlog&amp;widgetTypeCall=true&amp;directAccess=false</t>
  </si>
  <si>
    <t>금채</t>
  </si>
  <si>
    <t>[ 2025 주간일기 ] 6월 3주 차, 선택하는 법</t>
  </si>
  <si>
    <t>https://blog.naver.com/PostView.naver?blogId=wjdrmaco_&amp;logNo=223909791714&amp;redirect=Dlog&amp;widgetTypeCall=true&amp;directAccess=false</t>
  </si>
  <si>
    <t>똑똑한 인포박스</t>
  </si>
  <si>
    <t>영화 '1987' 독재타도를 외치던 그날</t>
  </si>
  <si>
    <t>https://blog.naver.com/PostView.naver?blogId=office22201&amp;logNo=223909746276&amp;redirect=Dlog&amp;widgetTypeCall=true&amp;directAccess=false</t>
  </si>
  <si>
    <t>제로</t>
  </si>
  <si>
    <t>2025년 6월 23일까지의 기록 ( 독서주간, 서울국제도서전목요일, 독서모임 )</t>
  </si>
  <si>
    <t>https://blog.naver.com/PostView.naver?blogId=kssb6901&amp;logNo=223909728789&amp;redirect=Dlog&amp;widgetTypeCall=true&amp;directAccess=false</t>
  </si>
  <si>
    <t>[한겨레] 이충상 “김용원이 ‘야 이 xx야’ 폭언“…안창호 인권위원장 “고성 오간 건 사실”(25.06.24)</t>
  </si>
  <si>
    <t>https://blog.naver.com/PostView.naver?blogId=m2hwaseo&amp;logNo=223909715890&amp;redirect=Dlog&amp;widgetTypeCall=true&amp;directAccess=false</t>
  </si>
  <si>
    <t>채비</t>
  </si>
  <si>
    <t>[채비리포트] 지구 살리는 친환경 장례 이야기</t>
  </si>
  <si>
    <t>https://blog.naver.com/PostView.naver?blogId=chaebi_official&amp;logNo=223904844851&amp;redirect=Dlog&amp;widgetTypeCall=true&amp;directAccess=false</t>
  </si>
  <si>
    <t>열차 몰고 왔더니 장관 후보자, 노란봉투법 풀릴까:  슬로우레터 6월24일. [슬로우레터] 이정환</t>
  </si>
  <si>
    <t>https://blog.naver.com/PostView.naver?blogId=kimdaisuke&amp;logNo=223909526796&amp;redirect=Dlog&amp;widgetTypeCall=true&amp;directAccess=false</t>
  </si>
  <si>
    <t>“"한 달도 안남았다" 최대한 현금 늘려라. 또 다시 미국이 부러진다 | 이주택 교수 풀버전” 의 영상 요약</t>
  </si>
  <si>
    <t>https://blog.naver.com/PostView.naver?blogId=lucidjun&amp;logNo=223909505845&amp;redirect=Dlog&amp;widgetTypeCall=true&amp;directAccess=false</t>
  </si>
  <si>
    <t>행복디자이너 김재은</t>
  </si>
  <si>
    <t>달요일 인연가꿈!</t>
  </si>
  <si>
    <t>https://blog.naver.com/PostView.naver?blogId=kje6000&amp;logNo=223909226913&amp;redirect=Dlog&amp;widgetTypeCall=true&amp;directAccess=false</t>
  </si>
  <si>
    <t>rohyone</t>
  </si>
  <si>
    <t>2025 서울국제도서전 책, 굿즈 구매 후기 (6.18 / 6.20)</t>
  </si>
  <si>
    <t>https://blog.naver.com/PostView.naver?blogId=rohyone&amp;logNo=223909221453&amp;redirect=Dlog&amp;widgetTypeCall=true&amp;directAccess=false</t>
  </si>
  <si>
    <t>새마을호 운전중 고용노동부장관 임명된 현직 철도기관사 김영훈 후보자</t>
  </si>
  <si>
    <t>https://blog.naver.com/PostView.naver?blogId=koolap&amp;logNo=223909138045&amp;redirect=Dlog&amp;widgetTypeCall=true&amp;directAccess=false</t>
  </si>
  <si>
    <t>[인물 이문영] 사랑이 지운 사랑===+</t>
  </si>
  <si>
    <t>https://blog.naver.com/PostView.naver?blogId=mdphd7&amp;logNo=223909080731&amp;redirect=Dlog&amp;widgetTypeCall=true&amp;directAccess=false</t>
  </si>
  <si>
    <t>Spinel</t>
  </si>
  <si>
    <t>사회학과, 정치외교학과 탐구보고서 예시(세특주제)</t>
  </si>
  <si>
    <t>https://blog.naver.com/PostView.naver?blogId=page8954&amp;logNo=223908832470&amp;redirect=Dlog&amp;widgetTypeCall=true&amp;directAccess=false</t>
  </si>
  <si>
    <t>touchE</t>
  </si>
  <si>
    <t>방위 출신, 당직자 출신 국회의원의 국방부 장관이라니</t>
  </si>
  <si>
    <t>https://blog.naver.com/PostView.naver?blogId=niccolo0814&amp;logNo=223908781841&amp;redirect=Dlog&amp;widgetTypeCall=true&amp;directAccess=false</t>
  </si>
  <si>
    <t>한겨레문학상 30주년역대 수상 작가 20인의 신작 소설 앤솔러지 《서른 번의 힌트》 출간!</t>
  </si>
  <si>
    <t>https://blog.naver.com/PostView.naver?blogId=hani_book&amp;logNo=223908756322&amp;redirect=Dlog&amp;widgetTypeCall=true&amp;directAccess=false</t>
  </si>
  <si>
    <t>한겨레출판편집학교 98기 4주, 5주</t>
  </si>
  <si>
    <t>https://blog.naver.com/PostView.naver?blogId=hyebbikkong&amp;logNo=223908728016&amp;redirect=Dlog&amp;widgetTypeCall=true&amp;directAccess=false</t>
  </si>
  <si>
    <t>la_korea</t>
  </si>
  <si>
    <t>[연재] 슬기로운 공원 생활_세상의 끝 나의 공원_허대영_2025년 월간 환경과조경 6월호</t>
  </si>
  <si>
    <t>https://blog.naver.com/PostView.naver?blogId=la_korea&amp;logNo=223908693348&amp;redirect=Dlog&amp;widgetTypeCall=true&amp;directAccess=false</t>
  </si>
  <si>
    <t>modan_14</t>
  </si>
  <si>
    <t>초등 책“까치가 물고 간 할머니의 기억/상드라 푸아로 셰리프/한겨레아이들”</t>
  </si>
  <si>
    <t>https://blog.naver.com/PostView.naver?blogId=modan_14&amp;logNo=223908616848&amp;redirect=Dlog&amp;widgetTypeCall=true&amp;directAccess=false</t>
  </si>
  <si>
    <t>Zoneyeji</t>
  </si>
  <si>
    <t>2025 서울 국제 도서전 '믿을 구석' 후기 낋여옴 📚🖤 + 김보영 작가님 사인회</t>
  </si>
  <si>
    <t>https://blog.naver.com/PostView.naver?blogId=alwhstjah&amp;logNo=223908458633&amp;redirect=Dlog&amp;widgetTypeCall=true&amp;directAccess=false</t>
  </si>
  <si>
    <t>[한겨레] [사설] 숨진 노동자 ‘70대 노모’에 손배청구서 내민 현대차</t>
  </si>
  <si>
    <t>https://blog.naver.com/PostView.naver?blogId=tomorrow2998&amp;logNo=223908327085&amp;redirect=Dlog&amp;widgetTypeCall=true&amp;directAccess=false</t>
  </si>
  <si>
    <t>성주</t>
  </si>
  <si>
    <t>한전 전기요금 동결과 포퓰리즘</t>
  </si>
  <si>
    <t>https://blog.naver.com/PostView.naver?blogId=insightarc&amp;logNo=223908325693&amp;redirect=Dlog&amp;widgetTypeCall=true&amp;directAccess=false</t>
  </si>
  <si>
    <t>[한겨레] 고령자도 남녀 임금격차 심각…여성이 남성의 59% 수준</t>
  </si>
  <si>
    <t>https://blog.naver.com/PostView.naver?blogId=tomorrow2998&amp;logNo=223908325212&amp;redirect=Dlog&amp;widgetTypeCall=true&amp;directAccess=false</t>
  </si>
  <si>
    <t>LEGEND</t>
  </si>
  <si>
    <t>농심에서 15년간 일한 연구원이 추천한 라면 가장 맛있게 먹는 방법</t>
  </si>
  <si>
    <t>https://blog.naver.com/PostView.naver?blogId=lymcall&amp;logNo=223908303757&amp;redirect=Dlog&amp;widgetTypeCall=true&amp;directAccess=false</t>
  </si>
  <si>
    <t>[6/21(월) 모니터링] 1. 주요 언론  - 1면 : “부시·오바마 멍청한 전쟁” 조롱하던 트럼프도 중동 참전</t>
  </si>
  <si>
    <t>https://blog.naver.com/PostView.naver?blogId=daummalgo&amp;logNo=223908302711&amp;redirect=Dlog&amp;widgetTypeCall=true&amp;directAccess=false</t>
  </si>
  <si>
    <t>세티도블</t>
  </si>
  <si>
    <t>&lt;가벼운 점심&gt; 여섯 가지 시선, 섬세한 위로와 따뜻한 공감</t>
  </si>
  <si>
    <t>https://blog.naver.com/PostView.naver?blogId=stdb_&amp;logNo=223884010827&amp;redirect=Dlog&amp;widgetTypeCall=true&amp;directAccess=false</t>
  </si>
  <si>
    <t>“한화 김승연 회장의 인생과 논란 일화 당신이 몰랐던 이야기들” 의 영상 요약</t>
  </si>
  <si>
    <t>https://blog.naver.com/PostView.naver?blogId=lucidjun&amp;logNo=223908287827&amp;redirect=Dlog&amp;widgetTypeCall=true&amp;directAccess=false</t>
  </si>
  <si>
    <t>강철당근</t>
  </si>
  <si>
    <t>올해 읽은 몇 권</t>
  </si>
  <si>
    <t>https://blog.naver.com/PostView.naver?blogId=iron-carrot&amp;logNo=223898421340&amp;redirect=Dlog&amp;widgetTypeCall=true&amp;directAccess=false</t>
  </si>
  <si>
    <t>삼장법사</t>
  </si>
  <si>
    <t>임전무퇴</t>
  </si>
  <si>
    <t>https://blog.naver.com/PostView.naver?blogId=ilsimpst&amp;logNo=223907401343&amp;redirect=Dlog&amp;widgetTypeCall=true&amp;directAccess=false</t>
  </si>
  <si>
    <t>나사왕</t>
  </si>
  <si>
    <t>글 팔아 돈 벌어봤으면</t>
  </si>
  <si>
    <t>https://blog.naver.com/PostView.naver?blogId=nasawang07&amp;logNo=223908229863&amp;redirect=Dlog&amp;widgetTypeCall=true&amp;directAccess=false</t>
  </si>
  <si>
    <t>박천휴 작가, 뮤지컬 '어쩌면 해피엔딩'으로 토니상(극본과 작사 부분) 수상</t>
  </si>
  <si>
    <t>https://blog.naver.com/PostView.naver?blogId=tomalss&amp;logNo=223908207943&amp;redirect=Dlog&amp;widgetTypeCall=true&amp;directAccess=false</t>
  </si>
  <si>
    <t>누누365</t>
  </si>
  <si>
    <t>후지이 다케시가 수요시위에서 '바위처럼'을 듣고</t>
  </si>
  <si>
    <t>https://blog.naver.com/PostView.naver?blogId=s04908&amp;logNo=223907781374&amp;redirect=Dlog&amp;widgetTypeCall=true&amp;directAccess=false</t>
  </si>
  <si>
    <t>인연이 닿은 정경</t>
  </si>
  <si>
    <t>「나의 까칠한 백수 할머니」 ③ 저자 : 이인 著</t>
  </si>
  <si>
    <t>https://blog.naver.com/PostView.naver?blogId=komorebihjh&amp;logNo=223908032897&amp;redirect=Dlog&amp;widgetTypeCall=true&amp;directAccess=false</t>
  </si>
  <si>
    <t>ZZULKI</t>
  </si>
  <si>
    <t>서울시 북스타트 엄마 북(Book)돋움 책선물 수령 후기</t>
  </si>
  <si>
    <t>https://blog.naver.com/PostView.naver?blogId=xeulgi422&amp;logNo=223908017178&amp;redirect=Dlog&amp;widgetTypeCall=true&amp;directAccess=false</t>
  </si>
  <si>
    <t>모래</t>
  </si>
  <si>
    <t>세상 모든 여자들 총집합 &lt;2025 서울국제도서전&gt;</t>
  </si>
  <si>
    <t>https://blog.naver.com/PostView.naver?blogId=beann95&amp;logNo=223907920262&amp;redirect=Dlog&amp;widgetTypeCall=true&amp;directAccess=false</t>
  </si>
  <si>
    <t>정치보감 ~ 오늘자 이재명, 윤석열 소식. 김종대의 촉으로 본 국힘+개혁신당의 미래는? “송언석 임기 못 채울 듯...이준석도 몰락의 길로... 이재명 김혜경 부부가 정말 잘해</t>
  </si>
  <si>
    <t>https://blog.naver.com/PostView.naver?blogId=wishut3281&amp;logNo=223907836659&amp;redirect=Dlog&amp;widgetTypeCall=true&amp;directAccess=false</t>
  </si>
  <si>
    <t>MBCNEWS ~ KBS교양님의 오늘자 이재명, 윤석열 소식. 윤석열, 김건희 드디어 덫에 걸리다! 무기징역 확정! 그 한 문장에 덜미잡혔다! 소년공에서 대통령 된 이재명의 탄생</t>
  </si>
  <si>
    <t>https://blog.naver.com/PostView.naver?blogId=wishut3281&amp;logNo=223907821586&amp;redirect=Dlog&amp;widgetTypeCall=true&amp;directAccess=false</t>
  </si>
  <si>
    <t>1142. 부채의 늪에 빠진 대한민국. 정부부채 1300조만 있는 것이 아니다.</t>
  </si>
  <si>
    <t>https://blog.naver.com/PostView.naver?blogId=seskman&amp;logNo=223907810916&amp;redirect=Dlog&amp;widgetTypeCall=true&amp;directAccess=false</t>
  </si>
  <si>
    <t>페루애</t>
  </si>
  <si>
    <t>강준만 칼럼</t>
  </si>
  <si>
    <t>https://blog.naver.com/PostView.naver?blogId=unheimlich1&amp;logNo=223907771027&amp;redirect=Dlog&amp;widgetTypeCall=true&amp;directAccess=false</t>
  </si>
  <si>
    <t>루루쌤</t>
  </si>
  <si>
    <t>[2025 한겨레교육 그래픽노블 수업] 10~13주차 기록</t>
  </si>
  <si>
    <t>https://blog.naver.com/PostView.naver?blogId=chocolatetree109&amp;logNo=223907748407&amp;redirect=Dlog&amp;widgetTypeCall=true&amp;directAccess=false</t>
  </si>
  <si>
    <t>한강1</t>
  </si>
  <si>
    <t>https://blog.naver.com/PostView.naver?blogId=sunkyung_seojae&amp;logNo=223907607730&amp;redirect=Dlog&amp;widgetTypeCall=true&amp;directAccess=false</t>
  </si>
  <si>
    <t>이란과 북한, 핵의 길이 완전히 다른 이유는? 두 체제의 전략·기술·국제질서까지 해부한다</t>
  </si>
  <si>
    <t>https://blog.naver.com/PostView.naver?blogId=g901gg&amp;logNo=223907545252&amp;redirect=Dlog&amp;widgetTypeCall=true&amp;directAccess=false</t>
  </si>
  <si>
    <t>이재명 열차 탑승 vs 황교안 열차 탑승</t>
  </si>
  <si>
    <t>https://blog.naver.com/PostView.naver?blogId=godloveyouforever&amp;logNo=223907538846&amp;redirect=Dlog&amp;widgetTypeCall=true&amp;directAccess=false</t>
  </si>
  <si>
    <t>“스트레스로 기능이 떨어진 내 뇌의 기능을 약으로 복구 시킬 수 있다? 행복과 불행을 결정하는 뇌의 물질 유전일까 환경일까 ｜취미는 과학｜알고e즘” 의 영상 요약</t>
  </si>
  <si>
    <t>https://blog.naver.com/PostView.naver?blogId=lucidjun&amp;logNo=223907449993&amp;redirect=Dlog&amp;widgetTypeCall=true&amp;directAccess=false</t>
  </si>
  <si>
    <t>김남권 시인</t>
  </si>
  <si>
    <t>아버지의 검은 상자-김재숙 시집</t>
  </si>
  <si>
    <t>https://blog.naver.com/PostView.naver?blogId=kng3388&amp;logNo=223907429026&amp;redirect=Dlog&amp;widgetTypeCall=true&amp;directAccess=false</t>
  </si>
  <si>
    <t>나나길미</t>
  </si>
  <si>
    <t>황토-조정래 장편소설</t>
  </si>
  <si>
    <t>https://blog.naver.com/PostView.naver?blogId=kjs9574&amp;logNo=223907415474&amp;redirect=Dlog&amp;widgetTypeCall=true&amp;directAccess=false</t>
  </si>
  <si>
    <t>흑괭이</t>
  </si>
  <si>
    <t>법원, 내란 특검 추가기소 ‘불복’ 김용현 집행정지 신청 기각 - 한겨레</t>
  </si>
  <si>
    <t>https://blog.naver.com/PostView.naver?blogId=testdirt&amp;logNo=223907391759&amp;redirect=Dlog&amp;widgetTypeCall=true&amp;directAccess=false</t>
  </si>
  <si>
    <t>NO MADIE 노마디</t>
  </si>
  <si>
    <t>친일파</t>
  </si>
  <si>
    <t>https://blog.naver.com/PostView.naver?blogId=no-madie&amp;logNo=223907328436&amp;redirect=Dlog&amp;widgetTypeCall=true&amp;directAccess=false</t>
  </si>
  <si>
    <t>루씨</t>
  </si>
  <si>
    <t>[책] 독서모임 '북미새'의 첫 견학 2025 서울국제도서전 후기(feat. 완전스압)</t>
  </si>
  <si>
    <t>https://blog.naver.com/PostView.naver?blogId=rare0328&amp;logNo=223907327585&amp;redirect=Dlog&amp;widgetTypeCall=true&amp;directAccess=false</t>
  </si>
  <si>
    <t>[한겨레 사설] 시급한 민생 추경, 정치적 흥정거리 안 된다</t>
  </si>
  <si>
    <t>https://blog.naver.com/PostView.naver?blogId=kklist21&amp;logNo=223907312651&amp;redirect=Dlog&amp;widgetTypeCall=true&amp;directAccess=false</t>
  </si>
  <si>
    <t>2025 서울국제도서전</t>
  </si>
  <si>
    <t>https://blog.naver.com/PostView.naver?blogId=eksql9296&amp;logNo=223907252498&amp;redirect=Dlog&amp;widgetTypeCall=true&amp;directAccess=false</t>
  </si>
  <si>
    <t>날씨속담291 "여름에 하루 놀면 겨울에 열흘 굶는다."</t>
  </si>
  <si>
    <t>https://blog.naver.com/PostView.naver?blogId=neoyounggod&amp;logNo=223903093505&amp;redirect=Dlog&amp;widgetTypeCall=true&amp;directAccess=false</t>
  </si>
  <si>
    <t>끼룩끼룩</t>
  </si>
  <si>
    <t>오늘의 에너지 뉴스 : 기후에너지부 신설, 이재명 정부의 방향</t>
  </si>
  <si>
    <t>https://blog.naver.com/PostView.naver?blogId=hi_hi_hoi&amp;logNo=223907215532&amp;redirect=Dlog&amp;widgetTypeCall=true&amp;directAccess=false</t>
  </si>
  <si>
    <t>료미</t>
  </si>
  <si>
    <t>서울국제도서전 가서 책을 2권만 사고 온 사람 / 코엑스 A, B홀 빠르게 가는 꿀팁</t>
  </si>
  <si>
    <t>https://blog.naver.com/PostView.naver?blogId=dk14fy&amp;logNo=223907198853&amp;redirect=Dlog&amp;widgetTypeCall=true&amp;directAccess=false</t>
  </si>
  <si>
    <t>느리밍</t>
  </si>
  <si>
    <t>필사_당신 옆을 스쳐간 그 소녀의 이름은</t>
  </si>
  <si>
    <t>https://blog.naver.com/PostView.naver?blogId=7science7&amp;logNo=223907121854&amp;redirect=Dlog&amp;widgetTypeCall=true&amp;directAccess=false</t>
  </si>
  <si>
    <t>공수처, 문재인 전 대통령 고발 사건 수사1부 배당… '전주지검 검사들 직권남용' 수사 착수</t>
  </si>
  <si>
    <t>https://blog.naver.com/PostView.naver?blogId=mitra1004&amp;logNo=223907114596&amp;redirect=Dlog&amp;widgetTypeCall=true&amp;directAccess=false</t>
  </si>
  <si>
    <t>란</t>
  </si>
  <si>
    <t>2025 서울국제도서전: 믿을 구석 The Last Resort (2)</t>
  </si>
  <si>
    <t>https://blog.naver.com/PostView.naver?blogId=the_purpler&amp;logNo=223907092229&amp;redirect=Dlog&amp;widgetTypeCall=true&amp;directAccess=false</t>
  </si>
  <si>
    <t>구니스 제이슨</t>
  </si>
  <si>
    <t>[’25. 6. 21.(토) 군관련뉴스]</t>
  </si>
  <si>
    <t>https://blog.naver.com/PostView.naver?blogId=cadetlee&amp;logNo=223907075560&amp;redirect=Dlog&amp;widgetTypeCall=true&amp;directAccess=false</t>
  </si>
  <si>
    <t>행화</t>
  </si>
  <si>
    <t>[2025서국도] 소문난 잔치에 굿즈 없다. 서울국제도서전인가 서울국제굿즈전인가</t>
  </si>
  <si>
    <t>https://blog.naver.com/PostView.naver?blogId=harcot&amp;logNo=223907074082&amp;redirect=Dlog&amp;widgetTypeCall=true&amp;directAccess=false</t>
  </si>
  <si>
    <t>해란</t>
  </si>
  <si>
    <t>2025년 서울국제도서전 후기</t>
  </si>
  <si>
    <t>https://blog.naver.com/PostView.naver?blogId=hae_ran9&amp;logNo=223907033492&amp;redirect=Dlog&amp;widgetTypeCall=true&amp;directAccess=false</t>
  </si>
  <si>
    <t>딜리셔스트래블 딜트</t>
  </si>
  <si>
    <t>2025 서울국제도서전 후기 / 예매실패시 대처법 / 예매팁 안내 (2025.6.19.)</t>
  </si>
  <si>
    <t>https://blog.naver.com/PostView.naver?blogId=your_l&amp;logNo=223906940818&amp;redirect=Dlog&amp;widgetTypeCall=true&amp;directAccess=false</t>
  </si>
  <si>
    <t>굿맨</t>
  </si>
  <si>
    <t>이재명 정부 길들이기 나선 한겨레?</t>
  </si>
  <si>
    <t>https://blog.naver.com/PostView.naver?blogId=gsygy&amp;logNo=223906857813&amp;redirect=Dlog&amp;widgetTypeCall=true&amp;directAccess=false</t>
  </si>
  <si>
    <t>돌멩이</t>
  </si>
  <si>
    <t>임희진의 [삼각뿔 속의 잠](문학동네)</t>
  </si>
  <si>
    <t>https://blog.naver.com/PostView.naver?blogId=pregrimo10&amp;logNo=223906775555&amp;redirect=Dlog&amp;widgetTypeCall=true&amp;directAccess=false</t>
  </si>
  <si>
    <t>eileen</t>
  </si>
  <si>
    <t>[서울] 2025 서울 국제 도서전 후기&amp;꿀팁 - 우리나라 독서인구 절벽이라면서요..?</t>
  </si>
  <si>
    <t>https://blog.naver.com/PostView.naver?blogId=llllyhy&amp;logNo=223906761273&amp;redirect=Dlog&amp;widgetTypeCall=true&amp;directAccess=false</t>
  </si>
  <si>
    <t>“밀양은 안동을 우습게 본다는 소안동(笑安東)”</t>
  </si>
  <si>
    <t>https://blog.naver.com/PostView.naver?blogId=jang0355&amp;logNo=223906744987&amp;redirect=Dlog&amp;widgetTypeCall=true&amp;directAccess=false</t>
  </si>
  <si>
    <t>순직 해병 수사 외압, 특검보 4인 임명…특검팀 본격 가동</t>
  </si>
  <si>
    <t>https://blog.naver.com/PostView.naver?blogId=koolap&amp;logNo=223906724001&amp;redirect=Dlog&amp;widgetTypeCall=true&amp;directAccess=false</t>
  </si>
  <si>
    <t>2025 서울국제도서전1</t>
  </si>
  <si>
    <t>https://blog.naver.com/PostView.naver?blogId=mung8811&amp;logNo=223906662179&amp;redirect=Dlog&amp;widgetTypeCall=true&amp;directAccess=false</t>
  </si>
  <si>
    <t>정치권은 시대의 절박함 읽지 못한다.</t>
  </si>
  <si>
    <t>https://blog.naver.com/PostView.naver?blogId=maingki&amp;logNo=223906631453&amp;redirect=Dlog&amp;widgetTypeCall=true&amp;directAccess=false</t>
  </si>
  <si>
    <t>김영주</t>
  </si>
  <si>
    <t>그냥 읽기</t>
  </si>
  <si>
    <t>https://blog.naver.com/PostView.naver?blogId=joo69&amp;logNo=223906630035&amp;redirect=Dlog&amp;widgetTypeCall=true&amp;directAccess=false</t>
  </si>
  <si>
    <t>그린</t>
  </si>
  <si>
    <t>25.6.9~6.20 | 장미와 도서전</t>
  </si>
  <si>
    <t>https://blog.naver.com/PostView.naver?blogId=rrullrrull407&amp;logNo=223906620304&amp;redirect=Dlog&amp;widgetTypeCall=true&amp;directAccess=false</t>
  </si>
  <si>
    <t>1140. 국민지원금으로 시작하는 이재명정부. 경제대책은 없고 외교는 불투명하다.</t>
  </si>
  <si>
    <t>https://blog.naver.com/PostView.naver?blogId=seskman&amp;logNo=223906605121&amp;redirect=Dlog&amp;widgetTypeCall=true&amp;directAccess=false</t>
  </si>
  <si>
    <t>“코스피 3,200p까지 열려있다...상승장은 앞으로 3년간 지속될 것 (김영익) | 인포맥스라이브 250616” 의 영상 요약</t>
  </si>
  <si>
    <t>https://blog.naver.com/PostView.naver?blogId=lucidjun&amp;logNo=223906542193&amp;redirect=Dlog&amp;widgetTypeCall=true&amp;directAccess=false</t>
  </si>
  <si>
    <t>책끌</t>
  </si>
  <si>
    <t>김누랭보스</t>
  </si>
  <si>
    <t>같이 걷자 난 다 궁금해 🎶</t>
  </si>
  <si>
    <t>https://blog.naver.com/PostView.naver?blogId=jewel4850&amp;logNo=223906487437&amp;redirect=Dlog&amp;widgetTypeCall=true&amp;directAccess=false</t>
  </si>
  <si>
    <t>민경</t>
  </si>
  <si>
    <t>2025 서울국제도서전 금요일</t>
  </si>
  <si>
    <t>https://blog.naver.com/PostView.naver?blogId=zvovz_&amp;logNo=223906439110&amp;redirect=Dlog&amp;widgetTypeCall=true&amp;directAccess=false</t>
  </si>
  <si>
    <t>Joe</t>
  </si>
  <si>
    <t>셋셋2025ㅣ김혜수,이서희,김현민,이지연,양현모ㅣ단편소설집</t>
  </si>
  <si>
    <t>https://blog.naver.com/PostView.naver?blogId=bookreport25&amp;logNo=223905065998&amp;redirect=Dlog&amp;widgetTypeCall=true&amp;directAccess=false</t>
  </si>
  <si>
    <t>「나의 까칠한 백수 할머니」 저자 : 이인 著</t>
  </si>
  <si>
    <t>https://blog.naver.com/PostView.naver?blogId=komorebihjh&amp;logNo=223906286888&amp;redirect=Dlog&amp;widgetTypeCall=true&amp;directAccess=false</t>
  </si>
  <si>
    <t>날씨속담290 "비 온 뒤에 땅이 굳어진다."</t>
  </si>
  <si>
    <t>https://blog.naver.com/PostView.naver?blogId=neoyounggod&amp;logNo=223901881311&amp;redirect=Dlog&amp;widgetTypeCall=true&amp;directAccess=false</t>
  </si>
  <si>
    <t>봄날의곰</t>
  </si>
  <si>
    <t>서울국제도서전 다녀옴</t>
  </si>
  <si>
    <t>https://blog.naver.com/PostView.naver?blogId=supiasj83&amp;logNo=223906342823&amp;redirect=Dlog&amp;widgetTypeCall=true&amp;directAccess=false</t>
  </si>
  <si>
    <t>왑비</t>
  </si>
  <si>
    <t>[2025 서울국제도서전 후기] 오늘 도서전 처음 가본 사람의 생생한 후기👍</t>
  </si>
  <si>
    <t>https://blog.naver.com/PostView.naver?blogId=dnflsms756&amp;logNo=223906293213&amp;redirect=Dlog&amp;widgetTypeCall=true&amp;directAccess=false</t>
  </si>
  <si>
    <t>돌맹이</t>
  </si>
  <si>
    <t>[2025 서울 국제도서전] 첫 날 수요일 관람 후기, 코엑스 혼밥 점심 추천</t>
  </si>
  <si>
    <t>https://blog.naver.com/PostView.naver?blogId=092owo&amp;logNo=223906261237&amp;redirect=Dlog&amp;widgetTypeCall=true&amp;directAccess=false</t>
  </si>
  <si>
    <t>마이웰니스</t>
  </si>
  <si>
    <t>누구나 바라는 노후를 슬기롭게 준비하는 법 『노후 수업』</t>
  </si>
  <si>
    <t>https://blog.naver.com/PostView.naver?blogId=favorites_50&amp;logNo=223906246879&amp;redirect=Dlog&amp;widgetTypeCall=true&amp;directAccess=false</t>
  </si>
  <si>
    <t>2025년 6월 20일, "이스라엘, 미사일 요격에만 하루 2천700억원"에 대한 X 반응</t>
  </si>
  <si>
    <t>https://blog.naver.com/PostView.naver?blogId=shinswoong75&amp;logNo=223906062116&amp;redirect=Dlog&amp;widgetTypeCall=true&amp;directAccess=false</t>
  </si>
  <si>
    <t>나요미</t>
  </si>
  <si>
    <t>2025 서울국제도서전 다녀온 후기 [관람 팁, 부스배치도]</t>
  </si>
  <si>
    <t>https://blog.naver.com/PostView.naver?blogId=ny0m2&amp;logNo=223906046173&amp;redirect=Dlog&amp;widgetTypeCall=true&amp;directAccess=false</t>
  </si>
  <si>
    <t>리박스쿨 - 극우 성향 역사교육 단체, 댓글 공작, 교과서 집필 시도, 늘봄강사 교육 등 -</t>
  </si>
  <si>
    <t>https://blog.naver.com/PostView.naver?blogId=beri510&amp;logNo=223906042546&amp;redirect=Dlog&amp;widgetTypeCall=true&amp;directAccess=false</t>
  </si>
  <si>
    <t>참새</t>
  </si>
  <si>
    <t>순식간에 지나간 2025 1분기</t>
  </si>
  <si>
    <t>https://blog.naver.com/PostView.naver?blogId=love_lemonade_22&amp;logNo=223906033773&amp;redirect=Dlog&amp;widgetTypeCall=true&amp;directAccess=false</t>
  </si>
  <si>
    <t>지현</t>
  </si>
  <si>
    <t>[스압주의] 2025 서울국제도서전(SIBF) 방문 후기 - 2일차 방문 | 문학동네 | 출판사 무제 | 민음사 | '아무튼 시리즈'의 제철소 | 창비 | 오이뮤 | 유어마인드</t>
  </si>
  <si>
    <t>https://blog.naver.com/PostView.naver?blogId=kjh0992&amp;logNo=223906004723&amp;redirect=Dlog&amp;widgetTypeCall=true&amp;directAccess=false</t>
  </si>
  <si>
    <t>위즈</t>
  </si>
  <si>
    <t>전국민 소비지원금 7월부터 15만~50만원 지급, 소비쿠폰이 바꾸는 한국 경제의 방향</t>
  </si>
  <si>
    <t>https://blog.naver.com/PostView.naver?blogId=wizzland&amp;logNo=223905947295&amp;redirect=Dlog&amp;widgetTypeCall=true&amp;directAccess=false</t>
  </si>
  <si>
    <t>베드포드</t>
  </si>
  <si>
    <t>이틀 동안 35만 원 쓴 2025 서울국제도서전 알찬 기록 (굿즈, 이벤트, 그리고 문재인 박정민 사장님)</t>
  </si>
  <si>
    <t>https://blog.naver.com/PostView.naver?blogId=dlrlfdk13&amp;logNo=223905940409&amp;redirect=Dlog&amp;widgetTypeCall=true&amp;directAccess=false</t>
  </si>
  <si>
    <t>꽁시</t>
  </si>
  <si>
    <t>day - 2025 서울국제도서전 후기 📖</t>
  </si>
  <si>
    <t>https://blog.naver.com/PostView.naver?blogId=ivortexu&amp;logNo=223905904445&amp;redirect=Dlog&amp;widgetTypeCall=true&amp;directAccess=false</t>
  </si>
  <si>
    <t>원</t>
  </si>
  <si>
    <t>[2025 서울국제도서전]에 가다.</t>
  </si>
  <si>
    <t>https://blog.naver.com/PostView.naver?blogId=soml1227&amp;logNo=223905891037&amp;redirect=Dlog&amp;widgetTypeCall=true&amp;directAccess=false</t>
  </si>
  <si>
    <t>상상</t>
  </si>
  <si>
    <t>장애인이라도 끝까지 노력하고 살아온 헬렌 켈러 (초6_서○진)</t>
  </si>
  <si>
    <t>https://blog.naver.com/PostView.naver?blogId=haangl1004&amp;logNo=223905832892&amp;redirect=Dlog&amp;widgetTypeCall=true&amp;directAccess=false</t>
  </si>
  <si>
    <t>주릉</t>
  </si>
  <si>
    <t>[링크] 울프 8 (한겨레 책소개)</t>
  </si>
  <si>
    <t>https://blog.naver.com/PostView.naver?blogId=familim&amp;logNo=223905792214&amp;redirect=Dlog&amp;widgetTypeCall=true&amp;directAccess=false</t>
  </si>
  <si>
    <t>아이미</t>
  </si>
  <si>
    <t>25년6월 세째주 신문논평 요약</t>
  </si>
  <si>
    <t>https://blog.naver.com/PostView.naver?blogId=ezekyel&amp;logNo=223905757743&amp;redirect=Dlog&amp;widgetTypeCall=true&amp;directAccess=false</t>
  </si>
  <si>
    <t>“30.5조 추경 1인당 최대 50만원 소비쿠폰…7년 넘은 빚 탕감 113만명 구제 f. 삼프로TV 권순우 취재팀장 [뉴스3]” 의 영상 요약</t>
  </si>
  <si>
    <t>https://blog.naver.com/PostView.naver?blogId=lucidjun&amp;logNo=223905698854&amp;redirect=Dlog&amp;widgetTypeCall=true&amp;directAccess=false</t>
  </si>
  <si>
    <t>솜디움</t>
  </si>
  <si>
    <t>李 대통령, 12.3 비상계엄 내란 사건 특검보 6명 임명</t>
  </si>
  <si>
    <t>https://blog.naver.com/PostView.naver?blogId=lovejw041235&amp;logNo=223905668456&amp;redirect=Dlog&amp;widgetTypeCall=true&amp;directAccess=false</t>
  </si>
  <si>
    <t>팍푸른</t>
  </si>
  <si>
    <t>25년 서울국제도서전</t>
  </si>
  <si>
    <t>https://blog.naver.com/PostView.naver?blogId=grunepark&amp;logNo=223905538450&amp;redirect=Dlog&amp;widgetTypeCall=true&amp;directAccess=false</t>
  </si>
  <si>
    <t>달이</t>
  </si>
  <si>
    <t>2025 서울 국제도서전 '믿을 구석' 평일 관람 후기(얼리버드 티켓 수령)</t>
  </si>
  <si>
    <t>https://blog.naver.com/PostView.naver?blogId=lucky_moon58&amp;logNo=223905538311&amp;redirect=Dlog&amp;widgetTypeCall=true&amp;directAccess=false</t>
  </si>
  <si>
    <t>이상한 속보 경쟁</t>
  </si>
  <si>
    <t>https://blog.naver.com/PostView.naver?blogId=moviekjh1&amp;logNo=223905522759&amp;redirect=Dlog&amp;widgetTypeCall=true&amp;directAccess=false</t>
  </si>
  <si>
    <t>수북쌤</t>
  </si>
  <si>
    <t>2025서울국제도서전</t>
  </si>
  <si>
    <t>https://blog.naver.com/PostView.naver?blogId=suya0530&amp;logNo=223905491722&amp;redirect=Dlog&amp;widgetTypeCall=true&amp;directAccess=false</t>
  </si>
  <si>
    <t>20250620 세계일보, 조선일보, 한겨레신문 사설 요약 및 분석</t>
  </si>
  <si>
    <t>https://blog.naver.com/PostView.naver?blogId=junlee915&amp;logNo=223905477880&amp;redirect=Dlog&amp;widgetTypeCall=true&amp;directAccess=false</t>
  </si>
  <si>
    <t>사랑</t>
  </si>
  <si>
    <t>na</t>
  </si>
  <si>
    <t>얼른 꺼내러 와 줘.. (╥‸╥)</t>
  </si>
  <si>
    <t>https://blog.naver.com/PostView.naver?blogId=iloveyuuu&amp;logNo=223905443730&amp;redirect=Dlog&amp;widgetTypeCall=true&amp;directAccess=false</t>
  </si>
  <si>
    <t>혼노리</t>
  </si>
  <si>
    <t>25/06-1</t>
  </si>
  <si>
    <t>https://blog.naver.com/PostView.naver?blogId=hon-o-liter&amp;logNo=223905435926&amp;redirect=Dlog&amp;widgetTypeCall=true&amp;directAccess=false</t>
  </si>
  <si>
    <t>ming</t>
  </si>
  <si>
    <t>[2025 서울 국제도서전]둘째날 목요일 방문 후기_20만원어치 구입📚🔥</t>
  </si>
  <si>
    <t>https://blog.naver.com/PostView.naver?blogId=ljm9275&amp;logNo=223905284163&amp;redirect=Dlog&amp;widgetTypeCall=true&amp;directAccess=false</t>
  </si>
  <si>
    <t>MC 박변</t>
  </si>
  <si>
    <t>[마약전문변호사]가 스터디 한 마약류관리법상 주요 마약류에 대한 심층 보고서</t>
  </si>
  <si>
    <t>https://blog.naver.com/PostView.naver?blogId=mcparkbyun&amp;logNo=223904528845&amp;redirect=Dlog&amp;widgetTypeCall=true&amp;directAccess=false</t>
  </si>
  <si>
    <t>응구</t>
  </si>
  <si>
    <t>2025 서울 국제 도서전 첫날 돌아다니기</t>
  </si>
  <si>
    <t>https://blog.naver.com/PostView.naver?blogId=ssess__57&amp;logNo=223905265843&amp;redirect=Dlog&amp;widgetTypeCall=true&amp;directAccess=false</t>
  </si>
  <si>
    <t>월간 씨이오앤</t>
  </si>
  <si>
    <t>CEO&amp; Must Book</t>
  </si>
  <si>
    <t>https://blog.naver.com/PostView.naver?blogId=shl3631&amp;logNo=223903435899&amp;redirect=Dlog&amp;widgetTypeCall=true&amp;directAccess=false</t>
  </si>
  <si>
    <t>[한겨레 사설] 이라크 전쟁의 유령이 아른거린다 [코즈모폴리턴]</t>
  </si>
  <si>
    <t>https://blog.naver.com/PostView.naver?blogId=kklist21&amp;logNo=223905325754&amp;redirect=Dlog&amp;widgetTypeCall=true&amp;directAccess=false</t>
  </si>
  <si>
    <t>[한겨레 사설] 부동산 양극화와 종부세 트라우마 [아침햇발]</t>
  </si>
  <si>
    <t>https://blog.naver.com/PostView.naver?blogId=kklist21&amp;logNo=223905323572&amp;redirect=Dlog&amp;widgetTypeCall=true&amp;directAccess=false</t>
  </si>
  <si>
    <t>[한겨레] 4세 고시·7세 고시 악순환 끊으려면 [노정혜 칼럼]</t>
  </si>
  <si>
    <t>https://blog.naver.com/PostView.naver?blogId=kklist21&amp;logNo=223905321068&amp;redirect=Dlog&amp;widgetTypeCall=true&amp;directAccess=false</t>
  </si>
  <si>
    <t>[한겨레 사설] 새 정부 첫 추경, 신속 집행으로 경기 마중물 돼야</t>
  </si>
  <si>
    <t>https://blog.naver.com/PostView.naver?blogId=kklist21&amp;logNo=223905316092&amp;redirect=Dlog&amp;widgetTypeCall=true&amp;directAccess=false</t>
  </si>
  <si>
    <t>[한겨레 사설] 내란 특검 김용현 추가 기소, 내란범 석방 용납 안된다</t>
  </si>
  <si>
    <t>https://blog.naver.com/PostView.naver?blogId=kklist21&amp;logNo=223905314471&amp;redirect=Dlog&amp;widgetTypeCall=true&amp;directAccess=false</t>
  </si>
  <si>
    <t>김셀마</t>
  </si>
  <si>
    <t>2025 서울국제도서전 1일차</t>
  </si>
  <si>
    <t>https://blog.naver.com/PostView.naver?blogId=kim_selma&amp;logNo=223905291805&amp;redirect=Dlog&amp;widgetTypeCall=true&amp;directAccess=false</t>
  </si>
  <si>
    <t>생각 공간</t>
  </si>
  <si>
    <t>종강..</t>
  </si>
  <si>
    <t>https://blog.naver.com/PostView.naver?blogId=kyungmin3737&amp;logNo=223905253802&amp;redirect=Dlog&amp;widgetTypeCall=true&amp;directAccess=false</t>
  </si>
  <si>
    <t>모은</t>
  </si>
  <si>
    <t>시험 때문에 이틀 밤새도 국도전은 못 참지.</t>
  </si>
  <si>
    <t>https://blog.naver.com/PostView.naver?blogId=mju4073&amp;logNo=223905219051&amp;redirect=Dlog&amp;widgetTypeCall=true&amp;directAccess=false</t>
  </si>
  <si>
    <t>보보</t>
  </si>
  <si>
    <t>[박람회] 250619 2025 서울국제도서전</t>
  </si>
  <si>
    <t>https://blog.naver.com/PostView.naver?blogId=bxhxx&amp;logNo=223905089176&amp;redirect=Dlog&amp;widgetTypeCall=true&amp;directAccess=false</t>
  </si>
  <si>
    <t>민주 “후보자 흠집내 반사이익&gt; 인사청문회 바꿀 것”</t>
  </si>
  <si>
    <t>https://blog.naver.com/PostView.naver?blogId=yunou21c&amp;logNo=223905066629&amp;redirect=Dlog&amp;widgetTypeCall=true&amp;directAccess=false</t>
  </si>
  <si>
    <t>민물새우탕</t>
  </si>
  <si>
    <t>[도서리뷰] 식물, 상점-강민영</t>
  </si>
  <si>
    <t>https://blog.naver.com/PostView.naver?blogId=shzzv3lss&amp;logNo=223904968223&amp;redirect=Dlog&amp;widgetTypeCall=true&amp;directAccess=false</t>
  </si>
  <si>
    <t>서부지법 폭동 '녹색 점퍼남' 징역 3년 6개월 선고</t>
  </si>
  <si>
    <t>https://blog.naver.com/PostView.naver?blogId=dbghwns2&amp;logNo=223904916691&amp;redirect=Dlog&amp;widgetTypeCall=true&amp;directAccess=false</t>
  </si>
  <si>
    <t>여야 지도부와의 오찬 회동: 이재명 대통령의 전략적 대화</t>
  </si>
  <si>
    <t>https://blog.naver.com/PostView.naver?blogId=dbghwns2&amp;logNo=223904910873&amp;redirect=Dlog&amp;widgetTypeCall=true&amp;directAccess=false</t>
  </si>
  <si>
    <t>행복지수</t>
  </si>
  <si>
    <t>2025 서울국제도서전- 믿을 구석</t>
  </si>
  <si>
    <t>https://blog.naver.com/PostView.naver?blogId=j-is-u&amp;logNo=223904904392&amp;redirect=Dlog&amp;widgetTypeCall=true&amp;directAccess=false</t>
  </si>
  <si>
    <t>탕평한다던 송언석 ‘친윤’ 인사...유상범·김은혜 수석부대표 내정</t>
  </si>
  <si>
    <t>https://blog.naver.com/PostView.naver?blogId=eremoval&amp;logNo=223904869489&amp;redirect=Dlog&amp;widgetTypeCall=true&amp;directAccess=false</t>
  </si>
  <si>
    <t>모미재산</t>
  </si>
  <si>
    <t>동아투위' 제14회 서재필언론문화상 수상 - 연천뉴스</t>
  </si>
  <si>
    <t>https://blog.naver.com/PostView.naver?blogId=wonsun1963&amp;logNo=223904863280&amp;redirect=Dlog&amp;widgetTypeCall=true&amp;directAccess=false</t>
  </si>
  <si>
    <t>광화문김박사</t>
  </si>
  <si>
    <t>연극 #01 유령, 서울시극단, 고선웅, 세상은 무대고 인간은 배우다</t>
  </si>
  <si>
    <t>https://blog.naver.com/PostView.naver?blogId=arimkim1004&amp;logNo=223904811573&amp;redirect=Dlog&amp;widgetTypeCall=true&amp;directAccess=false</t>
  </si>
  <si>
    <t>박재항</t>
  </si>
  <si>
    <t>정말 교수님은 모를까?</t>
  </si>
  <si>
    <t>https://blog.naver.com/PostView.naver?blogId=jaehangpark&amp;logNo=223904808072&amp;redirect=Dlog&amp;widgetTypeCall=true&amp;directAccess=false</t>
  </si>
  <si>
    <t>0257_22</t>
  </si>
  <si>
    <t>책 담다가 궁전으로 갈 수도 잇서 _ . ..</t>
  </si>
  <si>
    <t>https://blog.naver.com/PostView.naver?blogId=0257_22&amp;logNo=223904800742&amp;redirect=Dlog&amp;widgetTypeCall=true&amp;directAccess=false</t>
  </si>
  <si>
    <t>eun</t>
  </si>
  <si>
    <t>내 안의 믿을 구석을 찾아서</t>
  </si>
  <si>
    <t>https://blog.naver.com/PostView.naver?blogId=e8969042&amp;logNo=223904789537&amp;redirect=Dlog&amp;widgetTypeCall=true&amp;directAccess=false</t>
  </si>
  <si>
    <t>윤슬</t>
  </si>
  <si>
    <t>2025 서울 국제 도서전</t>
  </si>
  <si>
    <t>https://blog.naver.com/PostView.naver?blogId=blackswan071&amp;logNo=223904693089&amp;redirect=Dlog&amp;widgetTypeCall=true&amp;directAccess=false</t>
  </si>
  <si>
    <t>하늘점</t>
  </si>
  <si>
    <t>고상한 블로그에 슬며시 침투하는 경박함</t>
  </si>
  <si>
    <t>https://blog.naver.com/PostView.naver?blogId=hanlzm&amp;logNo=223904624606&amp;redirect=Dlog&amp;widgetTypeCall=true&amp;directAccess=false</t>
  </si>
  <si>
    <t>In my Life</t>
  </si>
  <si>
    <t>철수</t>
  </si>
  <si>
    <t>25년 4,5월</t>
  </si>
  <si>
    <t>https://blog.naver.com/PostView.naver?blogId=inner1027&amp;logNo=223904493801&amp;redirect=Dlog&amp;widgetTypeCall=true&amp;directAccess=false</t>
  </si>
  <si>
    <t>샤대프린스</t>
  </si>
  <si>
    <t>또 별말 없이 지나가지는 시절의 도래</t>
  </si>
  <si>
    <t>https://blog.naver.com/PostView.naver?blogId=gusrb0506&amp;logNo=223904489514&amp;redirect=Dlog&amp;widgetTypeCall=true&amp;directAccess=false</t>
  </si>
  <si>
    <t>Steelyeyed</t>
  </si>
  <si>
    <t>이재명의 G7 정상회담 참석, 아무것도 건진 게 없다: 딱 하나, 사진은 건졌다.</t>
  </si>
  <si>
    <t>https://blog.naver.com/PostView.naver?blogId=pdahnchul&amp;logNo=223904339779&amp;redirect=Dlog&amp;widgetTypeCall=true&amp;directAccess=false</t>
  </si>
  <si>
    <t>만두속아님</t>
  </si>
  <si>
    <t>3n의 세계 - 박문영 (한겨레 출판)</t>
  </si>
  <si>
    <t>https://blog.naver.com/PostView.naver?blogId=unoignon&amp;logNo=223904338394&amp;redirect=Dlog&amp;widgetTypeCall=true&amp;directAccess=false</t>
  </si>
  <si>
    <t>국내외 경제 동향 및 주요 뉴스('25.06.19)_이란 굴복 시나리오▶포르도 핵시설 폭격▶지도자 하메네이 제거▶지속 공격으로 체제붕괴…트럼프, 중동 혼란 키우고 스스로 발목 잡혀</t>
  </si>
  <si>
    <t>https://blog.naver.com/PostView.naver?blogId=pbs6609&amp;logNo=223904310307&amp;redirect=Dlog&amp;widgetTypeCall=true&amp;directAccess=false</t>
  </si>
  <si>
    <t>[한겨레] 한국콜마 창업주, 장남과 경영권 분쟁…“물려준 주식 다시 내놔라”</t>
  </si>
  <si>
    <t>https://blog.naver.com/PostView.naver?blogId=tomorrow2998&amp;logNo=223904309186&amp;redirect=Dlog&amp;widgetTypeCall=true&amp;directAccess=false</t>
  </si>
  <si>
    <t>[한겨레] 룰라 만난 이 대통령 ‘소년공’ 경험 공유하며 교감</t>
  </si>
  <si>
    <t>https://blog.naver.com/PostView.naver?blogId=tomorrow2998&amp;logNo=223904306802&amp;redirect=Dlog&amp;widgetTypeCall=true&amp;directAccess=false</t>
  </si>
  <si>
    <t>김용택</t>
  </si>
  <si>
    <t>고교학점제 도입하면 고교서열화 해소될까</t>
  </si>
  <si>
    <t>https://blog.naver.com/PostView.naver?blogId=kyongt&amp;logNo=223904180244&amp;redirect=Dlog&amp;widgetTypeCall=true&amp;directAccess=false</t>
  </si>
  <si>
    <t>좋은천사</t>
  </si>
  <si>
    <t>대한민국 지식인들은 특히 정치인 직업 가진 사람들은 모두가 알고 있는 사실이지만! 대한민국 모든 사람들에게 알려 주지 않고 있는 사실 아십니까?</t>
  </si>
  <si>
    <t>https://blog.naver.com/PostView.naver?blogId=friend1178&amp;logNo=223904124745&amp;redirect=Dlog&amp;widgetTypeCall=true&amp;directAccess=false</t>
  </si>
  <si>
    <t>온주신문 이미옥 기자</t>
  </si>
  <si>
    <t>충남교육청, 일반직공무원 7월 정기인사 단행</t>
  </si>
  <si>
    <t>https://blog.naver.com/PostView.naver?blogId=agem111&amp;logNo=223904052660&amp;redirect=Dlog&amp;widgetTypeCall=true&amp;directAccess=false</t>
  </si>
  <si>
    <t>날씨속담288 "여름비가 소 잔등을 가른다."</t>
  </si>
  <si>
    <t>https://blog.naver.com/PostView.naver?blogId=neoyounggod&amp;logNo=223899942763&amp;redirect=Dlog&amp;widgetTypeCall=true&amp;directAccess=false</t>
  </si>
  <si>
    <t>몽글</t>
  </si>
  <si>
    <t>한겨레 영화연출 워크숍 후기 2탄 Q&amp;A</t>
  </si>
  <si>
    <t>https://blog.naver.com/PostView.naver?blogId=youngkive&amp;logNo=223903990275&amp;redirect=Dlog&amp;widgetTypeCall=true&amp;directAccess=false</t>
  </si>
  <si>
    <t>2025년 6월 18일, "이스라엘, '무조건 항복' 트럼프 압박 맞춰 테헤란 대규모 폭격"에 대한 X 반응.</t>
  </si>
  <si>
    <t>https://blog.naver.com/PostView.naver?blogId=shinswoong75&amp;logNo=223903980841&amp;redirect=Dlog&amp;widgetTypeCall=true&amp;directAccess=false</t>
  </si>
  <si>
    <t>깊고 깊은</t>
  </si>
  <si>
    <t>2025 서울국제도서전 SIBF 믿을구석 오후 방문 후기 및 부스배치도, 양도하는 법</t>
  </si>
  <si>
    <t>https://blog.naver.com/PostView.naver?blogId=tothedeep&amp;logNo=223903978196&amp;redirect=Dlog&amp;widgetTypeCall=true&amp;directAccess=false</t>
  </si>
  <si>
    <t>2025년 6월 18일, "이란 보고 놀란 북한, 러시아에 3차 파병"에 대한 반응.</t>
  </si>
  <si>
    <t>https://blog.naver.com/PostView.naver?blogId=shinswoong75&amp;logNo=223903953676&amp;redirect=Dlog&amp;widgetTypeCall=true&amp;directAccess=false</t>
  </si>
  <si>
    <t>Chaum 차용환</t>
  </si>
  <si>
    <t>2025년 6월 18일, "이재명 대통령, 9개국 정상·1개 국제기구 수장과 신뢰를 다질 것"에 대한 X 반응.</t>
  </si>
  <si>
    <t>https://blog.naver.com/PostView.naver?blogId=shinswoong75&amp;logNo=223903904164&amp;redirect=Dlog&amp;widgetTypeCall=true&amp;directAccess=false</t>
  </si>
  <si>
    <t>2025년 6월 18일, "이재명 대통령, 인도 총리와 정상회담"에 대한 X 반응.</t>
  </si>
  <si>
    <t>https://blog.naver.com/PostView.naver?blogId=shinswoong75&amp;logNo=223903900905&amp;redirect=Dlog&amp;widgetTypeCall=true&amp;directAccess=false</t>
  </si>
  <si>
    <t>2025년 6월 18일, "이재명 대통령, 멕시코 대통령과 정상회담"에 대한 X 반응.</t>
  </si>
  <si>
    <t>https://blog.naver.com/PostView.naver?blogId=shinswoong75&amp;logNo=223903897413&amp;redirect=Dlog&amp;widgetTypeCall=true&amp;directAccess=false</t>
  </si>
  <si>
    <t>2025년 6월 18일, 이재명 대통령, G7 정상회의 통해 다자외교 성공적 데뷔에 대한 X 반응.</t>
  </si>
  <si>
    <t>https://blog.naver.com/PostView.naver?blogId=shinswoong75&amp;logNo=223903889567&amp;redirect=Dlog&amp;widgetTypeCall=true&amp;directAccess=false</t>
  </si>
  <si>
    <t>유지</t>
  </si>
  <si>
    <t>2025 서울국제도서전(코엑스)</t>
  </si>
  <si>
    <t>https://blog.naver.com/PostView.naver?blogId=oilpaper008&amp;logNo=223903831781&amp;redirect=Dlog&amp;widgetTypeCall=true&amp;directAccess=false</t>
  </si>
  <si>
    <t>팩트 브리핑: 김건희 서울아산병원 입원부터 내란죄 법리까지 — 전문적 법률 및 제도 분석</t>
  </si>
  <si>
    <t>https://blog.naver.com/PostView.naver?blogId=solvunoq&amp;logNo=223903745652&amp;redirect=Dlog&amp;widgetTypeCall=true&amp;directAccess=false</t>
  </si>
  <si>
    <t>아산시사신문</t>
  </si>
  <si>
    <t>https://blog.naver.com/PostView.naver?blogId=kmkki313&amp;logNo=223903756188&amp;redirect=Dlog&amp;widgetTypeCall=true&amp;directAccess=false</t>
  </si>
  <si>
    <t>ToTo</t>
  </si>
  <si>
    <t>위건 부두로 가는 길, 조지 오웰 지음</t>
  </si>
  <si>
    <t>https://blog.naver.com/PostView.naver?blogId=piyona68&amp;logNo=223903753985&amp;redirect=Dlog&amp;widgetTypeCall=true&amp;directAccess=false</t>
  </si>
  <si>
    <t>여운</t>
  </si>
  <si>
    <t>[유레카]‘합법적’ 내란범 집단 탈옥 사태 + [참고적인 지적]</t>
  </si>
  <si>
    <t>https://blog.naver.com/PostView.naver?blogId=kominerba&amp;logNo=223903748966&amp;redirect=Dlog&amp;widgetTypeCall=true&amp;directAccess=false</t>
  </si>
  <si>
    <t>고양이가최고야</t>
  </si>
  <si>
    <t>사서가 추천하는 2025 서울 국제도서전에 가서 구매할 책, 현직사서의 감을 믿어보시라</t>
  </si>
  <si>
    <t>https://blog.naver.com/PostView.naver?blogId=tldfkfk&amp;logNo=223903739041&amp;redirect=Dlog&amp;widgetTypeCall=true&amp;directAccess=false</t>
  </si>
  <si>
    <t>서영민 기자</t>
  </si>
  <si>
    <t>https://blog.naver.com/PostView.naver?blogId=spen123&amp;logNo=223903735489&amp;redirect=Dlog&amp;widgetTypeCall=true&amp;directAccess=false</t>
  </si>
  <si>
    <t>속초산책</t>
  </si>
  <si>
    <t>‘삶의 자영농’ cultivation of a good life</t>
  </si>
  <si>
    <t>https://blog.naver.com/PostView.naver?blogId=dusal79&amp;logNo=223903659385&amp;redirect=Dlog&amp;widgetTypeCall=true&amp;directAccess=false</t>
  </si>
  <si>
    <t>숨 쉬러 나가다 - 조지 오웰</t>
  </si>
  <si>
    <t>https://blog.naver.com/PostView.naver?blogId=dianne_cho14&amp;logNo=223903645307&amp;redirect=Dlog&amp;widgetTypeCall=true&amp;directAccess=false</t>
  </si>
  <si>
    <t>아산데일리</t>
  </si>
  <si>
    <t>https://blog.naver.com/PostView.naver?blogId=asandailynew&amp;logNo=223903580699&amp;redirect=Dlog&amp;widgetTypeCall=true&amp;directAccess=false</t>
  </si>
  <si>
    <t>나는 왜 쓰는가, 조지오웰 지음</t>
  </si>
  <si>
    <t>https://blog.naver.com/PostView.naver?blogId=piyona68&amp;logNo=223903540921&amp;redirect=Dlog&amp;widgetTypeCall=true&amp;directAccess=false</t>
  </si>
  <si>
    <t>osafe</t>
  </si>
  <si>
    <t>말라버린 심장에 수분 미스트를: 슬픔을 공부하는 슬픔</t>
  </si>
  <si>
    <t>https://blog.naver.com/PostView.naver?blogId=osafe&amp;logNo=223902130917&amp;redirect=Dlog&amp;widgetTypeCall=true&amp;directAccess=false</t>
  </si>
  <si>
    <t>루고</t>
  </si>
  <si>
    <t>서울국제도서전 2025 위시리스트</t>
  </si>
  <si>
    <t>https://blog.naver.com/PostView.naver?blogId=rugostudio&amp;logNo=223903358208&amp;redirect=Dlog&amp;widgetTypeCall=true&amp;directAccess=false</t>
  </si>
  <si>
    <t>ChatGPT와 함께 보는 『당신들의 대한민국 1,2』 요약 - 박노자</t>
  </si>
  <si>
    <t>https://blog.naver.com/PostView.naver?blogId=doodle02&amp;logNo=223903316347&amp;redirect=Dlog&amp;widgetTypeCall=true&amp;directAccess=false</t>
  </si>
  <si>
    <t>ChatGPT와 함께 보는 『이정 박헌영 일대기』 요약 - 임경석</t>
  </si>
  <si>
    <t>https://blog.naver.com/PostView.naver?blogId=doodle02&amp;logNo=223903314407&amp;redirect=Dlog&amp;widgetTypeCall=true&amp;directAccess=false</t>
  </si>
  <si>
    <t>ChatGPT와 함께 보는 『실크로드 문명기행』 요약 - 정수일</t>
  </si>
  <si>
    <t>https://blog.naver.com/PostView.naver?blogId=doodle02&amp;logNo=223903284284&amp;redirect=Dlog&amp;widgetTypeCall=true&amp;directAccess=false</t>
  </si>
  <si>
    <t>로벤</t>
  </si>
  <si>
    <t>[책] 아버지의 해방일지_정지아 (다시 읽기)</t>
  </si>
  <si>
    <t>https://blog.naver.com/PostView.naver?blogId=roven_song&amp;logNo=223903266638&amp;redirect=Dlog&amp;widgetTypeCall=true&amp;directAccess=false</t>
  </si>
  <si>
    <t>무한한배움</t>
  </si>
  <si>
    <t>베스트셀러 "결국 국민이 합니다" 내용요약 및 분석</t>
  </si>
  <si>
    <t>https://blog.naver.com/PostView.naver?blogId=swiri203&amp;logNo=223903209627&amp;redirect=Dlog&amp;widgetTypeCall=true&amp;directAccess=false</t>
  </si>
  <si>
    <t>지혜걸인달빛목금</t>
  </si>
  <si>
    <t>[팔레스타인에 자유와 평화를!] "가자는 죽음의 동물원…인간으로 존엄하게 살고 싶다"</t>
  </si>
  <si>
    <t>https://blog.naver.com/PostView.naver?blogId=skylove1713&amp;logNo=223903114749&amp;redirect=Dlog&amp;widgetTypeCall=true&amp;directAccess=false</t>
  </si>
  <si>
    <t>[한겨레] 지하 3㎞ 탄광서 야간작업하던 50대 노동자, 석탄에 매몰돼 숨져</t>
  </si>
  <si>
    <t>https://blog.naver.com/PostView.naver?blogId=tomorrow2998&amp;logNo=223903074311&amp;redirect=Dlog&amp;widgetTypeCall=true&amp;directAccess=false</t>
  </si>
  <si>
    <t>[한겨레] 쿠팡 ‘사무직 중심’ 노조 출범…‘물류 중심’ 기존 노조와 연대할까</t>
  </si>
  <si>
    <t>https://blog.naver.com/PostView.naver?blogId=tomorrow2998&amp;logNo=223903073592&amp;redirect=Dlog&amp;widgetTypeCall=true&amp;directAccess=false</t>
  </si>
  <si>
    <t>6/18</t>
  </si>
  <si>
    <t>https://blog.naver.com/PostView.naver?blogId=moonriver_ecomy&amp;logNo=223903032614&amp;redirect=Dlog&amp;widgetTypeCall=true&amp;directAccess=false</t>
  </si>
  <si>
    <t>뺑오쇼</t>
  </si>
  <si>
    <t>아껴먹는 초여름</t>
  </si>
  <si>
    <t>https://blog.naver.com/PostView.naver?blogId=jw_5016&amp;logNo=223903011114&amp;redirect=Dlog&amp;widgetTypeCall=true&amp;directAccess=false</t>
  </si>
  <si>
    <t>[한겨레 사설] 집값 상승·대출 증가 악순환 조짐, 가계부채 관리해야</t>
  </si>
  <si>
    <t>https://blog.naver.com/PostView.naver?blogId=kklist21&amp;logNo=223903009169&amp;redirect=Dlog&amp;widgetTypeCall=true&amp;directAccess=false</t>
  </si>
  <si>
    <t>[한겨레 사설] 이란-이스라엘 사태, ‘전략적 자율성’ 강화 계기 삼아야</t>
  </si>
  <si>
    <t>https://blog.naver.com/PostView.naver?blogId=kklist21&amp;logNo=223903006341&amp;redirect=Dlog&amp;widgetTypeCall=true&amp;directAccess=false</t>
  </si>
  <si>
    <t>[한겨레 사설] 김건희-민정수석 비화폰 통화, 수사 개입 진상 밝혀야</t>
  </si>
  <si>
    <t>https://blog.naver.com/PostView.naver?blogId=kklist21&amp;logNo=223903003628&amp;redirect=Dlog&amp;widgetTypeCall=true&amp;directAccess=false</t>
  </si>
  <si>
    <t>브레이브킴</t>
  </si>
  <si>
    <t>트럼프 "대통령 적임자 한덕수"…선 넘은 ‘대선 개입’ 주권 침해 정황,미국의 내정간섭 정황이 또 드러났다. 이번엔 선을 넘었다. 지난 4월, 도널드 트럼프 미국 대통령은 한덕수</t>
  </si>
  <si>
    <t>https://blog.naver.com/PostView.naver?blogId=gameboy121&amp;logNo=223900813504&amp;redirect=Dlog&amp;widgetTypeCall=true&amp;directAccess=false</t>
  </si>
  <si>
    <t>스픽스 ~ 김초운님의 오늘자 이재명, 윤석열 소식. 윤석열은 매일 국민들께 더러운 낯짝을 보여준다! 재구속이 무엇보다 시급. 이재명의 외교! 윤석열과는 급이 다르다!</t>
  </si>
  <si>
    <t>https://blog.naver.com/PostView.naver?blogId=wishut3281&amp;logNo=223902954921&amp;redirect=Dlog&amp;widgetTypeCall=true&amp;directAccess=false</t>
  </si>
  <si>
    <t>국내) “그쪽서 주가 관리” 김건희 육성 나왔다…‘시세조종 인식’ 정황</t>
  </si>
  <si>
    <t>https://blog.naver.com/PostView.naver?blogId=vitamin_333&amp;logNo=223902949404&amp;redirect=Dlog&amp;widgetTypeCall=true&amp;directAccess=false</t>
  </si>
  <si>
    <t>눈누난나</t>
  </si>
  <si>
    <t>[ 서울 국제도서전 ] : "믿을 구석 " 벼락치기 예습 및  컨닝페이퍼</t>
  </si>
  <si>
    <t>https://blog.naver.com/PostView.naver?blogId=nunnunanna_0&amp;logNo=223902945055&amp;redirect=Dlog&amp;widgetTypeCall=true&amp;directAccess=false</t>
  </si>
  <si>
    <t>2025년 6월 17일, ‘기상 예보’에도 큰 힘 되는 AI에 대한 X 반응.</t>
  </si>
  <si>
    <t>https://blog.naver.com/PostView.naver?blogId=shinswoong75&amp;logNo=223902788574&amp;redirect=Dlog&amp;widgetTypeCall=true&amp;directAccess=false</t>
  </si>
  <si>
    <t>2025년 6월 17일, 공룡 화석 표본이 7월에 경매에 출품된다에 대한 X 반응.</t>
  </si>
  <si>
    <t>https://blog.naver.com/PostView.naver?blogId=shinswoong75&amp;logNo=223902783760&amp;redirect=Dlog&amp;widgetTypeCall=true&amp;directAccess=false</t>
  </si>
  <si>
    <t>2025년 6월 17일, 이스라엘 '아이언돔'도 뚫렸다에 대한 X 반응.</t>
  </si>
  <si>
    <t>https://blog.naver.com/PostView.naver?blogId=shinswoong75&amp;logNo=223902778185&amp;redirect=Dlog&amp;widgetTypeCall=true&amp;directAccess=false</t>
  </si>
  <si>
    <t>2025년 6월 17일, '정계 은퇴' 홍준표 전 시장 귀국에 대한 X 반응.</t>
  </si>
  <si>
    <t>https://blog.naver.com/PostView.naver?blogId=shinswoong75&amp;logNo=223902755164&amp;redirect=Dlog&amp;widgetTypeCall=true&amp;directAccess=false</t>
  </si>
  <si>
    <t>2025년 6월 17일, 김민석 후보자 자금출처 논란 확산에 대한 X 반응.</t>
  </si>
  <si>
    <t>https://blog.naver.com/PostView.naver?blogId=shinswoong75&amp;logNo=223902747468&amp;redirect=Dlog&amp;widgetTypeCall=true&amp;directAccess=false</t>
  </si>
  <si>
    <t>2025년 6월 17일, 세 특검이 진용을 갖추고 있다에 대한 X 반응.</t>
  </si>
  <si>
    <t>https://blog.naver.com/PostView.naver?blogId=shinswoong75&amp;logNo=223902743498&amp;redirect=Dlog&amp;widgetTypeCall=true&amp;directAccess=false</t>
  </si>
  <si>
    <t>2025년 6월 17일, 김건희 대면조사 이뤄질 것이다에 대한 X반응.</t>
  </si>
  <si>
    <t>https://blog.naver.com/PostView.naver?blogId=shinswoong75&amp;logNo=223902740255&amp;redirect=Dlog&amp;widgetTypeCall=true&amp;directAccess=false</t>
  </si>
  <si>
    <t>2025년 6월 17일, 대면 조사 앞두고 김건희-민정수석 수상한 통화를 했다에 대한 X 반응</t>
  </si>
  <si>
    <t>https://blog.naver.com/PostView.naver?blogId=shinswoong75&amp;logNo=223902736959&amp;redirect=Dlog&amp;widgetTypeCall=true&amp;directAccess=false</t>
  </si>
  <si>
    <t>Wind Scent</t>
  </si>
  <si>
    <t>시간 위를 걷는 마음의 글</t>
  </si>
  <si>
    <t>https://blog.naver.com/PostView.naver?blogId=delights15&amp;logNo=223902550366&amp;redirect=Dlog&amp;widgetTypeCall=true&amp;directAccess=false</t>
  </si>
  <si>
    <t>순순</t>
  </si>
  <si>
    <t>신문 필사 ㅡ사라지는  섬과 그래프가 말해주는 미래(최우성)</t>
  </si>
  <si>
    <t>https://blog.naver.com/PostView.naver?blogId=syshbo&amp;logNo=223902516899&amp;redirect=Dlog&amp;widgetTypeCall=true&amp;directAccess=false</t>
  </si>
  <si>
    <t>문학인 신문</t>
  </si>
  <si>
    <t>[책 위의 대화] 김도석 《아버지 죽다》</t>
  </si>
  <si>
    <t>https://blog.naver.com/PostView.naver?blogId=munhakin1&amp;logNo=223902481435&amp;redirect=Dlog&amp;widgetTypeCall=true&amp;directAccess=false</t>
  </si>
  <si>
    <t>“맥주 마셨냐” 3년 전 윤석열 첫 순방길 재소환</t>
  </si>
  <si>
    <t>https://blog.naver.com/PostView.naver?blogId=dima0306&amp;logNo=223902429740&amp;redirect=Dlog&amp;widgetTypeCall=true&amp;directAccess=false</t>
  </si>
  <si>
    <t>검찰, 김진태 강원지사 조사…‘김건희 개입으로 경선 참여’ 의혹</t>
  </si>
  <si>
    <t>https://blog.naver.com/PostView.naver?blogId=samo2001&amp;logNo=223902382260&amp;redirect=Dlog&amp;widgetTypeCall=true&amp;directAccess=false</t>
  </si>
  <si>
    <t>2025 서울국제도서전 준비하기 두근두근</t>
  </si>
  <si>
    <t>https://blog.naver.com/PostView.naver?blogId=hamster-777&amp;logNo=223902154667&amp;redirect=Dlog&amp;widgetTypeCall=true&amp;directAccess=false</t>
  </si>
  <si>
    <t>자신이 성장하면서 경험했던 청소년기 문제(어려움, 갈등)를 간단히 기술하고, 현재 언론 매체(신문, TV, 인터넷 등)에서 보도된 청소년문제 중 자신의 문제와 연관성이 있는 보도내</t>
  </si>
  <si>
    <t>https://blog.naver.com/PostView.naver?blogId=locewral4671&amp;logNo=223902163278&amp;redirect=Dlog&amp;widgetTypeCall=true&amp;directAccess=false</t>
  </si>
  <si>
    <t>네타냐후는 전투에서 이기고 있지만…이스라엘의 이란 공격 딜레마</t>
  </si>
  <si>
    <t>https://blog.naver.com/PostView.naver?blogId=samo2001&amp;logNo=223902139922&amp;redirect=Dlog&amp;widgetTypeCall=true&amp;directAccess=false</t>
  </si>
  <si>
    <t>신문일기 12일차 (한겨레신문, 2025.06.16)</t>
  </si>
  <si>
    <t>https://blog.naver.com/PostView.naver?blogId=little_moments_diary&amp;logNo=223902126401&amp;redirect=Dlog&amp;widgetTypeCall=true&amp;directAccess=false</t>
  </si>
  <si>
    <t>redbox75</t>
  </si>
  <si>
    <t>흔들리는 교권에 대해</t>
  </si>
  <si>
    <t>https://blog.naver.com/PostView.naver?blogId=redbox75&amp;logNo=223902102175&amp;redirect=Dlog&amp;widgetTypeCall=true&amp;directAccess=false</t>
  </si>
  <si>
    <t>영화바라기</t>
  </si>
  <si>
    <t>파묘를 시도한 자, 결국 파묘되다</t>
  </si>
  <si>
    <t>https://blog.naver.com/PostView.naver?blogId=h581027&amp;logNo=223901957576&amp;redirect=Dlog&amp;widgetTypeCall=true&amp;directAccess=false</t>
  </si>
  <si>
    <t>[팔레스타인] "이 글을 읽고 계신 모든 분께 간곡히 부탁드린다. 부디 우리를 잊지 말아달라" 구호단체 모금 움직임 분주.</t>
  </si>
  <si>
    <t>https://blog.naver.com/PostView.naver?blogId=skylove1713&amp;logNo=223901920528&amp;redirect=Dlog&amp;widgetTypeCall=true&amp;directAccess=false</t>
  </si>
  <si>
    <t>평가달인</t>
  </si>
  <si>
    <t>집값 상승 불안, 언론의 경고: 새 정부, 기대 심리 제어와 구체적인 해결책 제시가 시급하다.</t>
  </si>
  <si>
    <t>https://blog.naver.com/PostView.naver?blogId=sunhoo502&amp;logNo=223901812908&amp;redirect=Dlog&amp;widgetTypeCall=true&amp;directAccess=false</t>
  </si>
  <si>
    <t>때가올지니깨어있으라</t>
  </si>
  <si>
    <t>[단독] 김건희 비화폰으로  김주현 민정수석과 33분 통화 확인..</t>
  </si>
  <si>
    <t>https://blog.naver.com/PostView.naver?blogId=finch1234&amp;logNo=223901799182&amp;redirect=Dlog&amp;widgetTypeCall=true&amp;directAccess=false</t>
  </si>
  <si>
    <t>6/16</t>
  </si>
  <si>
    <t>https://blog.naver.com/PostView.naver?blogId=moonriver_ecomy&amp;logNo=223901796204&amp;redirect=Dlog&amp;widgetTypeCall=true&amp;directAccess=false</t>
  </si>
  <si>
    <t>스픽스 ~ 정치 돋보기님의 오늘자 이재명, 윤석열 소식. 김건희 입원은 멍청한 실수. 지귀연 판사와 심우정 검찰총장의 내란범죄자 구출 콜라보. 내란범탈당 러쉬 시작</t>
  </si>
  <si>
    <t>https://blog.naver.com/PostView.naver?blogId=wishut3281&amp;logNo=223901739722&amp;redirect=Dlog&amp;widgetTypeCall=true&amp;directAccess=false</t>
  </si>
  <si>
    <t>25년 6월 17일 오늘의 주요 경제 뉴스</t>
  </si>
  <si>
    <t>https://blog.naver.com/PostView.naver?blogId=kallikles&amp;logNo=223901728383&amp;redirect=Dlog&amp;widgetTypeCall=true&amp;directAccess=false</t>
  </si>
  <si>
    <t>그리는 즐거움</t>
  </si>
  <si>
    <t>자기만의 방</t>
  </si>
  <si>
    <t>https://blog.naver.com/PostView.naver?blogId=daisysonia&amp;logNo=223901609899&amp;redirect=Dlog&amp;widgetTypeCall=true&amp;directAccess=false</t>
  </si>
  <si>
    <t>「시인의 서랍」 ② 저자 : 이정록 著</t>
  </si>
  <si>
    <t>https://blog.naver.com/PostView.naver?blogId=komorebihjh&amp;logNo=223900317357&amp;redirect=Dlog&amp;widgetTypeCall=true&amp;directAccess=false</t>
  </si>
  <si>
    <t>임 산</t>
  </si>
  <si>
    <t>[백두산 야생화] 족제비쑥</t>
  </si>
  <si>
    <t>https://blog.naver.com/PostView.naver?blogId=leemsan&amp;logNo=223901547754&amp;redirect=Dlog&amp;widgetTypeCall=true&amp;directAccess=false</t>
  </si>
  <si>
    <t>‘김건희 특검’, 검찰에 포렌식 전문가 등 10명 안팎 수사관 파견 요청</t>
  </si>
  <si>
    <t>https://blog.naver.com/PostView.naver?blogId=eremoval&amp;logNo=223901507672&amp;redirect=Dlog&amp;widgetTypeCall=true&amp;directAccess=false</t>
  </si>
  <si>
    <t>올챙이</t>
  </si>
  <si>
    <t>주말 도서관에서 잡지를 보다</t>
  </si>
  <si>
    <t>https://blog.naver.com/PostView.naver?blogId=shhong0910&amp;logNo=223901469236&amp;redirect=Dlog&amp;widgetTypeCall=true&amp;directAccess=false</t>
  </si>
  <si>
    <t>2025년 6월 16일, 미국 전역 '반 트럼프' 시위‥총격에 1명 사망. X 반응.</t>
  </si>
  <si>
    <t>https://blog.naver.com/PostView.naver?blogId=shinswoong75&amp;logNo=223901380499&amp;redirect=Dlog&amp;widgetTypeCall=true&amp;directAccess=false</t>
  </si>
  <si>
    <t>세상구경</t>
  </si>
  <si>
    <t>★★★ 세 여자 1·2 (조선희, 한겨레출판)</t>
  </si>
  <si>
    <t>https://blog.naver.com/PostView.naver?blogId=yskimeng&amp;logNo=223897046991&amp;redirect=Dlog&amp;widgetTypeCall=true&amp;directAccess=false</t>
  </si>
  <si>
    <t>한겨레출판편집학교 98기 3주차</t>
  </si>
  <si>
    <t>https://blog.naver.com/PostView.naver?blogId=hyebbikkong&amp;logNo=223901279106&amp;redirect=Dlog&amp;widgetTypeCall=true&amp;directAccess=false</t>
  </si>
  <si>
    <t>올리브의 기록</t>
  </si>
  <si>
    <t>내가 보려고 정리한 2025 서울국제도서전 출판사 부스별 이벤트 모음</t>
  </si>
  <si>
    <t>https://blog.naver.com/PostView.naver?blogId=marieolive07&amp;logNo=223901251556&amp;redirect=Dlog&amp;widgetTypeCall=true&amp;directAccess=false</t>
  </si>
  <si>
    <t>안젤라</t>
  </si>
  <si>
    <t>2025 서울국제도서전 부스 Check!!</t>
  </si>
  <si>
    <t>https://blog.naver.com/PostView.naver?blogId=sunkist85&amp;logNo=223901235148&amp;redirect=Dlog&amp;widgetTypeCall=true&amp;directAccess=false</t>
  </si>
  <si>
    <t>20250616 세계일보, 조선일보, 한겨레신문 사설 요약 및 분석</t>
  </si>
  <si>
    <t>https://blog.naver.com/PostView.naver?blogId=junlee915&amp;logNo=223901108598&amp;redirect=Dlog&amp;widgetTypeCall=true&amp;directAccess=false</t>
  </si>
  <si>
    <t>꾸준한 궁금이</t>
  </si>
  <si>
    <t>봉준호의 지리멸렬한 시작에 대하여</t>
  </si>
  <si>
    <t>https://blog.naver.com/PostView.naver?blogId=onefour4&amp;logNo=223901093482&amp;redirect=Dlog&amp;widgetTypeCall=true&amp;directAccess=false</t>
  </si>
  <si>
    <t>심우정-김주현 '비화폰 통화'‥'우리도 수사받나?' 발칵</t>
  </si>
  <si>
    <t>https://blog.naver.com/PostView.naver?blogId=dbghwns2&amp;logNo=223901054990&amp;redirect=Dlog&amp;widgetTypeCall=true&amp;directAccess=false</t>
  </si>
  <si>
    <t>이재명 정부 ‘공급 확대’ 부동산 로드맵, 집값 안정에 도움 될까? — 팩트체크 &amp; 전망</t>
  </si>
  <si>
    <t>https://blog.naver.com/PostView.naver?blogId=solvunoq&amp;logNo=223900866605&amp;redirect=Dlog&amp;widgetTypeCall=true&amp;directAccess=false</t>
  </si>
  <si>
    <t>월드장애인사랑뉴스</t>
  </si>
  <si>
    <t>조국혁신당 복지국가특별위원회, 청년 아이디어를 통해 복지국가 비전 모색</t>
  </si>
  <si>
    <t>https://blog.naver.com/PostView.naver?blogId=youcandonews&amp;logNo=223900745631&amp;redirect=Dlog&amp;widgetTypeCall=true&amp;directAccess=false</t>
  </si>
  <si>
    <t>최소라</t>
  </si>
  <si>
    <t>『빼앗긴 숨』/ 안종주지음/한울/2016</t>
  </si>
  <si>
    <t>https://blog.naver.com/PostView.naver?blogId=sora7316&amp;logNo=223900741395&amp;redirect=Dlog&amp;widgetTypeCall=true&amp;directAccess=false</t>
  </si>
  <si>
    <t>이스라엘-이란 충돌 격화, 전면전으로 번질까?</t>
  </si>
  <si>
    <t>https://blog.naver.com/PostView.naver?blogId=mindmethod7&amp;logNo=223900686584&amp;redirect=Dlog&amp;widgetTypeCall=true&amp;directAccess=false</t>
  </si>
  <si>
    <t>〔5613〕 증가하는 '쉬었음' 청년/ 안선희 논설위원/ 한겨레 2025. 6. 12.</t>
  </si>
  <si>
    <t>https://blog.naver.com/PostView.naver?blogId=kje06&amp;logNo=223900668153&amp;redirect=Dlog&amp;widgetTypeCall=true&amp;directAccess=false</t>
  </si>
  <si>
    <t>심우정, 명태균 수사 당시 '대통령실'과 24분 비화폰 통화 후 김건희 주가조작 무혐의 처리</t>
  </si>
  <si>
    <t>https://blog.naver.com/PostView.naver?blogId=news_curator_j&amp;logNo=223900647716&amp;redirect=Dlog&amp;widgetTypeCall=true&amp;directAccess=false</t>
  </si>
  <si>
    <t>[한겨레] SK, 아마존 손 잡고 울산에 AI 데이터센터 짓는다…수조원대 투자</t>
  </si>
  <si>
    <t>https://blog.naver.com/PostView.naver?blogId=tomorrow2998&amp;logNo=223900628360&amp;redirect=Dlog&amp;widgetTypeCall=true&amp;directAccess=false</t>
  </si>
  <si>
    <t>[한겨레] 한국 식료품 물가, 스위스 이어 OECD 2위…회원국 평균보다 50% 비싸</t>
  </si>
  <si>
    <t>https://blog.naver.com/PostView.naver?blogId=tomorrow2998&amp;logNo=223900627372&amp;redirect=Dlog&amp;widgetTypeCall=true&amp;directAccess=false</t>
  </si>
  <si>
    <t>스윗도넛</t>
  </si>
  <si>
    <t>영화잡지 필로, 감상을 읽고 쓴다는 것(화성시립도서관)</t>
  </si>
  <si>
    <t>https://blog.naver.com/PostView.naver?blogId=hwayli&amp;logNo=223900607961&amp;redirect=Dlog&amp;widgetTypeCall=true&amp;directAccess=false</t>
  </si>
  <si>
    <t>627 HEALTH</t>
  </si>
  <si>
    <t>생각해</t>
  </si>
  <si>
    <t>4월에 임시저장한 글</t>
  </si>
  <si>
    <t>https://blog.naver.com/PostView.naver?blogId=helenkim11&amp;logNo=223900466692&amp;redirect=Dlog&amp;widgetTypeCall=true&amp;directAccess=false</t>
  </si>
  <si>
    <t>수</t>
  </si>
  <si>
    <t>250614 Love wins all🌈</t>
  </si>
  <si>
    <t>https://blog.naver.com/PostView.naver?blogId=il__lusion&amp;logNo=223900370026&amp;redirect=Dlog&amp;widgetTypeCall=true&amp;directAccess=false</t>
  </si>
  <si>
    <t>떡상 유튜브 리뷰</t>
  </si>
  <si>
    <t>유튜브를 멀리하라는 두 기사 [현실을 왜곡하는 유튜브, '좋아요'가 만든 대통령과 알고리즘]</t>
  </si>
  <si>
    <t>https://blog.naver.com/PostView.naver?blogId=lgm4529&amp;logNo=223900350426&amp;redirect=Dlog&amp;widgetTypeCall=true&amp;directAccess=false</t>
  </si>
  <si>
    <t>「시인의 서랍」 저자 : 이정록 著</t>
  </si>
  <si>
    <t>https://blog.naver.com/PostView.naver?blogId=komorebihjh&amp;logNo=223900251090&amp;redirect=Dlog&amp;widgetTypeCall=true&amp;directAccess=false</t>
  </si>
  <si>
    <t>노컷뉴스</t>
  </si>
  <si>
    <t>188.신종전염병 소식1;한국 전세시장의 민낯; 더불어 민주당과 그 당의 문재인 정권이  만든 재앙 ;“무려 9조 원이 증발”…당국도 속수무책, 사기꾼들 놀이터에 죄 없는 서민통곡</t>
  </si>
  <si>
    <t>https://blog.naver.com/PostView.naver?blogId=chkwkim&amp;logNo=223915614265&amp;redirect=Dlog&amp;widgetTypeCall=true&amp;directAccess=false</t>
  </si>
  <si>
    <t>역대정부,청약저축액으로 집값 띄웠다…박근혜정부때부터 시작..."주택도시기금 파산위기",집값 떠 받치기 사용 이제그만.. 주택공급· 서민 대출, 본연 역할집중해야"...</t>
  </si>
  <si>
    <t>https://blog.naver.com/PostView.naver?blogId=kkkmhyun&amp;logNo=223915503340&amp;redirect=Dlog&amp;widgetTypeCall=true&amp;directAccess=false</t>
  </si>
  <si>
    <t>올데이 프로젝트, 데뷔와 동시에 K팝 차트 정상! 퍼포먼스 강자로 국내외 K팝 시장을 흔들다.</t>
  </si>
  <si>
    <t>https://blog.naver.com/PostView.naver?blogId=gkirohamo&amp;logNo=223914706606&amp;redirect=Dlog&amp;widgetTypeCall=true&amp;directAccess=false</t>
  </si>
  <si>
    <t>석정보강토</t>
  </si>
  <si>
    <t>정한울의 여론연구</t>
  </si>
  <si>
    <t>[연속발표] 진보정책연구원 주최 긴급토론회 "2030 남성의 선택, 어떻게 볼 것인가?" #발표</t>
  </si>
  <si>
    <t>https://blog.naver.com/PostView.naver?blogId=cdachi&amp;logNo=223914039919&amp;redirect=Dlog&amp;widgetTypeCall=true&amp;directAccess=false</t>
  </si>
  <si>
    <t>주담대 6억원까지만, 실거주 의무도...수도권 대출 규제</t>
  </si>
  <si>
    <t>https://blog.naver.com/PostView.naver?blogId=plus0818&amp;logNo=223913850027&amp;redirect=Dlog&amp;widgetTypeCall=true&amp;directAccess=false</t>
  </si>
  <si>
    <t>“이 정도 조정은 기회, '이것'이 대세 상승을 이끈다 (김민수, 유영화) | 인포맥스라이브 250626” 의 영상 요약</t>
  </si>
  <si>
    <t>https://blog.naver.com/PostView.naver?blogId=lucidjun&amp;logNo=223913233425&amp;redirect=Dlog&amp;widgetTypeCall=true&amp;directAccess=false</t>
  </si>
  <si>
    <t>2025년 6월 26일, "이재명 대통령, 차관급 인사 단행"에 대한 X 반응</t>
  </si>
  <si>
    <t>https://blog.naver.com/PostView.naver?blogId=shinswoong75&amp;logNo=223912966169&amp;redirect=Dlog&amp;widgetTypeCall=true&amp;directAccess=false</t>
  </si>
  <si>
    <t>metta</t>
  </si>
  <si>
    <t>『폴리티컬 디톡스』 이재호</t>
  </si>
  <si>
    <t>https://blog.naver.com/PostView.naver?blogId=anljs&amp;logNo=223912155773&amp;redirect=Dlog&amp;widgetTypeCall=true&amp;directAccess=false</t>
  </si>
  <si>
    <t>노나메기</t>
  </si>
  <si>
    <t>이미 선진국은 발전에너지분야 RE50 달성, 우리는 시급하다.</t>
  </si>
  <si>
    <t>https://blog.naver.com/PostView.naver?blogId=sc-nonamegi&amp;logNo=223912117403&amp;redirect=Dlog&amp;widgetTypeCall=true&amp;directAccess=false</t>
  </si>
  <si>
    <t>수도권 인구집중, 제조업집중,교통인프라분산등 수도권 분산이 답이다.</t>
  </si>
  <si>
    <t>https://blog.naver.com/PostView.naver?blogId=sc-nonamegi&amp;logNo=223912114662&amp;redirect=Dlog&amp;widgetTypeCall=true&amp;directAccess=false</t>
  </si>
  <si>
    <t>COP26 기후정상회의 이후 우리는 아무것도 하지 않았다.</t>
  </si>
  <si>
    <t>https://blog.naver.com/PostView.naver?blogId=sc-nonamegi&amp;logNo=223912110516&amp;redirect=Dlog&amp;widgetTypeCall=true&amp;directAccess=false</t>
  </si>
  <si>
    <t>청자켓입은 라마</t>
  </si>
  <si>
    <t>시사포커스TV ~ 구네스북님의 오늘자 이재명, 윤석열 소식. 법은 귀한자에게 아부하지 않는다. 사람이 사람답게 사는 세상! 이제부터 진짜 대한민국이 이재명 정부에게 시작된다</t>
  </si>
  <si>
    <t>https://blog.naver.com/PostView.naver?blogId=wishut3281&amp;logNo=223911664676&amp;redirect=Dlog&amp;widgetTypeCall=true&amp;directAccess=false</t>
  </si>
  <si>
    <t>비단공주</t>
  </si>
  <si>
    <t>이준석 대선 출마: 독일까, 실익이 있었을까?</t>
  </si>
  <si>
    <t>https://blog.naver.com/PostView.naver?blogId=zarzayo&amp;logNo=223911289362&amp;redirect=Dlog&amp;widgetTypeCall=true&amp;directAccess=false</t>
  </si>
  <si>
    <t>고등수학은 일품</t>
  </si>
  <si>
    <t>말도 많고 탈도 많은 고교학점제...</t>
  </si>
  <si>
    <t>https://blog.naver.com/PostView.naver?blogId=forbillion&amp;logNo=223911094162&amp;redirect=Dlog&amp;widgetTypeCall=true&amp;directAccess=false</t>
  </si>
  <si>
    <t>두 달 만에 또 유럽 출장? 순천시장 '갯벌치유관광플랫폼' 논란 커진다</t>
  </si>
  <si>
    <t>https://blog.naver.com/PostView.naver?blogId=underwind-&amp;logNo=223909719186&amp;redirect=Dlog&amp;widgetTypeCall=true&amp;directAccess=false</t>
  </si>
  <si>
    <t>KTOTALCHANNEL</t>
  </si>
  <si>
    <t>백종원 '더본코리아' 결국 검찰 송치... 중국산을 국산으로 표기</t>
  </si>
  <si>
    <t>https://blog.naver.com/PostView.naver?blogId=ktotalchannel&amp;logNo=223909651360&amp;redirect=Dlog&amp;widgetTypeCall=true&amp;directAccess=false</t>
  </si>
  <si>
    <t>더본코리아, 원산지표시법 위반으로 검찰 송치…백종원, 다중 법적 논란 속 방송 중단</t>
  </si>
  <si>
    <t>https://blog.naver.com/PostView.naver?blogId=chikorita_&amp;logNo=223908541923&amp;redirect=Dlog&amp;widgetTypeCall=true&amp;directAccess=false</t>
  </si>
  <si>
    <t>메가충청뉴스</t>
  </si>
  <si>
    <t>백종원 대표의 더본코리아, 첫 검찰 송치…‘원산지표시법 위반’ 혐의</t>
  </si>
  <si>
    <t>https://blog.naver.com/PostView.naver?blogId=chansun21&amp;logNo=223908439807&amp;redirect=Dlog&amp;widgetTypeCall=true&amp;directAccess=false</t>
  </si>
  <si>
    <t>신상준</t>
  </si>
  <si>
    <t>[노컷뉴스] 12·3계엄 이후 광장에서 '다시 만난 민주주의'</t>
  </si>
  <si>
    <t>https://blog.naver.com/PostView.naver?blogId=bradshin&amp;logNo=223908349937&amp;redirect=Dlog&amp;widgetTypeCall=true&amp;directAccess=false</t>
  </si>
  <si>
    <t>학습공원의 조경사</t>
  </si>
  <si>
    <t>2025년 6월 23일 일일보도현황</t>
  </si>
  <si>
    <t>https://blog.naver.com/PostView.naver?blogId=hjj513&amp;logNo=223908304693&amp;redirect=Dlog&amp;widgetTypeCall=true&amp;directAccess=false</t>
  </si>
  <si>
    <t>레이나</t>
  </si>
  <si>
    <t>[개발] 초등 영어 AI 디지털교과서 활용 수업 콘텐츠 개발(2025. 6. 15.)</t>
  </si>
  <si>
    <t>https://blog.naver.com/PostView.naver?blogId=reinakim0302&amp;logNo=223908087820&amp;redirect=Dlog&amp;widgetTypeCall=true&amp;directAccess=false</t>
  </si>
  <si>
    <t>[사회뉴스 스크랩] 사직 전공의 "복귀 원해" 이번엔 진짜?…'과한 특혜' 비판도</t>
  </si>
  <si>
    <t>https://blog.naver.com/PostView.naver?blogId=kite0725&amp;logNo=223907460331&amp;redirect=Dlog&amp;widgetTypeCall=true&amp;directAccess=false</t>
  </si>
  <si>
    <t>정치 읽어주는 여자 ~ [공식]새날님의 오늘자 이재명, 윤석열 소식. 내란 공범들. 마약 공범들 모두 싹 쓸어 휴지통에... 국민주권정부 흔들고 흠집내는 국힘당을 해체시켜라.</t>
  </si>
  <si>
    <t>https://blog.naver.com/PostView.naver?blogId=wishut3281&amp;logNo=223907396090&amp;redirect=Dlog&amp;widgetTypeCall=true&amp;directAccess=false</t>
  </si>
  <si>
    <t>“🔴[19시 생방송] 주식시장, 지금부터가 진짜...코스피 3,000p 돌파 대응 전략은 (민경원, 이성웅, 김민수, 이진우) | 인포맥스라이브 250620” 의 영상 요약</t>
  </si>
  <si>
    <t>https://blog.naver.com/PostView.naver?blogId=lucidjun&amp;logNo=223906374594&amp;redirect=Dlog&amp;widgetTypeCall=true&amp;directAccess=false</t>
  </si>
  <si>
    <t>DAKI</t>
  </si>
  <si>
    <t>터널 인근 연쇄 추돌 사고 발생... 알고 보니 '이것' 기준 미달!</t>
  </si>
  <si>
    <t>https://blog.naver.com/PostView.naver?blogId=carderra&amp;logNo=223905988740&amp;redirect=Dlog&amp;widgetTypeCall=true&amp;directAccess=false</t>
  </si>
  <si>
    <t>2025년 6월 19일 일일보도현황</t>
  </si>
  <si>
    <t>https://blog.naver.com/PostView.naver?blogId=hjj513&amp;logNo=223905741727&amp;redirect=Dlog&amp;widgetTypeCall=true&amp;directAccess=false</t>
  </si>
  <si>
    <t>&lt;이 친구도 껍데기를 자인..윤대통령에 대한 헌재의 위헌불법인 탄핵결정과 더불당 내란 배설질로 선전선동하는 무능,무책임 좌경용공 민주팔이의 망상 대국민 사기극..기사무관&gt;국회 찾은</t>
  </si>
  <si>
    <t>https://blog.naver.com/PostView.naver?blogId=yesktj&amp;logNo=223905031828&amp;redirect=Dlog&amp;widgetTypeCall=true&amp;directAccess=false</t>
  </si>
  <si>
    <t>행복스쿨</t>
  </si>
  <si>
    <t>[공유] [단독] 이재명 정부, 신천지 불법행위 들여다본다</t>
  </si>
  <si>
    <t>https://blog.naver.com/PostView.naver?blogId=yjhyjhy&amp;logNo=223904586755&amp;redirect=Dlog&amp;widgetTypeCall=true&amp;directAccess=false</t>
  </si>
  <si>
    <t>스포테이너즈</t>
  </si>
  <si>
    <t>서왕진 의원 "지귀연 판사 의혹, 대법원은 엄중 감찰하라"ㅣ250521</t>
  </si>
  <si>
    <t>https://blog.naver.com/PostView.naver?blogId=wjseo21&amp;logNo=223904304338&amp;redirect=Dlog&amp;widgetTypeCall=true&amp;directAccess=false</t>
  </si>
  <si>
    <t>황금보리</t>
  </si>
  <si>
    <t>안세영 '파리 작심 발언' 안세영, 이용대 넘어 최고 역대 대우 받을듯 연봉 20억 이상 전망이다</t>
  </si>
  <si>
    <t>https://blog.naver.com/PostView.naver?blogId=kimsm5101&amp;logNo=223904070371&amp;redirect=Dlog&amp;widgetTypeCall=true&amp;directAccess=false</t>
  </si>
  <si>
    <t>김건희 여사 아산병원 '특혜 입원' 논란 확산... "서민은 암 걸려도 기회 없어"</t>
  </si>
  <si>
    <t>https://blog.naver.com/PostView.naver?blogId=mindmethod7&amp;logNo=223903644204&amp;redirect=Dlog&amp;widgetTypeCall=true&amp;directAccess=false</t>
  </si>
  <si>
    <t>에이테크</t>
  </si>
  <si>
    <t>울산대 지역산업 연계한 고급 소프트웨어 인재 양성 본격화</t>
  </si>
  <si>
    <t>https://blog.naver.com/PostView.naver?blogId=atech_official&amp;logNo=223903129513&amp;redirect=Dlog&amp;widgetTypeCall=true&amp;directAccess=false</t>
  </si>
  <si>
    <t>폴리오, 목·어깨 마사지기 V2 '8만대 리콜'..."결함 쉬쉬하다 뒤늦은 대응" 논란</t>
  </si>
  <si>
    <t>https://blog.naver.com/PostView.naver?blogId=ilyoweekly&amp;logNo=223902507243&amp;redirect=Dlog&amp;widgetTypeCall=true&amp;directAccess=false</t>
  </si>
  <si>
    <t>&lt;윤대통령에 대한 헌재의 위헌불법인 탄핵결정과 더불당 내란 배설질은 무능,무책임 좌경용공 민주팔이의 망상 대국민 사기극..기사무관&gt;울산 시민사회단체 "'문형배 특강' 비판한 국힘</t>
  </si>
  <si>
    <t>https://blog.naver.com/PostView.naver?blogId=yesktj&amp;logNo=223901978135&amp;redirect=Dlog&amp;widgetTypeCall=true&amp;directAccess=false</t>
  </si>
  <si>
    <t>2025년 6월 17일 일일 보도현황입니다!</t>
  </si>
  <si>
    <t>https://blog.naver.com/PostView.naver?blogId=hjj513&amp;logNo=223901806427&amp;redirect=Dlog&amp;widgetTypeCall=true&amp;directAccess=false</t>
  </si>
  <si>
    <t>내란성괴 생쑈 시~~작! 아산병원 성형외과 실력 좋은가?</t>
  </si>
  <si>
    <t>https://blog.naver.com/PostView.naver?blogId=brkfstatiffa&amp;logNo=223901215389&amp;redirect=Dlog&amp;widgetTypeCall=true&amp;directAccess=false</t>
  </si>
  <si>
    <t>2025년 6월 13일 일일보도현황</t>
  </si>
  <si>
    <t>https://blog.naver.com/PostView.naver?blogId=hjj513&amp;logNo=223900565868&amp;redirect=Dlog&amp;widgetTypeCall=true&amp;directAccess=false</t>
  </si>
  <si>
    <t>내 양키 코쟁이 백인들에게 이 밤에 충고한다... 일커지기전에 도널드 트럼프를 탄핵해 파면하고 우리처럼 새로운 대통령을 뽑아라.. 나치 히틀러처럼 도널드 트럼프도 미쳐가고 있다.</t>
  </si>
  <si>
    <t>https://blog.naver.com/PostView.naver?blogId=samsongeko1&amp;logNo=223899454217&amp;redirect=Dlog&amp;widgetTypeCall=true&amp;directAccess=false</t>
  </si>
  <si>
    <t>감자</t>
  </si>
  <si>
    <t>우리가 그동안 먹고 있던 고기들은 어떻게 길러질까? 그 실체를 알아보았다.</t>
  </si>
  <si>
    <t>https://blog.naver.com/PostView.naver?blogId=iun66&amp;logNo=223899265701&amp;redirect=Dlog&amp;widgetTypeCall=true&amp;directAccess=false</t>
  </si>
  <si>
    <t>지키는자</t>
  </si>
  <si>
    <t>신천지의 꼼수, ‘용도변경’</t>
  </si>
  <si>
    <t>https://blog.naver.com/PostView.naver?blogId=kisscg1101&amp;logNo=223897822953&amp;redirect=Dlog&amp;widgetTypeCall=true&amp;directAccess=false</t>
  </si>
  <si>
    <t>휴머노이드 로봇 전문점 중국 베이징 오픈 예정</t>
  </si>
  <si>
    <t>https://blog.naver.com/PostView.naver?blogId=stella5092&amp;logNo=223898166013&amp;redirect=Dlog&amp;widgetTypeCall=true&amp;directAccess=false</t>
  </si>
  <si>
    <t>[기자수첩]'졌잘싸' 독(毒)이 된 국힘의 40%대 득표 + [참고적인 지적]</t>
  </si>
  <si>
    <t>https://blog.naver.com/PostView.naver?blogId=kominerba&amp;logNo=223897647439&amp;redirect=Dlog&amp;widgetTypeCall=true&amp;directAccess=false</t>
  </si>
  <si>
    <t>[피노의시선] 정부는 검찰청을 폐지하고 수사·기소 기능을 완전히 분리, 형사사법 체계 개편 추진</t>
  </si>
  <si>
    <t>https://blog.naver.com/PostView.naver?blogId=etran&amp;logNo=223896835013&amp;redirect=Dlog&amp;widgetTypeCall=true&amp;directAccess=false</t>
  </si>
  <si>
    <t>땅직GOㆍ씽씽이</t>
  </si>
  <si>
    <t>국내 연구개발 투자액 역대 최대 83.6조…삼성전자 1위</t>
  </si>
  <si>
    <t>https://blog.naver.com/PostView.naver?blogId=loveis2668&amp;logNo=223896714095&amp;redirect=Dlog&amp;widgetTypeCall=true&amp;directAccess=false</t>
  </si>
  <si>
    <t>거인의어깨</t>
  </si>
  <si>
    <t>2025학년도 수능 'n수생' 비중 34.7%</t>
  </si>
  <si>
    <t>https://blog.naver.com/PostView.naver?blogId=gts-academy&amp;logNo=223896169953&amp;redirect=Dlog&amp;widgetTypeCall=true&amp;directAccess=false</t>
  </si>
  <si>
    <t>공투청년</t>
  </si>
  <si>
    <t>[장전뉴스] 6월 12일(목) 증시 주요 뉴스</t>
  </si>
  <si>
    <t>https://blog.naver.com/PostView.naver?blogId=hbjeon9390&amp;logNo=223896494072&amp;redirect=Dlog&amp;widgetTypeCall=true&amp;directAccess=false</t>
  </si>
  <si>
    <t>김민석 총리후보 "난 반미주의자 아냐…美변호사자격도있어""미국에서 다양한 공부를하고 공교롭게도 전임 총리와 같은 하버드대도 다녔고,미국 헌법에 관심이 있어서 미국 변호사도 됐다"</t>
  </si>
  <si>
    <t>https://blog.naver.com/PostView.naver?blogId=krbsh&amp;logNo=223895460481&amp;redirect=Dlog&amp;widgetTypeCall=true&amp;directAccess=false</t>
  </si>
  <si>
    <t>부산시, 지하수 수질·수위 모니터링 시스템 구축</t>
  </si>
  <si>
    <t>https://blog.naver.com/PostView.naver?blogId=jigwtech&amp;logNo=223892279657&amp;redirect=Dlog&amp;widgetTypeCall=true&amp;directAccess=false</t>
  </si>
  <si>
    <t>청와대 복귀 본격화…"예비비 259억 의결"</t>
  </si>
  <si>
    <t>https://blog.naver.com/PostView.naver?blogId=jarboy&amp;logNo=223894830433&amp;redirect=Dlog&amp;widgetTypeCall=true&amp;directAccess=false</t>
  </si>
  <si>
    <t>李대통령 "'잘 뽑았다' 효능감·자부심 가지시도록 노력"</t>
  </si>
  <si>
    <t>https://blog.naver.com/PostView.naver?blogId=jarboy&amp;logNo=223894207760&amp;redirect=Dlog&amp;widgetTypeCall=true&amp;directAccess=false</t>
  </si>
  <si>
    <t>이렇게 될 줄은 250609 2025 KBL 프로농구 FA 원 소속 구단 재협상 막날 최창진 제외 전원 은퇴(함준후 박준형장태빈 이호준(KT) 조상열김철욱김진모(가스)김현민)</t>
  </si>
  <si>
    <t>https://blog.naver.com/PostView.naver?blogId=starring___&amp;logNo=223893845888&amp;redirect=Dlog&amp;widgetTypeCall=true&amp;directAccess=false</t>
  </si>
  <si>
    <t>“트럼프와 머스크의 선 넘은 싸움, 테슬라의 역대 최대 위기일까” 의 영상 요약</t>
  </si>
  <si>
    <t>https://blog.naver.com/PostView.naver?blogId=lucidjun&amp;logNo=223893813847&amp;redirect=Dlog&amp;widgetTypeCall=true&amp;directAccess=false</t>
  </si>
  <si>
    <t>한남동 관저에서 만난 이재명 대통령과 여당의원들.. 개 수영장 발견??</t>
  </si>
  <si>
    <t>https://blog.naver.com/PostView.naver?blogId=goodlife_me&amp;logNo=223892086027&amp;redirect=Dlog&amp;widgetTypeCall=true&amp;directAccess=false</t>
  </si>
  <si>
    <t>이종성</t>
  </si>
  <si>
    <t>어린양</t>
  </si>
  <si>
    <t>김성제 의왕시장 "백운밸리 특혜 의혹 보도, 사실과 달라… 법적 대응할 것"</t>
  </si>
  <si>
    <t>https://blog.naver.com/PostView.naver?blogId=kingazak&amp;logNo=223890477072&amp;redirect=Dlog&amp;widgetTypeCall=true&amp;directAccess=false</t>
  </si>
  <si>
    <t>李대통령 "국가유공자 예우 높이고 지원 두텁게"</t>
  </si>
  <si>
    <t>https://blog.naver.com/PostView.naver?blogId=yunou21c&amp;logNo=223890427719&amp;redirect=Dlog&amp;widgetTypeCall=true&amp;directAccess=false</t>
  </si>
  <si>
    <t>논란의 '대통령실 퇴사 브이로그' 여직원의 정체? 김건희 전속 사진사 '안하무인 사고 많이쳐'</t>
  </si>
  <si>
    <t>https://blog.naver.com/PostView.naver?blogId=psepeter&amp;logNo=223890420855&amp;redirect=Dlog&amp;widgetTypeCall=true&amp;directAccess=false</t>
  </si>
  <si>
    <t>주한미군 철수하면 북한 중국이 좋아할까?</t>
  </si>
  <si>
    <t>https://blog.naver.com/PostView.naver?blogId=marmo29&amp;logNo=223889873252&amp;redirect=Dlog&amp;widgetTypeCall=true&amp;directAccess=false</t>
  </si>
  <si>
    <t>유튜브 논란 '정신줄 놓은 尹 대통령실 어공'… 김건희 '캄보디아' '마포대교' 찍은 전속 사진사</t>
  </si>
  <si>
    <t>https://blog.naver.com/PostView.naver?blogId=news_curator_j&amp;logNo=223889820429&amp;redirect=Dlog&amp;widgetTypeCall=true&amp;directAccess=false</t>
  </si>
  <si>
    <t>고구마</t>
  </si>
  <si>
    <t>6.5</t>
  </si>
  <si>
    <t>https://blog.naver.com/PostView.naver?blogId=qmffhtja1234&amp;logNo=223889699687&amp;redirect=Dlog&amp;widgetTypeCall=true&amp;directAccess=false</t>
  </si>
  <si>
    <t>2025년 6월 5일, 이재명 정부 첫 국무회의 예정. X반응</t>
  </si>
  <si>
    <t>https://blog.naver.com/PostView.naver?blogId=shinswoong75&amp;logNo=223889205098&amp;redirect=Dlog&amp;widgetTypeCall=true&amp;directAccess=false</t>
  </si>
  <si>
    <t>청도</t>
  </si>
  <si>
    <t>[2025] 이재명 제21대 대통령 당선 확정…3년만의 정권교체 [노컷네컷]</t>
  </si>
  <si>
    <t>https://blog.naver.com/PostView.naver?blogId=kbs4677&amp;logNo=223887808210&amp;redirect=Dlog&amp;widgetTypeCall=true&amp;directAccess=false</t>
  </si>
  <si>
    <t>이재명 '트럼프 가랑이 밑도 길 수 있다' 발언 배경</t>
  </si>
  <si>
    <t>https://blog.naver.com/PostView.naver?blogId=newyorkmanhattan&amp;logNo=223887124077&amp;redirect=Dlog&amp;widgetTypeCall=true&amp;directAccess=false</t>
  </si>
  <si>
    <t>국내 지카바이러스 감염 환자 발생</t>
  </si>
  <si>
    <t>https://blog.naver.com/PostView.naver?blogId=stella5092&amp;logNo=223886538242&amp;redirect=Dlog&amp;widgetTypeCall=true&amp;directAccess=false</t>
  </si>
  <si>
    <t>별소리</t>
  </si>
  <si>
    <t>검찰, 민주당 '대장동 증거조작' 반박…"믿을 수 없는 주장 명백"</t>
  </si>
  <si>
    <t>https://blog.naver.com/PostView.naver?blogId=klp654&amp;logNo=223886397741&amp;redirect=Dlog&amp;widgetTypeCall=true&amp;directAccess=false</t>
  </si>
  <si>
    <t>짐 로저스 이재명 지지 논란과 김문수의 사기극 발언 배경</t>
  </si>
  <si>
    <t>https://blog.naver.com/PostView.naver?blogId=newyorkmanhattan&amp;logNo=223885724742&amp;redirect=Dlog&amp;widgetTypeCall=true&amp;directAccess=false</t>
  </si>
  <si>
    <t>민주당 '리박스쿨 게이트' 주장</t>
  </si>
  <si>
    <t>https://blog.naver.com/PostView.naver?blogId=godloveyouforever&amp;logNo=223884969560&amp;redirect=Dlog&amp;widgetTypeCall=true&amp;directAccess=false</t>
  </si>
  <si>
    <t>금리 너무 빨리 낮추면 집값 상승 등 부작용 우려,,,</t>
  </si>
  <si>
    <t>https://blog.naver.com/PostView.naver?blogId=ok2014827&amp;logNo=223883111756&amp;redirect=Dlog&amp;widgetTypeCall=true&amp;directAccess=false</t>
  </si>
  <si>
    <t>YTN</t>
  </si>
  <si>
    <t>MBCNEWS ~ 촛불청년님의 오늘자 이재명, 윤석열 소식. 지귀연, 조희대는 절대로 안 바뀐다. 특검해서 싹 다 파면시키고 감옥 보내야 한다! 내란범 풀어준다는 배려는 안 속는다</t>
  </si>
  <si>
    <t>https://blog.naver.com/PostView.naver?blogId=wishut3281&amp;logNo=223900261090&amp;redirect=Dlog&amp;widgetTypeCall=true&amp;directAccess=false</t>
  </si>
  <si>
    <t>artemis_2016</t>
  </si>
  <si>
    <t>2025-06-15 일요일 21:18 헤드라인 뉴스</t>
  </si>
  <si>
    <t>https://blog.naver.com/PostView.naver?blogId=artemis_2016&amp;logNo=223900212297&amp;redirect=Dlog&amp;widgetTypeCall=true&amp;directAccess=false</t>
  </si>
  <si>
    <t>ㅇㅇ</t>
  </si>
  <si>
    <t>#K-한국에서만 자생하는 고유종 2,355종</t>
  </si>
  <si>
    <t>https://blog.naver.com/PostView.naver?blogId=ksungr&amp;logNo=223899856915&amp;redirect=Dlog&amp;widgetTypeCall=true&amp;directAccess=false</t>
  </si>
  <si>
    <t>도토리</t>
  </si>
  <si>
    <t>[MBC드라마] 노무사 노무진</t>
  </si>
  <si>
    <t>https://blog.naver.com/PostView.naver?blogId=dalcong1224&amp;logNo=223899798984&amp;redirect=Dlog&amp;widgetTypeCall=true&amp;directAccess=false</t>
  </si>
  <si>
    <t>AI가 본 6월 15일 국내·외 주요 뉴스</t>
  </si>
  <si>
    <t>https://blog.naver.com/PostView.naver?blogId=ksahn1960&amp;logNo=223899707862&amp;redirect=Dlog&amp;widgetTypeCall=true&amp;directAccess=false</t>
  </si>
  <si>
    <t>진부령</t>
  </si>
  <si>
    <t>자신의 생일에 군사퍼레이드, 615억원.... 어느나라 ?</t>
  </si>
  <si>
    <t>https://blog.naver.com/PostView.naver?blogId=ceoofpaik&amp;logNo=223899683987&amp;redirect=Dlog&amp;widgetTypeCall=true&amp;directAccess=false</t>
  </si>
  <si>
    <t>정황 CHUNG HWANG</t>
  </si>
  <si>
    <t>💥막장 드라마💥</t>
  </si>
  <si>
    <t>https://blog.naver.com/PostView.naver?blogId=499hwang&amp;logNo=223899662220&amp;redirect=Dlog&amp;widgetTypeCall=true&amp;directAccess=false</t>
  </si>
  <si>
    <t>33816312 IM</t>
  </si>
  <si>
    <t>치즈</t>
  </si>
  <si>
    <t>전참시 김수지 아나운서 앵커 집 위치 남편 가수 한기주 나이 직업 인스타 신랑 배우자 고향 학력 가족 제이홉 태국 방콕 호텔 숙소 어디 망고밥 매니저</t>
  </si>
  <si>
    <t>https://blog.naver.com/PostView.naver?blogId=xxx2266_&amp;logNo=223899267517&amp;redirect=Dlog&amp;widgetTypeCall=true&amp;directAccess=false</t>
  </si>
  <si>
    <t>말차라떼</t>
  </si>
  <si>
    <t>EveryDayMath_약수와 배수에 익숙해지기</t>
  </si>
  <si>
    <t>https://blog.naver.com/PostView.naver?blogId=wantcoke&amp;logNo=223898906872&amp;redirect=Dlog&amp;widgetTypeCall=true&amp;directAccess=false</t>
  </si>
  <si>
    <t>데일리비</t>
  </si>
  <si>
    <t>서울숲 남산길따라 매봉산에서 남산타워 걷기</t>
  </si>
  <si>
    <t>https://blog.naver.com/PostView.naver?blogId=ussu84&amp;logNo=223898761865&amp;redirect=Dlog&amp;widgetTypeCall=true&amp;directAccess=false</t>
  </si>
  <si>
    <t>강운마권</t>
  </si>
  <si>
    <t>일본 열도 붕괴! 난카이 대지진, 곧 발생?</t>
  </si>
  <si>
    <t>https://blog.naver.com/PostView.naver?blogId=kimtaku999&amp;logNo=223898720225&amp;redirect=Dlog&amp;widgetTypeCall=true&amp;directAccess=false</t>
  </si>
  <si>
    <t>서고</t>
  </si>
  <si>
    <t>[자막뉴스] '최초' 한국과 손 잡았다...새 판 짜는 사우디 / YTN</t>
  </si>
  <si>
    <t>https://blog.naver.com/PostView.naver?blogId=seogh8839a1&amp;logNo=223887017629&amp;redirect=Dlog&amp;widgetTypeCall=true&amp;directAccess=false</t>
  </si>
  <si>
    <t>을지로개미</t>
  </si>
  <si>
    <t>이스라엘이 이란을 공격했고, 그 소식에 증시는 하락으로 반응했다.</t>
  </si>
  <si>
    <t>https://blog.naver.com/PostView.naver?blogId=t80&amp;logNo=223898433963&amp;redirect=Dlog&amp;widgetTypeCall=true&amp;directAccess=false</t>
  </si>
  <si>
    <t>[실시간 이슈] 강원 대 전북,kt 대 삼성,키움 대 두산,weather tomorrow,젠지</t>
  </si>
  <si>
    <t>https://blog.naver.com/PostView.naver?blogId=junhoda1004&amp;logNo=223898576754&amp;redirect=Dlog&amp;widgetTypeCall=true&amp;directAccess=false</t>
  </si>
  <si>
    <t>2025-06-13 금요일 22:49 헤드라인 뉴스</t>
  </si>
  <si>
    <t>https://blog.naver.com/PostView.naver?blogId=artemis_2016&amp;logNo=223898564095&amp;redirect=Dlog&amp;widgetTypeCall=true&amp;directAccess=false</t>
  </si>
  <si>
    <t>RIA</t>
  </si>
  <si>
    <t>로마</t>
  </si>
  <si>
    <t>펄펄' 끓는 바다...횟감도 바뀐다</t>
  </si>
  <si>
    <t>https://blog.naver.com/PostView.naver?blogId=romansjake15&amp;logNo=223898388067&amp;redirect=Dlog&amp;widgetTypeCall=true&amp;directAccess=false</t>
  </si>
  <si>
    <t>강물처럼</t>
  </si>
  <si>
    <t>친일파 서정주와 국짐당 왜구들-가미카제 특공대원이 출격 하루 전 부른 노래는? 예상하지 못한 아리랑의 등장에 모두가 충격을</t>
  </si>
  <si>
    <t>https://blog.naver.com/PostView.naver?blogId=kys55-&amp;logNo=223897984689&amp;redirect=Dlog&amp;widgetTypeCall=true&amp;directAccess=false</t>
  </si>
  <si>
    <t>나눗쌤</t>
  </si>
  <si>
    <t>PEACE MAKER 한발, 두발</t>
  </si>
  <si>
    <t>https://blog.naver.com/PostView.naver?blogId=gwedu_ssam&amp;logNo=223897763617&amp;redirect=Dlog&amp;widgetTypeCall=true&amp;directAccess=false</t>
  </si>
  <si>
    <t>한국대중문화연구소</t>
  </si>
  <si>
    <t>유진그룹의 YTN 영구장악을 위한 유상증자 그리고 우리사주조합의 신주발행가처분 신청</t>
  </si>
  <si>
    <t>https://blog.naver.com/PostView.naver?blogId=lawer8737&amp;logNo=223897956270&amp;redirect=Dlog&amp;widgetTypeCall=true&amp;directAccess=false</t>
  </si>
  <si>
    <t>myth629</t>
  </si>
  <si>
    <t>250613 생명사랑뉴스모음입니다</t>
  </si>
  <si>
    <t>https://blog.naver.com/PostView.naver?blogId=myth629&amp;logNo=223897897659&amp;redirect=Dlog&amp;widgetTypeCall=true&amp;directAccess=false</t>
  </si>
  <si>
    <t>hwangjoo1037</t>
  </si>
  <si>
    <t>[속보] " 동영상 " - 이스라엘 공군, 이란 공습 …"이란 핵-군사시설 공격, 1단계 완료 … 수일간 지속할 것" 👉 외신 기사 요약</t>
  </si>
  <si>
    <t>https://blog.naver.com/PostView.naver?blogId=hwangjoo1037&amp;logNo=223897754897&amp;redirect=Dlog&amp;widgetTypeCall=true&amp;directAccess=false</t>
  </si>
  <si>
    <t>씨티탐정</t>
  </si>
  <si>
    <t>6. 13(금) 경찰관련기사</t>
  </si>
  <si>
    <t>https://blog.naver.com/PostView.naver?blogId=tobiaspia&amp;logNo=223897708643&amp;redirect=Dlog&amp;widgetTypeCall=true&amp;directAccess=false</t>
  </si>
  <si>
    <t>elly</t>
  </si>
  <si>
    <t>[YTN] 규제도 안 먹힌다...서울 아파트값 9달 만에 최대폭 상승</t>
  </si>
  <si>
    <t>https://blog.naver.com/PostView.naver?blogId=yjham_&amp;logNo=223897701515&amp;redirect=Dlog&amp;widgetTypeCall=true&amp;directAccess=false</t>
  </si>
  <si>
    <t>안재선상무</t>
  </si>
  <si>
    <t>경찰 관련 기사 스크린</t>
  </si>
  <si>
    <t>https://blog.naver.com/PostView.naver?blogId=approach999&amp;logNo=223897696421&amp;redirect=Dlog&amp;widgetTypeCall=true&amp;directAccess=false</t>
  </si>
  <si>
    <t>루루</t>
  </si>
  <si>
    <t>오늘의 뉴스(2025. 6. 13.)</t>
  </si>
  <si>
    <t>https://blog.naver.com/PostView.naver?blogId=leavingroughly&amp;logNo=223897673519&amp;redirect=Dlog&amp;widgetTypeCall=true&amp;directAccess=false</t>
  </si>
  <si>
    <t>[속보] 李대통령, 3대 특검 후보자 추천 당일 즉시 지명완료…'속전속결' 👉 기사 요약</t>
  </si>
  <si>
    <t>https://blog.naver.com/PostView.naver?blogId=hwangjoo1037&amp;logNo=223897652798&amp;redirect=Dlog&amp;widgetTypeCall=true&amp;directAccess=false</t>
  </si>
  <si>
    <t>레미파</t>
  </si>
  <si>
    <t>25.6.13.(금) 경찰 관련 기사 스크린</t>
  </si>
  <si>
    <t>https://blog.naver.com/PostView.naver?blogId=bugook789&amp;logNo=223897649880&amp;redirect=Dlog&amp;widgetTypeCall=true&amp;directAccess=false</t>
  </si>
  <si>
    <t>2025.06.11.</t>
  </si>
  <si>
    <t>https://blog.naver.com/PostView.naver?blogId=newssnack&amp;logNo=223897635933&amp;redirect=Dlog&amp;widgetTypeCall=true&amp;directAccess=false</t>
  </si>
  <si>
    <t>브레인</t>
  </si>
  <si>
    <t>꼬장부리기?</t>
  </si>
  <si>
    <t>https://blog.naver.com/PostView.naver?blogId=sunmen77&amp;logNo=223897503414&amp;redirect=Dlog&amp;widgetTypeCall=true&amp;directAccess=false</t>
  </si>
  <si>
    <t>2025년 6월 12일, 대통령실 대변인이 이재명 대통령, 쓰러진 직원 걱정·격려 관련 발표. X 반응.</t>
  </si>
  <si>
    <t>https://blog.naver.com/PostView.naver?blogId=shinswoong75&amp;logNo=223897431378&amp;redirect=Dlog&amp;widgetTypeCall=true&amp;directAccess=false</t>
  </si>
  <si>
    <t>2025-06-12 목요일 21:11 헤드라인 뉴스</t>
  </si>
  <si>
    <t>https://blog.naver.com/PostView.naver?blogId=artemis_2016&amp;logNo=223897325731&amp;redirect=Dlog&amp;widgetTypeCall=true&amp;directAccess=false</t>
  </si>
  <si>
    <t>ADAMADA</t>
  </si>
  <si>
    <t>[Chat GPT에 묻다.] 국회의원 이준석 제명 청원에 대해</t>
  </si>
  <si>
    <t>https://blog.naver.com/PostView.naver?blogId=adamadawow&amp;logNo=223897238057&amp;redirect=Dlog&amp;widgetTypeCall=true&amp;directAccess=false</t>
  </si>
  <si>
    <t>듈</t>
  </si>
  <si>
    <t>고통 구경하는 사회 - 김인정</t>
  </si>
  <si>
    <t>https://blog.naver.com/PostView.naver?blogId=you_l004&amp;logNo=223897138209&amp;redirect=Dlog&amp;widgetTypeCall=true&amp;directAccess=false</t>
  </si>
  <si>
    <t>표로그</t>
  </si>
  <si>
    <t>동남아 해외여행 필수 준비물, 트래블키트</t>
  </si>
  <si>
    <t>https://blog.naver.com/PostView.naver?blogId=pyooo92&amp;logNo=223897020151&amp;redirect=Dlog&amp;widgetTypeCall=true&amp;directAccess=false</t>
  </si>
  <si>
    <t>배우자</t>
  </si>
  <si>
    <t>인왕산 초소책방: 더 숲</t>
  </si>
  <si>
    <t>https://blog.naver.com/PostView.naver?blogId=doiti&amp;logNo=223896855424&amp;redirect=Dlog&amp;widgetTypeCall=true&amp;directAccess=false</t>
  </si>
  <si>
    <t>AI가 본 6월 12일의 국내외 주요 뉴스</t>
  </si>
  <si>
    <t>https://blog.naver.com/PostView.naver?blogId=ksahn1960&amp;logNo=223896669101&amp;redirect=Dlog&amp;widgetTypeCall=true&amp;directAccess=false</t>
  </si>
  <si>
    <t>6. 12(목) 경찰관련기사</t>
  </si>
  <si>
    <t>https://blog.naver.com/PostView.naver?blogId=tobiaspia&amp;logNo=223896533051&amp;redirect=Dlog&amp;widgetTypeCall=true&amp;directAccess=false</t>
  </si>
  <si>
    <t>2025년6월12일(목) 주요 뉴스 요약 정리 (뉴스 클리핑/뉴스 브리핑)</t>
  </si>
  <si>
    <t>https://blog.naver.com/PostView.naver?blogId=hope4life&amp;logNo=223887499310&amp;redirect=Dlog&amp;widgetTypeCall=true&amp;directAccess=false</t>
  </si>
  <si>
    <t>halati0n</t>
  </si>
  <si>
    <t>5월 4주차 기사 스크랩</t>
  </si>
  <si>
    <t>https://blog.naver.com/PostView.naver?blogId=halati0n&amp;logNo=223896379066&amp;redirect=Dlog&amp;widgetTypeCall=true&amp;directAccess=false</t>
  </si>
  <si>
    <t>2025-06-11 수요일 21:40 헤드라인 뉴스</t>
  </si>
  <si>
    <t>https://blog.naver.com/PostView.naver?blogId=artemis_2016&amp;logNo=223896194187&amp;redirect=Dlog&amp;widgetTypeCall=true&amp;directAccess=false</t>
  </si>
  <si>
    <t>한림행운아</t>
  </si>
  <si>
    <t>이재명 대통령은 6월18일 국민들과 약속한 재판을 받아라,무죄라고 자랑말고 깨끗한 몸으로 대통령이 되길바란다,죄인이된 이재명이 남이 잘못한것을 운운하는 것은바랍직 하지않다.</t>
  </si>
  <si>
    <t>https://blog.naver.com/PostView.naver?blogId=kdn2385&amp;logNo=223896090158&amp;redirect=Dlog&amp;widgetTypeCall=true&amp;directAccess=false</t>
  </si>
  <si>
    <t>NEWS TOGETHER</t>
  </si>
  <si>
    <t>이준석, 홍준표와의 신당 창당설 일축 [알파경제]</t>
  </si>
  <si>
    <t>https://blog.naver.com/PostView.naver?blogId=newstogether&amp;logNo=223895871545&amp;redirect=Dlog&amp;widgetTypeCall=true&amp;directAccess=false</t>
  </si>
  <si>
    <t>이준석 "홍준표와 신당 창당 검토한 바 없다"서정욱 변호사 "홍준표 서울시장, 이준석 경기지사 공공연히 떠들어"</t>
  </si>
  <si>
    <t>https://blog.naver.com/PostView.naver?blogId=leebyongsu&amp;logNo=223895842572&amp;redirect=Dlog&amp;widgetTypeCall=true&amp;directAccess=false</t>
  </si>
  <si>
    <t>Green Kang</t>
  </si>
  <si>
    <t>[법 이야기] 대한민국 검찰청이 없어진다. "공소청과 수사청"으로 분리.</t>
  </si>
  <si>
    <t>https://blog.naver.com/PostView.naver?blogId=rhkang1929&amp;logNo=223895701231&amp;redirect=Dlog&amp;widgetTypeCall=true&amp;directAccess=false</t>
  </si>
  <si>
    <t>조경태 "국힘에 극우화된 분 많아...중1도 비판한 계엄을 국회의원이 외면"</t>
  </si>
  <si>
    <t>https://blog.naver.com/PostView.naver?blogId=sooji2&amp;logNo=223895682896&amp;redirect=Dlog&amp;widgetTypeCall=true&amp;directAccess=false</t>
  </si>
  <si>
    <t>미·중 무역협상 런던 합의, 의미와 전망</t>
  </si>
  <si>
    <t>https://blog.naver.com/PostView.naver?blogId=ksahn1960&amp;logNo=223895637655&amp;redirect=Dlog&amp;widgetTypeCall=true&amp;directAccess=false</t>
  </si>
  <si>
    <t>서정욱, 홍준표 서울시장, 이준석 경기지사 목표로 신당 창당</t>
  </si>
  <si>
    <t>https://blog.naver.com/PostView.naver?blogId=koolap&amp;logNo=223895561097&amp;redirect=Dlog&amp;widgetTypeCall=true&amp;directAccess=false</t>
  </si>
  <si>
    <t>바리스타소믈리에학과</t>
  </si>
  <si>
    <t>"직접 내리고 맛보다"...세종사이버대 바리스타·소믈리에학과, 커피축제서 전문성 빛났다.</t>
  </si>
  <si>
    <t>https://blog.naver.com/PostView.naver?blogId=eom7676&amp;logNo=223895523514&amp;redirect=Dlog&amp;widgetTypeCall=true&amp;directAccess=false</t>
  </si>
  <si>
    <t>사랑해11</t>
  </si>
  <si>
    <t>화학물질</t>
  </si>
  <si>
    <t>https://blog.naver.com/PostView.naver?blogId=drcanal&amp;logNo=223895314272&amp;redirect=Dlog&amp;widgetTypeCall=true&amp;directAccess=false</t>
  </si>
  <si>
    <t>아폴로브이</t>
  </si>
  <si>
    <t>자동차도 전투기도 멈춘다...'안절부절' 허점 찔린 트럼프도 움직였다 [지금이뉴스] / YTN</t>
  </si>
  <si>
    <t>https://blog.naver.com/PostView.naver?blogId=apollov&amp;logNo=223895128556&amp;redirect=Dlog&amp;widgetTypeCall=true&amp;directAccess=false</t>
  </si>
  <si>
    <t>2025-06-10 화요일 23:31 헤드라인 뉴스</t>
  </si>
  <si>
    <t>https://blog.naver.com/PostView.naver?blogId=artemis_2016&amp;logNo=223895118356&amp;redirect=Dlog&amp;widgetTypeCall=true&amp;directAccess=false</t>
  </si>
  <si>
    <t>언론의 선동질 "결국 파괴시킨다"</t>
  </si>
  <si>
    <t>https://blog.naver.com/PostView.naver?blogId=mydairy_book&amp;logNo=223895094314&amp;redirect=Dlog&amp;widgetTypeCall=true&amp;directAccess=false</t>
  </si>
  <si>
    <t>아트개미</t>
  </si>
  <si>
    <t>영국 - 원전 26조원 투입</t>
  </si>
  <si>
    <t>https://blog.naver.com/PostView.naver?blogId=minhyunkee&amp;logNo=223895062671&amp;redirect=Dlog&amp;widgetTypeCall=true&amp;directAccess=false</t>
  </si>
  <si>
    <t>예빵</t>
  </si>
  <si>
    <t>오래고오랜오랜지숙원</t>
  </si>
  <si>
    <t>https://blog.naver.com/PostView.naver?blogId=bbangoftoday&amp;logNo=223895045625&amp;redirect=Dlog&amp;widgetTypeCall=true&amp;directAccess=false</t>
  </si>
  <si>
    <t>&lt;위장 보수 사이비 진보 한동운이 분탕질로 망한 것임..기사무관&gt;친한계 정성국 "김문수, 대선 패배 책임감 못 느끼고 당당해 의아"</t>
  </si>
  <si>
    <t>https://blog.naver.com/PostView.naver?blogId=yesktj&amp;logNo=223894934178&amp;redirect=Dlog&amp;widgetTypeCall=true&amp;directAccess=false</t>
  </si>
  <si>
    <t>손흥민 협박 사건: 최신 이슈와 논란 정리</t>
  </si>
  <si>
    <t>https://blog.naver.com/PostView.naver?blogId=creta22&amp;logNo=223894856455&amp;redirect=Dlog&amp;widgetTypeCall=true&amp;directAccess=false</t>
  </si>
  <si>
    <t>고위 공직자, 국민이 직접 추천해주삼 from 이재명</t>
  </si>
  <si>
    <t>https://blog.naver.com/PostView.naver?blogId=budoganando&amp;logNo=223894632401&amp;redirect=Dlog&amp;widgetTypeCall=true&amp;directAccess=false</t>
  </si>
  <si>
    <t>이런 사람들은 지금 자신들이 잘하는 줄 안다.</t>
  </si>
  <si>
    <t>https://blog.naver.com/PostView.naver?blogId=sunmen77&amp;logNo=223894371679&amp;redirect=Dlog&amp;widgetTypeCall=true&amp;directAccess=false</t>
  </si>
  <si>
    <t>종려나무</t>
  </si>
  <si>
    <t>이재명이 잡범이라는 것에 중립적으로 AI에게 물었다.</t>
  </si>
  <si>
    <t>https://blog.naver.com/PostView.naver?blogId=pobye&amp;logNo=223894286536&amp;redirect=Dlog&amp;widgetTypeCall=true&amp;directAccess=false</t>
  </si>
  <si>
    <t>AI가 선정한 6월 10일 국내·외 주요 뉴스</t>
  </si>
  <si>
    <t>https://blog.naver.com/PostView.naver?blogId=ksahn1960&amp;logNo=223894255325&amp;redirect=Dlog&amp;widgetTypeCall=true&amp;directAccess=false</t>
  </si>
  <si>
    <t>앙버터롤</t>
  </si>
  <si>
    <t>뉴스 속보, 뷔, RM 전역</t>
  </si>
  <si>
    <t>https://blog.naver.com/PostView.naver?blogId=rrussy&amp;logNo=223894238322&amp;redirect=Dlog&amp;widgetTypeCall=true&amp;directAccess=false</t>
  </si>
  <si>
    <t>105세경영</t>
  </si>
  <si>
    <t>[새로운소식]서울고법, 李 대통령 공직선거법 파기환송심 ‘추후지정’ (연기) 결정</t>
  </si>
  <si>
    <t>https://blog.naver.com/PostView.naver?blogId=ilsinbc&amp;logNo=223894198498&amp;redirect=Dlog&amp;widgetTypeCall=true&amp;directAccess=false</t>
  </si>
  <si>
    <t>6. 10(화) 경찰관련기사</t>
  </si>
  <si>
    <t>https://blog.naver.com/PostView.naver?blogId=tobiaspia&amp;logNo=223894182052&amp;redirect=Dlog&amp;widgetTypeCall=true&amp;directAccess=false</t>
  </si>
  <si>
    <t>용인시 평생학습관, 자녀 말하기 교육 특강 개최</t>
  </si>
  <si>
    <t>https://blog.naver.com/PostView.naver?blogId=metrotimes&amp;logNo=223894163392&amp;redirect=Dlog&amp;widgetTypeCall=true&amp;directAccess=false</t>
  </si>
  <si>
    <t>유지원 기자</t>
  </si>
  <si>
    <t>용인특례시, ‘말 잘하는 아이, 공부도 잘한다! 똑똑한 두뇌를 여는 말하기 기법’ 특강</t>
  </si>
  <si>
    <t>https://blog.naver.com/PostView.naver?blogId=yjw8817&amp;logNo=223894149104&amp;redirect=Dlog&amp;widgetTypeCall=true&amp;directAccess=false</t>
  </si>
  <si>
    <t>25.6.10.(화) 경찰 관련 기사 스크린</t>
  </si>
  <si>
    <t>https://blog.naver.com/PostView.naver?blogId=bugook789&amp;logNo=223894131141&amp;redirect=Dlog&amp;widgetTypeCall=true&amp;directAccess=false</t>
  </si>
  <si>
    <t>2025년6월10일(화) 주요 뉴스 요약 정리 (뉴스 클리핑/뉴스 브리핑)</t>
  </si>
  <si>
    <t>https://blog.naver.com/PostView.naver?blogId=hope4life&amp;logNo=223887499988&amp;redirect=Dlog&amp;widgetTypeCall=true&amp;directAccess=false</t>
  </si>
  <si>
    <t>우기미니맘</t>
  </si>
  <si>
    <t>안성 " 안일옥본점 " 설렁탕 맛집</t>
  </si>
  <si>
    <t>https://blog.naver.com/PostView.naver?blogId=kyw60702&amp;logNo=223893976007&amp;redirect=Dlog&amp;widgetTypeCall=true&amp;directAccess=false</t>
  </si>
  <si>
    <t>"한국 통화기록? 가능할 듯"...미국 기소된 중국 해커 충격 대화 정황</t>
  </si>
  <si>
    <t>https://blog.naver.com/PostView.naver?blogId=eremoval&amp;logNo=223893940643&amp;redirect=Dlog&amp;widgetTypeCall=true&amp;directAccess=false</t>
  </si>
  <si>
    <t>챠리티 일상공감</t>
  </si>
  <si>
    <t>이경규 약물 복용 운전 논란, 처방약도 법 위반 될 수 있다?</t>
  </si>
  <si>
    <t>https://blog.naver.com/PostView.naver?blogId=yeonny0413&amp;logNo=223893918414&amp;redirect=Dlog&amp;widgetTypeCall=true&amp;directAccess=false</t>
  </si>
  <si>
    <t>2025-06-09 월요일 21:17 헤드라인 뉴스</t>
  </si>
  <si>
    <t>https://blog.naver.com/PostView.naver?blogId=artemis_2016&amp;logNo=223893783043&amp;redirect=Dlog&amp;widgetTypeCall=true&amp;directAccess=false</t>
  </si>
  <si>
    <t>warloading</t>
  </si>
  <si>
    <t>언론개혁은 시대적 사명이다</t>
  </si>
  <si>
    <t>https://blog.naver.com/PostView.naver?blogId=justiceforever2024&amp;logNo=223893731936&amp;redirect=Dlog&amp;widgetTypeCall=true&amp;directAccess=false</t>
  </si>
  <si>
    <t>얍순</t>
  </si>
  <si>
    <t>당박사의 당뇨이야기</t>
  </si>
  <si>
    <t>당뇨는 고쳐지는 병은 아니지만, 함께 살아가는 병이다.</t>
  </si>
  <si>
    <t>https://blog.naver.com/PostView.naver?blogId=smkwak222&amp;logNo=223893593937&amp;redirect=Dlog&amp;widgetTypeCall=true&amp;directAccess=false</t>
  </si>
  <si>
    <t>“[아침뉴스] 트럼프: 머스크랑 대화할 생각 없다ㅣ트럼프: 파월 후임 곧 발표할 것ㅣ미-중 관세협상, 영국에서 오늘부터 시작!!ㅣLA사태, 트럼프의 속내는??” 의 영상 요약</t>
  </si>
  <si>
    <t>https://blog.naver.com/PostView.naver?blogId=lucidjun&amp;logNo=223893237786&amp;redirect=Dlog&amp;widgetTypeCall=true&amp;directAccess=false</t>
  </si>
  <si>
    <t>오광수 민정수석 ..李 대통령 "검찰 아는 사람, 칼에는 칼로" 대통령실 "李, 정치 검찰의 가장 큰 피해자..사법개혁은 법으로 하는 것" / 서울의 소리 / 사의 수용 6.13.</t>
  </si>
  <si>
    <t>https://blog.naver.com/PostView.naver?blogId=yujmmm&amp;logNo=223893091015&amp;redirect=Dlog&amp;widgetTypeCall=true&amp;directAccess=false</t>
  </si>
  <si>
    <t>오늘도 버니쿤</t>
  </si>
  <si>
    <t>“회식 다음날 숙취 해소 10단계 꿀팁: 과학적·실전형 가이드”</t>
  </si>
  <si>
    <t>https://blog.naver.com/PostView.naver?blogId=bunnycoon-2&amp;logNo=223892999435&amp;redirect=Dlog&amp;widgetTypeCall=true&amp;directAccess=false</t>
  </si>
  <si>
    <t>https://blog.naver.com/PostView.naver?blogId=approach999&amp;logNo=223892930728&amp;redirect=Dlog&amp;widgetTypeCall=true&amp;directAccess=false</t>
  </si>
  <si>
    <t>25.6.9.(월) 경찰 관련 기사 스크린</t>
  </si>
  <si>
    <t>https://blog.naver.com/PostView.naver?blogId=bugook789&amp;logNo=223892892953&amp;redirect=Dlog&amp;widgetTypeCall=true&amp;directAccess=false</t>
  </si>
  <si>
    <t>전 세계는 안되는데, 한국만 가능한 이유에 경악한 글로벌</t>
  </si>
  <si>
    <t>https://blog.naver.com/PostView.naver?blogId=ksungr&amp;logNo=223892882726&amp;redirect=Dlog&amp;widgetTypeCall=true&amp;directAccess=false</t>
  </si>
  <si>
    <t>정치 돋보기 ~ 정치초록새님의 오늘자 이재명, 윤석열 소식. 무능무지 폭압폭동 저지르고 화내봤자 뿌리는 대 거두고 버림받은 윤석열, 서민들에게 따뜻하고 깨끗하며 현명한 이재명.</t>
  </si>
  <si>
    <t>https://blog.naver.com/PostView.naver?blogId=wishut3281&amp;logNo=223892876679&amp;redirect=Dlog&amp;widgetTypeCall=true&amp;directAccess=false</t>
  </si>
  <si>
    <t>2025년6월9일(월) 주요 뉴스 요약 정리 (뉴스 클리핑/뉴스 브리핑)</t>
  </si>
  <si>
    <t>https://blog.naver.com/PostView.naver?blogId=hope4life&amp;logNo=223887500274&amp;redirect=Dlog&amp;widgetTypeCall=true&amp;directAccess=false</t>
  </si>
  <si>
    <t>희랑별</t>
  </si>
  <si>
    <t>2025 희재의 31번째 생일</t>
  </si>
  <si>
    <t>https://blog.naver.com/PostView.naver?blogId=only_heej95&amp;logNo=223892775459&amp;redirect=Dlog&amp;widgetTypeCall=true&amp;directAccess=false</t>
  </si>
  <si>
    <t>2025-06-08 일요일 23:44 헤드라인 뉴스</t>
  </si>
  <si>
    <t>https://blog.naver.com/PostView.naver?blogId=artemis_2016&amp;logNo=223892701475&amp;redirect=Dlog&amp;widgetTypeCall=true&amp;directAccess=false</t>
  </si>
  <si>
    <t>공공데이터......</t>
  </si>
  <si>
    <t>https://blog.naver.com/PostView.naver?blogId=limb8757&amp;logNo=223892679594&amp;redirect=Dlog&amp;widgetTypeCall=true&amp;directAccess=false</t>
  </si>
  <si>
    <t>MBCNEWS ~ 정치 돋보기님의 오늘자 이재명, 윤석열 소식. 윤석열 김건희 돈 장난질 적발! 관저에 개수영장? 김건희 수사 이대로 가다간 큰일...'한 방'이 없다.</t>
  </si>
  <si>
    <t>https://blog.naver.com/PostView.naver?blogId=wishut3281&amp;logNo=223892634122&amp;redirect=Dlog&amp;widgetTypeCall=true&amp;directAccess=false</t>
  </si>
  <si>
    <t>이번주 관심가는 뉴스</t>
  </si>
  <si>
    <t>https://blog.naver.com/PostView.naver?blogId=vitaminbt&amp;logNo=223892602624&amp;redirect=Dlog&amp;widgetTypeCall=true&amp;directAccess=false</t>
  </si>
  <si>
    <t>나탈라</t>
  </si>
  <si>
    <t>SKT 유심 유출 사태 정리</t>
  </si>
  <si>
    <t>https://blog.naver.com/PostView.naver?blogId=dlekdbs9771&amp;logNo=223892500205&amp;redirect=Dlog&amp;widgetTypeCall=true&amp;directAccess=false</t>
  </si>
  <si>
    <t>나이스유저</t>
  </si>
  <si>
    <t>이재명 2번째 인선과 대통령실 대변인~ 변화 ~</t>
  </si>
  <si>
    <t>https://blog.naver.com/PostView.naver?blogId=niceuser&amp;logNo=223892486361&amp;redirect=Dlog&amp;widgetTypeCall=true&amp;directAccess=false</t>
  </si>
  <si>
    <t>momo</t>
  </si>
  <si>
    <t>리베러</t>
  </si>
  <si>
    <t>MBCNEWS ~ 꾼홀딩스님의 오늘자 이재명 소식. 대통령의 인사는 무조건 옳다. "국민 삶 나아지는 게 성공" 1년안에 끌어내릴 유일한 희망</t>
  </si>
  <si>
    <t>https://blog.naver.com/PostView.naver?blogId=wishut3281&amp;logNo=223892209884&amp;redirect=Dlog&amp;widgetTypeCall=true&amp;directAccess=false</t>
  </si>
  <si>
    <t>artificial_inteligen</t>
  </si>
  <si>
    <t>실시간 개표 현황, 민심이 말해주는 선거의 최종 풍향계</t>
  </si>
  <si>
    <t>https://blog.naver.com/PostView.naver?blogId=artificial_inteligen&amp;logNo=223892008012&amp;redirect=Dlog&amp;widgetTypeCall=true&amp;directAccess=false</t>
  </si>
  <si>
    <t>25.06.02 #보험판매수수료 #GA #손해보험 #생명보험</t>
  </si>
  <si>
    <t>https://blog.naver.com/PostView.naver?blogId=duwjdals1005&amp;logNo=223891767108&amp;redirect=Dlog&amp;widgetTypeCall=true&amp;directAccess=false</t>
  </si>
  <si>
    <t>자안</t>
  </si>
  <si>
    <t>2025년 겨울끝의 인천여행</t>
  </si>
  <si>
    <t>https://blog.naver.com/PostView.naver?blogId=tmddus980077&amp;logNo=223891693218&amp;redirect=Dlog&amp;widgetTypeCall=true&amp;directAccess=false</t>
  </si>
  <si>
    <t>블랙위도</t>
  </si>
  <si>
    <t>사전투표함에서 발견된 작년 총선 용지...기호 2번에 기표까지 '경악' [지금이뉴스] / YTN</t>
  </si>
  <si>
    <t>https://blog.naver.com/PostView.naver?blogId=jikimei_spy790&amp;logNo=223883409036&amp;redirect=Dlog&amp;widgetTypeCall=true&amp;directAccess=false</t>
  </si>
  <si>
    <t>이재명 ‘만족스런 합의 도달 합의’ 오류 트럼프 ‘캐나다G7 초청’ 조작</t>
  </si>
  <si>
    <t>https://blog.naver.com/PostView.naver?blogId=kimjc0000&amp;logNo=223891277906&amp;redirect=Dlog&amp;widgetTypeCall=true&amp;directAccess=false</t>
  </si>
  <si>
    <t>꼭두각시</t>
  </si>
  <si>
    <t>학산</t>
  </si>
  <si>
    <t>2025년6월2일(월)~6월7일(토) 주간 뉴스 요약 정리 (뉴스 클리핑/뉴스 브리핑)</t>
  </si>
  <si>
    <t>https://blog.naver.com/PostView.naver?blogId=hope4life&amp;logNo=223887500528&amp;redirect=Dlog&amp;widgetTypeCall=true&amp;directAccess=false</t>
  </si>
  <si>
    <t>도서관</t>
  </si>
  <si>
    <t>촉법소년법 연령 낮추어야 하는가?(개인적 의견)</t>
  </si>
  <si>
    <t>https://blog.naver.com/PostView.naver?blogId=library_psh&amp;logNo=223890948221&amp;redirect=Dlog&amp;widgetTypeCall=true&amp;directAccess=false</t>
  </si>
  <si>
    <t>애체</t>
  </si>
  <si>
    <t>이재명 정권이 조금씩 위험해지고 있다.</t>
  </si>
  <si>
    <t>https://blog.naver.com/PostView.naver?blogId=muzury&amp;logNo=223890913196&amp;redirect=Dlog&amp;widgetTypeCall=true&amp;directAccess=false</t>
  </si>
  <si>
    <t>매일 감사와 기도로</t>
  </si>
  <si>
    <t>집에 약자, 환자 돌볼때 건강 장수 받을 준비하는 것, 섬김으로!! 아플때 점점 가까워지는 사람, 착한 사람!!! 건강의 복이 자녀에게 내린다. by 250606 이동호목사님설교</t>
  </si>
  <si>
    <t>https://blog.naver.com/PostView.naver?blogId=happyme0305&amp;logNo=223890823250&amp;redirect=Dlog&amp;widgetTypeCall=true&amp;directAccess=false</t>
  </si>
  <si>
    <t>very_smart_</t>
  </si>
  <si>
    <t>카더가든</t>
  </si>
  <si>
    <t>https://blog.naver.com/PostView.naver?blogId=very_smart_&amp;logNo=223890789347&amp;redirect=Dlog&amp;widgetTypeCall=true&amp;directAccess=false</t>
  </si>
  <si>
    <t>소붓</t>
  </si>
  <si>
    <t>YTN 쓰레기들 제목 다는 꼴 보소</t>
  </si>
  <si>
    <t>https://blog.naver.com/PostView.naver?blogId=bebeton1&amp;logNo=223890749976&amp;redirect=Dlog&amp;widgetTypeCall=true&amp;directAccess=false</t>
  </si>
  <si>
    <t>돌돌돌</t>
  </si>
  <si>
    <t>검사징계법 개정안</t>
  </si>
  <si>
    <t>https://blog.naver.com/PostView.naver?blogId=event1412&amp;logNo=223890730820&amp;redirect=Dlog&amp;widgetTypeCall=true&amp;directAccess=false</t>
  </si>
  <si>
    <t>김문수 "내란은 없다. 지금 벌써 다 끝났다...당 대표에 욕심없어"</t>
  </si>
  <si>
    <t>https://blog.naver.com/PostView.naver?blogId=klp654&amp;logNo=223890657179&amp;redirect=Dlog&amp;widgetTypeCall=true&amp;directAccess=false</t>
  </si>
  <si>
    <t>마눅</t>
  </si>
  <si>
    <t>기레기들 특징: 민주진영 정부만 들어오면 입이 트인다.</t>
  </si>
  <si>
    <t>https://blog.naver.com/PostView.naver?blogId=brill99&amp;logNo=223890617190&amp;redirect=Dlog&amp;widgetTypeCall=true&amp;directAccess=false</t>
  </si>
  <si>
    <t>전 세계가 경악한 한국의 진짜 군사력</t>
  </si>
  <si>
    <t>https://blog.naver.com/PostView.naver?blogId=ksungr&amp;logNo=223890522256&amp;redirect=Dlog&amp;widgetTypeCall=true&amp;directAccess=false</t>
  </si>
  <si>
    <t>이게 ‘윤석열 정부’ 민낯?</t>
  </si>
  <si>
    <t>https://blog.naver.com/PostView.naver?blogId=songsunb2&amp;logNo=223890453736&amp;redirect=Dlog&amp;widgetTypeCall=true&amp;directAccess=false</t>
  </si>
  <si>
    <t>평화학연구자</t>
  </si>
  <si>
    <t>첫 민간인 출신 국방부 장관 후보자 정한범 교수? 인사가 왜이럴까</t>
  </si>
  <si>
    <t>https://blog.naver.com/PostView.naver?blogId=onepeacekorea&amp;logNo=223890327379&amp;redirect=Dlog&amp;widgetTypeCall=true&amp;directAccess=false</t>
  </si>
  <si>
    <t>사랑은희망</t>
  </si>
  <si>
    <t>#이재명 정부 첫 통일부 장관으로 평화전도사 정동영 전 통일부장관?!</t>
  </si>
  <si>
    <t>https://blog.naver.com/PostView.naver?blogId=euntkj&amp;logNo=223890276209&amp;redirect=Dlog&amp;widgetTypeCall=true&amp;directAccess=false</t>
  </si>
  <si>
    <t>뺄셈과덧셈</t>
  </si>
  <si>
    <t>김혜경 밀친 영상취재 기자...MBN “사과 말씀 드린다”</t>
  </si>
  <si>
    <t>https://blog.naver.com/PostView.naver?blogId=freezone114&amp;logNo=223890220079&amp;redirect=Dlog&amp;widgetTypeCall=true&amp;directAccess=false</t>
  </si>
  <si>
    <t>comboy</t>
  </si>
  <si>
    <t>취임 특별사면 ㅡ 이화영</t>
  </si>
  <si>
    <t>https://blog.naver.com/PostView.naver?blogId=hcms8&amp;logNo=223890215763&amp;redirect=Dlog&amp;widgetTypeCall=true&amp;directAccess=false</t>
  </si>
  <si>
    <t>MARCO</t>
  </si>
  <si>
    <t>중학생에 가격당한 교사 머리서 출혈..."가장 높은 징계 수위" / YTN</t>
  </si>
  <si>
    <t>https://blog.naver.com/PostView.naver?blogId=xman4776&amp;logNo=223890126985&amp;redirect=Dlog&amp;widgetTypeCall=true&amp;directAccess=false</t>
  </si>
  <si>
    <t>한밤중 아파트 덮친 대형 중장비... 주민들 불안 [앵커 리포트] / YTN</t>
  </si>
  <si>
    <t>https://blog.naver.com/PostView.naver?blogId=xman4776&amp;logNo=223890119483&amp;redirect=Dlog&amp;widgetTypeCall=true&amp;directAccess=false</t>
  </si>
  <si>
    <t>코발트블루</t>
  </si>
  <si>
    <t>6월 모의고사 등급컷</t>
  </si>
  <si>
    <t>https://blog.naver.com/PostView.naver?blogId=hhyoun49&amp;logNo=223890093740&amp;redirect=Dlog&amp;widgetTypeCall=true&amp;directAccess=false</t>
  </si>
  <si>
    <t>마포부동산</t>
  </si>
  <si>
    <t>2</t>
  </si>
  <si>
    <t>2025년 기준 3세마 소개</t>
  </si>
  <si>
    <t>https://blog.naver.com/PostView.naver?blogId=nagae24k029&amp;logNo=223889908056&amp;redirect=Dlog&amp;widgetTypeCall=true&amp;directAccess=false</t>
  </si>
  <si>
    <t>Artist Jang youngsun</t>
  </si>
  <si>
    <t>작가 장영선_날자, 날자꾸나</t>
  </si>
  <si>
    <t>https://blog.naver.com/PostView.naver?blogId=artist_jangyoungsun&amp;logNo=223889847282&amp;redirect=Dlog&amp;widgetTypeCall=true&amp;directAccess=false</t>
  </si>
  <si>
    <t>김문수 당권 도전</t>
  </si>
  <si>
    <t>https://blog.naver.com/PostView.naver?blogId=skymouu&amp;logNo=223889719828&amp;redirect=Dlog&amp;widgetTypeCall=true&amp;directAccess=false</t>
  </si>
  <si>
    <t>꼭 무덤 같다. 아무도 없다. 필기도구를 제공해줄 직원도 없다. 컴퓨터도 없고, 프린터도 없고 황당무계하다</t>
  </si>
  <si>
    <t>https://blog.naver.com/PostView.naver?blogId=ceta211&amp;logNo=223889668941&amp;redirect=Dlog&amp;widgetTypeCall=true&amp;directAccess=false</t>
  </si>
  <si>
    <t>트럼프와 팔런티어 전 세계 빅브라더 사회 구축 시작🌐🔥(feat. AI 감시 사회, 스타게이트, 신세계 질서(NWO), 인내의 시즌🙏✝️📖)</t>
  </si>
  <si>
    <t>https://blog.naver.com/PostView.naver?blogId=joyjooahn&amp;logNo=223889531927&amp;redirect=Dlog&amp;widgetTypeCall=true&amp;directAccess=false</t>
  </si>
  <si>
    <t>‘영부인 경호할 능력 되나’ 여경의 당황스러운 경호</t>
  </si>
  <si>
    <t>https://blog.naver.com/PostView.naver?blogId=wemakenews&amp;logNo=223889486866&amp;redirect=Dlog&amp;widgetTypeCall=true&amp;directAccess=false</t>
  </si>
  <si>
    <t>2025-06-05 목요일 12:32 헤드라인 뉴스</t>
  </si>
  <si>
    <t>https://blog.naver.com/PostView.naver?blogId=artemis_2016&amp;logNo=223889392660&amp;redirect=Dlog&amp;widgetTypeCall=true&amp;directAccess=false</t>
  </si>
  <si>
    <t>생명수</t>
  </si>
  <si>
    <t>20250605</t>
  </si>
  <si>
    <t>https://blog.naver.com/PostView.naver?blogId=scj3434&amp;logNo=223889297162&amp;redirect=Dlog&amp;widgetTypeCall=true&amp;directAccess=false</t>
  </si>
  <si>
    <t>[주식일지 2]</t>
  </si>
  <si>
    <t>https://blog.naver.com/PostView.naver?blogId=simplethings__&amp;logNo=223889232966&amp;redirect=Dlog&amp;widgetTypeCall=true&amp;directAccess=false</t>
  </si>
  <si>
    <t>마짜찬방</t>
  </si>
  <si>
    <t>나락 갈 일만 남은 대한민국</t>
  </si>
  <si>
    <t>https://blog.naver.com/PostView.naver?blogId=papyrusy&amp;logNo=223889145325&amp;redirect=Dlog&amp;widgetTypeCall=true&amp;directAccess=false</t>
  </si>
  <si>
    <t>아기멍멍</t>
  </si>
  <si>
    <t>아침부터 ytn 진짜..</t>
  </si>
  <si>
    <t>https://blog.naver.com/PostView.naver?blogId=chimaera2000&amp;logNo=223889136640&amp;redirect=Dlog&amp;widgetTypeCall=true&amp;directAccess=false</t>
  </si>
  <si>
    <t>6. 5(목) 경찰관련기사</t>
  </si>
  <si>
    <t>https://blog.naver.com/PostView.naver?blogId=tobiaspia&amp;logNo=223889125440&amp;redirect=Dlog&amp;widgetTypeCall=true&amp;directAccess=false</t>
  </si>
  <si>
    <t>미국식 착각</t>
  </si>
  <si>
    <t>https://blog.naver.com/PostView.naver?blogId=sunmen77&amp;logNo=223888944943&amp;redirect=Dlog&amp;widgetTypeCall=true&amp;directAccess=false</t>
  </si>
  <si>
    <t>kdacll11</t>
  </si>
  <si>
    <t>2025/06/04 매매일지</t>
  </si>
  <si>
    <t>https://blog.naver.com/PostView.naver?blogId=kdacll11&amp;logNo=223888879475&amp;redirect=Dlog&amp;widgetTypeCall=true&amp;directAccess=false</t>
  </si>
  <si>
    <t>왜 이럴까 생각해 보면...</t>
  </si>
  <si>
    <t>https://blog.naver.com/PostView.naver?blogId=sunmen77&amp;logNo=223888852715&amp;redirect=Dlog&amp;widgetTypeCall=true&amp;directAccess=false</t>
  </si>
  <si>
    <t>안드레아 도리아호 / SS Andrea Doria</t>
  </si>
  <si>
    <t>https://blog.naver.com/PostView.naver?blogId=philatelia&amp;logNo=223888829469&amp;redirect=Dlog&amp;widgetTypeCall=true&amp;directAccess=false</t>
  </si>
  <si>
    <t>바이오닠</t>
  </si>
  <si>
    <t>YTN이 하는 짓거리</t>
  </si>
  <si>
    <t>https://blog.naver.com/PostView.naver?blogId=twobridge&amp;logNo=223888783070&amp;redirect=Dlog&amp;widgetTypeCall=true&amp;directAccess=false</t>
  </si>
  <si>
    <t>꼬니아빠</t>
  </si>
  <si>
    <t>250604 한국 대통령, 이웃들과의 실용적 관계 구축 약속(РИА Новости)</t>
  </si>
  <si>
    <t>https://blog.naver.com/PostView.naver?blogId=gyutae1022&amp;logNo=223888782383&amp;redirect=Dlog&amp;widgetTypeCall=true&amp;directAccess=false</t>
  </si>
  <si>
    <t>[주식투자][25.06.04] 두산에너빌리티 feat. 대선 결과와 원전주에 영향은???</t>
  </si>
  <si>
    <t>https://blog.naver.com/PostView.naver?blogId=superhippoo&amp;logNo=223888780117&amp;redirect=Dlog&amp;widgetTypeCall=true&amp;directAccess=false</t>
  </si>
  <si>
    <t>khandole</t>
  </si>
  <si>
    <t>대통령선거 개표, 선관위원이 본 개표절차. D-Day</t>
  </si>
  <si>
    <t>https://blog.naver.com/PostView.naver?blogId=khandole&amp;logNo=223888682774&amp;redirect=Dlog&amp;widgetTypeCall=true&amp;directAccess=false</t>
  </si>
  <si>
    <t>Freedom 삼두남</t>
  </si>
  <si>
    <t>25.06.03 매매일지</t>
  </si>
  <si>
    <t>https://blog.naver.com/PostView.naver?blogId=stage101&amp;logNo=223888513005&amp;redirect=Dlog&amp;widgetTypeCall=true&amp;directAccess=false</t>
  </si>
  <si>
    <t>금세기최고미녀</t>
  </si>
  <si>
    <t>2025년 대선참패 대한민국은 적그리스도와 전쟁중!</t>
  </si>
  <si>
    <t>https://blog.naver.com/PostView.naver?blogId=sviki5&amp;logNo=223888477782&amp;redirect=Dlog&amp;widgetTypeCall=true&amp;directAccess=false</t>
  </si>
  <si>
    <t>Denis Joe</t>
  </si>
  <si>
    <t>랄라</t>
  </si>
  <si>
    <t>YTN(-11.93%, 57일)</t>
  </si>
  <si>
    <t>https://blog.naver.com/PostView.naver?blogId=smileboy119&amp;logNo=223888332970&amp;redirect=Dlog&amp;widgetTypeCall=true&amp;directAccess=false</t>
  </si>
  <si>
    <t>“(+ 내용 추가) 2025년 7월 5일 일본에 일어날 대재앙, 우리나라와 동아시아 일대에 미칠 피해, 미래를 예언한 일본의 만화책 '내가 본 미래' | 내가 본 미래 [예언]”</t>
  </si>
  <si>
    <t>https://blog.naver.com/PostView.naver?blogId=lucidjun&amp;logNo=223888174455&amp;redirect=Dlog&amp;widgetTypeCall=true&amp;directAccess=false</t>
  </si>
  <si>
    <t>이재명 대통령 시대 개막</t>
  </si>
  <si>
    <t>https://blog.naver.com/PostView.naver?blogId=songsunb2&amp;logNo=223887966496&amp;redirect=Dlog&amp;widgetTypeCall=true&amp;directAccess=false</t>
  </si>
  <si>
    <t>twotwore</t>
  </si>
  <si>
    <t>대선 OOTD</t>
  </si>
  <si>
    <t>https://blog.naver.com/PostView.naver?blogId=shlove69&amp;logNo=223887956733&amp;redirect=Dlog&amp;widgetTypeCall=true&amp;directAccess=false</t>
  </si>
  <si>
    <t>위대한 대한민국!윤석열 탄핵,망해가는 트럼프의 미국 "트럼프 실수한 것" 하버드가 들끓는다…직접 가본 현장</t>
  </si>
  <si>
    <t>https://blog.naver.com/PostView.naver?blogId=kys55-&amp;logNo=223887932374&amp;redirect=Dlog&amp;widgetTypeCall=true&amp;directAccess=false</t>
  </si>
  <si>
    <t>서우rosa</t>
  </si>
  <si>
    <t>새 대통령에게 바란다...</t>
  </si>
  <si>
    <t>https://blog.naver.com/PostView.naver?blogId=2005sd&amp;logNo=223887898945&amp;redirect=Dlog&amp;widgetTypeCall=true&amp;directAccess=false</t>
  </si>
  <si>
    <t>jazzkid</t>
  </si>
  <si>
    <t>21대 대선 개표방송' MBC-SBS 독특한 CG 구성 + 유튜브 강세...KBS-종편은 무색무취 (리뷰)</t>
  </si>
  <si>
    <t>https://blog.naver.com/PostView.naver?blogId=jazzkid&amp;logNo=223887893398&amp;redirect=Dlog&amp;widgetTypeCall=true&amp;directAccess=false</t>
  </si>
  <si>
    <t>"한글만이 유일" 인도 계급사회까지 무너뜨리는 한국어로 인도 14억명 충격!</t>
  </si>
  <si>
    <t>https://blog.naver.com/PostView.naver?blogId=ksungr&amp;logNo=223887878453&amp;redirect=Dlog&amp;widgetTypeCall=true&amp;directAccess=false</t>
  </si>
  <si>
    <t>25.6.4.(수) 경찰 관련 기사 스크린</t>
  </si>
  <si>
    <t>https://blog.naver.com/PostView.naver?blogId=bugook789&amp;logNo=223887875192&amp;redirect=Dlog&amp;widgetTypeCall=true&amp;directAccess=false</t>
  </si>
  <si>
    <t>정기자</t>
  </si>
  <si>
    <t>대한민국 제21대 대통령 투표일, 전국 투표소에서 심상치 않은 '부정 선거' 의혹 속출</t>
  </si>
  <si>
    <t>https://blog.naver.com/PostView.naver?blogId=mybot&amp;logNo=223887812526&amp;redirect=Dlog&amp;widgetTypeCall=true&amp;directAccess=false</t>
  </si>
  <si>
    <t>건돈이</t>
  </si>
  <si>
    <t>그동안 하지 못했던 이야기</t>
  </si>
  <si>
    <t>https://blog.naver.com/PostView.naver?blogId=boilu123&amp;logNo=223887786007&amp;redirect=Dlog&amp;widgetTypeCall=true&amp;directAccess=false</t>
  </si>
  <si>
    <t>정키붸붸</t>
  </si>
  <si>
    <t>[이슈][정치] 김문수 후보 측 선거관련 기자회견 (ytn 유튜브 링크)</t>
  </si>
  <si>
    <t>https://blog.naver.com/PostView.naver?blogId=kjablue&amp;logNo=223887749212&amp;redirect=Dlog&amp;widgetTypeCall=true&amp;directAccess=false</t>
  </si>
  <si>
    <t>[속보] 이재명, 제21대 대통령선거 당선 유력</t>
  </si>
  <si>
    <t>https://blog.naver.com/PostView.naver?blogId=adtree21&amp;logNo=223887654599&amp;redirect=Dlog&amp;widgetTypeCall=true&amp;directAccess=false</t>
  </si>
  <si>
    <t>전자산업의 발전과 혁신(2)</t>
  </si>
  <si>
    <t>https://blog.naver.com/PostView.naver?blogId=om3000&amp;logNo=223887532246&amp;redirect=Dlog&amp;widgetTypeCall=true&amp;directAccess=false</t>
  </si>
  <si>
    <t>숑</t>
  </si>
  <si>
    <t>12년 방송쟁이 드디어 백수되다</t>
  </si>
  <si>
    <t>https://blog.naver.com/PostView.naver?blogId=qnnffn&amp;logNo=223887285755&amp;redirect=Dlog&amp;widgetTypeCall=true&amp;directAccess=false</t>
  </si>
  <si>
    <t>더e뉴스</t>
  </si>
  <si>
    <t>오나기</t>
  </si>
  <si>
    <t>2025 쉬엄쉬엄 한강 3종 축제</t>
  </si>
  <si>
    <t>https://blog.naver.com/PostView.naver?blogId=onagirok&amp;logNo=223887156410&amp;redirect=Dlog&amp;widgetTypeCall=true&amp;directAccess=false</t>
  </si>
  <si>
    <t>2025년 6월2일 제775호 강동신문 특집 인체는 과학이다. 의학을 과학으로 자연을 살리는 방법 36.5도 천연보일러를 살려라!저산소,저체온 산소테라피</t>
  </si>
  <si>
    <t>https://blog.naver.com/PostView.naver?blogId=law2033&amp;logNo=223887039743&amp;redirect=Dlog&amp;widgetTypeCall=true&amp;directAccess=false</t>
  </si>
  <si>
    <t>청풍</t>
  </si>
  <si>
    <t>인간은 왜 잠을 잘까?</t>
  </si>
  <si>
    <t>https://blog.naver.com/PostView.naver?blogId=45jihoon&amp;logNo=223886957702&amp;redirect=Dlog&amp;widgetTypeCall=true&amp;directAccess=false</t>
  </si>
  <si>
    <t>정치공감 ~ 정치타임님의 오늘자 윤석열 소식. 윤석열, 국민의 힘에 기웃대다 결국 쫓겨났다! 이재명 당선 확실 떴다! 드러나는 리박스쿨의 실체는 세뇌교육집합소</t>
  </si>
  <si>
    <t>https://blog.naver.com/PostView.naver?blogId=wishut3281&amp;logNo=223886937173&amp;redirect=Dlog&amp;widgetTypeCall=true&amp;directAccess=false</t>
  </si>
  <si>
    <t>“오픈AI 한국법인｜AI 활용 방식｜인간 협박하는 AI - 김덕진 IT커뮤니케이션연구소장” 의 영상 요약</t>
  </si>
  <si>
    <t>https://blog.naver.com/PostView.naver?blogId=lucidjun&amp;logNo=223886924799&amp;redirect=Dlog&amp;widgetTypeCall=true&amp;directAccess=false</t>
  </si>
  <si>
    <t>공격용숟가락</t>
  </si>
  <si>
    <t>🗳️ 제21대 대통령선거 개표 방송 및 진행 안내</t>
  </si>
  <si>
    <t>https://blog.naver.com/PostView.naver?blogId=aq0-0&amp;logNo=223886659608&amp;redirect=Dlog&amp;widgetTypeCall=true&amp;directAccess=false</t>
  </si>
  <si>
    <t>2025-06-02 월요일 23:35 헤드라인 뉴스</t>
  </si>
  <si>
    <t>https://blog.naver.com/PostView.naver?blogId=artemis_2016&amp;logNo=223886660856&amp;redirect=Dlog&amp;widgetTypeCall=true&amp;directAccess=false</t>
  </si>
  <si>
    <t>우진</t>
  </si>
  <si>
    <t>사전투표 완</t>
  </si>
  <si>
    <t>https://blog.naver.com/PostView.naver?blogId=tomatoo3o&amp;logNo=223886614288&amp;redirect=Dlog&amp;widgetTypeCall=true&amp;directAccess=false</t>
  </si>
  <si>
    <t>mikatype01</t>
  </si>
  <si>
    <t>kin9</t>
  </si>
  <si>
    <t>6월1일 주식정리(유라클,아모센스,녹십자홀딩스)</t>
  </si>
  <si>
    <t>https://blog.naver.com/PostView.naver?blogId=kin9ue&amp;logNo=223886575823&amp;redirect=Dlog&amp;widgetTypeCall=true&amp;directAccess=false</t>
  </si>
  <si>
    <t>[자막뉴스] "최초" 한국과 손 잡았다...새 판 짜는 사우디 / YTN</t>
  </si>
  <si>
    <t>https://blog.naver.com/PostView.naver?blogId=eremoval&amp;logNo=223886464687&amp;redirect=Dlog&amp;widgetTypeCall=true&amp;directAccess=false</t>
  </si>
  <si>
    <t>국민들은 정치인 이재명을 어떻게 생각하고 있을까?</t>
  </si>
  <si>
    <t>https://blog.naver.com/PostView.naver?blogId=45jihoon&amp;logNo=223886462829&amp;redirect=Dlog&amp;widgetTypeCall=true&amp;directAccess=false</t>
  </si>
  <si>
    <t>도비공</t>
  </si>
  <si>
    <t>두 번째 이준석론 1 - 너는 이미 죽어 있다</t>
  </si>
  <si>
    <t>https://blog.naver.com/PostView.naver?blogId=scaff-eng&amp;logNo=223886429364&amp;redirect=Dlog&amp;widgetTypeCall=true&amp;directAccess=false</t>
  </si>
  <si>
    <t>판권</t>
  </si>
  <si>
    <t>경찰, '자작극 의심' 기표용지 확보...DNA·지문 분석 의뢰</t>
  </si>
  <si>
    <t>https://blog.naver.com/PostView.naver?blogId=jikwin&amp;logNo=223886384658&amp;redirect=Dlog&amp;widgetTypeCall=true&amp;directAccess=false</t>
  </si>
  <si>
    <t>尹 '김문수 지지선언'에 주호영 "자기 지지하는 국민 많은 줄 아는 듯"</t>
  </si>
  <si>
    <t>https://blog.naver.com/PostView.naver?blogId=samo2001&amp;logNo=223886292104&amp;redirect=Dlog&amp;widgetTypeCall=true&amp;directAccess=false</t>
  </si>
  <si>
    <t>주 4.5일제 vs 52시간 개선...갈라진 노동 해법 / YTN</t>
  </si>
  <si>
    <t>https://blog.naver.com/PostView.naver?blogId=hohosbinsky&amp;logNo=223878979471&amp;redirect=Dlog&amp;widgetTypeCall=true&amp;directAccess=false</t>
  </si>
  <si>
    <t>스몰아이</t>
  </si>
  <si>
    <t>여전한 기레기들- 소설을 써도 재밌게 쓰던가.</t>
  </si>
  <si>
    <t>https://blog.naver.com/PostView.naver?blogId=keunsik114&amp;logNo=223886200877&amp;redirect=Dlog&amp;widgetTypeCall=true&amp;directAccess=false</t>
  </si>
  <si>
    <t>경제두스푼</t>
  </si>
  <si>
    <t>2025 대선 개표방송 시간, 당선자 발표는 언제?</t>
  </si>
  <si>
    <t>https://blog.naver.com/PostView.naver?blogId=kimsong8106&amp;logNo=223886178405&amp;redirect=Dlog&amp;widgetTypeCall=true&amp;directAccess=false</t>
  </si>
  <si>
    <t>왕눈이</t>
  </si>
  <si>
    <t>민주당 짐로저스 사건정리</t>
  </si>
  <si>
    <t>https://blog.naver.com/PostView.naver?blogId=kingsnoww&amp;logNo=223886004082&amp;redirect=Dlog&amp;widgetTypeCall=true&amp;directAccess=false</t>
  </si>
  <si>
    <t>AI가 뽑은 6월 2일 국내·외 주요 뉴스</t>
  </si>
  <si>
    <t>https://blog.naver.com/PostView.naver?blogId=ksahn1960&amp;logNo=223885751370&amp;redirect=Dlog&amp;widgetTypeCall=true&amp;directAccess=false</t>
  </si>
  <si>
    <t>이재명 공포독재 5법 (아들험담금지법, 이재명 감시통치, 범죄제보 포상제, 대법관 30명 증원법, 이재명 방탄입법, 판검사 처벌법, 재판소원 도입 (중국 진핑이 따라하는 재매이햄)</t>
  </si>
  <si>
    <t>https://blog.naver.com/PostView.naver?blogId=myduck1206&amp;logNo=223885457062&amp;redirect=Dlog&amp;widgetTypeCall=true&amp;directAccess=false</t>
  </si>
  <si>
    <t>HarrySeo</t>
  </si>
  <si>
    <t>#.7 웹 기획자로서 역량 강화하기</t>
  </si>
  <si>
    <t>https://blog.naver.com/PostView.naver?blogId=shkhk2&amp;logNo=223885375200&amp;redirect=Dlog&amp;widgetTypeCall=true&amp;directAccess=false</t>
  </si>
  <si>
    <t>2025-06-01 일요일 21:14 헤드라인 뉴스</t>
  </si>
  <si>
    <t>https://blog.naver.com/PostView.naver?blogId=artemis_2016&amp;logNo=223885257831&amp;redirect=Dlog&amp;widgetTypeCall=true&amp;directAccess=false</t>
  </si>
  <si>
    <t>[6.3투표지에 황교안 후보자 사퇴처리 안되있는 인쇄용지였음] 대통령출마 사임, 투표용지 6번과 7번에 '사퇴' 가 찍혀있어야 진짜 투표지</t>
  </si>
  <si>
    <t>https://blog.naver.com/PostView.naver?blogId=inbible-ark&amp;logNo=223885206330&amp;redirect=Dlog&amp;widgetTypeCall=true&amp;directAccess=false</t>
  </si>
  <si>
    <t>왜 사람들은 사이비종교에 빠질까?</t>
  </si>
  <si>
    <t>https://blog.naver.com/PostView.naver?blogId=45jihoon&amp;logNo=223884978228&amp;redirect=Dlog&amp;widgetTypeCall=true&amp;directAccess=false</t>
  </si>
  <si>
    <t>BIGME</t>
  </si>
  <si>
    <t>상암동에서</t>
  </si>
  <si>
    <t>https://blog.naver.com/PostView.naver?blogId=ulsanhj&amp;logNo=223884900307&amp;redirect=Dlog&amp;widgetTypeCall=true&amp;directAccess=false</t>
  </si>
  <si>
    <t>“논란의 ‘배민’ 사장님, 손님 모두 욕하면서 쓸 수밖에 없는 이유 (w.정동현 팀장) / 소비더머니” 의 영상 요약</t>
  </si>
  <si>
    <t>https://blog.naver.com/PostView.naver?blogId=lucidjun&amp;logNo=223884750037&amp;redirect=Dlog&amp;widgetTypeCall=true&amp;directAccess=false</t>
  </si>
  <si>
    <t>【핫이슈】 "이준석, 국민의힘 의원들의 찬성표로 국회의원 제명될 것...너무 큰 자살골"</t>
  </si>
  <si>
    <t>https://blog.naver.com/PostView.naver?blogId=koreakwh1&amp;logNo=223884672980&amp;redirect=Dlog&amp;widgetTypeCall=true&amp;directAccess=false</t>
  </si>
  <si>
    <t>럭키맨33</t>
  </si>
  <si>
    <t>모형헬기 덕후, 미국을 누르고 하늘을 제패하다...중국 드론 기업 DJI의 비상 [이게머니💸] / YTN</t>
  </si>
  <si>
    <t>https://blog.naver.com/PostView.naver?blogId=eluckyman&amp;logNo=223884668592&amp;redirect=Dlog&amp;widgetTypeCall=true&amp;directAccess=false</t>
  </si>
  <si>
    <t>2025-05-31 토요일 23:52 헤드라인 뉴스</t>
  </si>
  <si>
    <t>https://blog.naver.com/PostView.naver?blogId=artemis_2016&amp;logNo=223884487413&amp;redirect=Dlog&amp;widgetTypeCall=true&amp;directAccess=false</t>
  </si>
  <si>
    <t>2025-06-30 월요일 22:41 헤드라인 뉴스</t>
  </si>
  <si>
    <t>https://blog.naver.com/PostView.naver?blogId=artemis_2016&amp;logNo=223917183107&amp;redirect=Dlog&amp;widgetTypeCall=true&amp;directAccess=false</t>
  </si>
  <si>
    <t>속보 #이재명 대통령 취임 30일 기자회견, #강유정 대통령실 대변인 브리핑</t>
  </si>
  <si>
    <t>https://blog.naver.com/PostView.naver?blogId=euntkj&amp;logNo=223917070719&amp;redirect=Dlog&amp;widgetTypeCall=true&amp;directAccess=false</t>
  </si>
  <si>
    <t>토달</t>
  </si>
  <si>
    <t>안양소년원은 혼성 소년원이였다!!!</t>
  </si>
  <si>
    <t>https://blog.naver.com/PostView.naver?blogId=redmina&amp;logNo=223916966440&amp;redirect=Dlog&amp;widgetTypeCall=true&amp;directAccess=false</t>
  </si>
  <si>
    <t>버스가 갑자기 쾅!美 살인적 폭염에 아스팔트까지 녹아</t>
  </si>
  <si>
    <t>https://blog.naver.com/PostView.naver?blogId=bnmjkl20&amp;logNo=223916964929&amp;redirect=Dlog&amp;widgetTypeCall=true&amp;directAccess=false</t>
  </si>
  <si>
    <t>데미지크루</t>
  </si>
  <si>
    <t>AI가 '눈'이 되다...시각장애인 민원 '장벽' 허물어 / YTN</t>
  </si>
  <si>
    <t>https://blog.naver.com/PostView.naver?blogId=abnviois09032&amp;logNo=223916961561&amp;redirect=Dlog&amp;widgetTypeCall=true&amp;directAccess=false</t>
  </si>
  <si>
    <t>오르페우스의 아들</t>
  </si>
  <si>
    <t>언론 축지법.</t>
  </si>
  <si>
    <t>https://blog.naver.com/PostView.naver?blogId=yohan27&amp;logNo=223916767842&amp;redirect=Dlog&amp;widgetTypeCall=true&amp;directAccess=false</t>
  </si>
  <si>
    <t>귤맘</t>
  </si>
  <si>
    <t>붉은등우단털파리</t>
  </si>
  <si>
    <t>https://blog.naver.com/PostView.naver?blogId=soo37jin&amp;logNo=223916764649&amp;redirect=Dlog&amp;widgetTypeCall=true&amp;directAccess=false</t>
  </si>
  <si>
    <t>nattiko1023</t>
  </si>
  <si>
    <t>250621 신주발행이란? YTN 사례로 본 '지분 확대 작전'</t>
  </si>
  <si>
    <t>https://blog.naver.com/PostView.naver?blogId=nattiko1023&amp;logNo=223916624342&amp;redirect=Dlog&amp;widgetTypeCall=true&amp;directAccess=false</t>
  </si>
  <si>
    <t>바닷물에 녹는 플라스틱 개발..."빨리 분해되고 흔적 안 남겨" / YTN</t>
  </si>
  <si>
    <t>https://blog.naver.com/PostView.naver?blogId=skwlstjsqhd&amp;logNo=223916476387&amp;redirect=Dlog&amp;widgetTypeCall=true&amp;directAccess=false</t>
  </si>
  <si>
    <t>ssamkong</t>
  </si>
  <si>
    <t>주담대 막힌 서울, 외국인·사업자 대출로 뚫어!</t>
  </si>
  <si>
    <t>https://blog.naver.com/PostView.naver?blogId=ahading&amp;logNo=223916277175&amp;redirect=Dlog&amp;widgetTypeCall=true&amp;directAccess=false</t>
  </si>
  <si>
    <t>강북신문</t>
  </si>
  <si>
    <t>안귀령 전 도봉갑 지역위원장, 대통령실 부대변인 임명</t>
  </si>
  <si>
    <t>https://blog.naver.com/PostView.naver?blogId=gbnews&amp;logNo=223916222537&amp;redirect=Dlog&amp;widgetTypeCall=true&amp;directAccess=false</t>
  </si>
  <si>
    <t>미국 성소수자 퍼레이드 기업들 후원 감소</t>
  </si>
  <si>
    <t>https://blog.naver.com/PostView.naver?blogId=stella5092&amp;logNo=223916217618&amp;redirect=Dlog&amp;widgetTypeCall=true&amp;directAccess=false</t>
  </si>
  <si>
    <t>2025년 6월 30일(월) 주요 뉴스 요약 정리 (뉴스 클리핑/뉴스 브리핑)</t>
  </si>
  <si>
    <t>https://blog.naver.com/PostView.naver?blogId=hope4life&amp;logNo=223907003352&amp;redirect=Dlog&amp;widgetTypeCall=true&amp;directAccess=false</t>
  </si>
  <si>
    <t>식물키우는남자</t>
  </si>
  <si>
    <t>하루 3시간 일하는 알바생도 주휴수당, 유급휴가 지급 검토.....대한민국 점점 기업하기 어려운 나라로 변해간다.</t>
  </si>
  <si>
    <t>https://blog.naver.com/PostView.naver?blogId=yangtongsa&amp;logNo=223916077681&amp;redirect=Dlog&amp;widgetTypeCall=true&amp;directAccess=false</t>
  </si>
  <si>
    <t>Safety Manager</t>
  </si>
  <si>
    <t>지하철역 주변 도시가스 누출 사고</t>
  </si>
  <si>
    <t>https://blog.naver.com/PostView.naver?blogId=cyshin1221&amp;logNo=223915865047&amp;redirect=Dlog&amp;widgetTypeCall=true&amp;directAccess=false</t>
  </si>
  <si>
    <t>머스크, 트럼프에 '폭탄발언' 날렸다...갈등 재점화?</t>
  </si>
  <si>
    <t>https://blog.naver.com/PostView.naver?blogId=chkcc&amp;logNo=223915694778&amp;redirect=Dlog&amp;widgetTypeCall=true&amp;directAccess=false</t>
  </si>
  <si>
    <t>대원</t>
  </si>
  <si>
    <t>1. 튀르키예 이스탄불 도착 3박 내돈내휴 후기</t>
  </si>
  <si>
    <t>https://blog.naver.com/PostView.naver?blogId=7723p&amp;logNo=223915587745&amp;redirect=Dlog&amp;widgetTypeCall=true&amp;directAccess=false</t>
  </si>
  <si>
    <t>한동훈 - 장예찬 - 김용태 - 김종혁</t>
  </si>
  <si>
    <t>https://blog.naver.com/PostView.naver?blogId=vkfksfranc&amp;logNo=223915430090&amp;redirect=Dlog&amp;widgetTypeCall=true&amp;directAccess=false</t>
  </si>
  <si>
    <t>freeblankcheck</t>
  </si>
  <si>
    <t>미국, 머스크의 화성 이주 계획</t>
  </si>
  <si>
    <t>https://blog.naver.com/PostView.naver?blogId=freeblankcheck&amp;logNo=223915336062&amp;redirect=Dlog&amp;widgetTypeCall=true&amp;directAccess=false</t>
  </si>
  <si>
    <t>영천 중년 81년 생</t>
  </si>
  <si>
    <t>짝퉁 화장품들~</t>
  </si>
  <si>
    <t>https://blog.naver.com/PostView.naver?blogId=redgule&amp;logNo=223915274667&amp;redirect=Dlog&amp;widgetTypeCall=true&amp;directAccess=false</t>
  </si>
  <si>
    <t>Sunday</t>
  </si>
  <si>
    <t>김문수 경북지사·김재원 대구시장' 출마설…김재원 "사실무근"</t>
  </si>
  <si>
    <t>https://blog.naver.com/PostView.naver?blogId=nsunday&amp;logNo=223915259044&amp;redirect=Dlog&amp;widgetTypeCall=true&amp;directAccess=false</t>
  </si>
  <si>
    <t>**윤석열 정권과 관련된 주요 이슈에 대한 종합 분석 보고서**</t>
  </si>
  <si>
    <t>https://blog.naver.com/PostView.naver?blogId=ormaverh-m&amp;logNo=223915052242&amp;redirect=Dlog&amp;widgetTypeCall=true&amp;directAccess=false</t>
  </si>
  <si>
    <t>대한민국가장</t>
  </si>
  <si>
    <t>[충격소식] 공포의 40분, 모두가 떨었다. "비행기 안에서 비상문 열겠다!"…사건 전말 공개</t>
  </si>
  <si>
    <t>https://blog.naver.com/PostView.naver?blogId=firsttofire&amp;logNo=223915006939&amp;redirect=Dlog&amp;widgetTypeCall=true&amp;directAccess=false</t>
  </si>
  <si>
    <t>이란, 중국에서 J-10C 전투기 400대 도입 추진</t>
  </si>
  <si>
    <t>https://blog.naver.com/PostView.naver?blogId=ksahn1960&amp;logNo=223914991846&amp;redirect=Dlog&amp;widgetTypeCall=true&amp;directAccess=false</t>
  </si>
  <si>
    <t>쌀과 1달러, 그리고 성경</t>
  </si>
  <si>
    <t>https://blog.naver.com/PostView.naver?blogId=mydairy_book&amp;logNo=223914962875&amp;redirect=Dlog&amp;widgetTypeCall=true&amp;directAccess=false</t>
  </si>
  <si>
    <t>닭볶음탕</t>
  </si>
  <si>
    <t>단기과열지정종목 매매법 (연속하락2) #9 (오르비텍)</t>
  </si>
  <si>
    <t>https://blog.naver.com/PostView.naver?blogId=theus76&amp;logNo=223914890985&amp;redirect=Dlog&amp;widgetTypeCall=true&amp;directAccess=false</t>
  </si>
  <si>
    <t>안전교육 전문가</t>
  </si>
  <si>
    <t>[날씨] 밀양 36.9℃, 사람 체온보다 높았다...장맛비에 찜통더위(YTN)</t>
  </si>
  <si>
    <t>https://blog.naver.com/PostView.naver?blogId=lbhbird&amp;logNo=223914816138&amp;redirect=Dlog&amp;widgetTypeCall=true&amp;directAccess=false</t>
  </si>
  <si>
    <t>[공식]새날 ~ 연합뉴스TV님의 오늘자 이재명, 윤석열 소식. 법사위원장 탈환 실패한 국힘 또 줄퇴장 순간. 나경원은 철야농성 불꽃 투혼.  기선제압'에 고개숙인 尹</t>
  </si>
  <si>
    <t>https://blog.naver.com/PostView.naver?blogId=wishut3281&amp;logNo=223914677353&amp;redirect=Dlog&amp;widgetTypeCall=true&amp;directAccess=false</t>
  </si>
  <si>
    <t>&lt;사이비 보수 좌경용공 민주팔이 김종은이,한동운이 일당은 무능,무책임 좌경용공 민주팔이와 싸우지 않고 허구헌날 자기정치와 분탕질..기사무관&gt;김종인 "친윤, 시간 지나면 와해...</t>
  </si>
  <si>
    <t>https://blog.naver.com/PostView.naver?blogId=yesktj&amp;logNo=223914637912&amp;redirect=Dlog&amp;widgetTypeCall=true&amp;directAccess=false</t>
  </si>
  <si>
    <t>대장동 사건의 몸통은 청와대로, 수족들은 징역형에 감옥으로 직행 예정(검찰 구형임)</t>
  </si>
  <si>
    <t>https://blog.naver.com/PostView.naver?blogId=inbible-ark&amp;logNo=223914613454&amp;redirect=Dlog&amp;widgetTypeCall=true&amp;directAccess=false</t>
  </si>
  <si>
    <t>임페리얼마스터</t>
  </si>
  <si>
    <t>2025.6.27 인천 동구 치매 안심센터 현대시장 버스정류장 조민형한방의원 K-산소테라피 K-산소사우나  「산소와 면역으로 치매를 예방하다. 동구형 K-웰에이징」 조성호 사진촬영</t>
  </si>
  <si>
    <t>https://blog.naver.com/PostView.naver?blogId=law2033&amp;logNo=223914059428&amp;redirect=Dlog&amp;widgetTypeCall=true&amp;directAccess=false</t>
  </si>
  <si>
    <t>해성가구쥔장</t>
  </si>
  <si>
    <t>김건희 여사 휠체어 타고 퇴원 뒤에서 밀어주는 윤석열 전 대통령 영상</t>
  </si>
  <si>
    <t>https://blog.naver.com/PostView.naver?blogId=modelaa77&amp;logNo=223913913446&amp;redirect=Dlog&amp;widgetTypeCall=true&amp;directAccess=false</t>
  </si>
  <si>
    <t>내려가라, 그게 섭리다!</t>
  </si>
  <si>
    <t>https://blog.naver.com/PostView.naver?blogId=sjk60&amp;logNo=223913829623&amp;redirect=Dlog&amp;widgetTypeCall=true&amp;directAccess=false</t>
  </si>
  <si>
    <t>정직한</t>
  </si>
  <si>
    <t>🚨 교대역 가스 누출 사고 발생! 2·3호선 무정차 통과 중</t>
  </si>
  <si>
    <t>https://blog.naver.com/PostView.naver?blogId=pdw3951&amp;logNo=223913607121&amp;redirect=Dlog&amp;widgetTypeCall=true&amp;directAccess=false</t>
  </si>
  <si>
    <t>“윤석열, 아산병원 매일 면회 중”…특검은 체포영장 청구</t>
  </si>
  <si>
    <t>https://blog.naver.com/PostView.naver?blogId=hw2979&amp;logNo=223913526416&amp;redirect=Dlog&amp;widgetTypeCall=true&amp;directAccess=false</t>
  </si>
  <si>
    <t>바다</t>
  </si>
  <si>
    <t>구글 비밀번호 털렸다 - 삼성 휴대폰 비번 당장 교체해야</t>
  </si>
  <si>
    <t>https://blog.naver.com/PostView.naver?blogId=search_truth&amp;logNo=223913514423&amp;redirect=Dlog&amp;widgetTypeCall=true&amp;directAccess=false</t>
  </si>
  <si>
    <t>피로 물든 새벽, 악마의 폭주… 60대 택시기사 살해 후 2명 더 친 20대 체포</t>
  </si>
  <si>
    <t>https://blog.naver.com/PostView.naver?blogId=rttn-&amp;logNo=223912606270&amp;redirect=Dlog&amp;widgetTypeCall=true&amp;directAccess=false</t>
  </si>
  <si>
    <t>잇츠고</t>
  </si>
  <si>
    <t>2025년 6월 27일 장전뉴스</t>
  </si>
  <si>
    <t>https://blog.naver.com/PostView.naver?blogId=eos039&amp;logNo=223913240162&amp;redirect=Dlog&amp;widgetTypeCall=true&amp;directAccess=false</t>
  </si>
  <si>
    <t>“검찰이 가족 학살”… 박지원, 조국 사면 관련해 작심 발언</t>
  </si>
  <si>
    <t>https://blog.naver.com/PostView.naver?blogId=koreakwh1&amp;logNo=223913218390&amp;redirect=Dlog&amp;widgetTypeCall=true&amp;directAccess=false</t>
  </si>
  <si>
    <t>2025년 6월 27일(금) 주요 뉴스 요약 정리 (뉴스 클리핑/뉴스 브리핑)</t>
  </si>
  <si>
    <t>https://blog.naver.com/PostView.naver?blogId=hope4life&amp;logNo=223907002938&amp;redirect=Dlog&amp;widgetTypeCall=true&amp;directAccess=false</t>
  </si>
  <si>
    <t>행복문</t>
  </si>
  <si>
    <t>6월 26일 상암동 YTN 미래애셋금융서비스, 신애라 배우 봤음, 싱싱샐러드 망원점, 바디앤짐 망원점</t>
  </si>
  <si>
    <t>https://blog.naver.com/PostView.naver?blogId=attractivehe&amp;logNo=223913018874&amp;redirect=Dlog&amp;widgetTypeCall=true&amp;directAccess=false</t>
  </si>
  <si>
    <t>wasav</t>
  </si>
  <si>
    <t>6월 26일 매매총평 - 차트/종특/재료의 원칙준수</t>
  </si>
  <si>
    <t>https://blog.naver.com/PostView.naver?blogId=wasav&amp;logNo=223912946717&amp;redirect=Dlog&amp;widgetTypeCall=true&amp;directAccess=false</t>
  </si>
  <si>
    <t>2025-06-26 목요일 21:50 헤드라인 뉴스</t>
  </si>
  <si>
    <t>https://blog.naver.com/PostView.naver?blogId=artemis_2016&amp;logNo=223912930888&amp;redirect=Dlog&amp;widgetTypeCall=true&amp;directAccess=false</t>
  </si>
  <si>
    <t>카노</t>
  </si>
  <si>
    <t>🌞 2025-06-25(수) 뉴스</t>
  </si>
  <si>
    <t>https://blog.naver.com/PostView.naver?blogId=thinkingaa&amp;logNo=223912885324&amp;redirect=Dlog&amp;widgetTypeCall=true&amp;directAccess=false</t>
  </si>
  <si>
    <t>“팔란티어 주가, 지금이 딱 매력적인 이유ㅣ배경율 교수 [풀영상]” 의 영상 요약</t>
  </si>
  <si>
    <t>https://blog.naver.com/PostView.naver?blogId=lucidjun&amp;logNo=223912785186&amp;redirect=Dlog&amp;widgetTypeCall=true&amp;directAccess=false</t>
  </si>
  <si>
    <t>111광년 밖 목성크기 외계행성 발견</t>
  </si>
  <si>
    <t>https://blog.naver.com/PostView.naver?blogId=klp654&amp;logNo=223912730089&amp;redirect=Dlog&amp;widgetTypeCall=true&amp;directAccess=false</t>
  </si>
  <si>
    <t>스파이</t>
  </si>
  <si>
    <t>북, 6·25 75주년 맞아 반미의식 고취...'만고죄악 규탄'</t>
  </si>
  <si>
    <t>https://blog.naver.com/PostView.naver?blogId=kkimmmspy007&amp;logNo=223912712938&amp;redirect=Dlog&amp;widgetTypeCall=true&amp;directAccess=false</t>
  </si>
  <si>
    <t>지구인사이드</t>
  </si>
  <si>
    <t>노동장관 후보자 "중대재해 반복, 지배구조도 원인" [데일리 지배구조]</t>
  </si>
  <si>
    <t>https://blog.naver.com/PostView.naver?blogId=wooseongcheong&amp;logNo=223912437942&amp;redirect=Dlog&amp;widgetTypeCall=true&amp;directAccess=false</t>
  </si>
  <si>
    <t>‘조국 사면’ 언급한 박지원 “검찰에 가족 학살당해···사면 빠를수록 좋다”</t>
  </si>
  <si>
    <t>https://blog.naver.com/PostView.naver?blogId=437030&amp;logNo=223912253308&amp;redirect=Dlog&amp;widgetTypeCall=true&amp;directAccess=false</t>
  </si>
  <si>
    <t>이재명의 생존권 회복을 위한 긴급 민생대책 연설을 보면서..</t>
  </si>
  <si>
    <t>https://blog.naver.com/PostView.naver?blogId=solhanna&amp;logNo=223912243574&amp;redirect=Dlog&amp;widgetTypeCall=true&amp;directAccess=false</t>
  </si>
  <si>
    <t>foxler</t>
  </si>
  <si>
    <t>2025년 6월 26일 주요 경제 뉴스 요약 및 해설</t>
  </si>
  <si>
    <t>https://blog.naver.com/PostView.naver?blogId=foxler&amp;logNo=223912046837&amp;redirect=Dlog&amp;widgetTypeCall=true&amp;directAccess=false</t>
  </si>
  <si>
    <t>진심촛불 ~ 정치 돋보기님의 오늘자 이재명, 윤석열 소식. 특검의 기세에 구석으로 몰리는 김건희 윤석열 내란 부부, 검찰청 폐지에 태클 걸어도 다 이루어진다.윤석열 체포 예정</t>
  </si>
  <si>
    <t>https://blog.naver.com/PostView.naver?blogId=wishut3281&amp;logNo=223911974451&amp;redirect=Dlog&amp;widgetTypeCall=true&amp;directAccess=false</t>
  </si>
  <si>
    <t>홈플러스 사태의 구조적 분석: 차입 인수, 유통산업 전환기, 그리고 국민연금의 손실 위험</t>
  </si>
  <si>
    <t>https://blog.naver.com/PostView.naver?blogId=sineaho&amp;logNo=223911965833&amp;redirect=Dlog&amp;widgetTypeCall=true&amp;directAccess=false</t>
  </si>
  <si>
    <t>2025년 6월 26일(목) 주요 뉴스 요약 정리 (뉴스 클리핑/뉴스 브리핑)</t>
  </si>
  <si>
    <t>https://blog.naver.com/PostView.naver?blogId=hope4life&amp;logNo=223907002743&amp;redirect=Dlog&amp;widgetTypeCall=true&amp;directAccess=false</t>
  </si>
  <si>
    <t>TenSixteen</t>
  </si>
  <si>
    <t>250625 매매일지</t>
  </si>
  <si>
    <t>https://blog.naver.com/PostView.naver?blogId=flow_seeker&amp;logNo=223911761800&amp;redirect=Dlog&amp;widgetTypeCall=true&amp;directAccess=false</t>
  </si>
  <si>
    <t>`25.06/25 (일진전기/오르비텍)</t>
  </si>
  <si>
    <t>https://blog.naver.com/PostView.naver?blogId=sucess4you&amp;logNo=223911715145&amp;redirect=Dlog&amp;widgetTypeCall=true&amp;directAccess=false</t>
  </si>
  <si>
    <t>huns</t>
  </si>
  <si>
    <t>[일상기록] 부산에서 서울로, 서울살이 시작 / 서울시립미술관, 덕수궁, 상암 MBC, 예술의 전당(샤갈 특별전)</t>
  </si>
  <si>
    <t>https://blog.naver.com/PostView.naver?blogId=huns_universe&amp;logNo=223911684373&amp;redirect=Dlog&amp;widgetTypeCall=true&amp;directAccess=false</t>
  </si>
  <si>
    <t>햘랴뷰베이비</t>
  </si>
  <si>
    <t>이재명, 드디어 입 열다 기자회견 생중계 속 충격 발언… 익명 뒤에 숨지 마라 실명으로 맞서는 그의 진짜 속내는 (+열린 브리핑, 소통, 정치)</t>
  </si>
  <si>
    <t>https://blog.naver.com/PostView.naver?blogId=minha051126&amp;logNo=223911600190&amp;redirect=Dlog&amp;widgetTypeCall=true&amp;directAccess=false</t>
  </si>
  <si>
    <t>플라뇌르</t>
  </si>
  <si>
    <t>[50640318]신뢰는 사라지고, 보조금만 남았다.</t>
  </si>
  <si>
    <t>https://blog.naver.com/PostView.naver?blogId=b_street_221b&amp;logNo=223911247839&amp;redirect=Dlog&amp;widgetTypeCall=true&amp;directAccess=false</t>
  </si>
  <si>
    <t>“윤석열, 아산병원 김건희 매일 면회...안타까운 얘기도 듣게 돼”</t>
  </si>
  <si>
    <t>https://blog.naver.com/PostView.naver?blogId=asleepist&amp;logNo=223911449801&amp;redirect=Dlog&amp;widgetTypeCall=true&amp;directAccess=false</t>
  </si>
  <si>
    <t>하윤마미</t>
  </si>
  <si>
    <t>상암동맛집 상암동삼겹살 맛집 회식 하기 좋은 냅다청양집</t>
  </si>
  <si>
    <t>https://blog.naver.com/PostView.naver?blogId=mjs7674&amp;logNo=223911388574&amp;redirect=Dlog&amp;widgetTypeCall=true&amp;directAccess=false</t>
  </si>
  <si>
    <t>뀨컴버</t>
  </si>
  <si>
    <t>여름의 초입에 들어선 6월_W2 June 2025</t>
  </si>
  <si>
    <t>https://blog.naver.com/PostView.naver?blogId=tnqls2645&amp;logNo=223911215751&amp;redirect=Dlog&amp;widgetTypeCall=true&amp;directAccess=false</t>
  </si>
  <si>
    <t>choiigo</t>
  </si>
  <si>
    <t>아주 지랄을 하신다</t>
  </si>
  <si>
    <t>https://blog.naver.com/PostView.naver?blogId=choiigo&amp;logNo=223910906073&amp;redirect=Dlog&amp;widgetTypeCall=true&amp;directAccess=false</t>
  </si>
  <si>
    <t>25.6.25.(수) 경찰 관련 기사 스크린</t>
  </si>
  <si>
    <t>https://blog.naver.com/PostView.naver?blogId=bugook789&amp;logNo=223910807496&amp;redirect=Dlog&amp;widgetTypeCall=true&amp;directAccess=false</t>
  </si>
  <si>
    <t>6. 25(수) 경찰관련기사</t>
  </si>
  <si>
    <t>https://blog.naver.com/PostView.naver?blogId=tobiaspia&amp;logNo=223910805633&amp;redirect=Dlog&amp;widgetTypeCall=true&amp;directAccess=false</t>
  </si>
  <si>
    <t>아이작</t>
  </si>
  <si>
    <t>퇴직연금 의무화!! 이제 퇴직금도 나라가 관리한다!? (이제 은퇴후 치킨집 못할듯...)</t>
  </si>
  <si>
    <t>https://blog.naver.com/PostView.naver?blogId=kjy8138&amp;logNo=223910460138&amp;redirect=Dlog&amp;widgetTypeCall=true&amp;directAccess=false</t>
  </si>
  <si>
    <t>블루스나이퍼</t>
  </si>
  <si>
    <t>2025.6.25(수) 암호화폐, 반도체, 원전, LG AI 엑사원</t>
  </si>
  <si>
    <t>https://blog.naver.com/PostView.naver?blogId=gunhey&amp;logNo=223910788872&amp;redirect=Dlog&amp;widgetTypeCall=true&amp;directAccess=false</t>
  </si>
  <si>
    <t>2025년 6월 25일(수) 주요 뉴스 요약 정리 (뉴스 클리핑/뉴스 브리핑)</t>
  </si>
  <si>
    <t>https://blog.naver.com/PostView.naver?blogId=hope4life&amp;logNo=223907002557&amp;redirect=Dlog&amp;widgetTypeCall=true&amp;directAccess=false</t>
  </si>
  <si>
    <t>볕뉘</t>
  </si>
  <si>
    <t>2021-51(학생). 스프레차투라(sprezzatura)</t>
  </si>
  <si>
    <t>https://blog.naver.com/PostView.naver?blogId=xholyhyunx&amp;logNo=223910474952&amp;redirect=Dlog&amp;widgetTypeCall=true&amp;directAccess=false</t>
  </si>
  <si>
    <t>불고미</t>
  </si>
  <si>
    <t>카카오게임즈 상한가 돌파! 신작 모멘텀과 정책 수혜가 만든 폭발력, 게임관련주 상승 초입일까?</t>
  </si>
  <si>
    <t>https://blog.naver.com/PostView.naver?blogId=tako_yakim&amp;logNo=223910421580&amp;redirect=Dlog&amp;widgetTypeCall=true&amp;directAccess=false</t>
  </si>
  <si>
    <t>zabro</t>
  </si>
  <si>
    <t>일본 가마쿠라에 있던 왕실 사당 관월당 100년 만에 고국 품으로</t>
  </si>
  <si>
    <t>https://blog.naver.com/PostView.naver?blogId=zabro&amp;logNo=223910338432&amp;redirect=Dlog&amp;widgetTypeCall=true&amp;directAccess=false</t>
  </si>
  <si>
    <t>잔잔한 마음</t>
  </si>
  <si>
    <t>스테이블코인과 LG씨엔에스</t>
  </si>
  <si>
    <t>https://blog.naver.com/PostView.naver?blogId=cyder74&amp;logNo=223910237895&amp;redirect=Dlog&amp;widgetTypeCall=true&amp;directAccess=false</t>
  </si>
  <si>
    <t>전제군주</t>
  </si>
  <si>
    <t>이요원 ••• ONOF CF 비하인드</t>
  </si>
  <si>
    <t>https://blog.naver.com/PostView.naver?blogId=truthnchange&amp;logNo=223910204857&amp;redirect=Dlog&amp;widgetTypeCall=true&amp;directAccess=false</t>
  </si>
  <si>
    <t>이정윤</t>
  </si>
  <si>
    <t>나트랑 여행 정보 공유</t>
  </si>
  <si>
    <t>https://blog.naver.com/PostView.naver?blogId=jjyuniya&amp;logNo=223910140529&amp;redirect=Dlog&amp;widgetTypeCall=true&amp;directAccess=false</t>
  </si>
  <si>
    <t>Jay JO</t>
  </si>
  <si>
    <t>진짜 삶이 팍팍하구나</t>
  </si>
  <si>
    <t>https://blog.naver.com/PostView.naver?blogId=jjk7673&amp;logNo=223909856547&amp;redirect=Dlog&amp;widgetTypeCall=true&amp;directAccess=false</t>
  </si>
  <si>
    <t>[자막뉴스] 尹 체포영장 신청 안 한다...공은 특검 몫으로 / YTN</t>
  </si>
  <si>
    <t>https://blog.naver.com/PostView.naver?blogId=eremoval&amp;logNo=223909836744&amp;redirect=Dlog&amp;widgetTypeCall=true&amp;directAccess=false</t>
  </si>
  <si>
    <t>해피</t>
  </si>
  <si>
    <t>저질 언론은 국가에 해롭다.</t>
  </si>
  <si>
    <t>https://blog.naver.com/PostView.naver?blogId=jukewon1&amp;logNo=223909773932&amp;redirect=Dlog&amp;widgetTypeCall=true&amp;directAccess=false</t>
  </si>
  <si>
    <t>콩쥐야</t>
  </si>
  <si>
    <t>혐오에 빠지지 않기</t>
  </si>
  <si>
    <t>https://blog.naver.com/PostView.naver?blogId=leeboda17&amp;logNo=223909711307&amp;redirect=Dlog&amp;widgetTypeCall=true&amp;directAccess=false</t>
  </si>
  <si>
    <t>icooiii</t>
  </si>
  <si>
    <t>[스타트 브리핑] 중동 전쟁에도 큰 변동 없는 유가, 이유는? / YTN</t>
  </si>
  <si>
    <t>https://blog.naver.com/PostView.naver?blogId=icooiii&amp;logNo=223903950993&amp;redirect=Dlog&amp;widgetTypeCall=true&amp;directAccess=false</t>
  </si>
  <si>
    <t>주를 향하여 손을 펴고 내 영혼이 마른 땅 같이 주를 사모하나이다." (시 143:6)</t>
  </si>
  <si>
    <t>https://blog.naver.com/PostView.naver?blogId=pugok00&amp;logNo=223909529373&amp;redirect=Dlog&amp;widgetTypeCall=true&amp;directAccess=false</t>
  </si>
  <si>
    <t>2025년 6월 24일 해외시황(이란의 피해 없는 보복.매파적인 월러연준이사의 금리 발언, 로보택시 출시 테슬라 급등.미증시 상승,국제유가 크게 하락.전체적으로 중동진정되는 분위기</t>
  </si>
  <si>
    <t>https://blog.naver.com/PostView.naver?blogId=silluel&amp;logNo=223909511714&amp;redirect=Dlog&amp;widgetTypeCall=true&amp;directAccess=false</t>
  </si>
  <si>
    <t>2025년 6월 24일 증시 및 경제 주요뉴스 정리 및 아침 생각</t>
  </si>
  <si>
    <t>https://blog.naver.com/PostView.naver?blogId=silluel&amp;logNo=223909511108&amp;redirect=Dlog&amp;widgetTypeCall=true&amp;directAccess=false</t>
  </si>
  <si>
    <t>2025년 6월 24일(화) 주요 뉴스 요약 정리 (뉴스 클리핑/뉴스 브리핑)</t>
  </si>
  <si>
    <t>https://blog.naver.com/PostView.naver?blogId=hope4life&amp;logNo=223907002396&amp;redirect=Dlog&amp;widgetTypeCall=true&amp;directAccess=false</t>
  </si>
  <si>
    <t>하뜨뜨</t>
  </si>
  <si>
    <t>[뉴스나우] 경찰, 리박스쿨 수사 착수...대선 갑호비상 '대응 총력' / YTN</t>
  </si>
  <si>
    <t>https://blog.naver.com/PostView.naver?blogId=ampmrightnow&amp;logNo=223886406602&amp;redirect=Dlog&amp;widgetTypeCall=true&amp;directAccess=false</t>
  </si>
  <si>
    <t>정치타임 ~ [공식]새날님의 오늘자 이재명, 윤석열 소식. 윤석열을 포함하던 그 국힘당 참모들과 국힘, 검찰들까지 싹 다 특검한다. 주진우부터 털어보자!</t>
  </si>
  <si>
    <t>https://blog.naver.com/PostView.naver?blogId=wishut3281&amp;logNo=223909142870&amp;redirect=Dlog&amp;widgetTypeCall=true&amp;directAccess=false</t>
  </si>
  <si>
    <t>6월23일 석간 증권뉴스 브리핑</t>
  </si>
  <si>
    <t>https://blog.naver.com/PostView.naver?blogId=horebten&amp;logNo=223909105018&amp;redirect=Dlog&amp;widgetTypeCall=true&amp;directAccess=false</t>
  </si>
  <si>
    <t>김띠롱</t>
  </si>
  <si>
    <t>24년 10월 기록 ①</t>
  </si>
  <si>
    <t>https://blog.naver.com/PostView.naver?blogId=kimd1r0ng&amp;logNo=223908932783&amp;redirect=Dlog&amp;widgetTypeCall=true&amp;directAccess=false</t>
  </si>
  <si>
    <t>이영일</t>
  </si>
  <si>
    <t>법에도 없는데..."보건복지부는 왜 게임을 중독이라고 하나"</t>
  </si>
  <si>
    <t>https://blog.naver.com/PostView.naver?blogId=ngo201&amp;logNo=223908926790&amp;redirect=Dlog&amp;widgetTypeCall=true&amp;directAccess=false</t>
  </si>
  <si>
    <t>“[속보] 미국 개입! 중동발 충격에 채권이 꿈틀댄다 (마경환의 채권학교)” 의 영상 요약</t>
  </si>
  <si>
    <t>https://blog.naver.com/PostView.naver?blogId=lucidjun&amp;logNo=223908919053&amp;redirect=Dlog&amp;widgetTypeCall=true&amp;directAccess=false</t>
  </si>
  <si>
    <t>12.3 친위쿠데타 이후 군, 국방부 개혁은 새 정부 최대 중요 현안이다. 더구나 육군사관학교 존폐 개혁은 초미의 과제다.  김상수</t>
  </si>
  <si>
    <t>https://blog.naver.com/PostView.naver?blogId=kimdaisuke&amp;logNo=223908866723&amp;redirect=Dlog&amp;widgetTypeCall=true&amp;directAccess=false</t>
  </si>
  <si>
    <t>최근 한국에서 독자개발된 독보적인 방산기술 2가지.jpg</t>
  </si>
  <si>
    <t>https://blog.naver.com/PostView.naver?blogId=dlrayfvkkhff&amp;logNo=223908492480&amp;redirect=Dlog&amp;widgetTypeCall=true&amp;directAccess=false</t>
  </si>
  <si>
    <t>이란 폭격에 대한 중국 반응</t>
  </si>
  <si>
    <t>https://blog.naver.com/PostView.naver?blogId=cscg6472&amp;logNo=223908398711&amp;redirect=Dlog&amp;widgetTypeCall=true&amp;directAccess=false</t>
  </si>
  <si>
    <t>6. 23(월) 경찰관련기사</t>
  </si>
  <si>
    <t>https://blog.naver.com/PostView.naver?blogId=tobiaspia&amp;logNo=223908291596&amp;redirect=Dlog&amp;widgetTypeCall=true&amp;directAccess=false</t>
  </si>
  <si>
    <t>25.6.23.(월) 경찰 관련 기사 스크린</t>
  </si>
  <si>
    <t>https://blog.naver.com/PostView.naver?blogId=bugook789&amp;logNo=223908279112&amp;redirect=Dlog&amp;widgetTypeCall=true&amp;directAccess=false</t>
  </si>
  <si>
    <t>2025년 6월 23일(월) 주요 뉴스 요약 정리 (뉴스 클리핑/뉴스 브리핑)</t>
  </si>
  <si>
    <t>https://blog.naver.com/PostView.naver?blogId=hope4life&amp;logNo=223907002121&amp;redirect=Dlog&amp;widgetTypeCall=true&amp;directAccess=false</t>
  </si>
  <si>
    <t>Text Travel Thought</t>
  </si>
  <si>
    <t>[HR 관련 뉴스] 2025년 25주 (`25-06-16 ~ `25-06-20)</t>
  </si>
  <si>
    <t>https://blog.naver.com/PostView.naver?blogId=yihyouk&amp;logNo=223908159757&amp;redirect=Dlog&amp;widgetTypeCall=true&amp;directAccess=false</t>
  </si>
  <si>
    <t>eric1782</t>
  </si>
  <si>
    <t>호르무즈 해협 봉쇄... 고유가 시대 진입 확정</t>
  </si>
  <si>
    <t>https://blog.naver.com/PostView.naver?blogId=eric1782&amp;logNo=223908103276&amp;redirect=Dlog&amp;widgetTypeCall=true&amp;directAccess=false</t>
  </si>
  <si>
    <t>dcg0820</t>
  </si>
  <si>
    <t>6.25 , 75주년을 맞으며</t>
  </si>
  <si>
    <t>https://blog.naver.com/PostView.naver?blogId=dcg0820&amp;logNo=223908008365&amp;redirect=Dlog&amp;widgetTypeCall=true&amp;directAccess=false</t>
  </si>
  <si>
    <t>“미국, 이란 핵시설 3개 직접 타격..트럼프 "이란, 전쟁 끝내야" 10분 요약” 의 영상 요약</t>
  </si>
  <si>
    <t>https://blog.naver.com/PostView.naver?blogId=lucidjun&amp;logNo=223907817657&amp;redirect=Dlog&amp;widgetTypeCall=true&amp;directAccess=false</t>
  </si>
  <si>
    <t>“코인투자자들 6월 안에 이것 안하면 세금폭탄 맞습니다 | 이장원 세무사 4부” 의 영상 요약</t>
  </si>
  <si>
    <t>https://blog.naver.com/PostView.naver?blogId=lucidjun&amp;logNo=223907807004&amp;redirect=Dlog&amp;widgetTypeCall=true&amp;directAccess=false</t>
  </si>
  <si>
    <t>2025-06-22 일요일 17:11 헤드라인 뉴스</t>
  </si>
  <si>
    <t>https://blog.naver.com/PostView.naver?blogId=artemis_2016&amp;logNo=223907785180&amp;redirect=Dlog&amp;widgetTypeCall=true&amp;directAccess=false</t>
  </si>
  <si>
    <t>“단 30분 투자습관 | 수면 뇌건강 불면증 @sleepdoctor1 | 인생질문 291회​” 의 영상 요약</t>
  </si>
  <si>
    <t>https://blog.naver.com/PostView.naver?blogId=lucidjun&amp;logNo=223907734670&amp;redirect=Dlog&amp;widgetTypeCall=true&amp;directAccess=false</t>
  </si>
  <si>
    <t>여의도 김과장</t>
  </si>
  <si>
    <t>서울 아파트, 다시 불장인가? 가격 폭등의 3가지 결정적 이유</t>
  </si>
  <si>
    <t>https://blog.naver.com/PostView.naver?blogId=goodma090&amp;logNo=223907724808&amp;redirect=Dlog&amp;widgetTypeCall=true&amp;directAccess=false</t>
  </si>
  <si>
    <t>제이지</t>
  </si>
  <si>
    <t>이란 · 이스라엘 전쟁 그리고 천연가스 가격</t>
  </si>
  <si>
    <t>https://blog.naver.com/PostView.naver?blogId=marco727&amp;logNo=223907714028&amp;redirect=Dlog&amp;widgetTypeCall=true&amp;directAccess=false</t>
  </si>
  <si>
    <t>[코스피, 코스닥 etf] 코스피 3000을 축하하며, 대세상승장 파티에 초대받은 자 빨리 참석하라</t>
  </si>
  <si>
    <t>https://blog.naver.com/PostView.naver?blogId=echowalker&amp;logNo=223907632882&amp;redirect=Dlog&amp;widgetTypeCall=true&amp;directAccess=false</t>
  </si>
  <si>
    <t>SUMMER</t>
  </si>
  <si>
    <t>나트랑 - 2일차</t>
  </si>
  <si>
    <t>https://blog.naver.com/PostView.naver?blogId=summerchoi7&amp;logNo=223907582972&amp;redirect=Dlog&amp;widgetTypeCall=true&amp;directAccess=false</t>
  </si>
  <si>
    <t>2025년 6월 22일 국내·외 주요 뉴스</t>
  </si>
  <si>
    <t>https://blog.naver.com/PostView.naver?blogId=ksahn1960&amp;logNo=223907531102&amp;redirect=Dlog&amp;widgetTypeCall=true&amp;directAccess=false</t>
  </si>
  <si>
    <t>트럼프:  미군, 이란 핵 시설 3곳 공격,  포르도 지하 핵시설 타격 Trump announces US bombs nuclear sites in Iran</t>
  </si>
  <si>
    <t>https://blog.naver.com/PostView.naver?blogId=misael&amp;logNo=223907528091&amp;redirect=Dlog&amp;widgetTypeCall=true&amp;directAccess=false</t>
  </si>
  <si>
    <t>필사적으로</t>
  </si>
  <si>
    <t>“한화 홍창화 응원단장 19년! 창화신(信) 라디오 출연… 우승 공약까지 터졌다”</t>
  </si>
  <si>
    <t>https://blog.naver.com/PostView.naver?blogId=feel4jeok&amp;logNo=223907488069&amp;redirect=Dlog&amp;widgetTypeCall=true&amp;directAccess=false</t>
  </si>
  <si>
    <t>나눔홀릭</t>
  </si>
  <si>
    <t>[뉴스파헤치기] 온누리 교회 사이트 북한영상 송출 사고, 북한 해킹 의심</t>
  </si>
  <si>
    <t>https://blog.naver.com/PostView.naver?blogId=nanumholic75&amp;logNo=223907466832&amp;redirect=Dlog&amp;widgetTypeCall=true&amp;directAccess=false</t>
  </si>
  <si>
    <t>야매스쿨</t>
  </si>
  <si>
    <t>&lt;김충식...대체 뭐지&gt;조상현 님 페북글</t>
  </si>
  <si>
    <t>https://blog.naver.com/PostView.naver?blogId=teleioi&amp;logNo=223907359233&amp;redirect=Dlog&amp;widgetTypeCall=true&amp;directAccess=false</t>
  </si>
  <si>
    <t>섬들은 특히 울릉도는 지금은 사라진 YTN &lt;뉴스가 있는 저녁&gt; 변상욱 앵커에게 큰 빚을 진적이 있다. 강제윤</t>
  </si>
  <si>
    <t>https://blog.naver.com/PostView.naver?blogId=kimdaisuke&amp;logNo=223907298229&amp;redirect=Dlog&amp;widgetTypeCall=true&amp;directAccess=false</t>
  </si>
  <si>
    <t>통일교 한학자 정체 밝혀진다...</t>
  </si>
  <si>
    <t>https://blog.naver.com/PostView.naver?blogId=sabbaton&amp;logNo=223907162061&amp;redirect=Dlog&amp;widgetTypeCall=true&amp;directAccess=false</t>
  </si>
  <si>
    <t>몽키 초초롱</t>
  </si>
  <si>
    <t>불법촬영 물의→월드컵 ‘기둥’ 선언? 황의조, 국가대표 복귀 꿈 이룰까… 여론 들끓는다</t>
  </si>
  <si>
    <t>https://blog.naver.com/PostView.naver?blogId=gsw01302&amp;logNo=223907128306&amp;redirect=Dlog&amp;widgetTypeCall=true&amp;directAccess=false</t>
  </si>
  <si>
    <t>강쥐</t>
  </si>
  <si>
    <t>잡탕일상</t>
  </si>
  <si>
    <t>https://blog.naver.com/PostView.naver?blogId=cll990814&amp;logNo=223907019627&amp;redirect=Dlog&amp;widgetTypeCall=true&amp;directAccess=false</t>
  </si>
  <si>
    <t>바이오</t>
  </si>
  <si>
    <t>[자막뉴스] 전 세계가 두려워하는 모사드까지 '타격'...이란의 가짜뉴스? / YTN</t>
  </si>
  <si>
    <t>https://blog.naver.com/PostView.naver?blogId=biotechcamteo&amp;logNo=223903830432&amp;redirect=Dlog&amp;widgetTypeCall=true&amp;directAccess=false</t>
  </si>
  <si>
    <t>무지개를만난파랑새</t>
  </si>
  <si>
    <t>토닥토닥</t>
  </si>
  <si>
    <t>https://blog.naver.com/PostView.naver?blogId=bonami514&amp;logNo=223906730503&amp;redirect=Dlog&amp;widgetTypeCall=true&amp;directAccess=false</t>
  </si>
  <si>
    <t>열정릴리</t>
  </si>
  <si>
    <t>이 책은 돈에 관한 동기부여 이야기</t>
  </si>
  <si>
    <t>https://blog.naver.com/PostView.naver?blogId=zxy0204&amp;logNo=223906666037&amp;redirect=Dlog&amp;widgetTypeCall=true&amp;directAccess=false</t>
  </si>
  <si>
    <t>찡찡사랑</t>
  </si>
  <si>
    <t>250621  달러가 힘이 없다.. 추경과 우리나라 국채 금리.. 결국 성장이 키</t>
  </si>
  <si>
    <t>https://blog.naver.com/PostView.naver?blogId=gomngoms&amp;logNo=223906655145&amp;redirect=Dlog&amp;widgetTypeCall=true&amp;directAccess=false</t>
  </si>
  <si>
    <t>Success Driver</t>
  </si>
  <si>
    <t>하지(夏至): 한 해 중 가장 긴 낮과 우리 조상들의 지혜</t>
  </si>
  <si>
    <t>https://blog.naver.com/PostView.naver?blogId=jonghyunc&amp;logNo=223906646281&amp;redirect=Dlog&amp;widgetTypeCall=true&amp;directAccess=false</t>
  </si>
  <si>
    <t>**중국이 이란에 무기를 지원하는 이유와  이란-이스라엘 전쟁…3가지 시각으로 본 현황</t>
  </si>
  <si>
    <t>https://blog.naver.com/PostView.naver?blogId=cscg6472&amp;logNo=223906613023&amp;redirect=Dlog&amp;widgetTypeCall=true&amp;directAccess=false</t>
  </si>
  <si>
    <t>2025-06-20 금요일 23:34 헤드라인 뉴스</t>
  </si>
  <si>
    <t>https://blog.naver.com/PostView.naver?blogId=artemis_2016&amp;logNo=223906358378&amp;redirect=Dlog&amp;widgetTypeCall=true&amp;directAccess=false</t>
  </si>
  <si>
    <t>열린공감TV ~ 정치 돋보기님의 오늘자 이재명, 윤석열 소식. 이재명 대통령을 흔드는자들이 ‘밀정’이다. 이재명이 초등학생에게 민주주의를 가르치는 법</t>
  </si>
  <si>
    <t>https://blog.naver.com/PostView.naver?blogId=wishut3281&amp;logNo=223906272039&amp;redirect=Dlog&amp;widgetTypeCall=true&amp;directAccess=false</t>
  </si>
  <si>
    <t>우리</t>
  </si>
  <si>
    <t>YTN 브랜드 TMI - 시몬스침대 프리미엄 침대 기준을 정의하다 편</t>
  </si>
  <si>
    <t>https://blog.naver.com/PostView.naver?blogId=inly15&amp;logNo=223906179737&amp;redirect=Dlog&amp;widgetTypeCall=true&amp;directAccess=false</t>
  </si>
  <si>
    <t>진실을 찾아서</t>
  </si>
  <si>
    <t>YTN 나온 강남 신천지, 통일교 문제점</t>
  </si>
  <si>
    <t>https://blog.naver.com/PostView.naver?blogId=thelovedman&amp;logNo=223906157436&amp;redirect=Dlog&amp;widgetTypeCall=true&amp;directAccess=false</t>
  </si>
  <si>
    <t>TAMSA JOURNAL</t>
  </si>
  <si>
    <t>초유의 '후보 교체 사태' 누구 말이 맞나</t>
  </si>
  <si>
    <t>https://blog.naver.com/PostView.naver?blogId=tamsaj&amp;logNo=223905803976&amp;redirect=Dlog&amp;widgetTypeCall=true&amp;directAccess=false</t>
  </si>
  <si>
    <t>빌사부</t>
  </si>
  <si>
    <t>경읽남' 경제 읽어주는 남자, 김광석 교수 대구 강연</t>
  </si>
  <si>
    <t>https://blog.naver.com/PostView.naver?blogId=bilsabu&amp;logNo=223905533273&amp;redirect=Dlog&amp;widgetTypeCall=true&amp;directAccess=false</t>
  </si>
  <si>
    <t>(YTN 사이언스) 한, 국제핵융합실험로에 전원공급장치 추가 조달</t>
  </si>
  <si>
    <t>https://blog.naver.com/PostView.naver?blogId=fagasari&amp;logNo=223905385252&amp;redirect=Dlog&amp;widgetTypeCall=true&amp;directAccess=false</t>
  </si>
  <si>
    <t>세미JJ</t>
  </si>
  <si>
    <t>경제 주요 뉴스(2025년6월20일)</t>
  </si>
  <si>
    <t>https://blog.naver.com/PostView.naver?blogId=jeanjongkim&amp;logNo=223905403997&amp;redirect=Dlog&amp;widgetTypeCall=true&amp;directAccess=false</t>
  </si>
  <si>
    <t>일본의 7월 대지진 대재앙, 홋카이도 해역 규모 6 지진.</t>
  </si>
  <si>
    <t>https://blog.naver.com/PostView.naver?blogId=zeenokim&amp;logNo=223905400991&amp;redirect=Dlog&amp;widgetTypeCall=true&amp;directAccess=false</t>
  </si>
  <si>
    <t>2025년 6월 20일 해외시황(미국 준틴스데이로 휴장.유럽 중동불확실성으로 하락.2주이내 미국 이란공격할수도,인플레이션 우려 금리인하연기등 증시에는 악재.FOMC회의는 무난한편)</t>
  </si>
  <si>
    <t>https://blog.naver.com/PostView.naver?blogId=silluel&amp;logNo=223905384483&amp;redirect=Dlog&amp;widgetTypeCall=true&amp;directAccess=false</t>
  </si>
  <si>
    <t>2025년 6월 20일(금) 주요 뉴스 요약 정리 (뉴스 클리핑/뉴스 브리핑)</t>
  </si>
  <si>
    <t>https://blog.naver.com/PostView.naver?blogId=hope4life&amp;logNo=223898768080&amp;redirect=Dlog&amp;widgetTypeCall=true&amp;directAccess=false</t>
  </si>
  <si>
    <t>스까이</t>
  </si>
  <si>
    <t>해병대·주방위군 추가 배치...LA 시위 충돌 우려</t>
  </si>
  <si>
    <t>https://blog.naver.com/PostView.naver?blogId=skyyppuckio9&amp;logNo=223896215822&amp;redirect=Dlog&amp;widgetTypeCall=true&amp;directAccess=false</t>
  </si>
  <si>
    <t>기타블라썸</t>
  </si>
  <si>
    <t>뉴진스 독자 활동 금지 가처분 신청 인용(2심)／낳아준 엄마와 키워준 엄마</t>
  </si>
  <si>
    <t>https://blog.naver.com/PostView.naver?blogId=fendee&amp;logNo=223905333086&amp;redirect=Dlog&amp;widgetTypeCall=true&amp;directAccess=false</t>
  </si>
  <si>
    <t>YTN 자막 오보</t>
  </si>
  <si>
    <t>https://blog.naver.com/PostView.naver?blogId=kyh070181&amp;logNo=223905132029&amp;redirect=Dlog&amp;widgetTypeCall=true&amp;directAccess=false</t>
  </si>
  <si>
    <t>2025-06-19 목요일 21:39 헤드라인 뉴스</t>
  </si>
  <si>
    <t>https://blog.naver.com/PostView.naver?blogId=artemis_2016&amp;logNo=223905100964&amp;redirect=Dlog&amp;widgetTypeCall=true&amp;directAccess=false</t>
  </si>
  <si>
    <t>봉효</t>
  </si>
  <si>
    <t>레거시 언론의 상황</t>
  </si>
  <si>
    <t>https://blog.naver.com/PostView.naver?blogId=everything2023&amp;logNo=223904746552&amp;redirect=Dlog&amp;widgetTypeCall=true&amp;directAccess=false</t>
  </si>
  <si>
    <t>역대급 외교 참사를 일으키고 돌아왔다. 눈빛도 안좋다. 누구하나 드럼통에 갈거같다. 와 진짜 이정도로 전세계에서 패싱당할줄 몰랐나? 등신새끼 내려와라.</t>
  </si>
  <si>
    <t>https://blog.naver.com/PostView.naver?blogId=hwebs&amp;logNo=223904880569&amp;redirect=Dlog&amp;widgetTypeCall=true&amp;directAccess=false</t>
  </si>
  <si>
    <t>YTN 여전히 윤석열만 대통령으로</t>
  </si>
  <si>
    <t>https://blog.naver.com/PostView.naver?blogId=mrsanahi&amp;logNo=223904863636&amp;redirect=Dlog&amp;widgetTypeCall=true&amp;directAccess=false</t>
  </si>
  <si>
    <t>핫톡</t>
  </si>
  <si>
    <t>peach ice tea</t>
  </si>
  <si>
    <t>케이블카 타고 서울N타워 가기</t>
  </si>
  <si>
    <t>https://blog.naver.com/PostView.naver?blogId=supia0701&amp;logNo=223904755259&amp;redirect=Dlog&amp;widgetTypeCall=true&amp;directAccess=false</t>
  </si>
  <si>
    <t>김건</t>
  </si>
  <si>
    <t>6년 9개월 만에 최대 상승한 서울</t>
  </si>
  <si>
    <t>https://blog.naver.com/PostView.naver?blogId=rlarjs63&amp;logNo=223904725786&amp;redirect=Dlog&amp;widgetTypeCall=true&amp;directAccess=false</t>
  </si>
  <si>
    <t>메타트론</t>
  </si>
  <si>
    <t>석열아...</t>
  </si>
  <si>
    <t>https://blog.naver.com/PostView.naver?blogId=breakgunner&amp;logNo=223904648694&amp;redirect=Dlog&amp;widgetTypeCall=true&amp;directAccess=false</t>
  </si>
  <si>
    <t>슬로우</t>
  </si>
  <si>
    <t>"수천 명 미국인 사망했었다"...한계 온 트럼프, 최후의 결단?...이란 전쟁에 미국이 직접 개입하는 순간 이 전쟁은 미국의 무덤이 될 것이다.</t>
  </si>
  <si>
    <t>https://blog.naver.com/PostView.naver?blogId=croaton6219&amp;logNo=223904378160&amp;redirect=Dlog&amp;widgetTypeCall=true&amp;directAccess=false</t>
  </si>
  <si>
    <t>AI가 정리한 6월 19일 국내·외 주요 뉴스</t>
  </si>
  <si>
    <t>https://blog.naver.com/PostView.naver?blogId=ksahn1960&amp;logNo=223904330912&amp;redirect=Dlog&amp;widgetTypeCall=true&amp;directAccess=false</t>
  </si>
  <si>
    <t>버들빛</t>
  </si>
  <si>
    <t>보이스피싱, 로맨스 스캠, 한국은 사기꾼 천국</t>
  </si>
  <si>
    <t>https://blog.naver.com/PostView.naver?blogId=rhyu&amp;logNo=223904310870&amp;redirect=Dlog&amp;widgetTypeCall=true&amp;directAccess=false</t>
  </si>
  <si>
    <t>비자 재개 및 SNS 검열: 미국의 새로운 외국인 학생 비자 정책</t>
  </si>
  <si>
    <t>https://blog.naver.com/PostView.naver?blogId=dbghwns2&amp;logNo=223904286029&amp;redirect=Dlog&amp;widgetTypeCall=true&amp;directAccess=false</t>
  </si>
  <si>
    <t>[자막뉴스] 이 대통령이 다시 꺼냈다...해병대, 52년 만에 열망 이루나 / YTN</t>
  </si>
  <si>
    <t>https://blog.naver.com/PostView.naver?blogId=steelyeyed&amp;logNo=223904236651&amp;redirect=Dlog&amp;widgetTypeCall=true&amp;directAccess=false</t>
  </si>
  <si>
    <t>6. 19(목) 경찰관련기사</t>
  </si>
  <si>
    <t>https://blog.naver.com/PostView.naver?blogId=tobiaspia&amp;logNo=223904231739&amp;redirect=Dlog&amp;widgetTypeCall=true&amp;directAccess=false</t>
  </si>
  <si>
    <t>리치안나</t>
  </si>
  <si>
    <t>상암 월드컵타운 입지분석 임장경로</t>
  </si>
  <si>
    <t>https://blog.naver.com/PostView.naver?blogId=routinefairy&amp;logNo=223904074401&amp;redirect=Dlog&amp;widgetTypeCall=true&amp;directAccess=false</t>
  </si>
  <si>
    <t>25.6.19.(목) 경찰 관련 기사 스크린</t>
  </si>
  <si>
    <t>https://blog.naver.com/PostView.naver?blogId=bugook789&amp;logNo=223904213565&amp;redirect=Dlog&amp;widgetTypeCall=true&amp;directAccess=false</t>
  </si>
  <si>
    <t>hyezeeisday</t>
  </si>
  <si>
    <t>[2025서울국제도서전] 첫 날 오픈런 후기 및 팁</t>
  </si>
  <si>
    <t>https://blog.naver.com/PostView.naver?blogId=susuhaja&amp;logNo=223904130216&amp;redirect=Dlog&amp;widgetTypeCall=true&amp;directAccess=false</t>
  </si>
  <si>
    <t>중동 긴장 최고조…3차 대전 핵 전쟁, 진짜 일어날 수 있는지 다 따져본다</t>
  </si>
  <si>
    <t>https://blog.naver.com/PostView.naver?blogId=cscg6472&amp;logNo=223904200191&amp;redirect=Dlog&amp;widgetTypeCall=true&amp;directAccess=false</t>
  </si>
  <si>
    <t>2025년 6월 19일(목) 주요 뉴스 요약 정리 (뉴스 클리핑/뉴스 브리핑)</t>
  </si>
  <si>
    <t>https://blog.naver.com/PostView.naver?blogId=hope4life&amp;logNo=223898768231&amp;redirect=Dlog&amp;widgetTypeCall=true&amp;directAccess=false</t>
  </si>
  <si>
    <t>뷰리걸</t>
  </si>
  <si>
    <t>남의 나라 전쟁 구경?'...전 세계 분노 일으킨 파티 영상 [지금이뉴스] / YTN</t>
  </si>
  <si>
    <t>https://blog.naver.com/PostView.naver?blogId=jimodimoliday&amp;logNo=223904163952&amp;redirect=Dlog&amp;widgetTypeCall=true&amp;directAccess=false</t>
  </si>
  <si>
    <t>Grace</t>
  </si>
  <si>
    <t>빵을 위해 죽다</t>
  </si>
  <si>
    <t>https://blog.naver.com/PostView.naver?blogId=trip_&amp;logNo=223904087325&amp;redirect=Dlog&amp;widgetTypeCall=true&amp;directAccess=false</t>
  </si>
  <si>
    <t>오늘 하루 일과, 나의 발걸음 기록하며 선택해야한다.</t>
  </si>
  <si>
    <t>https://blog.naver.com/PostView.naver?blogId=attractivehe&amp;logNo=223904084028&amp;redirect=Dlog&amp;widgetTypeCall=true&amp;directAccess=false</t>
  </si>
  <si>
    <t>긍정자산가 박지영</t>
  </si>
  <si>
    <t>2025-06-18 수요일 21:29 헤드라인 뉴스</t>
  </si>
  <si>
    <t>https://blog.naver.com/PostView.naver?blogId=artemis_2016&amp;logNo=223903901084&amp;redirect=Dlog&amp;widgetTypeCall=true&amp;directAccess=false</t>
  </si>
  <si>
    <t>이-이전쟁은 영화 '탑건:매버릭'의 현실판일까?</t>
  </si>
  <si>
    <t>https://blog.naver.com/PostView.naver?blogId=ksahn1960&amp;logNo=223903865718&amp;redirect=Dlog&amp;widgetTypeCall=true&amp;directAccess=false</t>
  </si>
  <si>
    <t>다리오75</t>
  </si>
  <si>
    <t>윤석열 정권의 하수인 언론사 조사및 위법사항 처벌 필수</t>
  </si>
  <si>
    <t>https://blog.naver.com/PostView.naver?blogId=dario75&amp;logNo=223903859622&amp;redirect=Dlog&amp;widgetTypeCall=true&amp;directAccess=false</t>
  </si>
  <si>
    <t>바비붐</t>
  </si>
  <si>
    <t>2025플레이X4</t>
  </si>
  <si>
    <t>https://blog.naver.com/PostView.naver?blogId=shlhiphop&amp;logNo=223903787677&amp;redirect=Dlog&amp;widgetTypeCall=true&amp;directAccess=false</t>
  </si>
  <si>
    <t>인포스탁데일리</t>
  </si>
  <si>
    <t>[0618마감체크] 중동 불안 속 코스피 상승 마감… AI·에너지株 강세</t>
  </si>
  <si>
    <t>https://blog.naver.com/PostView.naver?blogId=infostock2018&amp;logNo=223903646608&amp;redirect=Dlog&amp;widgetTypeCall=true&amp;directAccess=false</t>
  </si>
  <si>
    <t>[스크랩] 😤 막장 드라마 😤</t>
  </si>
  <si>
    <t>https://blog.naver.com/PostView.naver?blogId=westy2024&amp;logNo=223903633520&amp;redirect=Dlog&amp;widgetTypeCall=true&amp;directAccess=false</t>
  </si>
  <si>
    <t>티나 K</t>
  </si>
  <si>
    <t>계염과 조기대선의 원횽 한동훈, 다시 당대표 출마?!</t>
  </si>
  <si>
    <t>https://blog.naver.com/PostView.naver?blogId=kheso98&amp;logNo=223903256741&amp;redirect=Dlog&amp;widgetTypeCall=true&amp;directAccess=false</t>
  </si>
  <si>
    <t>hi하약</t>
  </si>
  <si>
    <t>[서울강동]올림픽파크포레온 근처 맛집 동북양꼬치 성내본점</t>
  </si>
  <si>
    <t>https://blog.naver.com/PostView.naver?blogId=modunara1&amp;logNo=223903228363&amp;redirect=Dlog&amp;widgetTypeCall=true&amp;directAccess=false</t>
  </si>
  <si>
    <t>Merry</t>
  </si>
  <si>
    <t>신문기사요약 2025-6-18</t>
  </si>
  <si>
    <t>https://blog.naver.com/PostView.naver?blogId=thekal20331&amp;logNo=223903220839&amp;redirect=Dlog&amp;widgetTypeCall=true&amp;directAccess=false</t>
  </si>
  <si>
    <t>먹고보며단상논평</t>
  </si>
  <si>
    <t>[논단]복권 수익으로 언론사를 장악하다 – YTN 민영화, 마사회지분 매입한  유진그룹의 로또수익 자금</t>
  </si>
  <si>
    <t>https://blog.naver.com/PostView.naver?blogId=jk1280jk&amp;logNo=223903155858&amp;redirect=Dlog&amp;widgetTypeCall=true&amp;directAccess=false</t>
  </si>
  <si>
    <t>"먹으면 칼로리 삭제? 속지 마세요"...'라방' 부당광고 무더기 적발</t>
  </si>
  <si>
    <t>https://blog.naver.com/PostView.naver?blogId=dbtjwns92&amp;logNo=223903151425&amp;redirect=Dlog&amp;widgetTypeCall=true&amp;directAccess=false</t>
  </si>
  <si>
    <t>윤석열 정권 하에서 방통위의 파행의 연대기</t>
  </si>
  <si>
    <t>https://blog.naver.com/PostView.naver?blogId=simula&amp;logNo=223903071659&amp;redirect=Dlog&amp;widgetTypeCall=true&amp;directAccess=false</t>
  </si>
  <si>
    <t>진짜최고야</t>
  </si>
  <si>
    <t>임영웅 섬마을 히어로</t>
  </si>
  <si>
    <t>https://blog.naver.com/PostView.naver?blogId=lmh5726&amp;logNo=223903003087&amp;redirect=Dlog&amp;widgetTypeCall=true&amp;directAccess=false</t>
  </si>
  <si>
    <t>쉰둥이</t>
  </si>
  <si>
    <t>임영웅 예능: 섬마을 히어로 SBS와 예능 준비 중…하반기 출격 예정</t>
  </si>
  <si>
    <t>https://blog.naver.com/PostView.naver?blogId=gyoohwan28&amp;logNo=223902991318&amp;redirect=Dlog&amp;widgetTypeCall=true&amp;directAccess=false</t>
  </si>
  <si>
    <t>2025년 6월 18일(수) 주요 뉴스 요약 정리 (뉴스 클리핑/뉴스 브리핑)</t>
  </si>
  <si>
    <t>https://blog.naver.com/PostView.naver?blogId=hope4life&amp;logNo=223898768360&amp;redirect=Dlog&amp;widgetTypeCall=true&amp;directAccess=false</t>
  </si>
  <si>
    <t>임영웅, 하반기에 휘몰아친다 ‘정규 2집 컴백+리얼리티 예능까지’</t>
  </si>
  <si>
    <t>https://blog.naver.com/PostView.naver?blogId=chosoojung121877&amp;logNo=223902830249&amp;redirect=Dlog&amp;widgetTypeCall=true&amp;directAccess=false</t>
  </si>
  <si>
    <t>쭈야님</t>
  </si>
  <si>
    <t>[단독] 임영웅, 새 예능 '섬마을 히어로' 출연 확정</t>
  </si>
  <si>
    <t>https://blog.naver.com/PostView.naver?blogId=tcmj1972&amp;logNo=223902752487&amp;redirect=Dlog&amp;widgetTypeCall=true&amp;directAccess=false</t>
  </si>
  <si>
    <t>2025-06-17 화요일 22:21 헤드라인 뉴스</t>
  </si>
  <si>
    <t>https://blog.naver.com/PostView.naver?blogId=artemis_2016&amp;logNo=223902713493&amp;redirect=Dlog&amp;widgetTypeCall=true&amp;directAccess=false</t>
  </si>
  <si>
    <t>찜수비</t>
  </si>
  <si>
    <t>임영웅 하반기 새 예능 '섬마을 히어로' 출연 확정🎊</t>
  </si>
  <si>
    <t>https://blog.naver.com/PostView.naver?blogId=suk7626&amp;logNo=223902634973&amp;redirect=Dlog&amp;widgetTypeCall=true&amp;directAccess=false</t>
  </si>
  <si>
    <t>마 리</t>
  </si>
  <si>
    <t>김건희 여사, 우울증으로 입원…과호흡 증상도</t>
  </si>
  <si>
    <t>https://blog.naver.com/PostView.naver?blogId=klp654&amp;logNo=223902460848&amp;redirect=Dlog&amp;widgetTypeCall=true&amp;directAccess=false</t>
  </si>
  <si>
    <t>향단e</t>
  </si>
  <si>
    <t>김건희 여사 ‘극심한 우울증’ 입원 사건</t>
  </si>
  <si>
    <t>https://blog.naver.com/PostView.naver?blogId=hyangdan2_&amp;logNo=223902315917&amp;redirect=Dlog&amp;widgetTypeCall=true&amp;directAccess=false</t>
  </si>
  <si>
    <t>장성철, '친윤' 원대 선출에 "'영남 동굴' 들어갔다…'윤어게인' 공격받아도 할말없어"</t>
  </si>
  <si>
    <t>https://blog.naver.com/PostView.naver?blogId=eremoval&amp;logNo=223902129653&amp;redirect=Dlog&amp;widgetTypeCall=true&amp;directAccess=false</t>
  </si>
  <si>
    <t>권쌤 gwonssam616</t>
  </si>
  <si>
    <t>임영웅, 새 예능 '섬마을 히어로' 출연 확정</t>
  </si>
  <si>
    <t>https://blog.naver.com/PostView.naver?blogId=kweons2&amp;logNo=223902092301&amp;redirect=Dlog&amp;widgetTypeCall=true&amp;directAccess=false</t>
  </si>
  <si>
    <t>절차탁마</t>
  </si>
  <si>
    <t>김건희윤석열 악습에 국민은 모멸감을 받고 검찰-사법부-수구기득권 엘리트집단의 사악함과 부정을 밑바닥까지 알다</t>
  </si>
  <si>
    <t>https://blog.naver.com/PostView.naver?blogId=footballnstory&amp;logNo=223901997121&amp;redirect=Dlog&amp;widgetTypeCall=true&amp;directAccess=false</t>
  </si>
  <si>
    <t>G7 정상회의 참석 중이던 트럼프 이스라엘 이란 충돌 조기 귀국</t>
  </si>
  <si>
    <t>https://blog.naver.com/PostView.naver?blogId=stella5092&amp;logNo=223901973339&amp;redirect=Dlog&amp;widgetTypeCall=true&amp;directAccess=false</t>
  </si>
  <si>
    <t>이것이 대한민국 해군의 임무다.한국 해군 "독도 해역에 해상 군사 기지화 건설"</t>
  </si>
  <si>
    <t>https://blog.naver.com/PostView.naver?blogId=kys55-&amp;logNo=223901870616&amp;redirect=Dlog&amp;widgetTypeCall=true&amp;directAccess=false</t>
  </si>
  <si>
    <t>2025년 6월 17일(화) 주요 뉴스 요약 정리 (뉴스 클리핑/뉴스 브리핑)</t>
  </si>
  <si>
    <t>https://blog.naver.com/PostView.naver?blogId=hope4life&amp;logNo=223898768469&amp;redirect=Dlog&amp;widgetTypeCall=true&amp;directAccess=false</t>
  </si>
  <si>
    <t>이재명 정부의 국방부장관 후보 중 한명인 김병주 의원 프로필(육사 40기, 포병 대장 출신, 전 한미연합사 부사령관, 손자병법의 대가)</t>
  </si>
  <si>
    <t>https://blog.naver.com/PostView.naver?blogId=gs2304&amp;logNo=223901571325&amp;redirect=Dlog&amp;widgetTypeCall=true&amp;directAccess=false</t>
  </si>
  <si>
    <t>관찰자</t>
  </si>
  <si>
    <t>2025년 국민의힘 원내대표 송언석</t>
  </si>
  <si>
    <t>https://blog.naver.com/PostView.naver?blogId=yuriin13&amp;logNo=223901551979&amp;redirect=Dlog&amp;widgetTypeCall=true&amp;directAccess=false</t>
  </si>
  <si>
    <t>2025-06-16 월요일 22:00 헤드라인 뉴스</t>
  </si>
  <si>
    <t>https://blog.naver.com/PostView.naver?blogId=artemis_2016&amp;logNo=223901454204&amp;redirect=Dlog&amp;widgetTypeCall=true&amp;directAccess=false</t>
  </si>
  <si>
    <t>14mm3</t>
  </si>
  <si>
    <t>경찰, 'YTN 민영화 불법거래 의혹' 수사 착수</t>
  </si>
  <si>
    <t>https://blog.naver.com/PostView.naver?blogId=14mm3&amp;logNo=223901446732&amp;redirect=Dlog&amp;widgetTypeCall=true&amp;directAccess=false</t>
  </si>
  <si>
    <t>화순저널</t>
  </si>
  <si>
    <t>&lt;화순사람들 칼럼&gt; 빅카인즈(BIG Kinds)로 본 2025년 5월 화순 뉴스</t>
  </si>
  <si>
    <t>https://blog.naver.com/PostView.naver?blogId=hsjn2004&amp;logNo=223901309363&amp;redirect=Dlog&amp;widgetTypeCall=true&amp;directAccess=false</t>
  </si>
  <si>
    <t>김진욱 IT전문 변호사</t>
  </si>
  <si>
    <t>이런 대화 나누면 카톡 '영구 정지'…조항 두고 정치권 공방까지</t>
  </si>
  <si>
    <t>https://blog.naver.com/PostView.naver?blogId=it-is-law&amp;logNo=223901251310&amp;redirect=Dlog&amp;widgetTypeCall=true&amp;directAccess=false</t>
  </si>
  <si>
    <t>이란은 아직 최신 무기를 사용하지도 않았다</t>
  </si>
  <si>
    <t>https://blog.naver.com/PostView.naver?blogId=pulenamu&amp;logNo=223901242891&amp;redirect=Dlog&amp;widgetTypeCall=true&amp;directAccess=false</t>
  </si>
  <si>
    <t>🩷0616 월18 튜브뉴스 🟩제목으로 간추린 저녁 유튜브 뉴스</t>
  </si>
  <si>
    <t>https://blog.naver.com/PostView.naver?blogId=gusteam&amp;logNo=223901241425&amp;redirect=Dlog&amp;widgetTypeCall=true&amp;directAccess=false</t>
  </si>
  <si>
    <t>journey walker</t>
  </si>
  <si>
    <t>예스24 보안사고 랜섬웨어</t>
  </si>
  <si>
    <t>https://blog.naver.com/PostView.naver?blogId=journey_walker&amp;logNo=223901164346&amp;redirect=Dlog&amp;widgetTypeCall=true&amp;directAccess=false</t>
  </si>
  <si>
    <t>승아</t>
  </si>
  <si>
    <t>5월</t>
  </si>
  <si>
    <t>https://blog.naver.com/PostView.naver?blogId=kimseungah_&amp;logNo=223901038458&amp;redirect=Dlog&amp;widgetTypeCall=true&amp;directAccess=false</t>
  </si>
  <si>
    <t>라스티</t>
  </si>
  <si>
    <t>[시장을 이기는 부동산 투자 원칙] 폭등 시그널 속에서 포착한 상급지 매수 타이밍 - by 윌라오디오북</t>
  </si>
  <si>
    <t>https://blog.naver.com/PostView.naver?blogId=hdhdd&amp;logNo=223868506734&amp;redirect=Dlog&amp;widgetTypeCall=true&amp;directAccess=false</t>
  </si>
  <si>
    <t>로컬변경 허큘리스</t>
  </si>
  <si>
    <t>■월 7900원에 티빙·웨이브 OTT 둘 다 본다■</t>
  </si>
  <si>
    <t>https://blog.naver.com/PostView.naver?blogId=hdtrand&amp;logNo=223900677206&amp;redirect=Dlog&amp;widgetTypeCall=true&amp;directAccess=false</t>
  </si>
  <si>
    <t>2025년 6월 16일(월) 주요 뉴스 요약 정리 (뉴스 클리핑/뉴스 브리핑)</t>
  </si>
  <si>
    <t>https://blog.naver.com/PostView.naver?blogId=hope4life&amp;logNo=223898768546&amp;redirect=Dlog&amp;widgetTypeCall=true&amp;directAccess=false</t>
  </si>
  <si>
    <t>수급하오</t>
  </si>
  <si>
    <t>6월 16일 매매전략</t>
  </si>
  <si>
    <t>https://blog.naver.com/PostView.naver?blogId=rlaehdals6&amp;logNo=223900496411&amp;redirect=Dlog&amp;widgetTypeCall=true&amp;directAccess=false</t>
  </si>
  <si>
    <t>세계일보</t>
  </si>
  <si>
    <t>Eobu</t>
  </si>
  <si>
    <t>[Gemini 딥리서치]sk이노베이션 급등 분석</t>
  </si>
  <si>
    <t>https://blog.naver.com/PostView.naver?blogId=ift86&amp;logNo=223917171088&amp;redirect=Dlog&amp;widgetTypeCall=true&amp;directAccess=false</t>
  </si>
  <si>
    <t>블루</t>
  </si>
  <si>
    <t>[공유] 조직관리 능력 탁월, 수도권 역량 결집 '특명' / 18대 의정활동 두각… 국감 우수의원 선정도민주당은 19대 총선 승리를 위해서는 동대문갑의 당 조직 재건이 급선무라</t>
  </si>
  <si>
    <t>https://blog.naver.com/PostView.naver?blogId=newkwk&amp;logNo=223916705764&amp;redirect=Dlog&amp;widgetTypeCall=true&amp;directAccess=false</t>
  </si>
  <si>
    <t>혜연</t>
  </si>
  <si>
    <t>[단독] 나라 살림도 1300조 빚더미 내년 GDP 대비 50%넘는다</t>
  </si>
  <si>
    <t>https://blog.naver.com/PostView.naver?blogId=vhzktm12&amp;logNo=223916687991&amp;redirect=Dlog&amp;widgetTypeCall=true&amp;directAccess=false</t>
  </si>
  <si>
    <t>윤석열 전 대통령, 특검 조사서 신문 거부…향후 구속영장 대비?</t>
  </si>
  <si>
    <t>https://blog.naver.com/PostView.naver?blogId=underwind-&amp;logNo=223916250819&amp;redirect=Dlog&amp;widgetTypeCall=true&amp;directAccess=false</t>
  </si>
  <si>
    <t>[장전뉴스] 6월 30일(월) 증시 주요 뉴스</t>
  </si>
  <si>
    <t>https://blog.naver.com/PostView.naver?blogId=hbjeon9390&amp;logNo=223916189546&amp;redirect=Dlog&amp;widgetTypeCall=true&amp;directAccess=false</t>
  </si>
  <si>
    <t>문화신문 아트인뱅크</t>
  </si>
  <si>
    <t>송지원 바이올린 독주회가 예술의전당 리사이틀홀에서 열린다.</t>
  </si>
  <si>
    <t>https://blog.naver.com/PostView.naver?blogId=hohoart&amp;logNo=223916065807&amp;redirect=Dlog&amp;widgetTypeCall=true&amp;directAccess=false</t>
  </si>
  <si>
    <t>메이드</t>
  </si>
  <si>
    <t>2025 대구치맥페스티벌 7/2~7/6</t>
  </si>
  <si>
    <t>https://blog.naver.com/PostView.naver?blogId=lejj0729&amp;logNo=223915823066&amp;redirect=Dlog&amp;widgetTypeCall=true&amp;directAccess=false</t>
  </si>
  <si>
    <t>개미 순매수 1위가 곱버스? 外 [250629 KBS 머니올라]</t>
  </si>
  <si>
    <t>https://blog.naver.com/PostView.naver?blogId=pick_me_kab&amp;logNo=223915751546&amp;redirect=Dlog&amp;widgetTypeCall=true&amp;directAccess=false</t>
  </si>
  <si>
    <t>달달구리</t>
  </si>
  <si>
    <t>성장 동력을 잃어가는 나라</t>
  </si>
  <si>
    <t>https://blog.naver.com/PostView.naver?blogId=lifelikeapicnic&amp;logNo=223915707098&amp;redirect=Dlog&amp;widgetTypeCall=true&amp;directAccess=false</t>
  </si>
  <si>
    <t>bakmulgan</t>
  </si>
  <si>
    <t>“이렇게만 걸으면 10년 젊어진다”…연구로 입증된 ‘걷기법’ 정체는?</t>
  </si>
  <si>
    <t>https://blog.naver.com/PostView.naver?blogId=etisot&amp;logNo=223915236795&amp;redirect=Dlog&amp;widgetTypeCall=true&amp;directAccess=false</t>
  </si>
  <si>
    <t>이양꼬</t>
  </si>
  <si>
    <t>[세계일보] 성리가 DJ로...BTN라디오 '울림'</t>
  </si>
  <si>
    <t>https://blog.naver.com/PostView.naver?blogId=seongri0406&amp;logNo=223914033920&amp;redirect=Dlog&amp;widgetTypeCall=true&amp;directAccess=false</t>
  </si>
  <si>
    <t>은행연구가</t>
  </si>
  <si>
    <t>항생제가 듣지 않는 '이 병' ... 지난해 수백 명 목숨 앗아갔다. 세계일보</t>
  </si>
  <si>
    <t>https://blog.naver.com/PostView.naver?blogId=yhj7819&amp;logNo=223913370268&amp;redirect=Dlog&amp;widgetTypeCall=true&amp;directAccess=false</t>
  </si>
  <si>
    <t>2025년 6월 27일 (금) 매일경제</t>
  </si>
  <si>
    <t>https://blog.naver.com/PostView.naver?blogId=theblock101&amp;logNo=223913253357&amp;redirect=Dlog&amp;widgetTypeCall=true&amp;directAccess=false</t>
  </si>
  <si>
    <t>기기</t>
  </si>
  <si>
    <t>낚시에 또 걸렸다.세계일보도 낚시질을 하는구나.</t>
  </si>
  <si>
    <t>https://blog.naver.com/PostView.naver?blogId=foryoutoyoy&amp;logNo=223913150074&amp;redirect=Dlog&amp;widgetTypeCall=true&amp;directAccess=false</t>
  </si>
  <si>
    <t>"여드름 아니었다"... 은밀한 부위에 자꾸 나는 '이 병' 세계일보</t>
  </si>
  <si>
    <t>https://blog.naver.com/PostView.naver?blogId=mp15065&amp;logNo=223912130136&amp;redirect=Dlog&amp;widgetTypeCall=true&amp;directAccess=false</t>
  </si>
  <si>
    <t>2025년 6월 26일 (목) 세계일보</t>
  </si>
  <si>
    <t>https://blog.naver.com/PostView.naver?blogId=theblock101&amp;logNo=223912059517&amp;redirect=Dlog&amp;widgetTypeCall=true&amp;directAccess=false</t>
  </si>
  <si>
    <t>주식불사조</t>
  </si>
  <si>
    <t>2025년 6월 26일 (목) 모닝브리핑  (마이크론실적  엔비디아 시총 1 위   한화오션</t>
  </si>
  <si>
    <t>https://blog.naver.com/PostView.naver?blogId=fullmoon2050&amp;logNo=223912058837&amp;redirect=Dlog&amp;widgetTypeCall=true&amp;directAccess=false</t>
  </si>
  <si>
    <t>산 채로 네 발 잘리고, 맞아 죽어도… “돈이면 다 됩니까?”</t>
  </si>
  <si>
    <t>https://blog.naver.com/PostView.naver?blogId=yfish66&amp;logNo=223911993782&amp;redirect=Dlog&amp;widgetTypeCall=true&amp;directAccess=false</t>
  </si>
  <si>
    <t>맘스커리어</t>
  </si>
  <si>
    <t>“지원금보다 중요한 것... 아이 낳고 살 수 있는 지역 만들기”</t>
  </si>
  <si>
    <t>https://blog.naver.com/PostView.naver?blogId=momscareer&amp;logNo=223911488574&amp;redirect=Dlog&amp;widgetTypeCall=true&amp;directAccess=false</t>
  </si>
  <si>
    <t>"나만 몰랐나?"... 매일 먹던 '이것' 내 몸을 망치고 있었다 세계일보</t>
  </si>
  <si>
    <t>https://blog.naver.com/PostView.naver?blogId=mp15065&amp;logNo=223909616649&amp;redirect=Dlog&amp;widgetTypeCall=true&amp;directAccess=false</t>
  </si>
  <si>
    <t>2025년 6월 24일 초록의 사용법</t>
  </si>
  <si>
    <t>https://blog.naver.com/PostView.naver?blogId=yes48105&amp;logNo=223909545452&amp;redirect=Dlog&amp;widgetTypeCall=true&amp;directAccess=false</t>
  </si>
  <si>
    <t>[6월 경제스터디 16일차] 미국주식에 대하여 (나스닥, S&amp;P500, 다우)</t>
  </si>
  <si>
    <t>https://blog.naver.com/PostView.naver?blogId=lovemin2929&amp;logNo=223908740162&amp;redirect=Dlog&amp;widgetTypeCall=true&amp;directAccess=false</t>
  </si>
  <si>
    <t>9302lim</t>
  </si>
  <si>
    <t>주술</t>
  </si>
  <si>
    <t>https://blog.naver.com/PostView.naver?blogId=9302lim&amp;logNo=223908367393&amp;redirect=Dlog&amp;widgetTypeCall=true&amp;directAccess=false</t>
  </si>
  <si>
    <t>우리동네엔 NO … 성동 특수학교 신설 진통</t>
  </si>
  <si>
    <t>https://blog.naver.com/PostView.naver?blogId=printingconsultant&amp;logNo=223908278151&amp;redirect=Dlog&amp;widgetTypeCall=true&amp;directAccess=false</t>
  </si>
  <si>
    <t>미국 이란을 때린 후 무슨 일이 생길지 어떤 영향이 있을지....</t>
  </si>
  <si>
    <t>https://blog.naver.com/PostView.naver?blogId=whkim0408&amp;logNo=223907582916&amp;redirect=Dlog&amp;widgetTypeCall=true&amp;directAccess=false</t>
  </si>
  <si>
    <t>복음나라</t>
  </si>
  <si>
    <t>SK이노베이션, 이제 부터 날아갈까??</t>
  </si>
  <si>
    <t>https://blog.naver.com/PostView.naver?blogId=dthanna&amp;logNo=223907395213&amp;redirect=Dlog&amp;widgetTypeCall=true&amp;directAccess=false</t>
  </si>
  <si>
    <t>리디아의요리조리집밥</t>
  </si>
  <si>
    <t>25년 6월 21일 대부분 지역서 비 그쳐…낮 최고기온 31도 '무더위'[내일날씨]일요일인 오는 22일은 전국에 내리던 비가 대부분 그치는 가운데, 낮 기온이 30도 내외로 올라</t>
  </si>
  <si>
    <t>https://blog.naver.com/PostView.naver?blogId=bbrpuin&amp;logNo=223907266366&amp;redirect=Dlog&amp;widgetTypeCall=true&amp;directAccess=false</t>
  </si>
  <si>
    <t>이델하이드</t>
  </si>
  <si>
    <t>세계일보 전시회?!!</t>
  </si>
  <si>
    <t>https://blog.naver.com/PostView.naver?blogId=heyjin3160&amp;logNo=223906084709&amp;redirect=Dlog&amp;widgetTypeCall=true&amp;directAccess=false</t>
  </si>
  <si>
    <t>세계일보 걷기대회??!!!</t>
  </si>
  <si>
    <t>https://blog.naver.com/PostView.naver?blogId=heyjin3160&amp;logNo=223906074199&amp;redirect=Dlog&amp;widgetTypeCall=true&amp;directAccess=false</t>
  </si>
  <si>
    <t>맛있는 시간 107.(((걷기대회)))</t>
  </si>
  <si>
    <t>https://blog.naver.com/PostView.naver?blogId=heyjin3160&amp;logNo=223906060481&amp;redirect=Dlog&amp;widgetTypeCall=true&amp;directAccess=false</t>
  </si>
  <si>
    <t>[세계일보] [단독] ‘학대 피해’ 울산 태연재활원, ‘개선 명령’ 행정처분(25.06.20)</t>
  </si>
  <si>
    <t>https://blog.naver.com/PostView.naver?blogId=m2hwaseo&amp;logNo=223905777676&amp;redirect=Dlog&amp;widgetTypeCall=true&amp;directAccess=false</t>
  </si>
  <si>
    <t>장마철 침수차 걱정, 매입 안하고 환불에 피해보상까지 해주는 중고차 기업은?</t>
  </si>
  <si>
    <t>https://blog.naver.com/PostView.naver?blogId=dealer_sangho&amp;logNo=223905759252&amp;redirect=Dlog&amp;widgetTypeCall=true&amp;directAccess=false</t>
  </si>
  <si>
    <t>"건강식 상추, 대장암의 원인?"... 7년 새 10배 폭증한 '이것'세계일보</t>
  </si>
  <si>
    <t>https://blog.naver.com/PostView.naver?blogId=mp15065&amp;logNo=223905533352&amp;redirect=Dlog&amp;widgetTypeCall=true&amp;directAccess=false</t>
  </si>
  <si>
    <t>goodpowerj</t>
  </si>
  <si>
    <t>내란외환 재판  생중계 재판하라!!허준서 영장전담부장판사가  비화폰인멸 구속영장기각,내란핵심증거인멸 경호내란범구속하라 국민요구 무시하고 비화폰컴퓨터연필 싸그리인멸시킨 석방값얼마냐?</t>
  </si>
  <si>
    <t>https://blog.naver.com/PostView.naver?blogId=goodpowerj&amp;logNo=223905235319&amp;redirect=Dlog&amp;widgetTypeCall=true&amp;directAccess=false</t>
  </si>
  <si>
    <t>검붉은 구름?!!!</t>
  </si>
  <si>
    <t>https://blog.naver.com/PostView.naver?blogId=heyjin3160&amp;logNo=223904886463&amp;redirect=Dlog&amp;widgetTypeCall=true&amp;directAccess=false</t>
  </si>
  <si>
    <t>"6월 말 한국도 위험하다"... 감염병에 지난주만 40명 숨진 이 나라 세계일보</t>
  </si>
  <si>
    <t>https://blog.naver.com/PostView.naver?blogId=apfhdqkrh&amp;logNo=223904644743&amp;redirect=Dlog&amp;widgetTypeCall=true&amp;directAccess=false</t>
  </si>
  <si>
    <t>“안 먹고, 안 입고, 안 사는 이유 있었네”…韓 과일·채소·육류 가격, OECD 1.5배(참고) + [참고적인 지적]</t>
  </si>
  <si>
    <t>https://blog.naver.com/PostView.naver?blogId=kominerba&amp;logNo=223904190527&amp;redirect=Dlog&amp;widgetTypeCall=true&amp;directAccess=false</t>
  </si>
  <si>
    <t>오씨</t>
  </si>
  <si>
    <t>전국민 민생지원금 25만원 민생회복지원금 지급 얼마나 준다고?지역화폐? 차등지급 추경1.2차35조원 근접 2차는 약20조..</t>
  </si>
  <si>
    <t>https://blog.naver.com/PostView.naver?blogId=yammit&amp;logNo=223903987785&amp;redirect=Dlog&amp;widgetTypeCall=true&amp;directAccess=false</t>
  </si>
  <si>
    <t>뉴스 큐레이터</t>
  </si>
  <si>
    <t>이종석 국정원장 후보, 과태료 16번</t>
  </si>
  <si>
    <t>https://blog.naver.com/PostView.naver?blogId=meta_com&amp;logNo=223903318085&amp;redirect=Dlog&amp;widgetTypeCall=true&amp;directAccess=false</t>
  </si>
  <si>
    <t>경제 주요뉴스</t>
  </si>
  <si>
    <t>https://blog.naver.com/PostView.naver?blogId=c1c1b1b1&amp;logNo=223902917304&amp;redirect=Dlog&amp;widgetTypeCall=true&amp;directAccess=false</t>
  </si>
  <si>
    <t>참세맘</t>
  </si>
  <si>
    <t>[건강] 체리</t>
  </si>
  <si>
    <t>https://blog.naver.com/PostView.naver?blogId=ujbyun&amp;logNo=223902769841&amp;redirect=Dlog&amp;widgetTypeCall=true&amp;directAccess=false</t>
  </si>
  <si>
    <t>10원짜리 동전 발행액 역대 최저 기록</t>
  </si>
  <si>
    <t>https://blog.naver.com/PostView.naver?blogId=forever4forest&amp;logNo=223902164288&amp;redirect=Dlog&amp;widgetTypeCall=true&amp;directAccess=false</t>
  </si>
  <si>
    <t>코스맨</t>
  </si>
  <si>
    <t>울릉도 국제마라톤 하프코스 후기</t>
  </si>
  <si>
    <t>https://blog.naver.com/PostView.naver?blogId=cosman_travel&amp;logNo=223902090254&amp;redirect=Dlog&amp;widgetTypeCall=true&amp;directAccess=false</t>
  </si>
  <si>
    <t>[금호아트홀 아름다운 목요일] 바이올리니스트 백서연, 2024 윤이상국제음악콩쿠르 박성용영재특별상 수상자 음악회</t>
  </si>
  <si>
    <t>https://blog.naver.com/PostView.naver?blogId=withinnews&amp;logNo=223901806016&amp;redirect=Dlog&amp;widgetTypeCall=true&amp;directAccess=false</t>
  </si>
  <si>
    <t>2주차 우상향 경제 단어 공부 1</t>
  </si>
  <si>
    <t>https://blog.naver.com/PostView.naver?blogId=kyuhaeart&amp;logNo=223901564915&amp;redirect=Dlog&amp;widgetTypeCall=true&amp;directAccess=false</t>
  </si>
  <si>
    <t>강남구 초등학생 쏠림 현상 심화</t>
  </si>
  <si>
    <t>https://blog.naver.com/PostView.naver?blogId=forever4forest&amp;logNo=223901427067&amp;redirect=Dlog&amp;widgetTypeCall=true&amp;directAccess=false</t>
  </si>
  <si>
    <t>배나온대갈통</t>
  </si>
  <si>
    <t>포항 동국제강 에너지저장장치센터서 큰 불… 대응 1단계</t>
  </si>
  <si>
    <t>https://blog.naver.com/PostView.naver?blogId=guilbee&amp;logNo=223901291018&amp;redirect=Dlog&amp;widgetTypeCall=true&amp;directAccess=false</t>
  </si>
  <si>
    <t>이퀄</t>
  </si>
  <si>
    <t>같은 주제 다른 대화의 이유 : 경제 정책, 압수수색 횟수</t>
  </si>
  <si>
    <t>https://blog.naver.com/PostView.naver?blogId=thoughts1992&amp;logNo=223901213171&amp;redirect=Dlog&amp;widgetTypeCall=true&amp;directAccess=false</t>
  </si>
  <si>
    <t>아시아일보</t>
  </si>
  <si>
    <t>‘나주 영산강 축제’ 市 발전 원동력</t>
  </si>
  <si>
    <t>https://blog.naver.com/PostView.naver?blogId=nasiailbo&amp;logNo=223901144123&amp;redirect=Dlog&amp;widgetTypeCall=true&amp;directAccess=false</t>
  </si>
  <si>
    <t>[오늘 뉴스] 청년은 ‘쉬었음’, 노인은 ‘일하는 중’…뒤바뀐 노동시장 현실(세계일보)</t>
  </si>
  <si>
    <t>https://blog.naver.com/PostView.naver?blogId=beommo5820&amp;logNo=223900695422&amp;redirect=Dlog&amp;widgetTypeCall=true&amp;directAccess=false</t>
  </si>
  <si>
    <t>"술 마실 때 얼굴 붉어지는 '진짜 이유'알고 계셨나요?" 세계일보</t>
  </si>
  <si>
    <t>https://blog.naver.com/PostView.naver?blogId=mp15065&amp;logNo=223900646958&amp;redirect=Dlog&amp;widgetTypeCall=true&amp;directAccess=false</t>
  </si>
  <si>
    <t>화재전문가</t>
  </si>
  <si>
    <t>술 마실 때 얼굴 붉어지는 ‘이유’?</t>
  </si>
  <si>
    <t>https://blog.naver.com/PostView.naver?blogId=eplusfire&amp;logNo=223900566325&amp;redirect=Dlog&amp;widgetTypeCall=true&amp;directAccess=false</t>
  </si>
  <si>
    <t>트럼프 이란 이스라엘 곧 평화? 그냥 너만 죽으면 된다.</t>
  </si>
  <si>
    <t>https://blog.naver.com/PostView.naver?blogId=zeenokim&amp;logNo=223900495440&amp;redirect=Dlog&amp;widgetTypeCall=true&amp;directAccess=false</t>
  </si>
  <si>
    <t>batterybye</t>
  </si>
  <si>
    <t>6월 2주차 이차전지 산업 동향 및 분석</t>
  </si>
  <si>
    <t>https://blog.naver.com/PostView.naver?blogId=batterybye&amp;logNo=223900038034&amp;redirect=Dlog&amp;widgetTypeCall=true&amp;directAccess=false</t>
  </si>
  <si>
    <t>Trabi</t>
  </si>
  <si>
    <t>009. 수박</t>
  </si>
  <si>
    <t>https://blog.naver.com/PostView.naver?blogId=shin2002555&amp;logNo=223899356286&amp;redirect=Dlog&amp;widgetTypeCall=true&amp;directAccess=false</t>
  </si>
  <si>
    <t>영적사령관</t>
  </si>
  <si>
    <t>“자라나는 세대에 6·25 전쟁의 역사·교훈을 ...”</t>
  </si>
  <si>
    <t>https://blog.naver.com/PostView.naver?blogId=samyeol30&amp;logNo=223899346881&amp;redirect=Dlog&amp;widgetTypeCall=true&amp;directAccess=false</t>
  </si>
  <si>
    <t>(25.6.14.토) 한눈에 보는 부동산뉴스</t>
  </si>
  <si>
    <t>https://blog.naver.com/PostView.naver?blogId=anko-0&amp;logNo=223898842465&amp;redirect=Dlog&amp;widgetTypeCall=true&amp;directAccess=false</t>
  </si>
  <si>
    <t>🚀 이스라엘-이란 전면전 위기, 지금 바로 알아야 할 핵심 포인트들 ✈️</t>
  </si>
  <si>
    <t>https://blog.naver.com/PostView.naver?blogId=g901gg&amp;logNo=223898794337&amp;redirect=Dlog&amp;widgetTypeCall=true&amp;directAccess=false</t>
  </si>
  <si>
    <t>가히 '천국'이라.. 참부모님 지상섭리 마지막 여정 '거문도' 그리고 '백도' 다녀오다. 여보, 해양천정궁 다녀와야겠어요.(거문도섬호텔 주변 관광지) 250613</t>
  </si>
  <si>
    <t>https://blog.naver.com/PostView.naver?blogId=peacemaker2027&amp;logNo=223898505889&amp;redirect=Dlog&amp;widgetTypeCall=true&amp;directAccess=false</t>
  </si>
  <si>
    <t>황타</t>
  </si>
  <si>
    <t>포항국제불빛축제, 라이트 아트 웨이가 여름밤 수 놓는다.</t>
  </si>
  <si>
    <t>https://blog.naver.com/PostView.naver?blogId=hwangta&amp;logNo=223897151064&amp;redirect=Dlog&amp;widgetTypeCall=true&amp;directAccess=false</t>
  </si>
  <si>
    <t>음악교육신문</t>
  </si>
  <si>
    <t>&lt;VIOLIN&gt; 바이올리니스트 송지원</t>
  </si>
  <si>
    <t>https://blog.naver.com/PostView.naver?blogId=gato2010&amp;logNo=223897838123&amp;redirect=Dlog&amp;widgetTypeCall=true&amp;directAccess=false</t>
  </si>
  <si>
    <t>250613 손에잡히는경제 - 부동산TF, 텐센트-넥슨 인수? , 은값 최고치, YES 24 해킹</t>
  </si>
  <si>
    <t>https://blog.naver.com/PostView.naver?blogId=jichuuu0116&amp;logNo=223897810441&amp;redirect=Dlog&amp;widgetTypeCall=true&amp;directAccess=false</t>
  </si>
  <si>
    <t>세계일보 "요즘 애들, 커피 안 마신다고?"...'이것'이 대세</t>
  </si>
  <si>
    <t>https://blog.naver.com/PostView.naver?blogId=mp15065&amp;logNo=223897787866&amp;redirect=Dlog&amp;widgetTypeCall=true&amp;directAccess=false</t>
  </si>
  <si>
    <t>최준석</t>
  </si>
  <si>
    <t>북해 헬골란트 섬에서 양자역학 탄생 100주년 기념 행사가 시작했다.</t>
  </si>
  <si>
    <t>https://blog.naver.com/PostView.naver?blogId=choi_joonsuk&amp;logNo=223897712247&amp;redirect=Dlog&amp;widgetTypeCall=true&amp;directAccess=false</t>
  </si>
  <si>
    <t>갈등과 갈등 해소_[다문화칼럼함께하는세상]</t>
  </si>
  <si>
    <t>https://blog.naver.com/PostView.naver?blogId=bomnal2025_feb&amp;logNo=223897510628&amp;redirect=Dlog&amp;widgetTypeCall=true&amp;directAccess=false</t>
  </si>
  <si>
    <t>코리안챔버오케스트라</t>
  </si>
  <si>
    <t>[KCO]코리안챔버오케스트라 창단 60주년 기념 베토벤 교향곡 전곡 연주 시리즈 Ⅴ</t>
  </si>
  <si>
    <t>https://blog.naver.com/PostView.naver?blogId=kce1965&amp;logNo=223897005867&amp;redirect=Dlog&amp;widgetTypeCall=true&amp;directAccess=false</t>
  </si>
  <si>
    <t>세계일보 "감기인 줄 알았는데"... 기침→호흡곤란 이어지는 '이 병'</t>
  </si>
  <si>
    <t>https://blog.naver.com/PostView.naver?blogId=yhj7819&amp;logNo=223896813799&amp;redirect=Dlog&amp;widgetTypeCall=true&amp;directAccess=false</t>
  </si>
  <si>
    <t>제임스복</t>
  </si>
  <si>
    <t>조력자살(助力自殺)</t>
  </si>
  <si>
    <t>https://blog.naver.com/PostView.naver?blogId=jujutoy7050&amp;logNo=223896601508&amp;redirect=Dlog&amp;widgetTypeCall=true&amp;directAccess=false</t>
  </si>
  <si>
    <t>sedeyes</t>
  </si>
  <si>
    <t>25-06-09~12_투자노트</t>
  </si>
  <si>
    <t>https://blog.naver.com/PostView.naver?blogId=sedeyes&amp;logNo=223896525784&amp;redirect=Dlog&amp;widgetTypeCall=true&amp;directAccess=false</t>
  </si>
  <si>
    <t>갓생기록</t>
  </si>
  <si>
    <t>강남의 탄생 감상문</t>
  </si>
  <si>
    <t>https://blog.naver.com/PostView.naver?blogId=recordgodlife&amp;logNo=223895693226&amp;redirect=Dlog&amp;widgetTypeCall=true&amp;directAccess=false</t>
  </si>
  <si>
    <t>검사만 120명 ‘사실상 특검청’… “일선 마비” 비판</t>
  </si>
  <si>
    <t>https://blog.naver.com/PostView.naver?blogId=dudujw&amp;logNo=223894883843&amp;redirect=Dlog&amp;widgetTypeCall=true&amp;directAccess=false</t>
  </si>
  <si>
    <t>"이젠 밥 먹고 '이것' 참지 마세요!"... 걸으면 답 나옵니다. 세계일보</t>
  </si>
  <si>
    <t>https://blog.naver.com/PostView.naver?blogId=mp15065&amp;logNo=223894493493&amp;redirect=Dlog&amp;widgetTypeCall=true&amp;directAccess=false</t>
  </si>
  <si>
    <t>풍산화동</t>
  </si>
  <si>
    <t>[공유]10일 서울월드컵경기장서 2026 북중미 월드컵 3차 예선 최종전…</t>
  </si>
  <si>
    <t>https://blog.naver.com/PostView.naver?blogId=poongsan_hwadong&amp;logNo=223893270430&amp;redirect=Dlog&amp;widgetTypeCall=true&amp;directAccess=false</t>
  </si>
  <si>
    <t>향불 작가 이길우' 개인전 인사동 선화랑에서</t>
  </si>
  <si>
    <t>https://blog.naver.com/PostView.naver?blogId=hohoart&amp;logNo=223893964196&amp;redirect=Dlog&amp;widgetTypeCall=true&amp;directAccess=false</t>
  </si>
  <si>
    <t>6.9</t>
  </si>
  <si>
    <t>https://blog.naver.com/PostView.naver?blogId=qmffhtja1234&amp;logNo=223893721649&amp;redirect=Dlog&amp;widgetTypeCall=true&amp;directAccess=false</t>
  </si>
  <si>
    <t>제10회 세계일보 영상&amp;사진 공모전</t>
  </si>
  <si>
    <t>https://blog.naver.com/PostView.naver?blogId=hohoart&amp;logNo=223893656209&amp;redirect=Dlog&amp;widgetTypeCall=true&amp;directAccess=false</t>
  </si>
  <si>
    <t>아세아니아 포스트</t>
  </si>
  <si>
    <t>&lt;국내 정치/경제&gt; 이재명 대통령 취임 첫날 ‘무덤’ 비유, 인수인계 무산 논란의 내막 드러나</t>
  </si>
  <si>
    <t>https://blog.naver.com/PostView.naver?blogId=nicodemus4620&amp;logNo=223893194667&amp;redirect=Dlog&amp;widgetTypeCall=true&amp;directAccess=false</t>
  </si>
  <si>
    <t>세계일보 "소고기보다 6배 더 좋은 영양소?"...'이것'의 역습이 시작됐다.</t>
  </si>
  <si>
    <t>https://blog.naver.com/PostView.naver?blogId=mp15065&amp;logNo=223893041958&amp;redirect=Dlog&amp;widgetTypeCall=true&amp;directAccess=false</t>
  </si>
  <si>
    <t>가온누리</t>
  </si>
  <si>
    <t>찰피나무</t>
  </si>
  <si>
    <t>https://blog.naver.com/PostView.naver?blogId=sgaonnuri&amp;logNo=223893028012&amp;redirect=Dlog&amp;widgetTypeCall=true&amp;directAccess=false</t>
  </si>
  <si>
    <t>[대통령 7일 리포트] 이재명 vs 윤석열, 취임 첫 주부터 갈린 리더십 스타일</t>
  </si>
  <si>
    <t>https://blog.naver.com/PostView.naver?blogId=hw2979&amp;logNo=223893006475&amp;redirect=Dlog&amp;widgetTypeCall=true&amp;directAccess=false</t>
  </si>
  <si>
    <t>“소고기보다 6배 더 좋은 영양소?”…‘이것’의 역습이 시작됐다</t>
  </si>
  <si>
    <t>https://blog.naver.com/PostView.naver?blogId=dwyun60&amp;logNo=223892958251&amp;redirect=Dlog&amp;widgetTypeCall=true&amp;directAccess=false</t>
  </si>
  <si>
    <t>이재명 대통령 ‘무덤’ 발언 논란, 윤석열 정부 인수인계 부실로 사달</t>
  </si>
  <si>
    <t>https://blog.naver.com/PostView.naver?blogId=chikorita_&amp;logNo=223892676439&amp;redirect=Dlog&amp;widgetTypeCall=true&amp;directAccess=false</t>
  </si>
  <si>
    <t>[단독] ‘무덤’ 같은 대통령실… 정진석·윤재순이 지시</t>
  </si>
  <si>
    <t>https://blog.naver.com/PostView.naver?blogId=eremoval&amp;logNo=223892516986&amp;redirect=Dlog&amp;widgetTypeCall=true&amp;directAccess=false</t>
  </si>
  <si>
    <t>Book치는 소년</t>
  </si>
  <si>
    <t>내 심장을 쏴라 - 정유정</t>
  </si>
  <si>
    <t>https://blog.naver.com/PostView.naver?blogId=bookworm74&amp;logNo=223892072857&amp;redirect=Dlog&amp;widgetTypeCall=true&amp;directAccess=false</t>
  </si>
  <si>
    <t>매일 먹으면 심장이 좋아지고, 4년 더 산다,,,</t>
  </si>
  <si>
    <t>https://blog.naver.com/PostView.naver?blogId=ok2014827&amp;logNo=223890391355&amp;redirect=Dlog&amp;widgetTypeCall=true&amp;directAccess=false</t>
  </si>
  <si>
    <t>not rust</t>
  </si>
  <si>
    <t>국내 식품 가격 하락 기원 1일차</t>
  </si>
  <si>
    <t>https://blog.naver.com/PostView.naver?blogId=ashelldoesnotrust&amp;logNo=223891668486&amp;redirect=Dlog&amp;widgetTypeCall=true&amp;directAccess=false</t>
  </si>
  <si>
    <t>최태근 태공작명</t>
  </si>
  <si>
    <t>#고령의 산모가 #다태아 비중  #쌍둥이  #배란유도제</t>
  </si>
  <si>
    <t>https://blog.naver.com/PostView.naver?blogId=asd5859asd&amp;logNo=223890521166&amp;redirect=Dlog&amp;widgetTypeCall=true&amp;directAccess=false</t>
  </si>
  <si>
    <t>경제신문 읽기 | 코스피 5000 시대 오나… 기대감에 불 뿜은 증시 (250605_세계일보)</t>
  </si>
  <si>
    <t>https://blog.naver.com/PostView.naver?blogId=yeoreumlog&amp;logNo=223889717175&amp;redirect=Dlog&amp;widgetTypeCall=true&amp;directAccess=false</t>
  </si>
  <si>
    <t>줄라이 페스티벌</t>
  </si>
  <si>
    <t>7/24(목) 부산 : 비바아첼챔버홀</t>
  </si>
  <si>
    <t>https://blog.naver.com/PostView.naver?blogId=julyfestival&amp;logNo=223889602793&amp;redirect=Dlog&amp;widgetTypeCall=true&amp;directAccess=false</t>
  </si>
  <si>
    <t>“분열 넘어 치유의 길로… 희망의 꽃 피워야”</t>
  </si>
  <si>
    <t>https://blog.naver.com/PostView.naver?blogId=dwyun60&amp;logNo=223889547770&amp;redirect=Dlog&amp;widgetTypeCall=true&amp;directAccess=false</t>
  </si>
  <si>
    <t>초고령사회 속 임종은 어디서 어떻게…대학병원 역할 제시</t>
  </si>
  <si>
    <t>https://blog.naver.com/PostView.naver?blogId=dwyun60&amp;logNo=223889545359&amp;redirect=Dlog&amp;widgetTypeCall=true&amp;directAccess=false</t>
  </si>
  <si>
    <t>[간사설] 250605 오늘의 사설</t>
  </si>
  <si>
    <t>https://blog.naver.com/PostView.naver?blogId=chicpark1&amp;logNo=223889267692&amp;redirect=Dlog&amp;widgetTypeCall=true&amp;directAccess=false</t>
  </si>
  <si>
    <t>권명길</t>
  </si>
  <si>
    <t>시각장애인에게 "O번은 여기" 장애인 투표권 침해한 사무원</t>
  </si>
  <si>
    <t>https://blog.naver.com/PostView.naver?blogId=kjw9648&amp;logNo=223889225444&amp;redirect=Dlog&amp;widgetTypeCall=true&amp;directAccess=false</t>
  </si>
  <si>
    <t>세계일보 "치아 장기 보존 길 열렸다"... 세포노화 방지 효과 확인</t>
  </si>
  <si>
    <t>https://blog.naver.com/PostView.naver?blogId=mp15065&amp;logNo=223889202496&amp;redirect=Dlog&amp;widgetTypeCall=true&amp;directAccess=false</t>
  </si>
  <si>
    <t>냉장고 속 위험한 ‘이것’, 당신도 매일 먹는다</t>
  </si>
  <si>
    <t>https://blog.naver.com/PostView.naver?blogId=dwyun60&amp;logNo=223889085810&amp;redirect=Dlog&amp;widgetTypeCall=true&amp;directAccess=false</t>
  </si>
  <si>
    <t>“불필요한 관계는 정리하고 싶다”… 인간관계 스트레스 1위는 ‘직장’</t>
  </si>
  <si>
    <t>https://blog.naver.com/PostView.naver?blogId=dwyun60&amp;logNo=223889084847&amp;redirect=Dlog&amp;widgetTypeCall=true&amp;directAccess=false</t>
  </si>
  <si>
    <t>“반숙란·물만 먹었는데?” 배 잡고 병원行…그의 실수는 ‘단 하나’ [수민이가 궁금해요]</t>
  </si>
  <si>
    <t>https://blog.naver.com/PostView.naver?blogId=dwyun60&amp;logNo=223888005537&amp;redirect=Dlog&amp;widgetTypeCall=true&amp;directAccess=false</t>
  </si>
  <si>
    <t>제21대 대통령 선거 투표율 79.4% 기록 요인 분석</t>
  </si>
  <si>
    <t>https://blog.naver.com/PostView.naver?blogId=newyorkmanhattan&amp;logNo=223887658936&amp;redirect=Dlog&amp;widgetTypeCall=true&amp;directAccess=false</t>
  </si>
  <si>
    <t>허드재비</t>
  </si>
  <si>
    <t>제21대 대통령 선거일</t>
  </si>
  <si>
    <t>https://blog.naver.com/PostView.naver?blogId=pakjh0329&amp;logNo=223887654339&amp;redirect=Dlog&amp;widgetTypeCall=true&amp;directAccess=false</t>
  </si>
  <si>
    <t>000000</t>
  </si>
  <si>
    <t>스트레스 DSR 3단계 7월 시행, 부동산 시장 영향</t>
  </si>
  <si>
    <t>https://blog.naver.com/PostView.naver?blogId=hazel__song&amp;logNo=223887485832&amp;redirect=Dlog&amp;widgetTypeCall=true&amp;directAccess=false</t>
  </si>
  <si>
    <t>[중앙일보] [단독] 복귀 전공의 3명 중 2명은 수도권…'정·내·영'에 몰렸다(25.06.03)</t>
  </si>
  <si>
    <t>https://blog.naver.com/PostView.naver?blogId=m2hwaseo&amp;logNo=223887457277&amp;redirect=Dlog&amp;widgetTypeCall=true&amp;directAccess=false</t>
  </si>
  <si>
    <t>빅터 차 '트럼프의 주한미군 철수 가능성' 발언 배경</t>
  </si>
  <si>
    <t>https://blog.naver.com/PostView.naver?blogId=newyorkmanhattan&amp;logNo=223886930291&amp;redirect=Dlog&amp;widgetTypeCall=true&amp;directAccess=false</t>
  </si>
  <si>
    <t>민주, 낙관론 속 신중모드… 국힘 “보수 결집 골든크로스” [6·3 대선]</t>
  </si>
  <si>
    <t>https://blog.naver.com/PostView.naver?blogId=etisot&amp;logNo=223886393698&amp;redirect=Dlog&amp;widgetTypeCall=true&amp;directAccess=false</t>
  </si>
  <si>
    <t>[과학기술 국제기구 시리즈③] “글로벌 협력체 확장의 시대···‘표준화’와 ‘연결’ 중요성 증대”</t>
  </si>
  <si>
    <t>https://blog.naver.com/PostView.naver?blogId=kast1994&amp;logNo=223886225707&amp;redirect=Dlog&amp;widgetTypeCall=true&amp;directAccess=false</t>
  </si>
  <si>
    <t>세계일보 "욱신욱신 쑤시더니 뼈가 뚝 부러져"... 13만 면 고통받는 '이 병'</t>
  </si>
  <si>
    <t>https://blog.naver.com/PostView.naver?blogId=yhj7819&amp;logNo=223886036917&amp;redirect=Dlog&amp;widgetTypeCall=true&amp;directAccess=false</t>
  </si>
  <si>
    <t>짜게 먹으면 뇌종양 악화한다…국에 소금 반만 넣으세요[건강+]</t>
  </si>
  <si>
    <t>https://blog.naver.com/PostView.naver?blogId=dwyun60&amp;logNo=223885681767&amp;redirect=Dlog&amp;widgetTypeCall=true&amp;directAccess=false</t>
  </si>
  <si>
    <t>카카롯트</t>
  </si>
  <si>
    <t>귀염뽀짝 투표인증컷 도안 그림 모음</t>
  </si>
  <si>
    <t>https://blog.naver.com/PostView.naver?blogId=seo474747&amp;logNo=223884960594&amp;redirect=Dlog&amp;widgetTypeCall=true&amp;directAccess=false</t>
  </si>
  <si>
    <t>중국의 대한민국 침공 작전</t>
  </si>
  <si>
    <t>https://blog.naver.com/PostView.naver?blogId=jjoodol&amp;logNo=223884958794&amp;redirect=Dlog&amp;widgetTypeCall=true&amp;directAccess=false</t>
  </si>
  <si>
    <t>두루뭉실</t>
  </si>
  <si>
    <t>주택 수요가 감소하면 공급 감소는 필연적이다.</t>
  </si>
  <si>
    <t>https://blog.naver.com/PostView.naver?blogId=ds5syf&amp;logNo=223884780682&amp;redirect=Dlog&amp;widgetTypeCall=true&amp;directAccess=false</t>
  </si>
  <si>
    <t>인현</t>
  </si>
  <si>
    <t>이준석의 해로움</t>
  </si>
  <si>
    <t>https://blog.naver.com/PostView.naver?blogId=97inhyun&amp;logNo=223884599117&amp;redirect=Dlog&amp;widgetTypeCall=true&amp;directAccess=false</t>
  </si>
  <si>
    <t>한국일보</t>
  </si>
  <si>
    <t>미하나</t>
  </si>
  <si>
    <t>이재명, 미국 방문 트럼프와 정상회담 추진...비자 거부 가능성 제기 충격파/모스 탄 발언 한국일보가 보도했다. 충격 내용...국내 언론으로 확산자동 더빙</t>
  </si>
  <si>
    <t>https://blog.naver.com/PostView.naver?blogId=boha50&amp;logNo=223916980054&amp;redirect=Dlog&amp;widgetTypeCall=true&amp;directAccess=false</t>
  </si>
  <si>
    <t>청개구리</t>
  </si>
  <si>
    <t>6월 30일자 주요 이슈 정리</t>
  </si>
  <si>
    <t>https://blog.naver.com/PostView.naver?blogId=mr-frog&amp;logNo=223916972224&amp;redirect=Dlog&amp;widgetTypeCall=true&amp;directAccess=false</t>
  </si>
  <si>
    <t>&lt;Kor-Eng&gt;  왜 은행을 털었느냐고? "거기 돈이 있기 때문에"(feat. 서턴의 법칙) [기억할 오늘]</t>
  </si>
  <si>
    <t>https://blog.naver.com/PostView.naver?blogId=lee2621&amp;logNo=223916791160&amp;redirect=Dlog&amp;widgetTypeCall=true&amp;directAccess=false</t>
  </si>
  <si>
    <t>하겸이의건강일상</t>
  </si>
  <si>
    <t>대구수성구수학학원, 애 여기 안보내면 나중에 진짜 후회한다</t>
  </si>
  <si>
    <t>https://blog.naver.com/PostView.naver?blogId=6qbmfuw6c&amp;logNo=223916723024&amp;redirect=Dlog&amp;widgetTypeCall=true&amp;directAccess=false</t>
  </si>
  <si>
    <t>수도권 주택담보대출 최대 6억까지, 앞으로의 부동산 시장 전망 알아보기</t>
  </si>
  <si>
    <t>https://blog.naver.com/PostView.naver?blogId=mingyum119&amp;logNo=223916669065&amp;redirect=Dlog&amp;widgetTypeCall=true&amp;directAccess=false</t>
  </si>
  <si>
    <t>박승원</t>
  </si>
  <si>
    <t>박승원 광명시장 "탄소중립은 선택이 아닌 시대적 사명으로, 공직자가 변화의 최전선에 서야 한다.이번 교육으로 공직자와 시민이 함께 지속가능한 미래를 만들어가길 기대한다"</t>
  </si>
  <si>
    <t>https://blog.naver.com/PostView.naver?blogId=psw1062&amp;logNo=223916560311&amp;redirect=Dlog&amp;widgetTypeCall=true&amp;directAccess=false</t>
  </si>
  <si>
    <t>부공자</t>
  </si>
  <si>
    <t>2025년 6월 30일 (월) 한국일보</t>
  </si>
  <si>
    <t>https://blog.naver.com/PostView.naver?blogId=theblock101&amp;logNo=223916182646&amp;redirect=Dlog&amp;widgetTypeCall=true&amp;directAccess=false</t>
  </si>
  <si>
    <t>장성급 군인 12명,올해 휴대폰 교체..'내란 특검'수사 대비했나</t>
  </si>
  <si>
    <t>https://blog.naver.com/PostView.naver?blogId=bnmjkl20&amp;logNo=223916149949&amp;redirect=Dlog&amp;widgetTypeCall=true&amp;directAccess=false</t>
  </si>
  <si>
    <t>테드</t>
  </si>
  <si>
    <t>&lt;종강 이후, 6월 행보&gt;</t>
  </si>
  <si>
    <t>https://blog.naver.com/PostView.naver?blogId=gabi1992&amp;logNo=223916073807&amp;redirect=Dlog&amp;widgetTypeCall=true&amp;directAccess=false</t>
  </si>
  <si>
    <t>법꾸라지'를 싫어하는 민주당.... '윤석열 구속이 답'이라면서 '법꾸라지'라 불러, 암튼 민주당도 '법꾸라지'는 미워하는 듯...</t>
  </si>
  <si>
    <t>https://blog.naver.com/PostView.naver?blogId=bingoshim&amp;logNo=223915549647&amp;redirect=Dlog&amp;widgetTypeCall=true&amp;directAccess=false</t>
  </si>
  <si>
    <t>정희</t>
  </si>
  <si>
    <t>[한국일보 6월 넷째 주 문제]</t>
  </si>
  <si>
    <t>https://blog.naver.com/PostView.naver?blogId=svbeev814&amp;logNo=223915538063&amp;redirect=Dlog&amp;widgetTypeCall=true&amp;directAccess=false</t>
  </si>
  <si>
    <t>여름이면 33만 ㎡의 연못에 홍련과 백련, 수련 등 1000만송이 연꽃이 피어난다.  부여군은 7월 4~6일  ‘제23회 부여서동연꽃축제’를 연다.  카누를 타며 풍경을 감상하는</t>
  </si>
  <si>
    <t>https://blog.naver.com/PostView.naver?blogId=59misookpak&amp;logNo=223915370645&amp;redirect=Dlog&amp;widgetTypeCall=true&amp;directAccess=false</t>
  </si>
  <si>
    <t>카멜레홍 홍키호테</t>
  </si>
  <si>
    <t>그 많던 보신탕집은 다 어디로 갔을까?</t>
  </si>
  <si>
    <t>https://blog.naver.com/PostView.naver?blogId=casj007&amp;logNo=223914609436&amp;redirect=Dlog&amp;widgetTypeCall=true&amp;directAccess=false</t>
  </si>
  <si>
    <t>낭만쿠키</t>
  </si>
  <si>
    <t>[공연후기] 국립국악관현악단 &lt;장단의 재발견&gt; 관람 후기 / 전통과 현대의 만남, 이하느리 작곡가 신곡 초연</t>
  </si>
  <si>
    <t>https://blog.naver.com/PostView.naver?blogId=dosigolju&amp;logNo=223914584329&amp;redirect=Dlog&amp;widgetTypeCall=true&amp;directAccess=false</t>
  </si>
  <si>
    <t>By side</t>
  </si>
  <si>
    <t>[에세이 추천] 아무튼 시리즈, 아무튼 미드 🇺🇸</t>
  </si>
  <si>
    <t>https://blog.naver.com/PostView.naver?blogId=merry96715&amp;logNo=223914527948&amp;redirect=Dlog&amp;widgetTypeCall=true&amp;directAccess=false</t>
  </si>
  <si>
    <t>윤북</t>
  </si>
  <si>
    <t>한국일보 기자 김지은의 '태도의 언어' (좋은생각, 좋은글)</t>
  </si>
  <si>
    <t>https://blog.naver.com/PostView.naver?blogId=yoon_book&amp;logNo=223914384471&amp;redirect=Dlog&amp;widgetTypeCall=true&amp;directAccess=false</t>
  </si>
  <si>
    <t>crazyboy</t>
  </si>
  <si>
    <t>이중섭 작품 도록圖錄 4. 1954 하~55 상 서울 시기 ①</t>
  </si>
  <si>
    <t>https://blog.naver.com/PostView.naver?blogId=crazyboy&amp;logNo=223914021140&amp;redirect=Dlog&amp;widgetTypeCall=true&amp;directAccess=false</t>
  </si>
  <si>
    <t>love란</t>
  </si>
  <si>
    <t>서울 서대문구 안산(79") 등산기록 [2022.05.21] 3</t>
  </si>
  <si>
    <t>https://blog.naver.com/PostView.naver?blogId=lovelan337&amp;logNo=223914014336&amp;redirect=Dlog&amp;widgetTypeCall=true&amp;directAccess=false</t>
  </si>
  <si>
    <t>marinagallery</t>
  </si>
  <si>
    <t>김중석 개인展 ‘순간을 믿어요(Where Moments Bloom)’</t>
  </si>
  <si>
    <t>https://blog.naver.com/PostView.naver?blogId=marinagallery&amp;logNo=223913722361&amp;redirect=Dlog&amp;widgetTypeCall=true&amp;directAccess=false</t>
  </si>
  <si>
    <t>여수 금오도 비렁길(비탈길) 3코스</t>
  </si>
  <si>
    <t>https://blog.naver.com/PostView.naver?blogId=hksol3&amp;logNo=223913620785&amp;redirect=Dlog&amp;widgetTypeCall=true&amp;directAccess=false</t>
  </si>
  <si>
    <t>곰탱이</t>
  </si>
  <si>
    <t>(25-11) ≪경제 관료의 시대≫, 홍제환</t>
  </si>
  <si>
    <t>https://blog.naver.com/PostView.naver?blogId=doklak2019&amp;logNo=223913362675&amp;redirect=Dlog&amp;widgetTypeCall=true&amp;directAccess=false</t>
  </si>
  <si>
    <t>쩌현맘</t>
  </si>
  <si>
    <t>아이와 가볼만한 전시, 국립 현대 미술관 서울관 , 론뮤익 &amp; 광화문 스파게티 맛집 뽐모도로</t>
  </si>
  <si>
    <t>https://blog.naver.com/PostView.naver?blogId=jiiyaa&amp;logNo=223906398363&amp;redirect=Dlog&amp;widgetTypeCall=true&amp;directAccess=false</t>
  </si>
  <si>
    <t>Sedona</t>
  </si>
  <si>
    <t>부산시 중구 대청동</t>
  </si>
  <si>
    <t>https://blog.naver.com/PostView.naver?blogId=olchoi&amp;logNo=223913047493&amp;redirect=Dlog&amp;widgetTypeCall=true&amp;directAccess=false</t>
  </si>
  <si>
    <t>mj385</t>
  </si>
  <si>
    <t>기약없는 기다림, '어디서 무엇이 되어 다시 만나랴'</t>
  </si>
  <si>
    <t>https://blog.naver.com/PostView.naver?blogId=mj_sajuessay&amp;logNo=223912928475&amp;redirect=Dlog&amp;widgetTypeCall=true&amp;directAccess=false</t>
  </si>
  <si>
    <t>[비타민D와 노인 건강… “비타민D 보충제 한 번에 다량 먹어도 괜찮아”] 미주한국일보 -[요약]</t>
  </si>
  <si>
    <t>https://blog.naver.com/PostView.naver?blogId=cskw11&amp;logNo=223912804043&amp;redirect=Dlog&amp;widgetTypeCall=true&amp;directAccess=false</t>
  </si>
  <si>
    <t>팬지</t>
  </si>
  <si>
    <t>옛날 이야기_이 글을 끝내며</t>
  </si>
  <si>
    <t>https://blog.naver.com/PostView.naver?blogId=xshinc&amp;logNo=223912788263&amp;redirect=Dlog&amp;widgetTypeCall=true&amp;directAccess=false</t>
  </si>
  <si>
    <t>워싱턴 황해도민회 석경회 모임, 이북5도위원회 주관 고국방문단에 김혜정 회원 선정</t>
  </si>
  <si>
    <t>https://blog.naver.com/PostView.naver?blogId=donghlee1001&amp;logNo=223912703892&amp;redirect=Dlog&amp;widgetTypeCall=true&amp;directAccess=false</t>
  </si>
  <si>
    <t>아침달</t>
  </si>
  <si>
    <t>아침달 편집부 | 『첫선-아침달 첫 시집 보도자료 모음집』</t>
  </si>
  <si>
    <t>https://blog.naver.com/PostView.naver?blogId=achimdalbooks&amp;logNo=223912666025&amp;redirect=Dlog&amp;widgetTypeCall=true&amp;directAccess=false</t>
  </si>
  <si>
    <t>2025년 6월 26일 (목) 한국일보</t>
  </si>
  <si>
    <t>https://blog.naver.com/PostView.naver?blogId=theblock101&amp;logNo=223912062948&amp;redirect=Dlog&amp;widgetTypeCall=true&amp;directAccess=false</t>
  </si>
  <si>
    <t>씽크플로</t>
  </si>
  <si>
    <t>6월 26일 뉴스브리핑: 추경 심사와 서울 집값 급등, SKT의 소버린 AI 등 핵심뉴스요약</t>
  </si>
  <si>
    <t>https://blog.naver.com/PostView.naver?blogId=baegyuhan&amp;logNo=223912032691&amp;redirect=Dlog&amp;widgetTypeCall=true&amp;directAccess=false</t>
  </si>
  <si>
    <t>경제세상뷰</t>
  </si>
  <si>
    <t>김민석 국무총리 후보 증인없는 청문회 파행(산회) 원인, 미제출 자료 목록, 재산, 정치자금, 자녀입시, 학위 의혹</t>
  </si>
  <si>
    <t>https://blog.naver.com/PostView.naver?blogId=gotoview&amp;logNo=223911972331&amp;redirect=Dlog&amp;widgetTypeCall=true&amp;directAccess=false</t>
  </si>
  <si>
    <t>강원 동해ㅡ하늘부터 땅까지 보랏빛 천국···요즘 동해 바다 대신 폐광 여행</t>
  </si>
  <si>
    <t>https://blog.naver.com/PostView.naver?blogId=pakunkyu39&amp;logNo=223911664407&amp;redirect=Dlog&amp;widgetTypeCall=true&amp;directAccess=false</t>
  </si>
  <si>
    <t>[오늘 뉴스] 10대 자살률만 유독 증가 ... 국가가 발 벗고 '살릴 방법' 찾아야(한국일보)</t>
  </si>
  <si>
    <t>https://blog.naver.com/PostView.naver?blogId=beommo5820&amp;logNo=223911011743&amp;redirect=Dlog&amp;widgetTypeCall=true&amp;directAccess=false</t>
  </si>
  <si>
    <t>허허엄마</t>
  </si>
  <si>
    <t>2025 어린이 미술대회 정보 :: 한국소년일보 &amp; 하나은행 자연사랑</t>
  </si>
  <si>
    <t>https://blog.naver.com/PostView.naver?blogId=dmsruddbwls&amp;logNo=223910882966&amp;redirect=Dlog&amp;widgetTypeCall=true&amp;directAccess=false</t>
  </si>
  <si>
    <t>한일관계.한국일보·요미우리 한일 공동여론조사'현재 관계 좋다' 한국 55.2% 일본 52%신뢰도·친밀감 한국 조사서 첫 40%대</t>
  </si>
  <si>
    <t>https://blog.naver.com/PostView.naver?blogId=differance-dolly&amp;logNo=223909436165&amp;redirect=Dlog&amp;widgetTypeCall=true&amp;directAccess=false</t>
  </si>
  <si>
    <t>Jerry Jang</t>
  </si>
  <si>
    <t># 2025년 6월 25일 수요일 Jerry’s 신문브리핑 #</t>
  </si>
  <si>
    <t>https://blog.naver.com/PostView.naver?blogId=jerry0218&amp;logNo=223910742696&amp;redirect=Dlog&amp;widgetTypeCall=true&amp;directAccess=false</t>
  </si>
  <si>
    <t>Sam Kim Realtor</t>
  </si>
  <si>
    <t>5월 캐나다 인플레이션 1.7% 유지.  주거비와 식료품 가격 오름폭 감소</t>
  </si>
  <si>
    <t>https://blog.naver.com/PostView.naver?blogId=torontorealestate&amp;logNo=223910713227&amp;redirect=Dlog&amp;widgetTypeCall=true&amp;directAccess=false</t>
  </si>
  <si>
    <t>토론토 신규 주택 판매 50% 급감.  건설 침체 장기화 시 4만여 개 일자리 위기</t>
  </si>
  <si>
    <t>https://blog.naver.com/PostView.naver?blogId=torontorealestate&amp;logNo=223910712485&amp;redirect=Dlog&amp;widgetTypeCall=true&amp;directAccess=false</t>
  </si>
  <si>
    <t>주인장과나그네</t>
  </si>
  <si>
    <t>불꽃처럼 살다간 전혜린의 뮌헨 흔적을 찾아</t>
  </si>
  <si>
    <t>https://blog.naver.com/PostView.naver?blogId=hlp5476&amp;logNo=223910618425&amp;redirect=Dlog&amp;widgetTypeCall=true&amp;directAccess=false</t>
  </si>
  <si>
    <t>트럼프, 중국 공장에 美장비 공급 중단 시사?</t>
  </si>
  <si>
    <t>https://blog.naver.com/PostView.naver?blogId=dbghwns4&amp;logNo=223910357851&amp;redirect=Dlog&amp;widgetTypeCall=true&amp;directAccess=false</t>
  </si>
  <si>
    <t>쿨투라</t>
  </si>
  <si>
    <t>[7월 문화소식] 연극 〈보도지침〉</t>
  </si>
  <si>
    <t>https://blog.naver.com/PostView.naver?blogId=cultura2006&amp;logNo=223909984171&amp;redirect=Dlog&amp;widgetTypeCall=true&amp;directAccess=false</t>
  </si>
  <si>
    <t>이재명 선거운동하다 쓰러진 3선 국회의원 유성엽 별세</t>
  </si>
  <si>
    <t>https://blog.naver.com/PostView.naver?blogId=hun4339&amp;logNo=223909955729&amp;redirect=Dlog&amp;widgetTypeCall=true&amp;directAccess=false</t>
  </si>
  <si>
    <t>정보놀이터</t>
  </si>
  <si>
    <t>봄은 - 신동엽, 상징적·대립적 이미지의 활용</t>
  </si>
  <si>
    <t>https://blog.naver.com/PostView.naver?blogId=realproperty00&amp;logNo=223909895256&amp;redirect=Dlog&amp;widgetTypeCall=true&amp;directAccess=false</t>
  </si>
  <si>
    <t>박승호</t>
  </si>
  <si>
    <t>황지우 「한국생명보험회사 송일환 씨의 어느 날」- 콜라주 기법과 관련하여 작품 이해하기</t>
  </si>
  <si>
    <t>https://blog.naver.com/PostView.naver?blogId=wheelll&amp;logNo=223909664993&amp;redirect=Dlog&amp;widgetTypeCall=true&amp;directAccess=false</t>
  </si>
  <si>
    <t>세금도 신도시도 아니다... 이재명 정부 첫 부동산 대책은?</t>
  </si>
  <si>
    <t>https://blog.naver.com/PostView.naver?blogId=samo2001&amp;logNo=223909567242&amp;redirect=Dlog&amp;widgetTypeCall=true&amp;directAccess=false</t>
  </si>
  <si>
    <t>궁리tennis</t>
  </si>
  <si>
    <t>美 벙커버스터 이란 핵시설 투하(2025. 6. 21~22.)와 그 결과는?</t>
  </si>
  <si>
    <t>https://blog.naver.com/PostView.naver?blogId=ljk6641&amp;logNo=223909212327&amp;redirect=Dlog&amp;widgetTypeCall=true&amp;directAccess=false</t>
  </si>
  <si>
    <t>안규백 국방부장관 내정, 해병대 대장 진급도 현실화되나?</t>
  </si>
  <si>
    <t>https://blog.naver.com/PostView.naver?blogId=gs2304&amp;logNo=223909081515&amp;redirect=Dlog&amp;widgetTypeCall=true&amp;directAccess=false</t>
  </si>
  <si>
    <t>pine</t>
  </si>
  <si>
    <t>무너진 정부 - "尹 정부 3년 동안 이렇게 무너졌나", 공직사회 군기반장이 떴다</t>
  </si>
  <si>
    <t>https://blog.naver.com/PostView.naver?blogId=paxleesoo&amp;logNo=223909065552&amp;redirect=Dlog&amp;widgetTypeCall=true&amp;directAccess=false</t>
  </si>
  <si>
    <t>코난</t>
  </si>
  <si>
    <t>한국일보 인터뷰</t>
  </si>
  <si>
    <t>https://blog.naver.com/PostView.naver?blogId=canrobot77&amp;logNo=223908926038&amp;redirect=Dlog&amp;widgetTypeCall=true&amp;directAccess=false</t>
  </si>
  <si>
    <t>https://blog.naver.com/PostView.naver?blogId=daummalgo&amp;logNo=223908302707&amp;redirect=Dlog&amp;widgetTypeCall=true&amp;directAccess=false</t>
  </si>
  <si>
    <t>“인류와 AI의 결합이 가져올 소름 끼치는 미래 l 레이 커즈와일” 의 영상 요약</t>
  </si>
  <si>
    <t>https://blog.naver.com/PostView.naver?blogId=lucidjun&amp;logNo=223908301596&amp;redirect=Dlog&amp;widgetTypeCall=true&amp;directAccess=false</t>
  </si>
  <si>
    <t>김선근기자</t>
  </si>
  <si>
    <t>개혁신당, 대선 평가 세미나 개최… “우리는 길을 찾거나, 만들 것이다”</t>
  </si>
  <si>
    <t>https://blog.naver.com/PostView.naver?blogId=ksg2028&amp;logNo=223907896891&amp;redirect=Dlog&amp;widgetTypeCall=true&amp;directAccess=false</t>
  </si>
  <si>
    <t>넵튠</t>
  </si>
  <si>
    <t>트럼프, 결국 이란 때렸다… "핵 시설 세 곳 공습 성공적"</t>
  </si>
  <si>
    <t>https://blog.naver.com/PostView.naver?blogId=asancriti&amp;logNo=223907724674&amp;redirect=Dlog&amp;widgetTypeCall=true&amp;directAccess=false</t>
  </si>
  <si>
    <t>합참 "北에서 떠내려 온 이상한 물체 절대 만지지 마세요"</t>
  </si>
  <si>
    <t>https://blog.naver.com/PostView.naver?blogId=eremoval&amp;logNo=223907667923&amp;redirect=Dlog&amp;widgetTypeCall=true&amp;directAccess=false</t>
  </si>
  <si>
    <t>검찰개혁이 매번 실패하는 이유</t>
  </si>
  <si>
    <t>https://blog.naver.com/PostView.naver?blogId=wongoklaw&amp;logNo=223907496446&amp;redirect=Dlog&amp;widgetTypeCall=true&amp;directAccess=false</t>
  </si>
  <si>
    <t>레인부츠, 무좀 위험 높인다...장마철 곰팡이·세균 주의보</t>
  </si>
  <si>
    <t>https://blog.naver.com/PostView.naver?blogId=dwyun60&amp;logNo=223907462539&amp;redirect=Dlog&amp;widgetTypeCall=true&amp;directAccess=false</t>
  </si>
  <si>
    <t>동네</t>
  </si>
  <si>
    <t>[공유] 배당 / 한국일보</t>
  </si>
  <si>
    <t>https://blog.naver.com/PostView.naver?blogId=kwangjingt&amp;logNo=223907424545&amp;redirect=Dlog&amp;widgetTypeCall=true&amp;directAccess=false</t>
  </si>
  <si>
    <t>그로밋</t>
  </si>
  <si>
    <t>어디서 무엇이 되어 다시 만나랴 - 김환기</t>
  </si>
  <si>
    <t>https://blog.naver.com/PostView.naver?blogId=ilsang531&amp;logNo=223907356214&amp;redirect=Dlog&amp;widgetTypeCall=true&amp;directAccess=false</t>
  </si>
  <si>
    <t>청산유수</t>
  </si>
  <si>
    <t>2025년 6월 21일 - 울산 아이문화 카드</t>
  </si>
  <si>
    <t>https://blog.naver.com/PostView.naver?blogId=bbaedaewon&amp;logNo=223907116238&amp;redirect=Dlog&amp;widgetTypeCall=true&amp;directAccess=false</t>
  </si>
  <si>
    <t>김철희 본부장</t>
  </si>
  <si>
    <t>주간한국, '이 시대의 수필가' 내달부터 새 필진 연재</t>
  </si>
  <si>
    <t>https://blog.naver.com/PostView.naver?blogId=chk1500&amp;logNo=223907016859&amp;redirect=Dlog&amp;widgetTypeCall=true&amp;directAccess=false</t>
  </si>
  <si>
    <t>나난</t>
  </si>
  <si>
    <t>[서평]최후의 증인(상) - 김성종</t>
  </si>
  <si>
    <t>https://blog.naver.com/PostView.naver?blogId=noon472&amp;logNo=223906930718&amp;redirect=Dlog&amp;widgetTypeCall=true&amp;directAccess=false</t>
  </si>
  <si>
    <t>동글이</t>
  </si>
  <si>
    <t>뉴욕의 한식당이 알려주는 성공노하우</t>
  </si>
  <si>
    <t>https://blog.naver.com/PostView.naver?blogId=unusual7&amp;logNo=223906889881&amp;redirect=Dlog&amp;widgetTypeCall=true&amp;directAccess=false</t>
  </si>
  <si>
    <t>현대사회에서 극우 및 극좌 성향이 형성되는 근본 원인은?</t>
  </si>
  <si>
    <t>https://blog.naver.com/PostView.naver?blogId=ljk6641&amp;logNo=223906857441&amp;redirect=Dlog&amp;widgetTypeCall=true&amp;directAccess=false</t>
  </si>
  <si>
    <t>국정기획위원회의 업무보고 중단 논란</t>
  </si>
  <si>
    <t>https://blog.naver.com/PostView.naver?blogId=newyorkmanhattan&amp;logNo=223906414706&amp;redirect=Dlog&amp;widgetTypeCall=true&amp;directAccess=false</t>
  </si>
  <si>
    <t>헤게모니술푼세상</t>
  </si>
  <si>
    <t>종이책이 사라지고 있다.</t>
  </si>
  <si>
    <t>https://blog.naver.com/PostView.naver?blogId=kwakgong8003&amp;logNo=223906329530&amp;redirect=Dlog&amp;widgetTypeCall=true&amp;directAccess=false</t>
  </si>
  <si>
    <t>dajjjjjjjjo2</t>
  </si>
  <si>
    <t>day3-4: 라라랜드는 없다.</t>
  </si>
  <si>
    <t>https://blog.naver.com/PostView.naver?blogId=julyyyyy13&amp;logNo=223905939433&amp;redirect=Dlog&amp;widgetTypeCall=true&amp;directAccess=false</t>
  </si>
  <si>
    <t>〔5620〕 모스크바-평양 직통 철도/ 양홍주 논설위원/ 한국일보 2025. 6. 11.</t>
  </si>
  <si>
    <t>https://blog.naver.com/PostView.naver?blogId=kje06&amp;logNo=223905687026&amp;redirect=Dlog&amp;widgetTypeCall=true&amp;directAccess=false</t>
  </si>
  <si>
    <t>바스기고</t>
  </si>
  <si>
    <t>우리나라 방위산업의 미래는? 그 전망도 양극화</t>
  </si>
  <si>
    <t>https://blog.naver.com/PostView.naver?blogId=vastgigo&amp;logNo=223905561805&amp;redirect=Dlog&amp;widgetTypeCall=true&amp;directAccess=false</t>
  </si>
  <si>
    <t>1분기 캐나다 인구증가율 0%.  총 4,154만8,787명</t>
  </si>
  <si>
    <t>https://blog.naver.com/PostView.naver?blogId=torontorealestate&amp;logNo=223905274165&amp;redirect=Dlog&amp;widgetTypeCall=true&amp;directAccess=false</t>
  </si>
  <si>
    <t>자전거그랜드슬램인증</t>
  </si>
  <si>
    <t>운동 중 날아오는 벌 삼켜... '순자산 1.6조' 인도 억만장자, 심장마비로 사망.</t>
  </si>
  <si>
    <t>https://blog.naver.com/PostView.naver?blogId=keephealthever&amp;logNo=223905187283&amp;redirect=Dlog&amp;widgetTypeCall=true&amp;directAccess=false</t>
  </si>
  <si>
    <t>레포트킹</t>
  </si>
  <si>
    <t>수요와 공급을 이용해 쟁점이 되는 사회현상을 찾아 해결방안 제시하시오</t>
  </si>
  <si>
    <t>https://blog.naver.com/PostView.naver?blogId=legalmemory&amp;logNo=223904822141&amp;redirect=Dlog&amp;widgetTypeCall=true&amp;directAccess=false</t>
  </si>
  <si>
    <t>중부뉴스</t>
  </si>
  <si>
    <t>화성특례시, 서울 코엑스에서 화성기본사회 미지답 포럼 성황리 개최</t>
  </si>
  <si>
    <t>https://blog.naver.com/PostView.naver?blogId=jb11101&amp;logNo=223904668748&amp;redirect=Dlog&amp;widgetTypeCall=true&amp;directAccess=false</t>
  </si>
  <si>
    <t>화성특례시, ‘기본사회’ 비전 제시…지방정부 역할 재조명</t>
  </si>
  <si>
    <t>https://blog.naver.com/PostView.naver?blogId=l680502lee&amp;logNo=223904831303&amp;redirect=Dlog&amp;widgetTypeCall=true&amp;directAccess=false</t>
  </si>
  <si>
    <t>주인공</t>
  </si>
  <si>
    <t>2025.06.19 한국일보 시사이슈</t>
  </si>
  <si>
    <t>https://blog.naver.com/PostView.naver?blogId=newuj03343&amp;logNo=223904765783&amp;redirect=Dlog&amp;widgetTypeCall=true&amp;directAccess=false</t>
  </si>
  <si>
    <t>포스트적</t>
  </si>
  <si>
    <t>6월18일</t>
  </si>
  <si>
    <t>https://blog.naver.com/PostView.naver?blogId=postjuck&amp;logNo=223904703193&amp;redirect=Dlog&amp;widgetTypeCall=true&amp;directAccess=false</t>
  </si>
  <si>
    <t>박주민</t>
  </si>
  <si>
    <t>[21대 대선] 투표로 심판합시다. &lt;한국일보&gt;</t>
  </si>
  <si>
    <t>https://blog.naver.com/PostView.naver?blogId=joomincenter&amp;logNo=223904674141&amp;redirect=Dlog&amp;widgetTypeCall=true&amp;directAccess=false</t>
  </si>
  <si>
    <t>ChatGPT와 함께 보는 『손님』 요약 - 황석영</t>
  </si>
  <si>
    <t>https://blog.naver.com/PostView.naver?blogId=doodle02&amp;logNo=223904625913&amp;redirect=Dlog&amp;widgetTypeCall=true&amp;directAccess=false</t>
  </si>
  <si>
    <t>화성특례시, ‘화성기본사회 미지답 포럼’ 성황리 개최</t>
  </si>
  <si>
    <t>https://blog.naver.com/PostView.naver?blogId=metrotimes&amp;logNo=223904490296&amp;redirect=Dlog&amp;widgetTypeCall=true&amp;directAccess=false</t>
  </si>
  <si>
    <t>새벽별</t>
  </si>
  <si>
    <t>전통의 명인전, 48번째 시즌 개막</t>
  </si>
  <si>
    <t>https://blog.naver.com/PostView.naver?blogId=ibisall&amp;logNo=223904334058&amp;redirect=Dlog&amp;widgetTypeCall=true&amp;directAccess=false</t>
  </si>
  <si>
    <t>중산층, 광역토론토에서 밀려난다</t>
  </si>
  <si>
    <t>https://blog.naver.com/PostView.naver?blogId=torontorealestate&amp;logNo=223904116302&amp;redirect=Dlog&amp;widgetTypeCall=true&amp;directAccess=false</t>
  </si>
  <si>
    <t>"나이 들면 은퇴한 세대가 부럽다".  캐나다인 59% "평생 일해야 할 판"</t>
  </si>
  <si>
    <t>https://blog.naver.com/PostView.naver?blogId=torontorealestate&amp;logNo=223904114335&amp;redirect=Dlog&amp;widgetTypeCall=true&amp;directAccess=false</t>
  </si>
  <si>
    <t>더러워서 피하지..</t>
  </si>
  <si>
    <t>https://blog.naver.com/PostView.naver?blogId=mydairy_book&amp;logNo=223903908616&amp;redirect=Dlog&amp;widgetTypeCall=true&amp;directAccess=false</t>
  </si>
  <si>
    <t>트럼프, 이시바는 만났는데 李 대통령은 왜 못 만났나 + [참고적인 지적]</t>
  </si>
  <si>
    <t>https://blog.naver.com/PostView.naver?blogId=kominerba&amp;logNo=223903719189&amp;redirect=Dlog&amp;widgetTypeCall=true&amp;directAccess=false</t>
  </si>
  <si>
    <t>2025.06.17 한국일보</t>
  </si>
  <si>
    <t>https://blog.naver.com/PostView.naver?blogId=newuj03343&amp;logNo=223903591461&amp;redirect=Dlog&amp;widgetTypeCall=true&amp;directAccess=false</t>
  </si>
  <si>
    <t>평양 출신 독립운동가 강혜원(康蕙園, 1885~1982)</t>
  </si>
  <si>
    <t>https://blog.naver.com/PostView.naver?blogId=donghlee1001&amp;logNo=223903486645&amp;redirect=Dlog&amp;widgetTypeCall=true&amp;directAccess=false</t>
  </si>
  <si>
    <t>연당</t>
  </si>
  <si>
    <t>동북공정 22</t>
  </si>
  <si>
    <t>https://blog.naver.com/PostView.naver?blogId=kochs40&amp;logNo=223903216829&amp;redirect=Dlog&amp;widgetTypeCall=true&amp;directAccess=false</t>
  </si>
  <si>
    <t>서울대 출신 여배우와 결혼한 JYP 백댄서… 가수 비(정지훈)의 인생 반전 드라마</t>
  </si>
  <si>
    <t>https://blog.naver.com/PostView.naver?blogId=sk_jaeking78&amp;logNo=223902599086&amp;redirect=Dlog&amp;widgetTypeCall=true&amp;directAccess=false</t>
  </si>
  <si>
    <t>[공유] 여성친화마을 / 한국일보</t>
  </si>
  <si>
    <t>https://blog.naver.com/PostView.naver?blogId=kwangjingt&amp;logNo=223902999977&amp;redirect=Dlog&amp;widgetTypeCall=true&amp;directAccess=false</t>
  </si>
  <si>
    <t>구르는돌</t>
  </si>
  <si>
    <t>기억</t>
  </si>
  <si>
    <t>https://blog.naver.com/PostView.naver?blogId=coda2010&amp;logNo=223902696492&amp;redirect=Dlog&amp;widgetTypeCall=true&amp;directAccess=false</t>
  </si>
  <si>
    <t>경통빌딩</t>
  </si>
  <si>
    <t>https://blog.naver.com/PostView.naver?blogId=coda2010&amp;logNo=223902669434&amp;redirect=Dlog&amp;widgetTypeCall=true&amp;directAccess=false</t>
  </si>
  <si>
    <t>지니</t>
  </si>
  <si>
    <t>[강릉] 강릉 솔올미술관  - 김환기전 특별 전시 후기(도슨트/주차/카페/볼거리)</t>
  </si>
  <si>
    <t>https://blog.naver.com/PostView.naver?blogId=rhtmdwls546&amp;logNo=223901942714&amp;redirect=Dlog&amp;widgetTypeCall=true&amp;directAccess=false</t>
  </si>
  <si>
    <t>서니베일 체리</t>
  </si>
  <si>
    <t>삼청동 4차원 콘서트</t>
  </si>
  <si>
    <t>https://blog.naver.com/PostView.naver?blogId=160sunnyvale&amp;logNo=223901739446&amp;redirect=Dlog&amp;widgetTypeCall=true&amp;directAccess=false</t>
  </si>
  <si>
    <t>2025 스포츠한국 인터내셔널 AI 애니메이션 &amp; 디자인 공모전</t>
  </si>
  <si>
    <t>https://blog.naver.com/PostView.naver?blogId=hohoart&amp;logNo=223901708723&amp;redirect=Dlog&amp;widgetTypeCall=true&amp;directAccess=false</t>
  </si>
  <si>
    <t>"김민석, 4,000만 원 빌린 '스폰서' 회사 감사에게 1,000만 원 빌렸다"... 주진우 국민의힘 의원 주장 - 한국일보</t>
  </si>
  <si>
    <t>https://blog.naver.com/PostView.naver?blogId=joo_jinwoo&amp;logNo=223901385868&amp;redirect=Dlog&amp;widgetTypeCall=true&amp;directAccess=false</t>
  </si>
  <si>
    <t>2025년 6월 16일, 임은정, '이재명 국정기획위' 합류. X 반응.</t>
  </si>
  <si>
    <t>https://blog.naver.com/PostView.naver?blogId=shinswoong75&amp;logNo=223901271101&amp;redirect=Dlog&amp;widgetTypeCall=true&amp;directAccess=false</t>
  </si>
  <si>
    <t>274. &lt;사육장 쪽으로&gt; by 편혜영</t>
  </si>
  <si>
    <t>https://blog.naver.com/PostView.naver?blogId=kejmuse3&amp;logNo=223901073644&amp;redirect=Dlog&amp;widgetTypeCall=true&amp;directAccess=false</t>
  </si>
  <si>
    <t>매드타임스</t>
  </si>
  <si>
    <t>KAPR, 김희원 한국일보 실장 초청 ‘AI 시대 언론의 변화와 미래’ 저널리즘 세미나 개최</t>
  </si>
  <si>
    <t>https://blog.naver.com/PostView.naver?blogId=madtimes&amp;logNo=223900719121&amp;redirect=Dlog&amp;widgetTypeCall=true&amp;directAccess=false</t>
  </si>
  <si>
    <t>골프와 시니어라이프</t>
  </si>
  <si>
    <t>펌글 ㅡ  '아깝다 첫승' 최혜진, LPGA 마이어 클래식 1타 차 준우승</t>
  </si>
  <si>
    <t>https://blog.naver.com/PostView.naver?blogId=james0117&amp;logNo=223900534151&amp;redirect=Dlog&amp;widgetTypeCall=true&amp;directAccess=false</t>
  </si>
  <si>
    <t>20250616</t>
  </si>
  <si>
    <t>https://blog.naver.com/PostView.naver?blogId=scj3434&amp;logNo=223900410292&amp;redirect=Dlog&amp;widgetTypeCall=true&amp;directAccess=false</t>
  </si>
  <si>
    <t>한국일보가 욕먹는 이유</t>
  </si>
  <si>
    <t>https://blog.naver.com/PostView.naver?blogId=thelovedman&amp;logNo=223900380100&amp;redirect=Dlog&amp;widgetTypeCall=true&amp;directAccess=false</t>
  </si>
  <si>
    <t>하랑</t>
  </si>
  <si>
    <t>[time line] 이란, 이스라엘에 치명적인 공격으로 대응 - 텔아비브에 수백 발의 미사일 공격 / 이스라엘, 이란 핵시설 기습 공격</t>
  </si>
  <si>
    <t>https://blog.naver.com/PostView.naver?blogId=hazelnut21&amp;logNo=223899935950&amp;redirect=Dlog&amp;widgetTypeCall=true&amp;directAccess=false</t>
  </si>
  <si>
    <t>24시 레포트 대필</t>
  </si>
  <si>
    <t>현대사회에서 변화한 가족의 특징을 자신의 가족의 상황을 예시로 설명하고 그 특징이 잘 나타나는 신문기사를 찾아 제시</t>
  </si>
  <si>
    <t>https://blog.naver.com/PostView.naver?blogId=msonic4768&amp;logNo=223899719931&amp;redirect=Dlog&amp;widgetTypeCall=true&amp;directAccess=false</t>
  </si>
  <si>
    <t>클로이e</t>
  </si>
  <si>
    <t>몇 번째 피식하게 만드는, '첫 여름, 완주'</t>
  </si>
  <si>
    <t>https://blog.naver.com/PostView.naver?blogId=hi_compar&amp;logNo=223899085207&amp;redirect=Dlog&amp;widgetTypeCall=true&amp;directAccess=false</t>
  </si>
  <si>
    <t>경기 여주ㅡ왕릉에서 석탑까지···세종의 여민(與民) 정신 스민 길</t>
  </si>
  <si>
    <t>https://blog.naver.com/PostView.naver?blogId=pakunkyu39&amp;logNo=223899677483&amp;redirect=Dlog&amp;widgetTypeCall=true&amp;directAccess=false</t>
  </si>
  <si>
    <t>우당탕탕 우팀장</t>
  </si>
  <si>
    <t>“왜 우리는 실패했을까?”『컨설팅 경영』을 통해 실패의 본질을 마주하다.</t>
  </si>
  <si>
    <t>https://blog.naver.com/PostView.naver?blogId=woodangtang86&amp;logNo=223899308685&amp;redirect=Dlog&amp;widgetTypeCall=true&amp;directAccess=false</t>
  </si>
  <si>
    <t>각골호랑이</t>
  </si>
  <si>
    <t>다시 '아리랑'을 읽기로 했다. | 1994년 5월 조정래 작가의 말을 옮기며</t>
  </si>
  <si>
    <t>https://blog.naver.com/PostView.naver?blogId=harimau81&amp;logNo=223898849416&amp;redirect=Dlog&amp;widgetTypeCall=true&amp;directAccess=false</t>
  </si>
  <si>
    <t>경제 스터디 30일차 노란봉투법 내용&amp;필리핀 돌봄노동자 실태</t>
  </si>
  <si>
    <t>https://blog.naver.com/PostView.naver?blogId=yesnogirl_410&amp;logNo=223898646454&amp;redirect=Dlog&amp;widgetTypeCall=true&amp;directAccess=false</t>
  </si>
  <si>
    <t>한양대 교수 채용·재정 비리 '의혹', 교육부 대대적 감사 착수…SNS·커뮤니티도 “투명성·책임 촉구”</t>
  </si>
  <si>
    <t>https://blog.naver.com/PostView.naver?blogId=newsspace&amp;logNo=223898609751&amp;redirect=Dlog&amp;widgetTypeCall=true&amp;directAccess=false</t>
  </si>
  <si>
    <t>[6월 경제스터디 10일차] 노란봉투법 part.2 (핵심 내용, 찬반 논쟁)</t>
  </si>
  <si>
    <t>https://blog.naver.com/PostView.naver?blogId=lovemin2929&amp;logNo=223897946680&amp;redirect=Dlog&amp;widgetTypeCall=true&amp;directAccess=false</t>
  </si>
  <si>
    <t>20250611 달러원 환율 급락은 임박했는가?</t>
  </si>
  <si>
    <t>https://blog.naver.com/PostView.naver?blogId=lgs6674&amp;logNo=223897875382&amp;redirect=Dlog&amp;widgetTypeCall=true&amp;directAccess=false</t>
  </si>
  <si>
    <t>식품 그리고 사람들</t>
  </si>
  <si>
    <t>"두 돌 아기에 왜 떡을?" 어린이집 '떡 간식' 공포···식약처 "가이드라인 수정 검토"</t>
  </si>
  <si>
    <t>https://blog.naver.com/PostView.naver?blogId=foodnpeople&amp;logNo=223891480889&amp;redirect=Dlog&amp;widgetTypeCall=true&amp;directAccess=false</t>
  </si>
  <si>
    <t>넓은 땅을 가진 단독주택이 가치가 올라가는 이유</t>
  </si>
  <si>
    <t>https://blog.naver.com/PostView.naver?blogId=torontorealestate&amp;logNo=223897378239&amp;redirect=Dlog&amp;widgetTypeCall=true&amp;directAccess=false</t>
  </si>
  <si>
    <t>박찬대, 당권 도전 시사…검찰 개혁 속도조절과 협치 강조</t>
  </si>
  <si>
    <t>https://blog.naver.com/PostView.naver?blogId=underwind-&amp;logNo=223897195378&amp;redirect=Dlog&amp;widgetTypeCall=true&amp;directAccess=false</t>
  </si>
  <si>
    <t>김민석 총리 후보자, 불법 자금 수수 및 아들 법안 표절 논란 [더퍼블릭]</t>
  </si>
  <si>
    <t>https://blog.naver.com/PostView.naver?blogId=newstogether&amp;logNo=223897064615&amp;redirect=Dlog&amp;widgetTypeCall=true&amp;directAccess=false</t>
  </si>
  <si>
    <t>경찰출석 불응하고 상가 활보하는 윤석열 [사진잇슈]</t>
  </si>
  <si>
    <t>https://blog.naver.com/PostView.naver?blogId=eremoval&amp;logNo=223896951226&amp;redirect=Dlog&amp;widgetTypeCall=true&amp;directAccess=false</t>
  </si>
  <si>
    <t>2025.06.12 한국일보 시사 이슈</t>
  </si>
  <si>
    <t>https://blog.naver.com/PostView.naver?blogId=newuj03343&amp;logNo=223896851678&amp;redirect=Dlog&amp;widgetTypeCall=true&amp;directAccess=false</t>
  </si>
  <si>
    <t>초록</t>
  </si>
  <si>
    <t>채식주의자 - 한강</t>
  </si>
  <si>
    <t>https://blog.naver.com/PostView.naver?blogId=greenaquariu&amp;logNo=223896673473&amp;redirect=Dlog&amp;widgetTypeCall=true&amp;directAccess=false</t>
  </si>
  <si>
    <t>전 국민 '25만원' 보편이냐, 취약계층 선별이냐... 민생지원금 운명</t>
  </si>
  <si>
    <t>https://blog.naver.com/PostView.naver?blogId=avamusic7&amp;logNo=223896622589&amp;redirect=Dlog&amp;widgetTypeCall=true&amp;directAccess=false</t>
  </si>
  <si>
    <t>서울특별시교육감</t>
  </si>
  <si>
    <t>[한국일보] 정근식 교육감 "기초학력 공개, 낙인 찍는 지역별 비교 안할 것"</t>
  </si>
  <si>
    <t>https://blog.naver.com/PostView.naver?blogId=keunsik56&amp;logNo=223896617844&amp;redirect=Dlog&amp;widgetTypeCall=true&amp;directAccess=false</t>
  </si>
  <si>
    <t>[Daily News, 6/12(목)]</t>
  </si>
  <si>
    <t>https://blog.naver.com/PostView.naver?blogId=ydkyusung386&amp;logNo=223896464106&amp;redirect=Dlog&amp;widgetTypeCall=true&amp;directAccess=false</t>
  </si>
  <si>
    <t>청죽</t>
  </si>
  <si>
    <t>"여성가족부 &amp; 남성평등위원회"</t>
  </si>
  <si>
    <t>https://blog.naver.com/PostView.naver?blogId=jhyun0233&amp;logNo=223896007695&amp;redirect=Dlog&amp;widgetTypeCall=true&amp;directAccess=false</t>
  </si>
  <si>
    <t>Power Forward</t>
  </si>
  <si>
    <t>〔블로그 칼럼〕  내일 '지구가 무너진다'고 해도... 오늘 '사과나무를 심는 마음'으로, 정치의 '진일보한 재건(再建)'을 위해서, 함께 '최선'을 다 합시다.</t>
  </si>
  <si>
    <t>https://blog.naver.com/PostView.naver?blogId=ryu8689&amp;logNo=223895889822&amp;redirect=Dlog&amp;widgetTypeCall=true&amp;directAccess=false</t>
  </si>
  <si>
    <t>2025.06.11 한국일보 시사 이슈</t>
  </si>
  <si>
    <t>https://blog.naver.com/PostView.naver?blogId=newuj03343&amp;logNo=223895797930&amp;redirect=Dlog&amp;widgetTypeCall=true&amp;directAccess=false</t>
  </si>
  <si>
    <t>이재명 정부 '고위공직자 국민추천' 어떻게 생각하세요</t>
  </si>
  <si>
    <t>https://blog.naver.com/PostView.naver?blogId=tamsaj&amp;logNo=223895777297&amp;redirect=Dlog&amp;widgetTypeCall=true&amp;directAccess=false</t>
  </si>
  <si>
    <t>STEALIEN</t>
  </si>
  <si>
    <t>[박찬암 스틸리언 대표 인터뷰] “사회공헌·보람은 화이트해커 자부심··· 돈 벌기 위한 증시 상장 생각 없어”</t>
  </si>
  <si>
    <t>https://blog.naver.com/PostView.naver?blogId=stealien_official&amp;logNo=223895693143&amp;redirect=Dlog&amp;widgetTypeCall=true&amp;directAccess=false</t>
  </si>
  <si>
    <t>국힘 주진우 "이재명, '조국 사면'으로 야합했다면 사실상 후보자 매수" - 한국일보</t>
  </si>
  <si>
    <t>https://blog.naver.com/PostView.naver?blogId=joo_jinwoo&amp;logNo=223895597065&amp;redirect=Dlog&amp;widgetTypeCall=true&amp;directAccess=false</t>
  </si>
  <si>
    <t>이재명대통령 아들 결혼식 테러 협박, 무슨 일인가?</t>
  </si>
  <si>
    <t>https://blog.naver.com/PostView.naver?blogId=marmo29&amp;logNo=223895358800&amp;redirect=Dlog&amp;widgetTypeCall=true&amp;directAccess=false</t>
  </si>
  <si>
    <t>이재명 시계 만들지 말라? 대통령실 보도 사실 아니다.</t>
  </si>
  <si>
    <t>https://blog.naver.com/PostView.naver?blogId=zeenokim&amp;logNo=223895240627&amp;redirect=Dlog&amp;widgetTypeCall=true&amp;directAccess=false</t>
  </si>
  <si>
    <t>연YEON</t>
  </si>
  <si>
    <t>[코엑스] 2025 서울 국제 도서전 | 인기 전시회 얼리버드 예매 티켓 판매 마감 매진</t>
  </si>
  <si>
    <t>https://blog.naver.com/PostView.naver?blogId=yeon026100&amp;logNo=223895054559&amp;redirect=Dlog&amp;widgetTypeCall=true&amp;directAccess=false</t>
  </si>
  <si>
    <t>나는 내가 얼마나 무식한지 '한국일보' 기사 제목을 보고 깨달았다. ... 고맙다 '한국일보'</t>
  </si>
  <si>
    <t>https://blog.naver.com/PostView.naver?blogId=dhartexam&amp;logNo=223894914721&amp;redirect=Dlog&amp;widgetTypeCall=true&amp;directAccess=false</t>
  </si>
  <si>
    <t>동화작가 박지숙</t>
  </si>
  <si>
    <t>우리나라 최초의 여성 영화감독 박남옥-전국 어린이 독후감 쓰기 대회(박지숙)</t>
  </si>
  <si>
    <t>https://blog.naver.com/PostView.naver?blogId=parkjisook1&amp;logNo=223894899446&amp;redirect=Dlog&amp;widgetTypeCall=true&amp;directAccess=false</t>
  </si>
  <si>
    <t>곰사랑김준홍안양</t>
  </si>
  <si>
    <t>정치시사 432</t>
  </si>
  <si>
    <t>https://blog.naver.com/PostView.naver?blogId=gomk66&amp;logNo=223894748721&amp;redirect=Dlog&amp;widgetTypeCall=true&amp;directAccess=false</t>
  </si>
  <si>
    <t>낭만뉴스</t>
  </si>
  <si>
    <t>Eileen</t>
  </si>
  <si>
    <t>[책 2025-63] 정세랑의 『시선으로부터』</t>
  </si>
  <si>
    <t>https://blog.naver.com/PostView.naver?blogId=osis97&amp;logNo=223894606239&amp;redirect=Dlog&amp;widgetTypeCall=true&amp;directAccess=false</t>
  </si>
  <si>
    <t>시냇물</t>
  </si>
  <si>
    <t>최인선작가 '회화의 고백' 展 개최, 네오아트센터</t>
  </si>
  <si>
    <t>https://blog.naver.com/PostView.naver?blogId=parkjs0320&amp;logNo=223894329028&amp;redirect=Dlog&amp;widgetTypeCall=true&amp;directAccess=false</t>
  </si>
  <si>
    <t>Jimie</t>
  </si>
  <si>
    <t>Freedom and whisky go together</t>
  </si>
  <si>
    <t>https://blog.naver.com/PostView.naver?blogId=hgryu1948&amp;logNo=223894290052&amp;redirect=Dlog&amp;widgetTypeCall=true&amp;directAccess=false</t>
  </si>
  <si>
    <t>barefoot-100</t>
  </si>
  <si>
    <t>신문 대표 필진의 백일장</t>
  </si>
  <si>
    <t>https://blog.naver.com/PostView.naver?blogId=barefoot-100&amp;logNo=223894199018&amp;redirect=Dlog&amp;widgetTypeCall=true&amp;directAccess=false</t>
  </si>
  <si>
    <t>이조시대</t>
  </si>
  <si>
    <t>여전히봄</t>
  </si>
  <si>
    <t>경호처 정상화 첫발…내란가담 간부 5인 대기발령</t>
  </si>
  <si>
    <t>https://blog.naver.com/PostView.naver?blogId=poongkyung1205&amp;logNo=223893752402&amp;redirect=Dlog&amp;widgetTypeCall=true&amp;directAccess=false</t>
  </si>
  <si>
    <t>&lt;무능,무책임한 좌경용공 민주팔이의 완장 근거이자 우상이 된 5.18은 광주사태라는 표현으로 복귀하고 국민의 헌법적 기본권을 압살하고 부당하고 불투명한 특혜를 영구화하는 5.18특</t>
  </si>
  <si>
    <t>https://blog.naver.com/PostView.naver?blogId=yesktj&amp;logNo=223893736879&amp;redirect=Dlog&amp;widgetTypeCall=true&amp;directAccess=false</t>
  </si>
  <si>
    <t>블루투스</t>
  </si>
  <si>
    <t>정세랑 소설집 『옥상에서 만나요』 줄거리</t>
  </si>
  <si>
    <t>https://blog.naver.com/PostView.naver?blogId=2wonni1&amp;logNo=223893547451&amp;redirect=Dlog&amp;widgetTypeCall=true&amp;directAccess=false</t>
  </si>
  <si>
    <t>books and lifes</t>
  </si>
  <si>
    <t>독서의 삶, &lt;침이고인다&gt; 소개</t>
  </si>
  <si>
    <t>https://blog.naver.com/PostView.naver?blogId=mmvlllv&amp;logNo=223893220808&amp;redirect=Dlog&amp;widgetTypeCall=true&amp;directAccess=false</t>
  </si>
  <si>
    <t>씨네돔</t>
  </si>
  <si>
    <t>피아니스트 윤수정 6월 23일 금호아트홀 연세에서 독주회 열어</t>
  </si>
  <si>
    <t>https://blog.naver.com/PostView.naver?blogId=seenedom&amp;logNo=223893122582&amp;redirect=Dlog&amp;widgetTypeCall=true&amp;directAccess=false</t>
  </si>
  <si>
    <t>2025년 6월 9일 (월) 한국일보 지면기사</t>
  </si>
  <si>
    <t>https://blog.naver.com/PostView.naver?blogId=theblock101&amp;logNo=223892878465&amp;redirect=Dlog&amp;widgetTypeCall=true&amp;directAccess=false</t>
  </si>
  <si>
    <t>역사속 오늘</t>
  </si>
  <si>
    <t>다 똑같아 보이는 하루, 6월 9일엔 역사가 폭발한다! 그냥 넘기면 손해 보는, 믿기지 않는 이야기 속으로 함께 들어가자.</t>
  </si>
  <si>
    <t>https://blog.naver.com/PostView.naver?blogId=khistory_today&amp;logNo=223892749096&amp;redirect=Dlog&amp;widgetTypeCall=true&amp;directAccess=false</t>
  </si>
  <si>
    <t>홍익대 회화과 최인선교수, 네오아트센터 초대전</t>
  </si>
  <si>
    <t>https://blog.naver.com/PostView.naver?blogId=parkjs0320&amp;logNo=223892031235&amp;redirect=Dlog&amp;widgetTypeCall=true&amp;directAccess=false</t>
  </si>
  <si>
    <t>니키</t>
  </si>
  <si>
    <t>(보안 동향) 논문 투고 시스템 '잼스' 해킹 피해… 연구자 수만 명 정보 유출 우려</t>
  </si>
  <si>
    <t>https://blog.naver.com/PostView.naver?blogId=chogar&amp;logNo=223892016340&amp;redirect=Dlog&amp;widgetTypeCall=true&amp;directAccess=false</t>
  </si>
  <si>
    <t>이상적현실주의자</t>
  </si>
  <si>
    <t>2025년 책읽기 계획</t>
  </si>
  <si>
    <t>https://blog.naver.com/PostView.naver?blogId=lifeislearning&amp;logNo=223891695098&amp;redirect=Dlog&amp;widgetTypeCall=true&amp;directAccess=false</t>
  </si>
  <si>
    <t>바벨론 강가에서 목 놓아 울지 않으려면</t>
  </si>
  <si>
    <t>https://blog.naver.com/PostView.naver?blogId=jhabm&amp;logNo=223891338476&amp;redirect=Dlog&amp;widgetTypeCall=true&amp;directAccess=false</t>
  </si>
  <si>
    <t>"대일항쟁기 자료 찾습니다" 일제강제동원역사관, 유물 공개 구입</t>
  </si>
  <si>
    <t>https://blog.naver.com/PostView.naver?blogId=dwyun60&amp;logNo=223890639581&amp;redirect=Dlog&amp;widgetTypeCall=true&amp;directAccess=false</t>
  </si>
  <si>
    <t>주니</t>
  </si>
  <si>
    <t>이재명 대통령, 대법관 증원법(30명) 일방 처리, 속도전 막았다. ※조희대 대법원장은? &amp; 선거법 위반 상고심 재판.</t>
  </si>
  <si>
    <t>https://blog.naver.com/PostView.naver?blogId=humanity5844&amp;logNo=223890414562&amp;redirect=Dlog&amp;widgetTypeCall=true&amp;directAccess=false</t>
  </si>
  <si>
    <t>꼬야킴</t>
  </si>
  <si>
    <t>종이 위의 우주를 만나는 시간, '2025 서울국제도서전' 미리보기 강연작가 라인업 총정리</t>
  </si>
  <si>
    <t>https://blog.naver.com/PostView.naver?blogId=hisunny303&amp;logNo=223890407162&amp;redirect=Dlog&amp;widgetTypeCall=true&amp;directAccess=false</t>
  </si>
  <si>
    <t>예비역' BTS가 온다...전역 기념 팬 이벤트 잇달아 개최</t>
  </si>
  <si>
    <t>https://blog.naver.com/PostView.naver?blogId=crete22&amp;logNo=223890326459&amp;redirect=Dlog&amp;widgetTypeCall=true&amp;directAccess=false</t>
  </si>
  <si>
    <t>6월 6일, 과거의 오늘</t>
  </si>
  <si>
    <t>https://blog.naver.com/PostView.naver?blogId=gudtjs070&amp;logNo=223847560463&amp;redirect=Dlog&amp;widgetTypeCall=true&amp;directAccess=false</t>
  </si>
  <si>
    <t>대통령 취임 당일 신문에 실린 기업 광고 비교 (20대 vs 21대)</t>
  </si>
  <si>
    <t>https://blog.naver.com/PostView.naver?blogId=doklak2019&amp;logNo=223890182337&amp;redirect=Dlog&amp;widgetTypeCall=true&amp;directAccess=false</t>
  </si>
  <si>
    <t>마스터워크</t>
  </si>
  <si>
    <t>이철규 아들, 대마 흡입의 충격적인 진실</t>
  </si>
  <si>
    <t>https://blog.naver.com/PostView.naver?blogId=jins81c&amp;logNo=223890090428&amp;redirect=Dlog&amp;widgetTypeCall=true&amp;directAccess=false</t>
  </si>
  <si>
    <t>김유미 바이올린 독주회</t>
  </si>
  <si>
    <t>https://blog.naver.com/PostView.naver?blogId=hohoart&amp;logNo=223890049148&amp;redirect=Dlog&amp;widgetTypeCall=true&amp;directAccess=false</t>
  </si>
  <si>
    <t>MJ요리</t>
  </si>
  <si>
    <t>내가 사랑하는 아침의 순간들</t>
  </si>
  <si>
    <t>https://blog.naver.com/PostView.naver?blogId=ddochi84&amp;logNo=223890036595&amp;redirect=Dlog&amp;widgetTypeCall=true&amp;directAccess=false</t>
  </si>
  <si>
    <t>책콤달콤쌤</t>
  </si>
  <si>
    <t>[독서 기록] 발과 타이어의 차이 (진화심리학, 데이비드 버스)</t>
  </si>
  <si>
    <t>https://blog.naver.com/PostView.naver?blogId=funnybook-&amp;logNo=223889984115&amp;redirect=Dlog&amp;widgetTypeCall=true&amp;directAccess=false</t>
  </si>
  <si>
    <t>2025년 6월 5일, 이재명 대통령, 해수부 부산 이전 빠른 준비 지시. X 반응</t>
  </si>
  <si>
    <t>https://blog.naver.com/PostView.naver?blogId=shinswoong75&amp;logNo=223889784672&amp;redirect=Dlog&amp;widgetTypeCall=true&amp;directAccess=false</t>
  </si>
  <si>
    <t>[7월 25일] 김미솔 귀국 피아노 독주회</t>
  </si>
  <si>
    <t>https://blog.naver.com/PostView.naver?blogId=yeinarts&amp;logNo=223889474392&amp;redirect=Dlog&amp;widgetTypeCall=true&amp;directAccess=false</t>
  </si>
  <si>
    <t>진주 대평지구 만성적인 지하수 부족 해결길 열렸다</t>
  </si>
  <si>
    <t>https://blog.naver.com/PostView.naver?blogId=jigwtech&amp;logNo=223888855593&amp;redirect=Dlog&amp;widgetTypeCall=true&amp;directAccess=false</t>
  </si>
  <si>
    <t>GTA 봄철 주택시장 '폭삭'. 5월 거래 13% 줄어. 2002년 이후 최악</t>
  </si>
  <si>
    <t>https://blog.naver.com/PostView.naver?blogId=torontorealestate&amp;logNo=223889067929&amp;redirect=Dlog&amp;widgetTypeCall=true&amp;directAccess=false</t>
  </si>
  <si>
    <t>캐나다 중은 기준금리 2.75% 동결</t>
  </si>
  <si>
    <t>https://blog.naver.com/PostView.naver?blogId=torontorealestate&amp;logNo=223889064794&amp;redirect=Dlog&amp;widgetTypeCall=true&amp;directAccess=false</t>
  </si>
  <si>
    <t>이미주, ‘놀면 뭐하니?’ 하차 이유와 마지막 순간들 공개</t>
  </si>
  <si>
    <t>https://blog.naver.com/PostView.naver?blogId=cleanworldon&amp;logNo=223888091270&amp;redirect=Dlog&amp;widgetTypeCall=true&amp;directAccess=false</t>
  </si>
  <si>
    <t>법률사무소 메이데이</t>
  </si>
  <si>
    <t>서울 신당동 봉제공장 방화 추정 화재... 60대 직원 사망- 법률사무소 메이데이 유재원 변호사</t>
  </si>
  <si>
    <t>https://blog.naver.com/PostView.naver?blogId=mayday888&amp;logNo=223888072918&amp;redirect=Dlog&amp;widgetTypeCall=true&amp;directAccess=false</t>
  </si>
  <si>
    <t>미디어리터러시</t>
  </si>
  <si>
    <t>모두에게 이로운 기후 저널리즘을 위하여</t>
  </si>
  <si>
    <t>https://blog.naver.com/PostView.naver?blogId=kpf11&amp;logNo=223743254376&amp;redirect=Dlog&amp;widgetTypeCall=true&amp;directAccess=false</t>
  </si>
  <si>
    <t>범법자가 대통령으로 당선된 비상식적인 나라-한국의 정치풍조-犯罪者が大統領に当選した非常識な国·韓国の政治風潮-사회갈등-편가르기-좌우파갈라치기-화합사회와 멀어져</t>
  </si>
  <si>
    <t>https://blog.naver.com/PostView.naver?blogId=danbeenongbu&amp;logNo=223887908493&amp;redirect=Dlog&amp;widgetTypeCall=true&amp;directAccess=false</t>
  </si>
  <si>
    <t>차나</t>
  </si>
  <si>
    <t>돈 밝히는 세계사를 읽고...</t>
  </si>
  <si>
    <t>https://blog.naver.com/PostView.naver?blogId=scj3150&amp;logNo=223887856385&amp;redirect=Dlog&amp;widgetTypeCall=true&amp;directAccess=false</t>
  </si>
  <si>
    <t>2025년 6월 4일 (수) 한국일보 지면기사</t>
  </si>
  <si>
    <t>https://blog.naver.com/PostView.naver?blogId=theblock101&amp;logNo=223887837432&amp;redirect=Dlog&amp;widgetTypeCall=true&amp;directAccess=false</t>
  </si>
  <si>
    <t>[2025] 김문수, 승복 선언 "이재명 후보님 축하 드린다...국민 선택 겸허히 수용"</t>
  </si>
  <si>
    <t>https://blog.naver.com/PostView.naver?blogId=kbs4677&amp;logNo=223887818229&amp;redirect=Dlog&amp;widgetTypeCall=true&amp;directAccess=false</t>
  </si>
  <si>
    <t>담바우</t>
  </si>
  <si>
    <t>250604 이재명 21대 대통령 당선 확정… 3년만의 정권교체</t>
  </si>
  <si>
    <t>https://blog.naver.com/PostView.naver?blogId=dambau6210&amp;logNo=223887809061&amp;redirect=Dlog&amp;widgetTypeCall=true&amp;directAccess=false</t>
  </si>
  <si>
    <t>AI 일자리 전망 : 오바마 전 대통령의 경고</t>
  </si>
  <si>
    <t>https://blog.naver.com/PostView.naver?blogId=police1965&amp;logNo=223887648166&amp;redirect=Dlog&amp;widgetTypeCall=true&amp;directAccess=false</t>
  </si>
  <si>
    <t>이재명, 당선 확정???… 사전투표 분석해 보니</t>
  </si>
  <si>
    <t>https://blog.naver.com/PostView.naver?blogId=lymcall&amp;logNo=223886987569&amp;redirect=Dlog&amp;widgetTypeCall=true&amp;directAccess=false</t>
  </si>
  <si>
    <t>바이러시아24</t>
  </si>
  <si>
    <t>2025년 6월 3일 (화) 한국일보 지면기사</t>
  </si>
  <si>
    <t>https://blog.naver.com/PostView.naver?blogId=theblock101&amp;logNo=223886858602&amp;redirect=Dlog&amp;widgetTypeCall=true&amp;directAccess=false</t>
  </si>
  <si>
    <t>김 차장 “대통령이 지시”… 윤석열 악재 등장했다</t>
  </si>
  <si>
    <t>https://blog.naver.com/PostView.naver?blogId=koreakwh1&amp;logNo=223886680671&amp;redirect=Dlog&amp;widgetTypeCall=true&amp;directAccess=false</t>
  </si>
  <si>
    <t>니나노연대기</t>
  </si>
  <si>
    <t>이준석 "김문수 이미 졌다. 단일화해도 승산 없어"</t>
  </si>
  <si>
    <t>https://blog.naver.com/PostView.naver?blogId=sonar&amp;logNo=223886528978&amp;redirect=Dlog&amp;widgetTypeCall=true&amp;directAccess=false</t>
  </si>
  <si>
    <t>태태의 공부방</t>
  </si>
  <si>
    <t>[6월 2일 금융 뉴스 보고서] "외국인 '부동산 싹쓸이' 우려에...오세훈 "내국인 피해 없도록 대책 마련""</t>
  </si>
  <si>
    <t>https://blog.naver.com/PostView.naver?blogId=financial1325&amp;logNo=223886486451&amp;redirect=Dlog&amp;widgetTypeCall=true&amp;directAccess=false</t>
  </si>
  <si>
    <t>이상호</t>
  </si>
  <si>
    <t>Kundera</t>
  </si>
  <si>
    <t>그들의 의리, 김성훈과 윤석열 "비화폰 (삭제) 조치해야지?"</t>
  </si>
  <si>
    <t>https://blog.naver.com/PostView.naver?blogId=stenka25&amp;logNo=223885792495&amp;redirect=Dlog&amp;widgetTypeCall=true&amp;directAccess=false</t>
  </si>
  <si>
    <t>mei</t>
  </si>
  <si>
    <t>8. 아기공룡 둘리- 너와 나 그리고 우리                                /   comic- 길동의 게스 데님 팬츠</t>
  </si>
  <si>
    <t>https://blog.naver.com/PostView.naver?blogId=mimei83&amp;logNo=223885344916&amp;redirect=Dlog&amp;widgetTypeCall=true&amp;directAccess=false</t>
  </si>
  <si>
    <t>해외진출이 답이다</t>
  </si>
  <si>
    <t>미국인들의 영국 이민 증가</t>
  </si>
  <si>
    <t>https://blog.naver.com/PostView.naver?blogId=steveyeom&amp;logNo=223885315842&amp;redirect=Dlog&amp;widgetTypeCall=true&amp;directAccess=false</t>
  </si>
  <si>
    <t>오양심</t>
  </si>
  <si>
    <t>[칼럼] 칼럼이란 무엇인가?</t>
  </si>
  <si>
    <t>https://blog.naver.com/PostView.naver?blogId=dhdidtla&amp;logNo=223885171560&amp;redirect=Dlog&amp;widgetTypeCall=true&amp;directAccess=false</t>
  </si>
  <si>
    <t>블론디(만화) / Blondie(comic strip)</t>
  </si>
  <si>
    <t>https://blog.naver.com/PostView.naver?blogId=philatelia&amp;logNo=223884886785&amp;redirect=Dlog&amp;widgetTypeCall=true&amp;directAccess=false</t>
  </si>
  <si>
    <t>서울신문</t>
  </si>
  <si>
    <t>김지수</t>
  </si>
  <si>
    <t>이근배 시인 인터뷰 : "한국은 문학의 나라" - 세계인들 K-팝 드라마 영화 소설 시에 열광하는 원천</t>
  </si>
  <si>
    <t>https://blog.naver.com/PostView.naver?blogId=with_jihosu&amp;logNo=223917189482&amp;redirect=Dlog&amp;widgetTypeCall=true&amp;directAccess=false</t>
  </si>
  <si>
    <t>〔5640〕  ‘모두의 대통령’ 성패 여부는 인사다/ 이종락 상임고문/ 서울신문 2025. 6. 6.</t>
  </si>
  <si>
    <t>https://blog.naver.com/PostView.naver?blogId=kje06&amp;logNo=223916455509&amp;redirect=Dlog&amp;widgetTypeCall=true&amp;directAccess=false</t>
  </si>
  <si>
    <t>〔4640〕  온라인동영상서비스(OTT)/ 전경하 논설위원/ 서울신문 2025. 6. 30.</t>
  </si>
  <si>
    <t>https://blog.naver.com/PostView.naver?blogId=kje06&amp;logNo=223916442546&amp;redirect=Dlog&amp;widgetTypeCall=true&amp;directAccess=false</t>
  </si>
  <si>
    <t>2025년 6월 30일 (월) 서울신문</t>
  </si>
  <si>
    <t>https://blog.naver.com/PostView.naver?blogId=theblock101&amp;logNo=223916178126&amp;redirect=Dlog&amp;widgetTypeCall=true&amp;directAccess=false</t>
  </si>
  <si>
    <t>“운동 안 해도 근력 향상”…‘놀라운 효과’ 입증된 베타인, 이 음식에 풍부</t>
  </si>
  <si>
    <t>https://blog.naver.com/PostView.naver?blogId=dwyun60&amp;logNo=223916138436&amp;redirect=Dlog&amp;widgetTypeCall=true&amp;directAccess=false</t>
  </si>
  <si>
    <t>KangPoomdal</t>
  </si>
  <si>
    <t>정동길</t>
  </si>
  <si>
    <t>https://blog.naver.com/PostView.naver?blogId=kangpoomdal&amp;logNo=223915829880&amp;redirect=Dlog&amp;widgetTypeCall=true&amp;directAccess=false</t>
  </si>
  <si>
    <t>“단 거 많이 안 먹는데 당뇨병 걸려”…‘이 직업’ 발병 위험 높다</t>
  </si>
  <si>
    <t>https://blog.naver.com/PostView.naver?blogId=dwyun60&amp;logNo=223915532293&amp;redirect=Dlog&amp;widgetTypeCall=true&amp;directAccess=false</t>
  </si>
  <si>
    <t>아처 길가메쉬</t>
  </si>
  <si>
    <t>2025년 상반기 정리</t>
  </si>
  <si>
    <t>https://blog.naver.com/PostView.naver?blogId=tnqhch96&amp;logNo=223915485442&amp;redirect=Dlog&amp;widgetTypeCall=true&amp;directAccess=false</t>
  </si>
  <si>
    <t>정희선(1955년 6월 6일~)은 대한민국의 법과학자로 국립과학수사연구원의 초대 원장을 역임했다. 성균관대학교 과학수사학과 석좌교수이며, 한국여성과학기술단체총연합회 회장이다.[1]</t>
  </si>
  <si>
    <t>https://blog.naver.com/PostView.naver?blogId=59misookpak&amp;logNo=223915350545&amp;redirect=Dlog&amp;widgetTypeCall=true&amp;directAccess=false</t>
  </si>
  <si>
    <t>사옹베리</t>
  </si>
  <si>
    <t>6월 29일, 6.29 선언 그리고 삼풍백화점 붕괴</t>
  </si>
  <si>
    <t>https://blog.naver.com/PostView.naver?blogId=saong50&amp;logNo=223915211418&amp;redirect=Dlog&amp;widgetTypeCall=true&amp;directAccess=false</t>
  </si>
  <si>
    <t>채돌이 아빠</t>
  </si>
  <si>
    <t>[부동산 이야기] 더 좋은 곳에 살고 싶다는 자연스런 열망과 규제</t>
  </si>
  <si>
    <t>https://blog.naver.com/PostView.naver?blogId=bhy2078&amp;logNo=223914086132&amp;redirect=Dlog&amp;widgetTypeCall=true&amp;directAccess=false</t>
  </si>
  <si>
    <t>우리 안엔 해충이 너무 많다.</t>
  </si>
  <si>
    <t>https://blog.naver.com/PostView.naver?blogId=sisi2621&amp;logNo=223914357969&amp;redirect=Dlog&amp;widgetTypeCall=true&amp;directAccess=false</t>
  </si>
  <si>
    <t>〔4635〕   무명의 '일본인' 선교사/ 김미경 논설위원/ 서울신문 2025. 6. 25.</t>
  </si>
  <si>
    <t>https://blog.naver.com/PostView.naver?blogId=kje06&amp;logNo=223914199026&amp;redirect=Dlog&amp;widgetTypeCall=true&amp;directAccess=false</t>
  </si>
  <si>
    <t>〔4634〕   몸의 진실/ 오일만 논설위원/ 서울신문 2025. 6. 27.</t>
  </si>
  <si>
    <t>https://blog.naver.com/PostView.naver?blogId=kje06&amp;logNo=223914194102&amp;redirect=Dlog&amp;widgetTypeCall=true&amp;directAccess=false</t>
  </si>
  <si>
    <t>6월 27일(금) 오늘의 증시현황 특징주 마감시황</t>
  </si>
  <si>
    <t>https://blog.naver.com/PostView.naver?blogId=sbandy75&amp;logNo=223913932531&amp;redirect=Dlog&amp;widgetTypeCall=true&amp;directAccess=false</t>
  </si>
  <si>
    <t>성장로미</t>
  </si>
  <si>
    <t>소년이 온다/한강/창비</t>
  </si>
  <si>
    <t>https://blog.naver.com/PostView.naver?blogId=loveiistory&amp;logNo=223913917231&amp;redirect=Dlog&amp;widgetTypeCall=true&amp;directAccess=false</t>
  </si>
  <si>
    <t>이반촌농원</t>
  </si>
  <si>
    <t>서울신문 : 전남 토종자원 ‘산돌배’ 기능식품 산업화 전략포럼···‘간 건강 개선 입증’</t>
  </si>
  <si>
    <t>https://blog.naver.com/PostView.naver?blogId=ibcfarm&amp;logNo=223913659543&amp;redirect=Dlog&amp;widgetTypeCall=true&amp;directAccess=false</t>
  </si>
  <si>
    <t>아기 자동차</t>
  </si>
  <si>
    <t>[속보] 인천공항서 30대 남성 추락 사망… “출국 예정 인도네시아인”</t>
  </si>
  <si>
    <t>https://blog.naver.com/PostView.naver?blogId=www5555538&amp;logNo=223913517924&amp;redirect=Dlog&amp;widgetTypeCall=true&amp;directAccess=false</t>
  </si>
  <si>
    <t>[日日新又日新 - 250627] 시정연설 (施政演說)</t>
  </si>
  <si>
    <t>https://blog.naver.com/PostView.naver?blogId=seed_eng&amp;logNo=223913466280&amp;redirect=Dlog&amp;widgetTypeCall=true&amp;directAccess=false</t>
  </si>
  <si>
    <t>지식조각</t>
  </si>
  <si>
    <t>지식조각_250627</t>
  </si>
  <si>
    <t>https://blog.naver.com/PostView.naver?blogId=logi_trade&amp;logNo=223913328365&amp;redirect=Dlog&amp;widgetTypeCall=true&amp;directAccess=false</t>
  </si>
  <si>
    <t>일본 대지진의 전조? 심해어 돗돔 부산서 5마리 잡혀.</t>
  </si>
  <si>
    <t>https://blog.naver.com/PostView.naver?blogId=zeenokim&amp;logNo=223913224097&amp;redirect=Dlog&amp;widgetTypeCall=true&amp;directAccess=false</t>
  </si>
  <si>
    <t>[씨줄날줄] 도마 오른 ‘음서제’ 로스쿨 + [참고적인 지적]</t>
  </si>
  <si>
    <t>https://blog.naver.com/PostView.naver?blogId=kominerba&amp;logNo=223913207597&amp;redirect=Dlog&amp;widgetTypeCall=true&amp;directAccess=false</t>
  </si>
  <si>
    <t>Ethan</t>
  </si>
  <si>
    <t>서울신문 박기석 기자(대통령실 브리핑 룸에서)</t>
  </si>
  <si>
    <t>https://blog.naver.com/PostView.naver?blogId=537sejin&amp;logNo=223913069553&amp;redirect=Dlog&amp;widgetTypeCall=true&amp;directAccess=false</t>
  </si>
  <si>
    <t>항공사 기장,부기장 연봉 궁금해~</t>
  </si>
  <si>
    <t>https://blog.naver.com/PostView.naver?blogId=dignpdlfp702&amp;logNo=223912693523&amp;redirect=Dlog&amp;widgetTypeCall=true&amp;directAccess=false</t>
  </si>
  <si>
    <t>정오의자유인</t>
  </si>
  <si>
    <t>그 배는 정오에 바다로 떠난다 - '르상티망'에 능숙한 사람들 속으로. 에세이 베스트셀러 책 추천 도서 정오의자유인 작가 이우송 에세이</t>
  </si>
  <si>
    <t>https://blog.naver.com/PostView.naver?blogId=masa3252&amp;logNo=223912378609&amp;redirect=Dlog&amp;widgetTypeCall=true&amp;directAccess=false</t>
  </si>
  <si>
    <t>2025년 6월 26일 (목) 서울신문</t>
  </si>
  <si>
    <t>https://blog.naver.com/PostView.naver?blogId=theblock101&amp;logNo=223912058820&amp;redirect=Dlog&amp;widgetTypeCall=true&amp;directAccess=false</t>
  </si>
  <si>
    <t>굿모닝 5분 브리핑-6/26(나토 국방비 증액, eSLR 완화, 엔비디아/테슬라/마이크론, 이란 등)</t>
  </si>
  <si>
    <t>https://blog.naver.com/PostView.naver?blogId=yunebal&amp;logNo=223911988385&amp;redirect=Dlog&amp;widgetTypeCall=true&amp;directAccess=false</t>
  </si>
  <si>
    <t>소백이</t>
  </si>
  <si>
    <t>단양군 ‘유네스코 세계지질공원’ 관광자원화 한다.</t>
  </si>
  <si>
    <t>https://blog.naver.com/PostView.naver?blogId=sbkkjin&amp;logNo=223911972859&amp;redirect=Dlog&amp;widgetTypeCall=true&amp;directAccess=false</t>
  </si>
  <si>
    <t>목마른 사슴</t>
  </si>
  <si>
    <t>홍콩 하늘에 ‘불 무지개’</t>
  </si>
  <si>
    <t>https://blog.naver.com/PostView.naver?blogId=ansoonja1378&amp;logNo=223911651841&amp;redirect=Dlog&amp;widgetTypeCall=true&amp;directAccess=false</t>
  </si>
  <si>
    <t>〔4631〕  또 특수학교 건립 반대… 참 멀기만 한 공동체 의식/ 사설/ 서울신문 2025. 6. 24.</t>
  </si>
  <si>
    <t>https://blog.naver.com/PostView.naver?blogId=kje06&amp;logNo=223911143985&amp;redirect=Dlog&amp;widgetTypeCall=true&amp;directAccess=false</t>
  </si>
  <si>
    <t>〔5631〕   대통령 인사라인에 레드팀이 필요한 이유/ 최광숙 논설위원/ 서울신문 2025. 6. 25.</t>
  </si>
  <si>
    <t>https://blog.naver.com/PostView.naver?blogId=kje06&amp;logNo=223911135297&amp;redirect=Dlog&amp;widgetTypeCall=true&amp;directAccess=false</t>
  </si>
  <si>
    <t>영화가 현실이 된…미 공군, B-2 폭격기 출발과 도착</t>
  </si>
  <si>
    <t>https://blog.naver.com/PostView.naver?blogId=ansoonja1378&amp;logNo=223911097983&amp;redirect=Dlog&amp;widgetTypeCall=true&amp;directAccess=false</t>
  </si>
  <si>
    <t>패인초</t>
  </si>
  <si>
    <t>충격적인 다음세대 국가관</t>
  </si>
  <si>
    <t>https://blog.naver.com/PostView.naver?blogId=iciam&amp;logNo=223911057237&amp;redirect=Dlog&amp;widgetTypeCall=true&amp;directAccess=false</t>
  </si>
  <si>
    <t>몽웅</t>
  </si>
  <si>
    <t>[서울신문 인구포럼 2025] 서울신문 인구포럼 서포터즈-2일차 후기</t>
  </si>
  <si>
    <t>https://blog.naver.com/PostView.naver?blogId=mongbear_&amp;logNo=223910481623&amp;redirect=Dlog&amp;widgetTypeCall=true&amp;directAccess=false</t>
  </si>
  <si>
    <t>주가 3000시대 어떻게 봐야 하나?</t>
  </si>
  <si>
    <t>https://blog.naver.com/PostView.naver?blogId=jjoodol&amp;logNo=223910640817&amp;redirect=Dlog&amp;widgetTypeCall=true&amp;directAccess=false</t>
  </si>
  <si>
    <t>[서울신문 인구포럼 2025] 서울신문 인구포럼 서포터즈-1일차 후기</t>
  </si>
  <si>
    <t>https://blog.naver.com/PostView.naver?blogId=mongbear_&amp;logNo=223910410347&amp;redirect=Dlog&amp;widgetTypeCall=true&amp;directAccess=false</t>
  </si>
  <si>
    <t>지상 최대 카메라로 찍은 첫 우주 사진 공개…확대할수록 별이 늘어나네</t>
  </si>
  <si>
    <t>https://blog.naver.com/PostView.naver?blogId=kigg4955&amp;logNo=223910220040&amp;redirect=Dlog&amp;widgetTypeCall=true&amp;directAccess=false</t>
  </si>
  <si>
    <t>아하그래요</t>
  </si>
  <si>
    <t>[Scrap] 美 B-2 폭격기 조종사들, ‘기내식 선택’도 신중…이유는?</t>
  </si>
  <si>
    <t>https://blog.naver.com/PostView.naver?blogId=solidkim&amp;logNo=223910120678&amp;redirect=Dlog&amp;widgetTypeCall=true&amp;directAccess=false</t>
  </si>
  <si>
    <t>지운찡</t>
  </si>
  <si>
    <t>5월 19일 연대 트랙 400/200인터벌</t>
  </si>
  <si>
    <t>https://blog.naver.com/PostView.naver?blogId=chun9898&amp;logNo=223910050777&amp;redirect=Dlog&amp;widgetTypeCall=true&amp;directAccess=false</t>
  </si>
  <si>
    <t>영천대성주유소충전소</t>
  </si>
  <si>
    <t>日 사흘간 '295회' 흔들렸다…"7월 대지진, 현실되나" 공포[서울신문]</t>
  </si>
  <si>
    <t>https://blog.naver.com/PostView.naver?blogId=daesung-gas-station&amp;logNo=223909625608&amp;redirect=Dlog&amp;widgetTypeCall=true&amp;directAccess=false</t>
  </si>
  <si>
    <t>코요태 신지, 늦은결혼식 부디 행복한 삶 오래 이루길.</t>
  </si>
  <si>
    <t>https://blog.naver.com/PostView.naver?blogId=differance-dolly&amp;logNo=223909267659&amp;redirect=Dlog&amp;widgetTypeCall=true&amp;directAccess=false</t>
  </si>
  <si>
    <t>양파룽</t>
  </si>
  <si>
    <t>[마라톤] 2025 서울신문 하프마라톤 5km 달린 후기</t>
  </si>
  <si>
    <t>https://blog.naver.com/PostView.naver?blogId=autumn8_24_&amp;logNo=223909592988&amp;redirect=Dlog&amp;widgetTypeCall=true&amp;directAccess=false</t>
  </si>
  <si>
    <t>[칼럼베껴쓰기 1265] 모사드 암살 작전/홍희경 논설위원/서울신문/2025 06 17</t>
  </si>
  <si>
    <t>https://blog.naver.com/PostView.naver?blogId=sacuja1&amp;logNo=223909588557&amp;redirect=Dlog&amp;widgetTypeCall=true&amp;directAccess=false</t>
  </si>
  <si>
    <t>남성 가사·육아시간 길수록 출산율 증가 … 현금 지원은 효과 미미</t>
  </si>
  <si>
    <t>https://blog.naver.com/PostView.naver?blogId=printingconsultant&amp;logNo=223909478947&amp;redirect=Dlog&amp;widgetTypeCall=true&amp;directAccess=false</t>
  </si>
  <si>
    <t>모리조</t>
  </si>
  <si>
    <t>20250623 모기 멸종 가능할지도?</t>
  </si>
  <si>
    <t>https://blog.naver.com/PostView.naver?blogId=morisot12&amp;logNo=223909284903&amp;redirect=Dlog&amp;widgetTypeCall=true&amp;directAccess=false</t>
  </si>
  <si>
    <t>승은</t>
  </si>
  <si>
    <t>서울신문 인구포럼 서포터즈 후기/강연 내용 - 1일차</t>
  </si>
  <si>
    <t>https://blog.naver.com/PostView.naver?blogId=booboo100000&amp;logNo=223909264176&amp;redirect=Dlog&amp;widgetTypeCall=true&amp;directAccess=false</t>
  </si>
  <si>
    <t>황금전문가 신종기</t>
  </si>
  <si>
    <t>코요테 신지, 내년 ‘7세 연하’ 동료 가수와 결혼…“웨딩촬영 포착” / 서울신문</t>
  </si>
  <si>
    <t>https://blog.naver.com/PostView.naver?blogId=haein28&amp;logNo=223909018606&amp;redirect=Dlog&amp;widgetTypeCall=true&amp;directAccess=false</t>
  </si>
  <si>
    <t>시 쓰는 남자</t>
  </si>
  <si>
    <t>송덕 김세종 박사와 서라벌예대 / 정신재</t>
  </si>
  <si>
    <t>https://blog.naver.com/PostView.naver?blogId=surabolj&amp;logNo=223908983961&amp;redirect=Dlog&amp;widgetTypeCall=true&amp;directAccess=false</t>
  </si>
  <si>
    <t>박찬대 당대표 출마 선언…“이젠 제가 이재명 대통령 곁 지킬 것”</t>
  </si>
  <si>
    <t>https://blog.naver.com/PostView.naver?blogId=samo2001&amp;logNo=223908924900&amp;redirect=Dlog&amp;widgetTypeCall=true&amp;directAccess=false</t>
  </si>
  <si>
    <t>골목여행가김씨</t>
  </si>
  <si>
    <t>첫 번째 동네, 서울시 종로구 수송동</t>
  </si>
  <si>
    <t>https://blog.naver.com/PostView.naver?blogId=gmic64&amp;logNo=223908867288&amp;redirect=Dlog&amp;widgetTypeCall=true&amp;directAccess=false</t>
  </si>
  <si>
    <t>BTS 슈가, 세브란스에 50억 기부.. 연예인 역대 최고액</t>
  </si>
  <si>
    <t>https://blog.naver.com/PostView.naver?blogId=goodlife_me&amp;logNo=223908455225&amp;redirect=Dlog&amp;widgetTypeCall=true&amp;directAccess=false</t>
  </si>
  <si>
    <t>박진 KDI</t>
  </si>
  <si>
    <t>(서울신문) 외국인 고용허가 확대는 불필요하나 영주권 문턱은 낮출 필요</t>
  </si>
  <si>
    <t>https://blog.naver.com/PostView.naver?blogId=jinparkinkr&amp;logNo=223908240911&amp;redirect=Dlog&amp;widgetTypeCall=true&amp;directAccess=false</t>
  </si>
  <si>
    <t>일요서울</t>
  </si>
  <si>
    <t>삼양식품,  ‘불닭’ 年 8.3억 개 생산 밀양 제2공장 가동…. 매운맛은 시작도 안 했다.</t>
  </si>
  <si>
    <t>https://blog.naver.com/PostView.naver?blogId=ilyoseouli&amp;logNo=223908004634&amp;redirect=Dlog&amp;widgetTypeCall=true&amp;directAccess=false</t>
  </si>
  <si>
    <t>인천 송도서 불교 선명상대회…진우 스님 강연, 선명상 실참 등 진행</t>
  </si>
  <si>
    <t>https://blog.naver.com/PostView.naver?blogId=dwyun60&amp;logNo=223907464446&amp;redirect=Dlog&amp;widgetTypeCall=true&amp;directAccess=false</t>
  </si>
  <si>
    <t>세계 유일 'DMZ 자전거 랠리', 연천서 성황리 개최 - 연천뉴스</t>
  </si>
  <si>
    <t>https://blog.naver.com/PostView.naver?blogId=wonsun1963&amp;logNo=223907216912&amp;redirect=Dlog&amp;widgetTypeCall=true&amp;directAccess=false</t>
  </si>
  <si>
    <t>최상철의 사색</t>
  </si>
  <si>
    <t>26 신라_경주/남산_최치원</t>
  </si>
  <si>
    <t>https://blog.naver.com/PostView.naver?blogId=csc3123&amp;logNo=223907188459&amp;redirect=Dlog&amp;widgetTypeCall=true&amp;directAccess=false</t>
  </si>
  <si>
    <t>“저와 우리 구독자는 상승장의 다음을 생각합니다” 의 영상 요약</t>
  </si>
  <si>
    <t>https://blog.naver.com/PostView.naver?blogId=lucidjun&amp;logNo=223907100580&amp;redirect=Dlog&amp;widgetTypeCall=true&amp;directAccess=false</t>
  </si>
  <si>
    <t>종이처럼 얇아진 아버지 발자국들을 나는 몰래 주워 담았다</t>
  </si>
  <si>
    <t>https://blog.naver.com/PostView.naver?blogId=kje06&amp;logNo=223906903316&amp;redirect=Dlog&amp;widgetTypeCall=true&amp;directAccess=false</t>
  </si>
  <si>
    <t>내려가는 길은 지도 어디에도 없다</t>
  </si>
  <si>
    <t>https://blog.naver.com/PostView.naver?blogId=kje06&amp;logNo=223906900345&amp;redirect=Dlog&amp;widgetTypeCall=true&amp;directAccess=false</t>
  </si>
  <si>
    <t>〔5623〕  민생지원금과 '오버턴의 창'/ 홍희경 논설위원/ 서울신문 2025. 6. 19.</t>
  </si>
  <si>
    <t>https://blog.naver.com/PostView.naver?blogId=kje06&amp;logNo=223906895522&amp;redirect=Dlog&amp;widgetTypeCall=true&amp;directAccess=false</t>
  </si>
  <si>
    <t>〔5622〕  진관사 태극기/ 이종락 상임고문/ 서울신문 2025. 6. 9.</t>
  </si>
  <si>
    <t>https://blog.naver.com/PostView.naver?blogId=kje06&amp;logNo=223906890460&amp;redirect=Dlog&amp;widgetTypeCall=true&amp;directAccess=false</t>
  </si>
  <si>
    <t>[포착] 마치 폭격 당한 듯…일론 머스크의 우주선 ‘스타십’ 테스트 중 대폭발 (영상)</t>
  </si>
  <si>
    <t>https://blog.naver.com/PostView.naver?blogId=meangju2020&amp;logNo=223905974218&amp;redirect=Dlog&amp;widgetTypeCall=true&amp;directAccess=false</t>
  </si>
  <si>
    <t>leekh850</t>
  </si>
  <si>
    <t>시인 허홍구를 말한다 외4편 / 권천학 시인</t>
  </si>
  <si>
    <t>https://blog.naver.com/PostView.naver?blogId=leekh850&amp;logNo=223905631033&amp;redirect=Dlog&amp;widgetTypeCall=true&amp;directAccess=false</t>
  </si>
  <si>
    <t>20250620 경제단어인증 10일차</t>
  </si>
  <si>
    <t>https://blog.naver.com/PostView.naver?blogId=lovely_618&amp;logNo=223905602238&amp;redirect=Dlog&amp;widgetTypeCall=true&amp;directAccess=false</t>
  </si>
  <si>
    <t>“새 국보, 보물 탄생하셨네”…영천 청제비 국보 지정</t>
  </si>
  <si>
    <t>https://blog.naver.com/PostView.naver?blogId=dwyun60&amp;logNo=223905575125&amp;redirect=Dlog&amp;widgetTypeCall=true&amp;directAccess=false</t>
  </si>
  <si>
    <t>할 수 있SUH</t>
  </si>
  <si>
    <t>[2025년 봄의 기록_5월(2)]</t>
  </si>
  <si>
    <t>https://blog.naver.com/PostView.naver?blogId=suh_should&amp;logNo=223905516899&amp;redirect=Dlog&amp;widgetTypeCall=true&amp;directAccess=false</t>
  </si>
  <si>
    <t>퓰리처상(2025)_더그 밀스(Doug Mills)</t>
  </si>
  <si>
    <t>https://blog.naver.com/PostView.naver?blogId=meta_com&amp;logNo=223905483768&amp;redirect=Dlog&amp;widgetTypeCall=true&amp;directAccess=false</t>
  </si>
  <si>
    <t>[브랜드 역사] 패스포트 위스키 브랜드 역사</t>
  </si>
  <si>
    <t>https://blog.naver.com/PostView.naver?blogId=msp3441&amp;logNo=223898785554&amp;redirect=Dlog&amp;widgetTypeCall=true&amp;directAccess=false</t>
  </si>
  <si>
    <t>백종원의 끝없는 할인 행사, 진정한 상생은 어디에?  (....)</t>
  </si>
  <si>
    <t>https://blog.naver.com/PostView.naver?blogId=zarzayo&amp;logNo=223904317796&amp;redirect=Dlog&amp;widgetTypeCall=true&amp;directAccess=false</t>
  </si>
  <si>
    <t>jodorae</t>
  </si>
  <si>
    <t>2025년 서울 신문 하프마라톤 10km 참가 후기</t>
  </si>
  <si>
    <t>https://blog.naver.com/PostView.naver?blogId=jodorae&amp;logNo=223904063751&amp;redirect=Dlog&amp;widgetTypeCall=true&amp;directAccess=false</t>
  </si>
  <si>
    <t>태국 코로나 재확산과 한국의 여름철 유행 가능성</t>
  </si>
  <si>
    <t>https://blog.naver.com/PostView.naver?blogId=forever4forest&amp;logNo=223904004834&amp;redirect=Dlog&amp;widgetTypeCall=true&amp;directAccess=false</t>
  </si>
  <si>
    <t>20대경제생활</t>
  </si>
  <si>
    <t>2025 서울신문 제1회 서울리더스금융포럼 참여 후기</t>
  </si>
  <si>
    <t>https://blog.naver.com/PostView.naver?blogId=qawsed864&amp;logNo=223903965116&amp;redirect=Dlog&amp;widgetTypeCall=true&amp;directAccess=false</t>
  </si>
  <si>
    <t>스테이블코인 “여름이 지나면 국회에서 본격적으로 원화 스테이블코인 관련 입법이나 규율 체계 마련의 진도가 나갈 것으로 본다”</t>
  </si>
  <si>
    <t>https://blog.naver.com/PostView.naver?blogId=youseok0&amp;logNo=223903877301&amp;redirect=Dlog&amp;widgetTypeCall=true&amp;directAccess=false</t>
  </si>
  <si>
    <t>도도</t>
  </si>
  <si>
    <t>말실수가 두려운 사람을 위한 우리말 사용법</t>
  </si>
  <si>
    <t>https://blog.naver.com/PostView.naver?blogId=sade64&amp;logNo=223903467577&amp;redirect=Dlog&amp;widgetTypeCall=true&amp;directAccess=false</t>
  </si>
  <si>
    <t>[포착] 이란 미사일, 이스라엘 모사드 본부에 ‘쾅’?…“맹렬한 보복 공격”</t>
  </si>
  <si>
    <t>https://blog.naver.com/PostView.naver?blogId=c1c1b1b1&amp;logNo=223903214510&amp;redirect=Dlog&amp;widgetTypeCall=true&amp;directAccess=false</t>
  </si>
  <si>
    <t>더불어민주당 김인제</t>
  </si>
  <si>
    <t>[서울신문] 김인제 서울시의회 부의장, 혈세 1124억원 서울시 금고에 묶여</t>
  </si>
  <si>
    <t>https://blog.naver.com/PostView.naver?blogId=iclicku7&amp;logNo=223903165881&amp;redirect=Dlog&amp;widgetTypeCall=true&amp;directAccess=false</t>
  </si>
  <si>
    <t>한기호</t>
  </si>
  <si>
    <t>오늘 서울국제도서전 개막식에 문체부 장관이나 차관, 담당 국장이나 과장이 참석한다면 나는 그들의 얼굴에 깔려 있는 철판부터 확인해볼 생각이다.</t>
  </si>
  <si>
    <t>https://blog.naver.com/PostView.naver?blogId=khhan21&amp;logNo=223902974405&amp;redirect=Dlog&amp;widgetTypeCall=true&amp;directAccess=false</t>
  </si>
  <si>
    <t>2025년 6월 17일, 이란 전역 출국 권고에 대한 X 반응.</t>
  </si>
  <si>
    <t>https://blog.naver.com/PostView.naver?blogId=shinswoong75&amp;logNo=223902751581&amp;redirect=Dlog&amp;widgetTypeCall=true&amp;directAccess=false</t>
  </si>
  <si>
    <t>큰나무</t>
  </si>
  <si>
    <t>6월의 감자 -포슬포슬 감자 삶기</t>
  </si>
  <si>
    <t>https://blog.naver.com/PostView.naver?blogId=10km1hour&amp;logNo=223902715613&amp;redirect=Dlog&amp;widgetTypeCall=true&amp;directAccess=false</t>
  </si>
  <si>
    <t>euetheia</t>
  </si>
  <si>
    <t>뉴욕의 거장들: 잭슨 폴록과 마크 로스코의 친구들</t>
  </si>
  <si>
    <t>https://blog.naver.com/PostView.naver?blogId=euetheia&amp;logNo=223902593333&amp;redirect=Dlog&amp;widgetTypeCall=true&amp;directAccess=false</t>
  </si>
  <si>
    <t>king2020522</t>
  </si>
  <si>
    <t>호반 그룹</t>
  </si>
  <si>
    <t>https://blog.naver.com/PostView.naver?blogId=king2020522&amp;logNo=223902498476&amp;redirect=Dlog&amp;widgetTypeCall=true&amp;directAccess=false</t>
  </si>
  <si>
    <t>불자와 함께 4년여 ‘화엄경’ 정진…해인사, 2029년까지 화엄경 완독 법회 진행</t>
  </si>
  <si>
    <t>https://blog.naver.com/PostView.naver?blogId=dwyun60&amp;logNo=223902412129&amp;redirect=Dlog&amp;widgetTypeCall=true&amp;directAccess=false</t>
  </si>
  <si>
    <t>“암 예방하고, 살도 뺀다”…레몬 껍질 속 ‘이 성분’ 놀라운 효과</t>
  </si>
  <si>
    <t>https://blog.naver.com/PostView.naver?blogId=dwyun60&amp;logNo=223902409956&amp;redirect=Dlog&amp;widgetTypeCall=true&amp;directAccess=false</t>
  </si>
  <si>
    <t>bliss</t>
  </si>
  <si>
    <t>"전직 대통령 퇴임연금 수령은 문재인 대통령이 유일하다." 라는 헛소문</t>
  </si>
  <si>
    <t>https://blog.naver.com/PostView.naver?blogId=qowja24&amp;logNo=223902259573&amp;redirect=Dlog&amp;widgetTypeCall=true&amp;directAccess=false</t>
  </si>
  <si>
    <t>심사위원</t>
  </si>
  <si>
    <t>호모 체어쿠스</t>
  </si>
  <si>
    <t>https://blog.naver.com/PostView.naver?blogId=smryu1&amp;logNo=223902028779&amp;redirect=Dlog&amp;widgetTypeCall=true&amp;directAccess=false</t>
  </si>
  <si>
    <t>STYLER 주부생활</t>
  </si>
  <si>
    <t>호반그룹 김상열 회장이 35년 만에그룹을 일군 비결</t>
  </si>
  <si>
    <t>https://blog.naver.com/PostView.naver?blogId=stylerpost&amp;logNo=223901940654&amp;redirect=Dlog&amp;widgetTypeCall=true&amp;directAccess=false</t>
  </si>
  <si>
    <t>[Scrap] 무인 경비행기로 폭탄 글라이더 끌고 가 ‘쾅’…우크라, 기상천외 드론 공습입력2025.06.17. 오전 10:23 기사원문</t>
  </si>
  <si>
    <t>https://blog.naver.com/PostView.naver?blogId=solidkim&amp;logNo=223901928535&amp;redirect=Dlog&amp;widgetTypeCall=true&amp;directAccess=false</t>
  </si>
  <si>
    <t>경기도의원 오준환</t>
  </si>
  <si>
    <t>[2025.06.16] 오준환 경기도의원, 개발이익도민환원기금 다쓰면 내년에는 어쩌나…대책 마련 촉구</t>
  </si>
  <si>
    <t>https://blog.naver.com/PostView.naver?blogId=o_jh2056&amp;logNo=223901870381&amp;redirect=Dlog&amp;widgetTypeCall=true&amp;directAccess=false</t>
  </si>
  <si>
    <t>중국서 1200년 전 신라 왕족 무덤 첫 확인</t>
  </si>
  <si>
    <t>https://blog.naver.com/PostView.naver?blogId=dwyun60&amp;logNo=223901780355&amp;redirect=Dlog&amp;widgetTypeCall=true&amp;directAccess=false</t>
  </si>
  <si>
    <t>[외신 특파원 비판][윤석열 인터뷰 조건][탈레반 수준]"尹 인터뷰 조건, 탈레반 수준이었다"…외신 특파원 작심 비판</t>
  </si>
  <si>
    <t>https://blog.naver.com/PostView.naver?blogId=eithty2&amp;logNo=223901414938&amp;redirect=Dlog&amp;widgetTypeCall=true&amp;directAccess=false</t>
  </si>
  <si>
    <t>juhyeogg06</t>
  </si>
  <si>
    <t>물길따라 떠나는 서울여행[1]-서울의 숨결, 청계천을 따라걷다</t>
  </si>
  <si>
    <t>https://blog.naver.com/PostView.naver?blogId=juhyeogg06&amp;logNo=223901307663&amp;redirect=Dlog&amp;widgetTypeCall=true&amp;directAccess=false</t>
  </si>
  <si>
    <t>장미</t>
  </si>
  <si>
    <t>개망신</t>
  </si>
  <si>
    <t>https://blog.naver.com/PostView.naver?blogId=kks35679&amp;logNo=223901195963&amp;redirect=Dlog&amp;widgetTypeCall=true&amp;directAccess=false</t>
  </si>
  <si>
    <t>민소니</t>
  </si>
  <si>
    <t>05. 시간의 흐름속에서</t>
  </si>
  <si>
    <t>https://blog.naver.com/PostView.naver?blogId=seon2ol&amp;logNo=223900832923&amp;redirect=Dlog&amp;widgetTypeCall=true&amp;directAccess=false</t>
  </si>
  <si>
    <t>“약보다 낫다”…대장암 사망률 37% 낮추는 ‘이것’ 뭐길래</t>
  </si>
  <si>
    <t>https://blog.naver.com/PostView.naver?blogId=dwyun60&amp;logNo=223900829027&amp;redirect=Dlog&amp;widgetTypeCall=true&amp;directAccess=false</t>
  </si>
  <si>
    <t>frogg_99</t>
  </si>
  <si>
    <t>오랜만의 일상블로그⎝ᑒ⎠</t>
  </si>
  <si>
    <t>https://blog.naver.com/PostView.naver?blogId=frogg_99&amp;logNo=223900287256&amp;redirect=Dlog&amp;widgetTypeCall=true&amp;directAccess=false</t>
  </si>
  <si>
    <t>대화지강</t>
  </si>
  <si>
    <t>사진으로 웃음 안긴 日 ‘셀카 할머니’ 별세</t>
  </si>
  <si>
    <t>https://blog.naver.com/PostView.naver?blogId=a2007&amp;logNo=223898952608&amp;redirect=Dlog&amp;widgetTypeCall=true&amp;directAccess=false</t>
  </si>
  <si>
    <t>〔4609〕 원주 여행/ 서동철 논설위원/ 서울신문 2025. 6. 6.</t>
  </si>
  <si>
    <t>https://blog.naver.com/PostView.naver?blogId=kje06&amp;logNo=223899393543&amp;redirect=Dlog&amp;widgetTypeCall=true&amp;directAccess=false</t>
  </si>
  <si>
    <t>〔4608〕 감자꽃이 피면/ 황수정 논설실장/ 서울신문 2025. 6. 10.</t>
  </si>
  <si>
    <t>https://blog.naver.com/PostView.naver?blogId=kje06&amp;logNo=223899389417&amp;redirect=Dlog&amp;widgetTypeCall=true&amp;directAccess=false</t>
  </si>
  <si>
    <t>또래女 성매매 시킨 10대들, 항소심서 징역 3년…피해자는 사망</t>
  </si>
  <si>
    <t>https://blog.naver.com/PostView.naver?blogId=eremoval&amp;logNo=223899369661&amp;redirect=Dlog&amp;widgetTypeCall=true&amp;directAccess=false</t>
  </si>
  <si>
    <t>연우</t>
  </si>
  <si>
    <t>태안 산두리 사구</t>
  </si>
  <si>
    <t>https://blog.naver.com/PostView.naver?blogId=amr370&amp;logNo=223899094403&amp;redirect=Dlog&amp;widgetTypeCall=true&amp;directAccess=false</t>
  </si>
  <si>
    <t>“단 한입에 사망” 충격…몸에 좋은 꿀? ○○에겐 ‘독’</t>
  </si>
  <si>
    <t>https://blog.naver.com/PostView.naver?blogId=dwyun60&amp;logNo=223898989879&amp;redirect=Dlog&amp;widgetTypeCall=true&amp;directAccess=false</t>
  </si>
  <si>
    <t>전남 장흥ㅡ이청준의 ‘눈길’ 읽고 ‘가스마리’ 섬 보고…그들의 ‘문향’ 속으로 스며든다</t>
  </si>
  <si>
    <t>https://blog.naver.com/PostView.naver?blogId=pakunkyu39&amp;logNo=223898472469&amp;redirect=Dlog&amp;widgetTypeCall=true&amp;directAccess=false</t>
  </si>
  <si>
    <t>아부라백작</t>
  </si>
  <si>
    <t>낙화</t>
  </si>
  <si>
    <t>https://blog.naver.com/PostView.naver?blogId=aburajin&amp;logNo=223898412783&amp;redirect=Dlog&amp;widgetTypeCall=true&amp;directAccess=false</t>
  </si>
  <si>
    <t>“중년에 ○○ 타면 뇌가 바뀐다”…‘조기 치매’ 위험 40% ‘뚝’, 뭐길래?</t>
  </si>
  <si>
    <t>https://blog.naver.com/PostView.naver?blogId=dwyun60&amp;logNo=223898404731&amp;redirect=Dlog&amp;widgetTypeCall=true&amp;directAccess=false</t>
  </si>
  <si>
    <t>한국인 혀끝에 행복 충만… 건강도 효자인 신토불이 ‘팥’</t>
  </si>
  <si>
    <t>https://blog.naver.com/PostView.naver?blogId=dwyun60&amp;logNo=223898403667&amp;redirect=Dlog&amp;widgetTypeCall=true&amp;directAccess=false</t>
  </si>
  <si>
    <t>...........</t>
  </si>
  <si>
    <t>https://blog.naver.com/PostView.naver?blogId=limb8757&amp;logNo=223898372019&amp;redirect=Dlog&amp;widgetTypeCall=true&amp;directAccess=false</t>
  </si>
  <si>
    <t>eeh_activity</t>
  </si>
  <si>
    <t>"2025 서울신문 인구포럼", 함께 알아볼까요?</t>
  </si>
  <si>
    <t>https://blog.naver.com/PostView.naver?blogId=eeh_activity&amp;logNo=223898243533&amp;redirect=Dlog&amp;widgetTypeCall=true&amp;directAccess=false</t>
  </si>
  <si>
    <t>부엉이</t>
  </si>
  <si>
    <t>[부부상담] 이혼을 부르는 말투와 태도</t>
  </si>
  <si>
    <t>https://blog.naver.com/PostView.naver?blogId=coldsea911&amp;logNo=223898117201&amp;redirect=Dlog&amp;widgetTypeCall=true&amp;directAccess=false</t>
  </si>
  <si>
    <t>김추경위원장</t>
  </si>
  <si>
    <t>2025.06.13-김영철 서울시의원, ‘100년 미래서울 구상’ 및 강동구 발전방안 논의 간담회 개최</t>
  </si>
  <si>
    <t>https://blog.naver.com/PostView.naver?blogId=po2676000&amp;logNo=223897881354&amp;redirect=Dlog&amp;widgetTypeCall=true&amp;directAccess=false</t>
  </si>
  <si>
    <t>서울 아파트값 급등, 9개월 만에 최고 주간 상승률 기록</t>
  </si>
  <si>
    <t>https://blog.naver.com/PostView.naver?blogId=krsongc2&amp;logNo=223897749161&amp;redirect=Dlog&amp;widgetTypeCall=true&amp;directAccess=false</t>
  </si>
  <si>
    <t>happy joyce</t>
  </si>
  <si>
    <t>나는 달릴 수 없는 사람이라고 믿었다</t>
  </si>
  <si>
    <t>https://blog.naver.com/PostView.naver?blogId=1innovator&amp;logNo=223897702110&amp;redirect=Dlog&amp;widgetTypeCall=true&amp;directAccess=false</t>
  </si>
  <si>
    <t>인도 여객기 추락 폭발해 242명 탑승객 중 2명만 생존.</t>
  </si>
  <si>
    <t>https://blog.naver.com/PostView.naver?blogId=zeenokim&amp;logNo=223897635014&amp;redirect=Dlog&amp;widgetTypeCall=true&amp;directAccess=false</t>
  </si>
  <si>
    <t>6월 12일(목) 오늘의 증시현황 특징주 마감시황</t>
  </si>
  <si>
    <t>https://blog.naver.com/PostView.naver?blogId=sbandy75&amp;logNo=223897157023&amp;redirect=Dlog&amp;widgetTypeCall=true&amp;directAccess=false</t>
  </si>
  <si>
    <t>삼성전자ㆍSK하이닉스까지 난리났다...2분기 실적 전망 '맑음'</t>
  </si>
  <si>
    <t>https://blog.naver.com/PostView.naver?blogId=ilyoseouli&amp;logNo=223896566618&amp;redirect=Dlog&amp;widgetTypeCall=true&amp;directAccess=false</t>
  </si>
  <si>
    <t>국민의힘 국회의원 김성원 프로필 나이 고향 학력 경력 "국민의힘 원내대표 출마"</t>
  </si>
  <si>
    <t>https://blog.naver.com/PostView.naver?blogId=happyair4&amp;logNo=223897034932&amp;redirect=Dlog&amp;widgetTypeCall=true&amp;directAccess=false</t>
  </si>
  <si>
    <t>소총으로 드론 잡겠다는 미 육군…알아서 조준 ‘스마트 스코프’ 도입</t>
  </si>
  <si>
    <t>https://blog.naver.com/PostView.naver?blogId=chkh506&amp;logNo=223896892498&amp;redirect=Dlog&amp;widgetTypeCall=true&amp;directAccess=false</t>
  </si>
  <si>
    <t>tsnconsulting</t>
  </si>
  <si>
    <t>“연봉 아무리 높아도 ‘이런 회사’는 안 간다”…2040이 뽑은 1위는</t>
  </si>
  <si>
    <t>https://blog.naver.com/PostView.naver?blogId=tsnconsulting&amp;logNo=223896529257&amp;redirect=Dlog&amp;widgetTypeCall=true&amp;directAccess=false</t>
  </si>
  <si>
    <t>은지</t>
  </si>
  <si>
    <t>아, 5월은 진짜 열심히 돌아다녔다.</t>
  </si>
  <si>
    <t>https://blog.naver.com/PostView.naver?blogId=vnbm036&amp;logNo=223896242962&amp;redirect=Dlog&amp;widgetTypeCall=true&amp;directAccess=false</t>
  </si>
  <si>
    <t>■1. 차칸...개업공인중개사!배우에서...R전문가로...전직을</t>
  </si>
  <si>
    <t>https://blog.naver.com/PostView.naver?blogId=tapeda&amp;logNo=223895942627&amp;redirect=Dlog&amp;widgetTypeCall=true&amp;directAccess=false</t>
  </si>
  <si>
    <t>30대·40대 ‘맹장암’ 4배 급증…놓치기 쉬운 증상, 주의하세요</t>
  </si>
  <si>
    <t>https://blog.naver.com/PostView.naver?blogId=dwyun60&amp;logNo=223895831049&amp;redirect=Dlog&amp;widgetTypeCall=true&amp;directAccess=false</t>
  </si>
  <si>
    <t>사흘째 Yes24는 NO24다. 랜섬웨어 공격에 서비스 마비…이용자 불편 ‘극심’</t>
  </si>
  <si>
    <t>https://blog.naver.com/PostView.naver?blogId=gkirohamo&amp;logNo=223895401565&amp;redirect=Dlog&amp;widgetTypeCall=true&amp;directAccess=false</t>
  </si>
  <si>
    <t>“6월말 한국도 위험” 변종 확산 중…‘백신 서둘러라’ 경고</t>
  </si>
  <si>
    <t>https://blog.naver.com/PostView.naver?blogId=eremoval&amp;logNo=223895188949&amp;redirect=Dlog&amp;widgetTypeCall=true&amp;directAccess=false</t>
  </si>
  <si>
    <t>인천→쿠마모토 공항서 MDMA 등 합성마약 밀수, 日 유명 음악 프로듀서 긴급 체포 (NHK 외, 250609~10)</t>
  </si>
  <si>
    <t>https://blog.naver.com/PostView.naver?blogId=stardust_74&amp;logNo=223894405350&amp;redirect=Dlog&amp;widgetTypeCall=true&amp;directAccess=false</t>
  </si>
  <si>
    <t>[속보] 조계사 내 화재…소방 “문화재 20여점, 화재 확대 시 반출 고려”</t>
  </si>
  <si>
    <t>https://blog.naver.com/PostView.naver?blogId=samo2001&amp;logNo=223894442497&amp;redirect=Dlog&amp;widgetTypeCall=true&amp;directAccess=false</t>
  </si>
  <si>
    <t>‘스프레이 흡입 챌린지’ 10대 사망 잇따라 외 (6/10)</t>
  </si>
  <si>
    <t>https://blog.naver.com/PostView.naver?blogId=khchojh&amp;logNo=223894270350&amp;redirect=Dlog&amp;widgetTypeCall=true&amp;directAccess=false</t>
  </si>
  <si>
    <t>민구스밥버거</t>
  </si>
  <si>
    <t>LA 불법이민 단속 반대시위, 합법적이민자와 한인사회 피해심각</t>
  </si>
  <si>
    <t>https://blog.naver.com/PostView.naver?blogId=tnrdl5131&amp;logNo=223893882736&amp;redirect=Dlog&amp;widgetTypeCall=true&amp;directAccess=false</t>
  </si>
  <si>
    <t>올더리뷰</t>
  </si>
  <si>
    <t>李대통령, G7회의 간다… 실용외교 초고속 데뷔전 | 서울신문&lt;오늘의뉴스&gt;20250609</t>
  </si>
  <si>
    <t>https://blog.naver.com/PostView.naver?blogId=allthereviews00&amp;logNo=223893515125&amp;redirect=Dlog&amp;widgetTypeCall=true&amp;directAccess=false</t>
  </si>
  <si>
    <t>산돌이</t>
  </si>
  <si>
    <t>양귀비꽃(미사조정경기장)</t>
  </si>
  <si>
    <t>https://blog.naver.com/PostView.naver?blogId=moso21&amp;logNo=223893143788&amp;redirect=Dlog&amp;widgetTypeCall=true&amp;directAccess=false</t>
  </si>
  <si>
    <t>[第7鑛區 검은珍珠] “日정부, 대륙붕 7광구 협정 종료 당분간 보류…신중히 검토”(2025.6.22)</t>
  </si>
  <si>
    <t>https://blog.naver.com/PostView.naver?blogId=zunnukang&amp;logNo=223892971238&amp;redirect=Dlog&amp;widgetTypeCall=true&amp;directAccess=false</t>
  </si>
  <si>
    <t>나나</t>
  </si>
  <si>
    <t>술당탕탕  4-5월 🍻</t>
  </si>
  <si>
    <t>https://blog.naver.com/PostView.naver?blogId=nanazzzi&amp;logNo=223892914908&amp;redirect=Dlog&amp;widgetTypeCall=true&amp;directAccess=false</t>
  </si>
  <si>
    <t>굿모닝 5분 브리핑-6/8~9(트럼프-시진핑/머스크/파월, 비농업고용, 연준의장 후임?, 환율관찰국 등)</t>
  </si>
  <si>
    <t>https://blog.naver.com/PostView.naver?blogId=yunebal&amp;logNo=223892882599&amp;redirect=Dlog&amp;widgetTypeCall=true&amp;directAccess=false</t>
  </si>
  <si>
    <t>‘결혼 지옥’ 만드는 원인 1위…의외의 ‘이 행동’ 때문에 이혼까지 간다</t>
  </si>
  <si>
    <t>https://blog.naver.com/PostView.naver?blogId=dwyun60&amp;logNo=223892896613&amp;redirect=Dlog&amp;widgetTypeCall=true&amp;directAccess=false</t>
  </si>
  <si>
    <t>[단독] 치매 등 고위험 운전자 ‘조건부 운전면허’ 검토</t>
  </si>
  <si>
    <t>https://blog.naver.com/PostView.naver?blogId=dwyun60&amp;logNo=223892895943&amp;redirect=Dlog&amp;widgetTypeCall=true&amp;directAccess=false</t>
  </si>
  <si>
    <t>22-98. 암여부확인 요령3; 잘 때 누구나 한 번쯤 겪은 ‘이것 땀’…암 신호? 충격 경고 나왔다; 백혈병이나 림프종 등 심각한 혈액암의 초기 신호일 수 있다는 주장</t>
  </si>
  <si>
    <t>https://blog.naver.com/PostView.naver?blogId=chkwkim&amp;logNo=223892574705&amp;redirect=Dlog&amp;widgetTypeCall=true&amp;directAccess=false</t>
  </si>
  <si>
    <t>fly_likeme</t>
  </si>
  <si>
    <t>서울신문 하프마라톤 - 인생 첫 10K 마라톤 참가한 날</t>
  </si>
  <si>
    <t>https://blog.naver.com/PostView.naver?blogId=fly_likeme&amp;logNo=223892088379&amp;redirect=Dlog&amp;widgetTypeCall=true&amp;directAccess=false</t>
  </si>
  <si>
    <t>필굿굿럭</t>
  </si>
  <si>
    <t>#대회5 2025년 5월 17일 2025 서울신문 하프마라톤 10K</t>
  </si>
  <si>
    <t>https://blog.naver.com/PostView.naver?blogId=juhyeonryu&amp;logNo=223891389949&amp;redirect=Dlog&amp;widgetTypeCall=true&amp;directAccess=false</t>
  </si>
  <si>
    <t>국민의 주권 의지가 일상적으로 국정에 반영되는</t>
  </si>
  <si>
    <t>https://blog.naver.com/PostView.naver?blogId=kje06&amp;logNo=223891186665&amp;redirect=Dlog&amp;widgetTypeCall=true&amp;directAccess=false</t>
  </si>
  <si>
    <t>친일의 맥락을 이해하기 위해서는  냉정하게 한국 근대사를 볼 필요가 있다. 박용태</t>
  </si>
  <si>
    <t>https://blog.naver.com/PostView.naver?blogId=kimdaisuke&amp;logNo=223891160236&amp;redirect=Dlog&amp;widgetTypeCall=true&amp;directAccess=false</t>
  </si>
  <si>
    <t>첼레스테</t>
  </si>
  <si>
    <t>2025 서울신문하프마라톤 10km 첫 도전 및 완주 후기</t>
  </si>
  <si>
    <t>https://blog.naver.com/PostView.naver?blogId=qfsdrgu&amp;logNo=223890888735&amp;redirect=Dlog&amp;widgetTypeCall=true&amp;directAccess=false</t>
  </si>
  <si>
    <t>〔5553〕 국민주권정부/  김미경 논설위원/ 서울신문 2025. 6. 6.</t>
  </si>
  <si>
    <t>https://blog.naver.com/PostView.naver?blogId=kje06&amp;logNo=223890875117&amp;redirect=Dlog&amp;widgetTypeCall=true&amp;directAccess=false</t>
  </si>
  <si>
    <t>끝말 동그라미</t>
  </si>
  <si>
    <t>1140 순식간에 이루어지는 번역-언어장벽이 없는 세상이 되었다</t>
  </si>
  <si>
    <t>https://blog.naver.com/PostView.naver?blogId=njhuh1211&amp;logNo=223890541414&amp;redirect=Dlog&amp;widgetTypeCall=true&amp;directAccess=false</t>
  </si>
  <si>
    <t>이화영 대북송금 대법 징역 7년 8개월 확정, 이재명은?</t>
  </si>
  <si>
    <t>https://blog.naver.com/PostView.naver?blogId=zeenokim&amp;logNo=223890213196&amp;redirect=Dlog&amp;widgetTypeCall=true&amp;directAccess=false</t>
  </si>
  <si>
    <t>“설마 터질 줄은” 끔찍한 대가, 폭발 부른 ‘이것’…청년 위독 (영상) [포착]</t>
  </si>
  <si>
    <t>https://blog.naver.com/PostView.naver?blogId=etisot&amp;logNo=223890070119&amp;redirect=Dlog&amp;widgetTypeCall=true&amp;directAccess=false</t>
  </si>
  <si>
    <t>〔5551〕 대통령의 1호 행정명령/  이순녀 수석논설위원/ 서울신문 2025. 6. 5.</t>
  </si>
  <si>
    <t>https://blog.naver.com/PostView.naver?blogId=kje06&amp;logNo=223890047436&amp;redirect=Dlog&amp;widgetTypeCall=true&amp;directAccess=false</t>
  </si>
  <si>
    <t>더불어민주당 국회의원 김성환 프로필 나이 고향 학력 경력 "환경부 장관 후보 유력"</t>
  </si>
  <si>
    <t>https://blog.naver.com/PostView.naver?blogId=happyair4&amp;logNo=223889999999&amp;redirect=Dlog&amp;widgetTypeCall=true&amp;directAccess=false</t>
  </si>
  <si>
    <t>한국 대통령 ‘비상계엄’ 선포로 기사회생 노렸나계엄사령관을 임명, 국회의장은 계엄무효를 선언</t>
  </si>
  <si>
    <t>https://blog.naver.com/PostView.naver?blogId=danbeenongbu&amp;logNo=223889801991&amp;redirect=Dlog&amp;widgetTypeCall=true&amp;directAccess=false</t>
  </si>
  <si>
    <t>가장 신중하게 행사되어야 할 권한인 국가 긴급권을 헌법이 정한 범위를 넘어 발동해 국민의 신임을 배반했다는 헌법·법률 위반행위가 헌법을 지킨다는 관점에서 용인할 수 없다고 비판했다</t>
  </si>
  <si>
    <t>https://blog.naver.com/PostView.naver?blogId=danbeenongbu&amp;logNo=223889799530&amp;redirect=Dlog&amp;widgetTypeCall=true&amp;directAccess=false</t>
  </si>
  <si>
    <t>호반그룹, 대한항공 인수전 본격화…문무일 전 검찰총장 역할론 부상 [알파경제]</t>
  </si>
  <si>
    <t>https://blog.naver.com/PostView.naver?blogId=newstogether&amp;logNo=223889721384&amp;redirect=Dlog&amp;widgetTypeCall=true&amp;directAccess=false</t>
  </si>
  <si>
    <t>Ssoya</t>
  </si>
  <si>
    <t>25년 20주차</t>
  </si>
  <si>
    <t>https://blog.naver.com/PostView.naver?blogId=freestyle_15&amp;logNo=223889606945&amp;redirect=Dlog&amp;widgetTypeCall=true&amp;directAccess=false</t>
  </si>
  <si>
    <t>나치의 게슈타포, 이제 부터 진짜 대한민국</t>
  </si>
  <si>
    <t>https://blog.naver.com/PostView.naver?blogId=thsalstn3202&amp;logNo=223889543780&amp;redirect=Dlog&amp;widgetTypeCall=true&amp;directAccess=false</t>
  </si>
  <si>
    <t>[오늘 뉴스] 트럼프 ‘50% 철강 관세’ 발효… 韓 수출 9523억 원 증발 우려(서울신문)</t>
  </si>
  <si>
    <t>https://blog.naver.com/PostView.naver?blogId=beommo5820&amp;logNo=223889260483&amp;redirect=Dlog&amp;widgetTypeCall=true&amp;directAccess=false</t>
  </si>
  <si>
    <t>[현대로템] [두산에너빌리티]  [서울데이터랩]개장 직후 인기 검색 종목 20選</t>
  </si>
  <si>
    <t>https://blog.naver.com/PostView.naver?blogId=kssil1004&amp;logNo=223889198023&amp;redirect=Dlog&amp;widgetTypeCall=true&amp;directAccess=false</t>
  </si>
  <si>
    <t>[포착] 또 인간 탓에…선박과 충돌한 거대 향유고래의 안타까운 죽음</t>
  </si>
  <si>
    <t>https://blog.naver.com/PostView.naver?blogId=chkh506&amp;logNo=223888513712&amp;redirect=Dlog&amp;widgetTypeCall=true&amp;directAccess=false</t>
  </si>
  <si>
    <t>[서울신문] 식기세척기에 ‘이것’ 넣으면 건강에 악영향?…“미세플라스틱 수십만개”</t>
  </si>
  <si>
    <t>https://blog.naver.com/PostView.naver?blogId=jh3370&amp;logNo=223888377763&amp;redirect=Dlog&amp;widgetTypeCall=true&amp;directAccess=false</t>
  </si>
  <si>
    <t>경제윗미 / Day 3 / 기준금리 심화편</t>
  </si>
  <si>
    <t>https://blog.naver.com/PostView.naver?blogId=dohagirl&amp;logNo=223888337991&amp;redirect=Dlog&amp;widgetTypeCall=true&amp;directAccess=false</t>
  </si>
  <si>
    <t>대굴례영</t>
  </si>
  <si>
    <t>202505</t>
  </si>
  <si>
    <t>https://blog.naver.com/PostView.naver?blogId=choihyeng&amp;logNo=223888097849&amp;redirect=Dlog&amp;widgetTypeCall=true&amp;directAccess=false</t>
  </si>
  <si>
    <t>김매력</t>
  </si>
  <si>
    <t>아이와 마라톤 대회 5km 색다른 가족 이벤트로 추천!</t>
  </si>
  <si>
    <t>https://blog.naver.com/PostView.naver?blogId=crazyviolet&amp;logNo=223888068641&amp;redirect=Dlog&amp;widgetTypeCall=true&amp;directAccess=false</t>
  </si>
  <si>
    <t>“건강 위한 장거리 달리기 ‘이 암’ 위험 높인다” 충격 반전, 이유는?</t>
  </si>
  <si>
    <t>https://blog.naver.com/PostView.naver?blogId=dwyun60&amp;logNo=223887951919&amp;redirect=Dlog&amp;widgetTypeCall=true&amp;directAccess=false</t>
  </si>
  <si>
    <t>디제이팍</t>
  </si>
  <si>
    <t>테슬라 이슈 #002</t>
  </si>
  <si>
    <t>https://blog.naver.com/PostView.naver?blogId=positive__attitude&amp;logNo=223887586109&amp;redirect=Dlog&amp;widgetTypeCall=true&amp;directAccess=false</t>
  </si>
  <si>
    <t>[단독] 檢, 건진법사 소환 대선 직후로 미뤄… 김 여사도 부를까</t>
  </si>
  <si>
    <t>https://blog.naver.com/PostView.naver?blogId=clean127&amp;logNo=223886865093&amp;redirect=Dlog&amp;widgetTypeCall=true&amp;directAccess=false</t>
  </si>
  <si>
    <t>2025년 6월 3일 (화) 서울신문 지면기사</t>
  </si>
  <si>
    <t>https://blog.naver.com/PostView.naver?blogId=theblock101&amp;logNo=223886853016&amp;redirect=Dlog&amp;widgetTypeCall=true&amp;directAccess=false</t>
  </si>
  <si>
    <t>‘배천조씨 종택’ 충남도, 등록문화 유산 등록</t>
  </si>
  <si>
    <t>https://blog.naver.com/PostView.naver?blogId=dwyun60&amp;logNo=223886843253&amp;redirect=Dlog&amp;widgetTypeCall=true&amp;directAccess=false</t>
  </si>
  <si>
    <t>여기멍냥</t>
  </si>
  <si>
    <t>투표전 팩트체크</t>
  </si>
  <si>
    <t>https://blog.naver.com/PostView.naver?blogId=ken0817&amp;logNo=223886790905&amp;redirect=Dlog&amp;widgetTypeCall=true&amp;directAccess=false</t>
  </si>
  <si>
    <t>깨굴깨굴 깨구락지</t>
  </si>
  <si>
    <t>6월 3일, 오늘의 역사 속을 걷다.</t>
  </si>
  <si>
    <t>https://blog.naver.com/PostView.naver?blogId=jumpflog&amp;logNo=223885651711&amp;redirect=Dlog&amp;widgetTypeCall=true&amp;directAccess=false</t>
  </si>
  <si>
    <t>(영상) 푸틴, 분노할 수밖에…전폭기 10조원어치 이어 330억짜리 ‘희귀 무기’ 잃은 러軍 [포착]</t>
  </si>
  <si>
    <t>https://blog.naver.com/PostView.naver?blogId=chkh506&amp;logNo=223886227807&amp;redirect=Dlog&amp;widgetTypeCall=true&amp;directAccess=false</t>
  </si>
  <si>
    <t>영화 영화제</t>
  </si>
  <si>
    <t>자유부인(1956)</t>
  </si>
  <si>
    <t>https://blog.naver.com/PostView.naver?blogId=furey&amp;logNo=223885964283&amp;redirect=Dlog&amp;widgetTypeCall=true&amp;directAccess=false</t>
  </si>
  <si>
    <t>다나</t>
  </si>
  <si>
    <t>임대주는 세입자</t>
  </si>
  <si>
    <t>[올선살이][러닝] 5월 러닝 기록 정리 (올선 →송파둘레길 → 잠실 한강공원 루틴)</t>
  </si>
  <si>
    <t>https://blog.naver.com/PostView.naver?blogId=olsungo&amp;logNo=223885719906&amp;redirect=Dlog&amp;widgetTypeCall=true&amp;directAccess=false</t>
  </si>
  <si>
    <t>2025년 6월 2일 (월) 서울신문 지면기사</t>
  </si>
  <si>
    <t>https://blog.naver.com/PostView.naver?blogId=theblock101&amp;logNo=223885574291&amp;redirect=Dlog&amp;widgetTypeCall=true&amp;directAccess=false</t>
  </si>
  <si>
    <t>항생제 내성균 치료방법 기대</t>
  </si>
  <si>
    <t>https://blog.naver.com/PostView.naver?blogId=rosenfish&amp;logNo=223885535578&amp;redirect=Dlog&amp;widgetTypeCall=true&amp;directAccess=false</t>
  </si>
  <si>
    <t>잠만보람</t>
  </si>
  <si>
    <t>역사와 감성이 흐르는 조용한 도심 속 힐링, 덕수궁 관람 &amp; 주차 팁</t>
  </si>
  <si>
    <t>https://blog.naver.com/PostView.naver?blogId=bbork90&amp;logNo=223885100708&amp;redirect=Dlog&amp;widgetTypeCall=true&amp;directAccess=false</t>
  </si>
  <si>
    <t>허슨</t>
  </si>
  <si>
    <t>[애국지사] 우당 이회영, 대한제국 고위관직과 명문가의 안락함을 버리고 독립운동에 몸 바치다.</t>
  </si>
  <si>
    <t>https://blog.naver.com/PostView.naver?blogId=begins1-&amp;logNo=223884943959&amp;redirect=Dlog&amp;widgetTypeCall=true&amp;directAccess=false</t>
  </si>
  <si>
    <t>〔5545〕 청년 니트족/  김미경 논설위원/ 서울신문 2025. 5. 26.</t>
  </si>
  <si>
    <t>https://blog.naver.com/PostView.naver?blogId=kje06&amp;logNo=223884928273&amp;redirect=Dlog&amp;widgetTypeCall=true&amp;directAccess=false</t>
  </si>
  <si>
    <t>초록빛 숲, 쉼·여유를…“천안·서천·당진 오세유”</t>
  </si>
  <si>
    <t>https://blog.naver.com/PostView.naver?blogId=dwyun60&amp;logNo=223884634804&amp;redirect=Dlog&amp;widgetTypeCall=true&amp;directAccess=false</t>
  </si>
  <si>
    <t>함원배</t>
  </si>
  <si>
    <t>☞★마지막 기회(김채환의 시사이다)※/(게시자 소견)</t>
  </si>
  <si>
    <t>https://blog.naver.com/PostView.naver?blogId=hwb1090&amp;logNo=223884569760&amp;redirect=Dlog&amp;widgetTypeCall=true&amp;directAccess=false</t>
  </si>
  <si>
    <t>MBC</t>
  </si>
  <si>
    <t>민심뉴스</t>
  </si>
  <si>
    <t>이재명, 출구조사 51.7%로 대통령 당선 확실 (+이재명 후보, 대선, 대통령, 당선)</t>
  </si>
  <si>
    <t>https://blog.naver.com/PostView.naver?blogId=minsimnews&amp;logNo=223887684572&amp;redirect=Dlog&amp;widgetTypeCall=true&amp;directAccess=false</t>
  </si>
  <si>
    <t>민서</t>
  </si>
  <si>
    <t>갈 길이 있는 발걸음은 힘차다</t>
  </si>
  <si>
    <t>https://blog.naver.com/PostView.naver?blogId=21bbsseo&amp;logNo=223887682585&amp;redirect=Dlog&amp;widgetTypeCall=true&amp;directAccess=false</t>
  </si>
  <si>
    <t>평온</t>
  </si>
  <si>
    <t>오늘을 기억한다</t>
  </si>
  <si>
    <t>https://blog.naver.com/PostView.naver?blogId=don3123&amp;logNo=223887681172&amp;redirect=Dlog&amp;widgetTypeCall=true&amp;directAccess=false</t>
  </si>
  <si>
    <t>라미란, 14kg 감량 성공 비결 공개…"굶지 않고 1년간 천천히 뺐다"</t>
  </si>
  <si>
    <t>https://blog.naver.com/PostView.naver?blogId=apahghfej&amp;logNo=223887679850&amp;redirect=Dlog&amp;widgetTypeCall=true&amp;directAccess=false</t>
  </si>
  <si>
    <t>[속보] MBC 이재명 후보 당선 확실 표시</t>
  </si>
  <si>
    <t>https://blog.naver.com/PostView.naver?blogId=mitra1004&amp;logNo=223887679554&amp;redirect=Dlog&amp;widgetTypeCall=true&amp;directAccess=false</t>
  </si>
  <si>
    <t>가은</t>
  </si>
  <si>
    <t>21대 대통령 이재명 후보 당선 유력. 이재명 "국민들의 위대한 결정에 경의를 표한다"</t>
  </si>
  <si>
    <t>https://blog.naver.com/PostView.naver?blogId=seoun628&amp;logNo=223887676589&amp;redirect=Dlog&amp;widgetTypeCall=true&amp;directAccess=false</t>
  </si>
  <si>
    <t>양동이교장쌤</t>
  </si>
  <si>
    <t>이제 안 봐도 누가 대통령이 될지 알겠다!</t>
  </si>
  <si>
    <t>https://blog.naver.com/PostView.naver?blogId=ydi1009&amp;logNo=223887675573&amp;redirect=Dlog&amp;widgetTypeCall=true&amp;directAccess=false</t>
  </si>
  <si>
    <t>에프엠뉴스</t>
  </si>
  <si>
    <t>21대 대통령에 이재명 당선 확실…이재명 "국민의 위대한 결정에 경의"</t>
  </si>
  <si>
    <t>https://blog.naver.com/PostView.naver?blogId=dukedomk&amp;logNo=223887672824&amp;redirect=Dlog&amp;widgetTypeCall=true&amp;directAccess=false</t>
  </si>
  <si>
    <t>"넉넉한 승리 예고" 이재명, 출구조사 1위…유시민의 해석도 주목</t>
  </si>
  <si>
    <t>https://blog.naver.com/PostView.naver?blogId=apahghfej&amp;logNo=223887668312&amp;redirect=Dlog&amp;widgetTypeCall=true&amp;directAccess=false</t>
  </si>
  <si>
    <t>이재명 51%…외신 긴급타전, 한반도 판도 흔든 밤</t>
  </si>
  <si>
    <t>https://blog.naver.com/PostView.naver?blogId=mtreekorea&amp;logNo=223887668368&amp;redirect=Dlog&amp;widgetTypeCall=true&amp;directAccess=false</t>
  </si>
  <si>
    <t>당이</t>
  </si>
  <si>
    <t>기다리며..</t>
  </si>
  <si>
    <t>https://blog.naver.com/PostView.naver?blogId=daboongi&amp;logNo=223887666965&amp;redirect=Dlog&amp;widgetTypeCall=true&amp;directAccess=false</t>
  </si>
  <si>
    <t>방탄소년단·봉준호, 대선 출구조사 방송 등장…“한 걸음 더 나아가자”</t>
  </si>
  <si>
    <t>https://blog.naver.com/PostView.naver?blogId=apahghfej&amp;logNo=223887665381&amp;redirect=Dlog&amp;widgetTypeCall=true&amp;directAccess=false</t>
  </si>
  <si>
    <t>[속보]지상파 3사 "이재명 후보 당선 유력"</t>
  </si>
  <si>
    <t>https://blog.naver.com/PostView.naver?blogId=evergreen-k&amp;logNo=223887662653&amp;redirect=Dlog&amp;widgetTypeCall=true&amp;directAccess=false</t>
  </si>
  <si>
    <t>광주뉴스TV</t>
  </si>
  <si>
    <t>[속보] MBC, 이재명 '당선 유력'...당선 확률 97.6%_광주뉴스TV(G-TV)</t>
  </si>
  <si>
    <t>https://blog.naver.com/PostView.naver?blogId=g-tvnews&amp;logNo=223887662362&amp;redirect=Dlog&amp;widgetTypeCall=true&amp;directAccess=false</t>
  </si>
  <si>
    <t>쩡모닝</t>
  </si>
  <si>
    <t>이재명 제21대 대통령 선거 당선 유력 다시 국민의 선택을 받다</t>
  </si>
  <si>
    <t>https://blog.naver.com/PostView.naver?blogId=jjeong_e10&amp;logNo=223887660965&amp;redirect=Dlog&amp;widgetTypeCall=true&amp;directAccess=false</t>
  </si>
  <si>
    <t>싸인받는남자</t>
  </si>
  <si>
    <t>한국 문화 예술계의 두 별, 양희은, 양희경 자매의 빛나는 발자취</t>
  </si>
  <si>
    <t>https://blog.naver.com/PostView.naver?blogId=ditco00&amp;logNo=223887660464&amp;redirect=Dlog&amp;widgetTypeCall=true&amp;directAccess=false</t>
  </si>
  <si>
    <t>20250603 - 뉴스체크</t>
  </si>
  <si>
    <t>https://blog.naver.com/PostView.naver?blogId=solidmark&amp;logNo=223887658689&amp;redirect=Dlog&amp;widgetTypeCall=true&amp;directAccess=false</t>
  </si>
  <si>
    <t>"이렇게까지 입는다고?" 정준호♥이하정, 투표소에 하객룩으로 등장한 이유는</t>
  </si>
  <si>
    <t>https://blog.naver.com/PostView.naver?blogId=apahghfej&amp;logNo=223887656837&amp;redirect=Dlog&amp;widgetTypeCall=true&amp;directAccess=false</t>
  </si>
  <si>
    <t>제21대 대통령선거 투표율 79.4% 역대 대선 투표율, 출구조사 결과는?</t>
  </si>
  <si>
    <t>https://blog.naver.com/PostView.naver?blogId=jenny_on&amp;logNo=223887653768&amp;redirect=Dlog&amp;widgetTypeCall=true&amp;directAccess=false</t>
  </si>
  <si>
    <t>about-corrections</t>
  </si>
  <si>
    <t>&lt;실화탐사대, 중학생 촉법 소년들의 여고생 집단 성폭행 사건&gt;</t>
  </si>
  <si>
    <t>https://blog.naver.com/PostView.naver?blogId=about-corrections&amp;logNo=223887646417&amp;redirect=Dlog&amp;widgetTypeCall=true&amp;directAccess=false</t>
  </si>
  <si>
    <t>HoAnomics</t>
  </si>
  <si>
    <t>개표 2시간 반만에? MBC "이재명 97.6% 당선 유력" 공표</t>
  </si>
  <si>
    <t>https://blog.naver.com/PostView.naver?blogId=hoa_nomics&amp;logNo=223887645740&amp;redirect=Dlog&amp;widgetTypeCall=true&amp;directAccess=false</t>
  </si>
  <si>
    <t>LIFEWAKER J</t>
  </si>
  <si>
    <t>2025 대선 출구조사 심층 분석: 세대·젠더 균열의 현실 [1]</t>
  </si>
  <si>
    <t>https://blog.naver.com/PostView.naver?blogId=wnaks1543&amp;logNo=223887643079&amp;redirect=Dlog&amp;widgetTypeCall=true&amp;directAccess=false</t>
  </si>
  <si>
    <t>신속한 '유력'과 '확실' 그리고 새정부에 대한 당부</t>
  </si>
  <si>
    <t>https://blog.naver.com/PostView.naver?blogId=lawer8737&amp;logNo=223887637756&amp;redirect=Dlog&amp;widgetTypeCall=true&amp;directAccess=false</t>
  </si>
  <si>
    <t>찌롱</t>
  </si>
  <si>
    <t>방영 드라마 시청률 순위 비교 : 미지의 서울 굿보이 귀궁 1위 승자는 ? + 노무사 노무진</t>
  </si>
  <si>
    <t>https://blog.naver.com/PostView.naver?blogId=euene1111&amp;logNo=223887634912&amp;redirect=Dlog&amp;widgetTypeCall=true&amp;directAccess=false</t>
  </si>
  <si>
    <t>먹효</t>
  </si>
  <si>
    <t>신해철 - 그대에게</t>
  </si>
  <si>
    <t>https://blog.naver.com/PostView.naver?blogId=nanika10013&amp;logNo=223887617837&amp;redirect=Dlog&amp;widgetTypeCall=true&amp;directAccess=false</t>
  </si>
  <si>
    <t>jjan0109</t>
  </si>
  <si>
    <t>[월간 아리] 5월☔️</t>
  </si>
  <si>
    <t>https://blog.naver.com/PostView.naver?blogId=god_conditioner&amp;logNo=223887618060&amp;redirect=Dlog&amp;widgetTypeCall=true&amp;directAccess=false</t>
  </si>
  <si>
    <t>이재명 51.7% 김문수 39.3% 이준석 7.7% [방송3사 출구조사]</t>
  </si>
  <si>
    <t>https://blog.naver.com/PostView.naver?blogId=nsunday&amp;logNo=223887614750&amp;redirect=Dlog&amp;widgetTypeCall=true&amp;directAccess=false</t>
  </si>
  <si>
    <t>뚜호씨</t>
  </si>
  <si>
    <t>김연경 큰 키 투표 인증샷에 웃음 자아낸다</t>
  </si>
  <si>
    <t>https://blog.naver.com/PostView.naver?blogId=pkeunyoo&amp;logNo=223887612355&amp;redirect=Dlog&amp;widgetTypeCall=true&amp;directAccess=false</t>
  </si>
  <si>
    <t>아기별꽃</t>
  </si>
  <si>
    <t>춘천 물레길 / 의암 스카이워크 걷기</t>
  </si>
  <si>
    <t>https://blog.naver.com/PostView.naver?blogId=kst5058&amp;logNo=223887612226&amp;redirect=Dlog&amp;widgetTypeCall=true&amp;directAccess=false</t>
  </si>
  <si>
    <t>나눔경제뉴스</t>
  </si>
  <si>
    <t>[출구조사] 이재명 민주당 후보가 과반이상 득표로 대통령 당선         이재명 51.7%-김문수 39.3%-이준석 7.7%</t>
  </si>
  <si>
    <t>https://blog.naver.com/PostView.naver?blogId=newsnanumy&amp;logNo=223887610243&amp;redirect=Dlog&amp;widgetTypeCall=true&amp;directAccess=false</t>
  </si>
  <si>
    <t>미 언론 "이재명 가장 강력한 대통령 될 것" [이재명 당선 외신 반응]</t>
  </si>
  <si>
    <t>https://blog.naver.com/PostView.naver?blogId=theenews&amp;logNo=223887606479&amp;redirect=Dlog&amp;widgetTypeCall=true&amp;directAccess=false</t>
  </si>
  <si>
    <t>오아예</t>
  </si>
  <si>
    <t>[OST,참여/데이식스] 2015~2025년</t>
  </si>
  <si>
    <t>https://blog.naver.com/PostView.naver?blogId=ohahyeah&amp;logNo=223887601068&amp;redirect=Dlog&amp;widgetTypeCall=true&amp;directAccess=false</t>
  </si>
  <si>
    <t>250603 출구조사: 한국 대선, 야당 후보가 선두(РИА Новости)</t>
  </si>
  <si>
    <t>https://blog.naver.com/PostView.naver?blogId=gyutae1022&amp;logNo=223887597645&amp;redirect=Dlog&amp;widgetTypeCall=true&amp;directAccess=false</t>
  </si>
  <si>
    <t>빛준이</t>
  </si>
  <si>
    <t>출구조사와 본투표</t>
  </si>
  <si>
    <t>https://blog.naver.com/PostView.naver?blogId=xsoldier&amp;logNo=223887595793&amp;redirect=Dlog&amp;widgetTypeCall=true&amp;directAccess=false</t>
  </si>
  <si>
    <t>이재명 51.7%로 당선 유력</t>
  </si>
  <si>
    <t>https://blog.naver.com/PostView.naver?blogId=skymouu&amp;logNo=223887588131&amp;redirect=Dlog&amp;widgetTypeCall=true&amp;directAccess=false</t>
  </si>
  <si>
    <t>[속보] 대선 최종 투표율 79.4%...광주 83.9% 전국 최고_광주뉴스TV(G-TV)</t>
  </si>
  <si>
    <t>https://blog.naver.com/PostView.naver?blogId=g-tvnews&amp;logNo=223887583584&amp;redirect=Dlog&amp;widgetTypeCall=true&amp;directAccess=false</t>
  </si>
  <si>
    <t>스너글</t>
  </si>
  <si>
    <t>20250603 대통령 대선</t>
  </si>
  <si>
    <t>https://blog.naver.com/PostView.naver?blogId=leejo3356&amp;logNo=223887578562&amp;redirect=Dlog&amp;widgetTypeCall=true&amp;directAccess=false</t>
  </si>
  <si>
    <t>이재명, 출구조사서 12.4%P 차 압승 예측…이준석, 선거비 절반 보전도 '불가'</t>
  </si>
  <si>
    <t>https://blog.naver.com/PostView.naver?blogId=news_curator_j&amp;logNo=223887568407&amp;redirect=Dlog&amp;widgetTypeCall=true&amp;directAccess=false</t>
  </si>
  <si>
    <t>행복의 조건과 기술</t>
  </si>
  <si>
    <t>21대 대통령 선거 결과에 대한 단상(斷想)</t>
  </si>
  <si>
    <t>https://blog.naver.com/PostView.naver?blogId=just4in4you&amp;logNo=223887561789&amp;redirect=Dlog&amp;widgetTypeCall=true&amp;directAccess=false</t>
  </si>
  <si>
    <t>평화뉴스</t>
  </si>
  <si>
    <t>이재명 '예측 1위', 3년 만에 '정권교체' 유력...대구 민주당·동성로 광장에서도 '환호'</t>
  </si>
  <si>
    <t>https://blog.naver.com/PostView.naver?blogId=pnnews&amp;logNo=223887549242&amp;redirect=Dlog&amp;widgetTypeCall=true&amp;directAccess=false</t>
  </si>
  <si>
    <t>박상민기자</t>
  </si>
  <si>
    <t>[출구조사] 이재명 51.7% 김문수 39.3% 이준석 7.7% 권영국 1.3%..지상파 3사 발표</t>
  </si>
  <si>
    <t>https://blog.naver.com/PostView.naver?blogId=cydogg&amp;logNo=223887542360&amp;redirect=Dlog&amp;widgetTypeCall=true&amp;directAccess=false</t>
  </si>
  <si>
    <t>양정웅</t>
  </si>
  <si>
    <t>탤런트 故남성훈 이덕화 남능미</t>
  </si>
  <si>
    <t>https://blog.naver.com/PostView.naver?blogId=yang83529&amp;logNo=223887539351&amp;redirect=Dlog&amp;widgetTypeCall=true&amp;directAccess=false</t>
  </si>
  <si>
    <t>일상의쇼</t>
  </si>
  <si>
    <t>12.3 계엄, 12.7 여의도-4.4파면까지</t>
  </si>
  <si>
    <t>https://blog.naver.com/PostView.naver?blogId=yuki1009&amp;logNo=223887539409&amp;redirect=Dlog&amp;widgetTypeCall=true&amp;directAccess=false</t>
  </si>
  <si>
    <t>탤런트 故남성훈 김용림 남능미</t>
  </si>
  <si>
    <t>https://blog.naver.com/PostView.naver?blogId=yang83529&amp;logNo=223887539726&amp;redirect=Dlog&amp;widgetTypeCall=true&amp;directAccess=false</t>
  </si>
  <si>
    <t>서울뉴스통신</t>
  </si>
  <si>
    <t>[방송3사 출구조사] 이재명 51.7% vs 김문수 39.3%…이재명 12.4%p 앞서</t>
  </si>
  <si>
    <t>https://blog.naver.com/PostView.naver?blogId=seoulnewsagency&amp;logNo=223887537614&amp;redirect=Dlog&amp;widgetTypeCall=true&amp;directAccess=false</t>
  </si>
  <si>
    <t>Daniel쌤 김명호</t>
  </si>
  <si>
    <t>대선 출구조사 결과 영문기사</t>
  </si>
  <si>
    <t>https://blog.naver.com/PostView.naver?blogId=daniel_mhkim&amp;logNo=223887533892&amp;redirect=Dlog&amp;widgetTypeCall=true&amp;directAccess=false</t>
  </si>
  <si>
    <t>키루</t>
  </si>
  <si>
    <t>250603_대선</t>
  </si>
  <si>
    <t>https://blog.naver.com/PostView.naver?blogId=cinekiru&amp;logNo=223887529302&amp;redirect=Dlog&amp;widgetTypeCall=true&amp;directAccess=false</t>
  </si>
  <si>
    <t>Tyche</t>
  </si>
  <si>
    <t>제21대 대통령 선거가 끝났다. 출구조사 모두 같은 결과네</t>
  </si>
  <si>
    <t>https://blog.naver.com/PostView.naver?blogId=tyche200&amp;logNo=223887529479&amp;redirect=Dlog&amp;widgetTypeCall=true&amp;directAccess=false</t>
  </si>
  <si>
    <t>로컬투데이인터넷신문</t>
  </si>
  <si>
    <t>[출구조사] 이재명 51.7% vs 김문수 39.3% vs 이준석 7.7%-로컬투데이</t>
  </si>
  <si>
    <t>https://blog.naver.com/PostView.naver?blogId=localtoday-24&amp;logNo=223887528381&amp;redirect=Dlog&amp;widgetTypeCall=true&amp;directAccess=false</t>
  </si>
  <si>
    <t>김쌤</t>
  </si>
  <si>
    <t>[속보] AP·BBC 등 주요 외신 "이재명 후보 당선 전망" 보도</t>
  </si>
  <si>
    <t>https://blog.naver.com/PostView.naver?blogId=solarplane&amp;logNo=223887528183&amp;redirect=Dlog&amp;widgetTypeCall=true&amp;directAccess=false</t>
  </si>
  <si>
    <t>백도라지</t>
  </si>
  <si>
    <t>김문수가 단일화를 거부할때 나라가 절딴날거로 ...</t>
  </si>
  <si>
    <t>https://blog.naver.com/PostView.naver?blogId=cs970086&amp;logNo=223887523945&amp;redirect=Dlog&amp;widgetTypeCall=true&amp;directAccess=false</t>
  </si>
  <si>
    <t>리치보이</t>
  </si>
  <si>
    <t>이재명 과반 득표' 출구조사에 민주당 환호... "내란정권에 불호령 심판 내린 것"</t>
  </si>
  <si>
    <t>https://blog.naver.com/PostView.naver?blogId=l0798&amp;logNo=223887522128&amp;redirect=Dlog&amp;widgetTypeCall=true&amp;directAccess=false</t>
  </si>
  <si>
    <t>2025년 6월 3일, 제21대 대통령선거 출구조사 발표 X반응</t>
  </si>
  <si>
    <t>https://blog.naver.com/PostView.naver?blogId=shinswoong75&amp;logNo=223887520073&amp;redirect=Dlog&amp;widgetTypeCall=true&amp;directAccess=false</t>
  </si>
  <si>
    <t>토깽이</t>
  </si>
  <si>
    <t>제21대 대통령 선거 출구조사 및 유권자 표심 분석 보고서</t>
  </si>
  <si>
    <t>https://blog.naver.com/PostView.naver?blogId=opp3379&amp;logNo=223887512937&amp;redirect=Dlog&amp;widgetTypeCall=true&amp;directAccess=false</t>
  </si>
  <si>
    <t>크산티페</t>
  </si>
  <si>
    <t>감동이 밀려오는 MBC 선거방송 카운트다운 영상</t>
  </si>
  <si>
    <t>https://blog.naver.com/PostView.naver?blogId=sgpeng&amp;logNo=223887507544&amp;redirect=Dlog&amp;widgetTypeCall=true&amp;directAccess=false</t>
  </si>
  <si>
    <t>곰</t>
  </si>
  <si>
    <t>MBC 개표방송 출구조사 카운트다운 영상</t>
  </si>
  <si>
    <t>https://blog.naver.com/PostView.naver?blogId=miyampuzzy&amp;logNo=223887504752&amp;redirect=Dlog&amp;widgetTypeCall=true&amp;directAccess=false</t>
  </si>
  <si>
    <t>[방송 3사] 이재명 51.7% 김문수 39.3%, 대한민국은 새로운 대통령을 맞이하라</t>
  </si>
  <si>
    <t>https://blog.naver.com/PostView.naver?blogId=hun4339&amp;logNo=223887502004&amp;redirect=Dlog&amp;widgetTypeCall=true&amp;directAccess=false</t>
  </si>
  <si>
    <t>[속보] 지상파 방송 3사 출구조사, 이재명 51.7% 1위...김문수 39.3%_광주뉴스TV(G-TV)</t>
  </si>
  <si>
    <t>https://blog.naver.com/PostView.naver?blogId=g-tvnews&amp;logNo=223887501183&amp;redirect=Dlog&amp;widgetTypeCall=true&amp;directAccess=false</t>
  </si>
  <si>
    <t>희야</t>
  </si>
  <si>
    <t>21대 대선</t>
  </si>
  <si>
    <t>https://blog.naver.com/PostView.naver?blogId=lynxchoi&amp;logNo=223887500232&amp;redirect=Dlog&amp;widgetTypeCall=true&amp;directAccess=false</t>
  </si>
  <si>
    <t>경남뉴스</t>
  </si>
  <si>
    <t>21대 대선 출구조사 결과, 이재명 51.7% 김문수 39.3%</t>
  </si>
  <si>
    <t>https://blog.naver.com/PostView.naver?blogId=w7445000&amp;logNo=223887497001&amp;redirect=Dlog&amp;widgetTypeCall=true&amp;directAccess=false</t>
  </si>
  <si>
    <t>김융</t>
  </si>
  <si>
    <t>20대 대선 방송 3사 출구조사와 실제 결과 차이</t>
  </si>
  <si>
    <t>https://blog.naver.com/PostView.naver?blogId=second52&amp;logNo=223887495664&amp;redirect=Dlog&amp;widgetTypeCall=true&amp;directAccess=false</t>
  </si>
  <si>
    <t>[21대 대통령 선거] 출구조사 지상파 방송 3사·채널A…이재명 당선 예측. 과반 획득. ※이준석 10% 아래.</t>
  </si>
  <si>
    <t>https://blog.naver.com/PostView.naver?blogId=humanity5844&amp;logNo=223887492532&amp;redirect=Dlog&amp;widgetTypeCall=true&amp;directAccess=false</t>
  </si>
  <si>
    <t>https://blog.naver.com/PostView.naver?blogId=klp654&amp;logNo=223887491984&amp;redirect=Dlog&amp;widgetTypeCall=true&amp;directAccess=false</t>
  </si>
  <si>
    <t>유지순</t>
  </si>
  <si>
    <t>대한민국 21대 대통령 개표현황 / 대통령선거 / 이재명 김문수 이준석 과연 결과는?? / 더불어민주당 국민의 힘 개혁신당  / 전국 투표율 / 이재명 당선 김문수 당선</t>
  </si>
  <si>
    <t>https://blog.naver.com/PostView.naver?blogId=mousezz12&amp;logNo=223887491109&amp;redirect=Dlog&amp;widgetTypeCall=true&amp;directAccess=false</t>
  </si>
  <si>
    <t>코리아투데이뉴스</t>
  </si>
  <si>
    <t>[속보] 대통령 선거 출구조사, 이재명 51.7% 압도… 김문수 39.3%, 이준석 7.7%</t>
  </si>
  <si>
    <t>https://blog.naver.com/PostView.naver?blogId=tkpress82&amp;logNo=223887490450&amp;redirect=Dlog&amp;widgetTypeCall=true&amp;directAccess=false</t>
  </si>
  <si>
    <t>[속보]  출구조사 결과 발표 이재명 51.7%로 압도적 우세</t>
  </si>
  <si>
    <t>https://blog.naver.com/PostView.naver?blogId=aq0-0&amp;logNo=223887485009&amp;redirect=Dlog&amp;widgetTypeCall=true&amp;directAccess=false</t>
  </si>
  <si>
    <t>이재명, 대한민국 제21대 대통령 압도적 득표율로 당선 유력: 출구조사 결과 51.7% 득표 예상</t>
  </si>
  <si>
    <t>https://blog.naver.com/PostView.naver?blogId=moonlife_kr&amp;logNo=223887483658&amp;redirect=Dlog&amp;widgetTypeCall=true&amp;directAccess=false</t>
  </si>
  <si>
    <t>대통령 선거 최종 투표율...방송3사 출구조사 결과 발표, 1위 이재명  51.7% 과반수 넘겨</t>
  </si>
  <si>
    <t>https://blog.naver.com/PostView.naver?blogId=koolap&amp;logNo=223887482175&amp;redirect=Dlog&amp;widgetTypeCall=true&amp;directAccess=false</t>
  </si>
  <si>
    <t>대충인간</t>
  </si>
  <si>
    <t>21대 대선 투표참관인 후기</t>
  </si>
  <si>
    <t>https://blog.naver.com/PostView.naver?blogId=illu5&amp;logNo=223887478047&amp;redirect=Dlog&amp;widgetTypeCall=true&amp;directAccess=false</t>
  </si>
  <si>
    <t>conix</t>
  </si>
  <si>
    <t>5/31 MBC쇼음악중심 레드벨벳 아이린슬기 사전녹화 + 미니팬미팅 + 트리플에스 미니팬미팅 + 본방송 방청 갔다왔다.</t>
  </si>
  <si>
    <t>https://blog.naver.com/PostView.naver?blogId=conix&amp;logNo=223887477272&amp;redirect=Dlog&amp;widgetTypeCall=true&amp;directAccess=false</t>
  </si>
  <si>
    <t>호수뉴스</t>
  </si>
  <si>
    <t>온온이</t>
  </si>
  <si>
    <t>[속초 중앙시장] 강원도 막걸리술빵(+웨이팅, 내돈내산)</t>
  </si>
  <si>
    <t>https://blog.naver.com/PostView.naver?blogId=ebbuni0910&amp;logNo=223887448918&amp;redirect=Dlog&amp;widgetTypeCall=true&amp;directAccess=false</t>
  </si>
  <si>
    <t>감성종자</t>
  </si>
  <si>
    <t>2025.6.3(대선 본선거일)</t>
  </si>
  <si>
    <t>https://blog.naver.com/PostView.naver?blogId=jlsr&amp;logNo=223887438842&amp;redirect=Dlog&amp;widgetTypeCall=true&amp;directAccess=false</t>
  </si>
  <si>
    <t>김석용</t>
  </si>
  <si>
    <t>출구조사</t>
  </si>
  <si>
    <t>https://blog.naver.com/PostView.naver?blogId=youngsykim&amp;logNo=223887436088&amp;redirect=Dlog&amp;widgetTypeCall=true&amp;directAccess=false</t>
  </si>
  <si>
    <t>기본적1</t>
  </si>
  <si>
    <t>위로, 더 위로</t>
  </si>
  <si>
    <t>https://blog.naver.com/PostView.naver?blogId=hsm2001i&amp;logNo=223887425658&amp;redirect=Dlog&amp;widgetTypeCall=true&amp;directAccess=false</t>
  </si>
  <si>
    <t>[속보] 대선 투표율, 오후 6시 76.1%...지난 대선 比 0.4%p↑_광주뉴스TV(G-TV)</t>
  </si>
  <si>
    <t>https://blog.naver.com/PostView.naver?blogId=g-tvnews&amp;logNo=223887425366&amp;redirect=Dlog&amp;widgetTypeCall=true&amp;directAccess=false</t>
  </si>
  <si>
    <t>앤</t>
  </si>
  <si>
    <t>캡틴mhk</t>
  </si>
  <si>
    <t>(충격) 코미디언 출신 배우 이재포 씨(65세), 사기혐의로 벌금형 1천만원 선고, 인천 강화군 펜션에서 사기 2천만원, 야인시대 제4공화국 출현 (ft.사기죄)</t>
  </si>
  <si>
    <t>https://blog.naver.com/PostView.naver?blogId=captain_mhk&amp;logNo=223887415983&amp;redirect=Dlog&amp;widgetTypeCall=true&amp;directAccess=false</t>
  </si>
  <si>
    <t>헤일리덕</t>
  </si>
  <si>
    <t>오은영 리포트 결혼지옥 124회, 행복한 척 우울증 숨긴 아내 무표정한 남편 (연극 부부)</t>
  </si>
  <si>
    <t>https://blog.naver.com/PostView.naver?blogId=imhailey_zip&amp;logNo=223887407585&amp;redirect=Dlog&amp;widgetTypeCall=true&amp;directAccess=false</t>
  </si>
  <si>
    <t>crownj</t>
  </si>
  <si>
    <t>[출구조사 결과의 대선 결과 적중률 분석] - 2026-06-03</t>
  </si>
  <si>
    <t>https://blog.naver.com/PostView.naver?blogId=crownjjun&amp;logNo=223887407250&amp;redirect=Dlog&amp;widgetTypeCall=true&amp;directAccess=false</t>
  </si>
  <si>
    <t>투투</t>
  </si>
  <si>
    <t>제21대 대통령선거 지상파 3사 SBS, MBC, KBS 대선 방송 라인업, 출구조사, 돌싱포맨, 백분토론, PD수첩 등 각종 예능 프로그램 결방, 개표방송 시간</t>
  </si>
  <si>
    <t>https://blog.naver.com/PostView.naver?blogId=gurygury20221&amp;logNo=223887396559&amp;redirect=Dlog&amp;widgetTypeCall=true&amp;directAccess=false</t>
  </si>
  <si>
    <t>ngnnews</t>
  </si>
  <si>
    <t>‘사전 투표’ 포함 오후 1시 투표율 62.1%…2700만명 이상/경기도 투표율 65.3% 2시 현재</t>
  </si>
  <si>
    <t>https://blog.naver.com/PostView.naver?blogId=kbsbandal580&amp;logNo=223887396454&amp;redirect=Dlog&amp;widgetTypeCall=true&amp;directAccess=false</t>
  </si>
  <si>
    <t>윙지</t>
  </si>
  <si>
    <t>2025 대선 개표방송 시간, 출구조사 당선자 결과 발표는 언제?</t>
  </si>
  <si>
    <t>https://blog.naver.com/PostView.naver?blogId=revenu1004&amp;logNo=223887381336&amp;redirect=Dlog&amp;widgetTypeCall=true&amp;directAccess=false</t>
  </si>
  <si>
    <t>가브리엘</t>
  </si>
  <si>
    <t>‘야인시대’ 왕발 이재포, 사기 혐의로 벌금형 1천만원…지인에게 돈 빌리고 안 갚아</t>
  </si>
  <si>
    <t>https://blog.naver.com/PostView.naver?blogId=yunys4303&amp;logNo=223887375339&amp;redirect=Dlog&amp;widgetTypeCall=true&amp;directAccess=false</t>
  </si>
  <si>
    <t>나인 퍼즐 1위, 미지의 서울 시청률 자체 최고 경신</t>
  </si>
  <si>
    <t>https://blog.naver.com/PostView.naver?blogId=wwioa__&amp;logNo=223887374037&amp;redirect=Dlog&amp;widgetTypeCall=true&amp;directAccess=false</t>
  </si>
  <si>
    <t>전정한 디벨로퍼</t>
  </si>
  <si>
    <t>[2시 뉴스외전] 보고나서 주저리</t>
  </si>
  <si>
    <t>https://blog.naver.com/PostView.naver?blogId=suntome11&amp;logNo=223887347432&amp;redirect=Dlog&amp;widgetTypeCall=true&amp;directAccess=false</t>
  </si>
  <si>
    <t>푹다행' 김대호·이수근, 무인도에서 터진 브로맨스</t>
  </si>
  <si>
    <t>https://blog.naver.com/PostView.naver?blogId=kstarfashion&amp;logNo=223887338688&amp;redirect=Dlog&amp;widgetTypeCall=true&amp;directAccess=false</t>
  </si>
  <si>
    <t>DRAMA GROUP</t>
  </si>
  <si>
    <t>태양을삼킨여자</t>
  </si>
  <si>
    <t>https://blog.naver.com/PostView.naver?blogId=pse961109&amp;logNo=223887328002&amp;redirect=Dlog&amp;widgetTypeCall=true&amp;directAccess=false</t>
  </si>
  <si>
    <t>250603 제21대 대통령 선거 스타들 대선 투표 독려 및 투표 인증 + 사전투표 인증</t>
  </si>
  <si>
    <t>https://blog.naver.com/PostView.naver?blogId=spring_hmong&amp;logNo=223887324253&amp;redirect=Dlog&amp;widgetTypeCall=true&amp;directAccess=false</t>
  </si>
  <si>
    <t>활초</t>
  </si>
  <si>
    <t>골프탐험가</t>
  </si>
  <si>
    <t>‘한국의 3대 구라’와 방배추의 전설</t>
  </si>
  <si>
    <t>https://blog.naver.com/PostView.naver?blogId=ginnol&amp;logNo=223887309371&amp;redirect=Dlog&amp;widgetTypeCall=true&amp;directAccess=false</t>
  </si>
  <si>
    <t>"5,18광주민주화운동"의 명칭-아시아자동차출하장에서 군납차탈취한 광주시민군과 계엄군(공수특전단)과의 교전-죽은자는 유공자(범죄자)로</t>
  </si>
  <si>
    <t>https://blog.naver.com/PostView.naver?blogId=danbeenongbu&amp;logNo=223887302274&amp;redirect=Dlog&amp;widgetTypeCall=true&amp;directAccess=false</t>
  </si>
  <si>
    <t>이준석 젓가락 발언' 심의 대상 아니라더니…선거방송심의위, 이제야 안건 상정</t>
  </si>
  <si>
    <t>https://blog.naver.com/PostView.naver?blogId=hoa_nomics&amp;logNo=223887300934&amp;redirect=Dlog&amp;widgetTypeCall=true&amp;directAccess=false</t>
  </si>
  <si>
    <t>대통령 선거 투표 스타들 릴레이 인증샷</t>
  </si>
  <si>
    <t>https://blog.naver.com/PostView.naver?blogId=stella5092&amp;logNo=223887274737&amp;redirect=Dlog&amp;widgetTypeCall=true&amp;directAccess=false</t>
  </si>
  <si>
    <t>박태식 기자</t>
  </si>
  <si>
    <t>야인시대' 나온 개그맨 출신 배우(왕발 이재포), 사기혐의로 벌금형</t>
  </si>
  <si>
    <t>https://blog.naver.com/PostView.naver?blogId=dkkong1&amp;logNo=223887264545&amp;redirect=Dlog&amp;widgetTypeCall=true&amp;directAccess=false</t>
  </si>
  <si>
    <t>다모 호위무사' 故 김민경 '향년 29세 15주기'</t>
  </si>
  <si>
    <t>https://blog.naver.com/PostView.naver?blogId=youseok0&amp;logNo=223887250043&amp;redirect=Dlog&amp;widgetTypeCall=true&amp;directAccess=false</t>
  </si>
  <si>
    <t>[정치] 제21대 대통령 선거 출구조사, 오늘 밤 8시 발표…사전투표 반영 ‘전화조사’ 병행</t>
  </si>
  <si>
    <t>https://blog.naver.com/PostView.naver?blogId=adtree21&amp;logNo=223887246212&amp;redirect=Dlog&amp;widgetTypeCall=true&amp;directAccess=false</t>
  </si>
  <si>
    <t>디로</t>
  </si>
  <si>
    <t>주말 드라마 시청률 순위 2025년  5월 5주차 박빙이 예상되는 2위 3위는?</t>
  </si>
  <si>
    <t>https://blog.naver.com/PostView.naver?blogId=jeje-_-&amp;logNo=223887238955&amp;redirect=Dlog&amp;widgetTypeCall=true&amp;directAccess=false</t>
  </si>
  <si>
    <t>꼬부기</t>
  </si>
  <si>
    <t>결혼지옥 연극부부 성인 ADHD 우울증 아내 오은영 리포트 124회</t>
  </si>
  <si>
    <t>https://blog.naver.com/PostView.naver?blogId=kmlink&amp;logNo=223887229385&amp;redirect=Dlog&amp;widgetTypeCall=true&amp;directAccess=false</t>
  </si>
  <si>
    <t>퍼프</t>
  </si>
  <si>
    <t>페이지, Page - 5집 Quella Ragazza E Un Sogno, 2003 (CD)</t>
  </si>
  <si>
    <t>https://blog.naver.com/PostView.naver?blogId=puffik&amp;logNo=223887219657&amp;redirect=Dlog&amp;widgetTypeCall=true&amp;directAccess=false</t>
  </si>
  <si>
    <t>토르파파</t>
  </si>
  <si>
    <t>[25.05.31] 아킬레스건 완전 파열 - EP1</t>
  </si>
  <si>
    <t>https://blog.naver.com/PostView.naver?blogId=lee_juughwan&amp;logNo=223887203474&amp;redirect=Dlog&amp;widgetTypeCall=true&amp;directAccess=false</t>
  </si>
  <si>
    <t>endless investment</t>
  </si>
  <si>
    <t>활기찬 엄마의 이면, 결혼지옥에 등장한 우울증 앓는 아내의 진실</t>
  </si>
  <si>
    <t>https://blog.naver.com/PostView.naver?blogId=endless_investment&amp;logNo=223887202311&amp;redirect=Dlog&amp;widgetTypeCall=true&amp;directAccess=false</t>
  </si>
  <si>
    <t>북커크</t>
  </si>
  <si>
    <t>제21대 대통령 선거, 사전투표 합산한 오후 1시 기준 투표율 62.1% 기록</t>
  </si>
  <si>
    <t>https://blog.naver.com/PostView.naver?blogId=koolap&amp;logNo=223887169905&amp;redirect=Dlog&amp;widgetTypeCall=true&amp;directAccess=false</t>
  </si>
  <si>
    <t>[속보] '사전투표 합산' 오후 1시 투표율 62.1%... 지난 대선 比 0.8%p↑_광주뉴스TV(G-TV)</t>
  </si>
  <si>
    <t>https://blog.naver.com/PostView.naver?blogId=g-tvnews&amp;logNo=223887164368&amp;redirect=Dlog&amp;widgetTypeCall=true&amp;directAccess=false</t>
  </si>
  <si>
    <t>다모 김민경 15주기 호위무사로 남은 배우</t>
  </si>
  <si>
    <t>https://blog.naver.com/PostView.naver?blogId=wwioa__&amp;logNo=223887163224&amp;redirect=Dlog&amp;widgetTypeCall=true&amp;directAccess=false</t>
  </si>
  <si>
    <t>하양샘</t>
  </si>
  <si>
    <t>하루한컷 어른일기. 투표 완료 w. &lt;그날, 함께 지금&gt;</t>
  </si>
  <si>
    <t>https://blog.naver.com/PostView.naver?blogId=suji6745&amp;logNo=223887158740&amp;redirect=Dlog&amp;widgetTypeCall=true&amp;directAccess=false</t>
  </si>
  <si>
    <t>사랑스럽또</t>
  </si>
  <si>
    <t>이찬원 '셀럽병사의 비밀'..제21대 대선 여파, 본방대신 스페셜 방송</t>
  </si>
  <si>
    <t>https://blog.naver.com/PostView.naver?blogId=jumpj010&amp;logNo=223887140918&amp;redirect=Dlog&amp;widgetTypeCall=true&amp;directAccess=false</t>
  </si>
  <si>
    <t>플앤플</t>
  </si>
  <si>
    <t>연극부부' 아내 "남편, 내 동의 없이 시댁에 말 전했다..내쳐진 느낌"[결혼지옥]</t>
  </si>
  <si>
    <t>https://blog.naver.com/PostView.naver?blogId=plug_and_play_life&amp;logNo=223887136203&amp;redirect=Dlog&amp;widgetTypeCall=true&amp;directAccess=false</t>
  </si>
  <si>
    <t>21대 대선 개표 여파… 오늘(3일) ‘틈만나면’→‘길바닥 밥장사’ 예능 줄결방</t>
  </si>
  <si>
    <t>https://blog.naver.com/PostView.naver?blogId=lsb3002&amp;logNo=223887102711&amp;redirect=Dlog&amp;widgetTypeCall=true&amp;directAccess=false</t>
  </si>
  <si>
    <t>호호언니</t>
  </si>
  <si>
    <t>김가연, 이재명 공개 지지 후 악플러 등장 "끝까지 쫒아간다"</t>
  </si>
  <si>
    <t>https://blog.naver.com/PostView.naver?blogId=qmffndis777&amp;logNo=223887085422&amp;redirect=Dlog&amp;widgetTypeCall=true&amp;directAccess=false</t>
  </si>
  <si>
    <t>위드</t>
  </si>
  <si>
    <t>무효표 될까봐 두근두근</t>
  </si>
  <si>
    <t>https://blog.naver.com/PostView.naver?blogId=rein9814&amp;logNo=223887085191&amp;redirect=Dlog&amp;widgetTypeCall=true&amp;directAccess=false</t>
  </si>
  <si>
    <t>한심 정동운</t>
  </si>
  <si>
    <t>드라마 &lt;노무사 노무진&gt; 보고 배우는 한문 - 일할 노 勞, 힘쓸 무務, 선비 사士, 일하는 사람들을 위해 힘을 쓰는 선비,勞務士(노무사)</t>
  </si>
  <si>
    <t>https://blog.naver.com/PostView.naver?blogId=hansim87&amp;logNo=223887084401&amp;redirect=Dlog&amp;widgetTypeCall=true&amp;directAccess=false</t>
  </si>
  <si>
    <t>시즌3 언제? MBC 월화드라마 검법남녀 시즌1 시즌2 정재영 정유미 줄거리 2019 한국 범죄 스릴러 법정 의학 검사 변호사 명작 추리 인생 드라마 추천</t>
  </si>
  <si>
    <t>https://blog.naver.com/PostView.naver?blogId=kws3128pdm&amp;logNo=223887059018&amp;redirect=Dlog&amp;widgetTypeCall=true&amp;directAccess=false</t>
  </si>
  <si>
    <t>램요</t>
  </si>
  <si>
    <t>여주 생활 110+10일차 (선거일은 휴일)</t>
  </si>
  <si>
    <t>https://blog.naver.com/PostView.naver?blogId=writeandmake&amp;logNo=223887050653&amp;redirect=Dlog&amp;widgetTypeCall=true&amp;directAccess=false</t>
  </si>
  <si>
    <t>미미, 이런 것도 할 줄 알아?…수준급 회 손질→제빵 실력에 이연복·레이먼킴도 '인정' (푹다행)[종합]</t>
  </si>
  <si>
    <t>https://blog.naver.com/PostView.naver?blogId=lsb3002&amp;logNo=223887035504&amp;redirect=Dlog&amp;widgetTypeCall=true&amp;directAccess=false</t>
  </si>
  <si>
    <t>빠게룽</t>
  </si>
  <si>
    <t>6월 A매치 일정 명단 중계는? 한국 대한민국 축구 국가대표 월드컵 예선 순위 평가전 동아시아컵</t>
  </si>
  <si>
    <t>https://blog.naver.com/PostView.naver?blogId=baekhw1&amp;logNo=223887034210&amp;redirect=Dlog&amp;widgetTypeCall=true&amp;directAccess=false</t>
  </si>
  <si>
    <t>세이프 노트 오늘</t>
  </si>
  <si>
    <t>[드라마/오늘 뭐 볼래?] 트레이서</t>
  </si>
  <si>
    <t>https://blog.naver.com/PostView.naver?blogId=safenote_today&amp;logNo=223887020400&amp;redirect=Dlog&amp;widgetTypeCall=true&amp;directAccess=false</t>
  </si>
  <si>
    <t>WEEKLYSISA</t>
  </si>
  <si>
    <t>21대 대선 투표율 오전 9시 현재 9.2%…지난 대선比 1.1%p ↑</t>
  </si>
  <si>
    <t>https://blog.naver.com/PostView.naver?blogId=weekly0430&amp;logNo=223887004984&amp;redirect=Dlog&amp;widgetTypeCall=true&amp;directAccess=false</t>
  </si>
  <si>
    <t>케넨</t>
  </si>
  <si>
    <t>21대 대통령 임기 시작일 당선 확정 시간 기적 vs 악몽</t>
  </si>
  <si>
    <t>https://blog.naver.com/PostView.naver?blogId=teemogogo&amp;logNo=223887004522&amp;redirect=Dlog&amp;widgetTypeCall=true&amp;directAccess=false</t>
  </si>
  <si>
    <t>every_villain_day</t>
  </si>
  <si>
    <t>김경태 으뜸행정사</t>
  </si>
  <si>
    <t>제21대 대통령 선거</t>
  </si>
  <si>
    <t>https://blog.naver.com/PostView.naver?blogId=sueun2016&amp;logNo=223886988902&amp;redirect=Dlog&amp;widgetTypeCall=true&amp;directAccess=false</t>
  </si>
  <si>
    <t>대한축구협회</t>
  </si>
  <si>
    <t>핫링</t>
  </si>
  <si>
    <t>결혼지옥 연극부부 아내가 숨긴 진짜 얼굴.. 남편도 울어버린 갈등의 충격적 진실 이거였어요.</t>
  </si>
  <si>
    <t>https://blog.naver.com/PostView.naver?blogId=bankbookmom&amp;logNo=223886983815&amp;redirect=Dlog&amp;widgetTypeCall=true&amp;directAccess=false</t>
  </si>
  <si>
    <t>제21대 대선, 꿈꾸던 그날이 오다! (2025.6.3)</t>
  </si>
  <si>
    <t>https://blog.naver.com/PostView.naver?blogId=mushugas&amp;logNo=223886984221&amp;redirect=Dlog&amp;widgetTypeCall=true&amp;directAccess=false</t>
  </si>
  <si>
    <t>전 대전일보 대표이사</t>
  </si>
  <si>
    <t>&lt;핫뉴스*좋은 뉴스 골라읽기&gt;□2025.06.03□</t>
  </si>
  <si>
    <t>https://blog.naver.com/PostView.naver?blogId=ssyoung56&amp;logNo=223886975969&amp;redirect=Dlog&amp;widgetTypeCall=true&amp;directAccess=false</t>
  </si>
  <si>
    <t>트레이드(1986년). 정현발, 양상문, 한대화, 유승안 등</t>
  </si>
  <si>
    <t>https://blog.naver.com/PostView.naver?blogId=abundious&amp;logNo=223886974135&amp;redirect=Dlog&amp;widgetTypeCall=true&amp;directAccess=false</t>
  </si>
  <si>
    <t>영화 &lt;하이파이브&gt; 6/3(화) '정오의 희망곡' 초능력자 단체 &amp; 6/4(수) '배철수의 음악캠프' 안재홍, 라디오 릴레이 출격!</t>
  </si>
  <si>
    <t>https://blog.naver.com/PostView.naver?blogId=withinnews&amp;logNo=223886968601&amp;redirect=Dlog&amp;widgetTypeCall=true&amp;directAccess=false</t>
  </si>
  <si>
    <t>여유당</t>
  </si>
  <si>
    <t>이승만의 역사관을 엿볼 수 있다.MBC</t>
  </si>
  <si>
    <t>https://blog.naver.com/PostView.naver?blogId=hyslj33&amp;logNo=223886967853&amp;redirect=Dlog&amp;widgetTypeCall=true&amp;directAccess=false</t>
  </si>
  <si>
    <t>만두르</t>
  </si>
  <si>
    <t>결혼식 대신 지리산 등반? 조정치의 엉뚱한 진심, 이제는 장례식 축의금 걱정까지</t>
  </si>
  <si>
    <t>https://blog.naver.com/PostView.naver?blogId=assaboonga&amp;logNo=223886961620&amp;redirect=Dlog&amp;widgetTypeCall=true&amp;directAccess=false</t>
  </si>
  <si>
    <t>이너기버</t>
  </si>
  <si>
    <t>최신 시사정보는 여기</t>
  </si>
  <si>
    <t>📢오늘은 제21대 대통령선거 투표일! 꼭 투표합시다. 집계 완료 시간은?</t>
  </si>
  <si>
    <t>https://blog.naver.com/PostView.naver?blogId=blueocean_no1&amp;logNo=223886952672&amp;redirect=Dlog&amp;widgetTypeCall=true&amp;directAccess=false</t>
  </si>
  <si>
    <t>KBO 1987년 신인드레프트. 강기웅, 류중일, 장태수 등</t>
  </si>
  <si>
    <t>https://blog.naver.com/PostView.naver?blogId=abundious&amp;logNo=223886925474&amp;redirect=Dlog&amp;widgetTypeCall=true&amp;directAccess=false</t>
  </si>
  <si>
    <t>KBO 1985년 신인드레프트. 김용국, 이종두 등</t>
  </si>
  <si>
    <t>https://blog.naver.com/PostView.naver?blogId=abundious&amp;logNo=223886919503&amp;redirect=Dlog&amp;widgetTypeCall=true&amp;directAccess=false</t>
  </si>
  <si>
    <t>뉴스1스타</t>
  </si>
  <si>
    <t>인교진, “애인 없으면 결혼하자, 약속이 현실”… ‘라디오스타’서 26년 연기 인생 풀어내</t>
  </si>
  <si>
    <t>https://blog.naver.com/PostView.naver?blogId=news1star&amp;logNo=223886918162&amp;redirect=Dlog&amp;widgetTypeCall=true&amp;directAccess=false</t>
  </si>
  <si>
    <t>대선, 300~500만 표 차이날까?</t>
  </si>
  <si>
    <t>https://blog.naver.com/PostView.naver?blogId=meta_com&amp;logNo=223886917791&amp;redirect=Dlog&amp;widgetTypeCall=true&amp;directAccess=false</t>
  </si>
  <si>
    <t>산곡동 ALICE</t>
  </si>
  <si>
    <t>오후 8시부터 시작되는 21대 대선 개표방송 방송사별 비교</t>
  </si>
  <si>
    <t>https://blog.naver.com/PostView.naver?blogId=bbobbny&amp;logNo=223886915896&amp;redirect=Dlog&amp;widgetTypeCall=true&amp;directAccess=false</t>
  </si>
  <si>
    <t>청우</t>
  </si>
  <si>
    <t>&lt;영화 바람&gt; 광산 김정완 “끄지라 씨XX아”, 배우 '지승현' 프로필 라디오스타 출연</t>
  </si>
  <si>
    <t>https://blog.naver.com/PostView.naver?blogId=universal_studeo&amp;logNo=223886907874&amp;redirect=Dlog&amp;widgetTypeCall=true&amp;directAccess=false</t>
  </si>
  <si>
    <t>오늘</t>
  </si>
  <si>
    <t>르완다에서 행사한 소중한 한 표, 친구야 반갑다</t>
  </si>
  <si>
    <t>https://blog.naver.com/PostView.naver?blogId=dongqseong&amp;logNo=223886491313&amp;redirect=Dlog&amp;widgetTypeCall=true&amp;directAccess=false</t>
  </si>
  <si>
    <t>2025.06.03 연예</t>
  </si>
  <si>
    <t>https://blog.naver.com/PostView.naver?blogId=kbs650604&amp;logNo=223886872211&amp;redirect=Dlog&amp;widgetTypeCall=true&amp;directAccess=false</t>
  </si>
  <si>
    <t>tvreview</t>
  </si>
  <si>
    <t>참빛청지기</t>
  </si>
  <si>
    <t>(영상) '그때 그 선거' 그 시절 선거이야기</t>
  </si>
  <si>
    <t>https://blog.naver.com/PostView.naver?blogId=truelight1500&amp;logNo=223886869097&amp;redirect=Dlog&amp;widgetTypeCall=true&amp;directAccess=false</t>
  </si>
  <si>
    <t>어처구니</t>
  </si>
  <si>
    <t>李 당선 땐… 민주, 취임 다음날 방탄법 처리 검토</t>
  </si>
  <si>
    <t>https://blog.naver.com/PostView.naver?blogId=nsunday&amp;logNo=223886846551&amp;redirect=Dlog&amp;widgetTypeCall=true&amp;directAccess=false</t>
  </si>
  <si>
    <t>오시영</t>
  </si>
  <si>
    <t>김수용, 이재명 지지 선언..? 그가 '찍지 않았던' 사람을 지지한 이유는..? 김수용 프로필!(고향, 가족관계, 학력, 병역 등)</t>
  </si>
  <si>
    <t>https://blog.naver.com/PostView.naver?blogId=englishmaninty&amp;logNo=223886820103&amp;redirect=Dlog&amp;widgetTypeCall=true&amp;directAccess=false</t>
  </si>
  <si>
    <t>오은영 리포트 결혼지옥 연극부부 우울증 아내</t>
  </si>
  <si>
    <t>https://blog.naver.com/PostView.naver?blogId=wwioa__&amp;logNo=223886789384&amp;redirect=Dlog&amp;widgetTypeCall=true&amp;directAccess=false</t>
  </si>
  <si>
    <t>🗳️ 6월 3일 21대 대통령선거 출구조사, 믿어도 될까? 완전 정리</t>
  </si>
  <si>
    <t>https://blog.naver.com/PostView.naver?blogId=aq0-0&amp;logNo=223886774859&amp;redirect=Dlog&amp;widgetTypeCall=true&amp;directAccess=false</t>
  </si>
  <si>
    <t>녕</t>
  </si>
  <si>
    <t>MAY.25</t>
  </si>
  <si>
    <t>https://blog.naver.com/PostView.naver?blogId=zer0se_&amp;logNo=223886771180&amp;redirect=Dlog&amp;widgetTypeCall=true&amp;directAccess=false</t>
  </si>
  <si>
    <t>아랑가(ArangGA)-1107. 어디쯤 가고 있을까</t>
  </si>
  <si>
    <t>https://blog.naver.com/PostView.naver?blogId=ycy519444&amp;logNo=223886765642&amp;redirect=Dlog&amp;widgetTypeCall=true&amp;directAccess=false</t>
  </si>
  <si>
    <t>세상이 바뀌었나? MBC 라디오 대선 개표방송 ‘선택 2025’, ‘매불쇼’ 최욱이 진행</t>
  </si>
  <si>
    <t>https://blog.naver.com/PostView.naver?blogId=koolap&amp;logNo=223886736343&amp;redirect=Dlog&amp;widgetTypeCall=true&amp;directAccess=false</t>
  </si>
  <si>
    <t>만렙도사</t>
  </si>
  <si>
    <t>낭구오빠</t>
  </si>
  <si>
    <t>포항 등푸른 생선 막회 맛집, 백년 식당 [포항 특미물회]</t>
  </si>
  <si>
    <t>https://blog.naver.com/PostView.naver?blogId=zaerac&amp;logNo=223864144928&amp;redirect=Dlog&amp;widgetTypeCall=true&amp;directAccess=false</t>
  </si>
  <si>
    <t>제21대 대선 본투표' 3일 오전 6시부터 전국서 진행…4일 오전 당선인 결정</t>
  </si>
  <si>
    <t>https://blog.naver.com/PostView.naver?blogId=seoulnewsagency&amp;logNo=223886667226&amp;redirect=Dlog&amp;widgetTypeCall=true&amp;directAccess=false</t>
  </si>
  <si>
    <t>머시중헌디</t>
  </si>
  <si>
    <t>이재명을 반대하면서 실수로 이재명을 지지한다고 실언을 하는 국민의 힘 소속의 사람들의 이해할 수 없는 행동을 분석하다.</t>
  </si>
  <si>
    <t>https://blog.naver.com/PostView.naver?blogId=whatsthemattertoyou&amp;logNo=223886651920&amp;redirect=Dlog&amp;widgetTypeCall=true&amp;directAccess=false</t>
  </si>
  <si>
    <t>MBC 일일드라마 '친절한 선주씨' 특별 출연 황병국 감독</t>
  </si>
  <si>
    <t>https://blog.naver.com/PostView.naver?blogId=spring_hmong&amp;logNo=223886647817&amp;redirect=Dlog&amp;widgetTypeCall=true&amp;directAccess=false</t>
  </si>
  <si>
    <t>스윗필드</t>
  </si>
  <si>
    <t>노무사노무진 2화 민욱 사고 니말 증언 성불 뜻 정경호 자켓 /3회 다시 전봇대?재방송 ott</t>
  </si>
  <si>
    <t>https://blog.naver.com/PostView.naver?blogId=mlkway153&amp;logNo=223886631530&amp;redirect=Dlog&amp;widgetTypeCall=true&amp;directAccess=false</t>
  </si>
  <si>
    <t>이토록 친밀한 배신자 (MBC)</t>
  </si>
  <si>
    <t>https://blog.naver.com/PostView.naver?blogId=every_villain_day&amp;logNo=223886614082&amp;redirect=Dlog&amp;widgetTypeCall=true&amp;directAccess=false</t>
  </si>
  <si>
    <t>깨어 있는 국민이 대한민국의 밝은 미래를 연다.</t>
  </si>
  <si>
    <t>https://blog.naver.com/PostView.naver?blogId=wnnbc&amp;logNo=223886613106&amp;redirect=Dlog&amp;widgetTypeCall=true&amp;directAccess=false</t>
  </si>
  <si>
    <t>천재래곤</t>
  </si>
  <si>
    <t>D-68. 몸과 마음을 모두 바꾸는 다이어트. 마인드바디챌린지 시작! (ft. 오늘의 내가 내일의 나를 바꾼다.)</t>
  </si>
  <si>
    <t>https://blog.naver.com/PostView.naver?blogId=dragon798&amp;logNo=223886601240&amp;redirect=Dlog&amp;widgetTypeCall=true&amp;directAccess=false</t>
  </si>
  <si>
    <t>백설공주에게 죽음을-Black Out (MBC)</t>
  </si>
  <si>
    <t>https://blog.naver.com/PostView.naver?blogId=every_villain_day&amp;logNo=223886585894&amp;redirect=Dlog&amp;widgetTypeCall=true&amp;directAccess=false</t>
  </si>
  <si>
    <t>내가잡는다</t>
  </si>
  <si>
    <t>[21대 대통령 선거] 함께 분열해요 방송 언론</t>
  </si>
  <si>
    <t>https://blog.naver.com/PostView.naver?blogId=dalgomyi&amp;logNo=223886584539&amp;redirect=Dlog&amp;widgetTypeCall=true&amp;directAccess=false</t>
  </si>
  <si>
    <t>고독한 채식가</t>
  </si>
  <si>
    <t>딸의 충격 한마디 "이모랑 아빠가 사랑해?"…(+소름 돋는 불륜&amp;이혼 실화 공개!)</t>
  </si>
  <si>
    <t>https://blog.naver.com/PostView.naver?blogId=superdowser&amp;logNo=223886581038&amp;redirect=Dlog&amp;widgetTypeCall=true&amp;directAccess=false</t>
  </si>
  <si>
    <t>올라올라</t>
  </si>
  <si>
    <t>2025 21대 대선 개표방송 시간 및 당선 확정 시각! MBC, SBS, KBS, JTBC 출연진 안내</t>
  </si>
  <si>
    <t>https://blog.naver.com/PostView.naver?blogId=olaola00&amp;logNo=223886251452&amp;redirect=Dlog&amp;widgetTypeCall=true&amp;directAccess=false</t>
  </si>
  <si>
    <t>이슈랭</t>
  </si>
  <si>
    <t>배우 이동욱 투표 독려 소신 발언 "찍을 사람이 없다고?"</t>
  </si>
  <si>
    <t>https://blog.naver.com/PostView.naver?blogId=mucaldiaproc&amp;logNo=223886564702&amp;redirect=Dlog&amp;widgetTypeCall=true&amp;directAccess=false</t>
  </si>
  <si>
    <t>2025년 6월 새 예능 라인업</t>
  </si>
  <si>
    <t>https://blog.naver.com/PostView.naver?blogId=spring_hmong&amp;logNo=223886557711&amp;redirect=Dlog&amp;widgetTypeCall=true&amp;directAccess=false</t>
  </si>
  <si>
    <t>꿈 많은 아재</t>
  </si>
  <si>
    <t>월드컵 본선 확정이 걸린 아시아 최종예선:) 이라크전, 쿠웨이트전, 선수명단, 일정</t>
  </si>
  <si>
    <t>https://blog.naver.com/PostView.naver?blogId=18_04_14&amp;logNo=223886554677&amp;redirect=Dlog&amp;widgetTypeCall=true&amp;directAccess=false</t>
  </si>
  <si>
    <t>김종우</t>
  </si>
  <si>
    <t>🔯"서울이 확 뒤집어졌다" 🔯"골든크로스에 진입했다" 🔯3주사이 경남표심 변화</t>
  </si>
  <si>
    <t>https://blog.naver.com/PostView.naver?blogId=jwkim8993&amp;logNo=223886548100&amp;redirect=Dlog&amp;widgetTypeCall=true&amp;directAccess=false</t>
  </si>
  <si>
    <t>덧이스</t>
  </si>
  <si>
    <t>차학연의 재발견</t>
  </si>
  <si>
    <t>https://blog.naver.com/PostView.naver?blogId=wwioa__&amp;logNo=223886519570&amp;redirect=Dlog&amp;widgetTypeCall=true&amp;directAccess=false</t>
  </si>
  <si>
    <t>내일, 순간의 선택이 100년의 미래를  결정한다. 인생의 어려움은 선택에 있다.‘내란’이 불러온 조기 대선.. 尹 ‘반국가세력’ 외치다 계엄으로 자멸 -</t>
  </si>
  <si>
    <t>https://blog.naver.com/PostView.naver?blogId=kys55-&amp;logNo=223886504666&amp;redirect=Dlog&amp;widgetTypeCall=true&amp;directAccess=false</t>
  </si>
  <si>
    <t>수G</t>
  </si>
  <si>
    <t>제 21대 대통령 선거 D-1, 결과는 언제? 개표방송 시간 정리</t>
  </si>
  <si>
    <t>https://blog.naver.com/PostView.naver?blogId=suji2573&amp;logNo=223886502469&amp;redirect=Dlog&amp;widgetTypeCall=true&amp;directAccess=false</t>
  </si>
  <si>
    <t>하루의 피로를 녹여주는 한 끼, 전국 퇴근 후 맛집 5곳</t>
  </si>
  <si>
    <t>https://blog.naver.com/PostView.naver?blogId=lymcall&amp;logNo=223886501319&amp;redirect=Dlog&amp;widgetTypeCall=true&amp;directAccess=false</t>
  </si>
  <si>
    <t>재린슈슈</t>
  </si>
  <si>
    <t>결혼지옥 연극부부 남편 눈치보는 아내? 124회 오은영 리포트</t>
  </si>
  <si>
    <t>https://blog.naver.com/PostView.naver?blogId=shushu9988&amp;logNo=223886228209&amp;redirect=Dlog&amp;widgetTypeCall=true&amp;directAccess=false</t>
  </si>
  <si>
    <t>박하선, “개만도 못한 사람들”…‘히든아이’서 분노 폭발한 이유</t>
  </si>
  <si>
    <t>https://blog.naver.com/PostView.naver?blogId=kstarfashion&amp;logNo=223886490901&amp;redirect=Dlog&amp;widgetTypeCall=true&amp;directAccess=false</t>
  </si>
  <si>
    <t>육성재 성수동 집 위치 어디 돈까스집 돈가스집 인형뽑기 틱톡커 영은 인스타 금수저 나이 대학</t>
  </si>
  <si>
    <t>https://blog.naver.com/PostView.naver?blogId=xxx2266_&amp;logNo=223886474920&amp;redirect=Dlog&amp;widgetTypeCall=true&amp;directAccess=false</t>
  </si>
  <si>
    <t>【속보】6.3 본투표 3일 오후 8시 마감후 개표…"선관위 의결과 새 대통령 임기시작"</t>
  </si>
  <si>
    <t>https://blog.naver.com/PostView.naver?blogId=esejong1&amp;logNo=223886442473&amp;redirect=Dlog&amp;widgetTypeCall=true&amp;directAccess=false</t>
  </si>
  <si>
    <t>하사가</t>
  </si>
  <si>
    <t>친절한 선주씨 결말, 심이영과 송창의 행복한 결혼식, 최정윤 반성없는 구속</t>
  </si>
  <si>
    <t>https://blog.naver.com/PostView.naver?blogId=gktkrk&amp;logNo=223886405075&amp;redirect=Dlog&amp;widgetTypeCall=true&amp;directAccess=false</t>
  </si>
  <si>
    <t>어느 야구광</t>
  </si>
  <si>
    <t>[KBO] 팀 리뷰 - 좋아하지만...좋아만 하는 미라클 OB-두산베어스</t>
  </si>
  <si>
    <t>https://blog.naver.com/PostView.naver?blogId=1baseball_&amp;logNo=223886399160&amp;redirect=Dlog&amp;widgetTypeCall=true&amp;directAccess=false</t>
  </si>
  <si>
    <t>푹다행' 오마이걸 미미, 첫 머구리 도전! 숨겨둔 해녀 본능 폭발</t>
  </si>
  <si>
    <t>https://blog.naver.com/PostView.naver?blogId=kstarfashion&amp;logNo=223886386989&amp;redirect=Dlog&amp;widgetTypeCall=true&amp;directAccess=false</t>
  </si>
  <si>
    <t>나 혼자 산다 598회: 육성재의 블랙 동굴 하우스와 김대호의 눈물 재회!</t>
  </si>
  <si>
    <t>https://blog.naver.com/PostView.naver?blogId=macshorts&amp;logNo=223885294686&amp;redirect=Dlog&amp;widgetTypeCall=true&amp;directAccess=false</t>
  </si>
  <si>
    <t>이준석 "윤석열 황교안이 지지한 김문수 이미 졌다" 국힘 반응은</t>
  </si>
  <si>
    <t>https://blog.naver.com/PostView.naver?blogId=clean127&amp;logNo=223886372054&amp;redirect=Dlog&amp;widgetTypeCall=true&amp;directAccess=false</t>
  </si>
  <si>
    <t>뉴스와</t>
  </si>
  <si>
    <t>하지원, 미친 동안+탄탄한 몸매로 ‘눈길’…“48세 맞아?”</t>
  </si>
  <si>
    <t>https://blog.naver.com/PostView.naver?blogId=newswa_official&amp;logNo=223886356919&amp;redirect=Dlog&amp;widgetTypeCall=true&amp;directAccess=false</t>
  </si>
  <si>
    <t>임가을</t>
  </si>
  <si>
    <t>‘미우새’ 윤시윤, 깔끔한 일상 공개…어머니가 불편해 한 사연은?</t>
  </si>
  <si>
    <t>https://blog.naver.com/PostView.naver?blogId=newswa_official&amp;logNo=223886351844&amp;redirect=Dlog&amp;widgetTypeCall=true&amp;directAccess=false</t>
  </si>
  <si>
    <t>‘푹 쉬면 다행이야’ 50회, 미미 첫 머구리 도전과 양평 브라더스 김대호·이수근의 갈등</t>
  </si>
  <si>
    <t>https://blog.naver.com/PostView.naver?blogId=news1star&amp;logNo=223885974652&amp;redirect=Dlog&amp;widgetTypeCall=true&amp;directAccess=false</t>
  </si>
  <si>
    <t>지나가다 봄</t>
  </si>
  <si>
    <t>"이재명 피습 때 국힘이 조롱"?… MBC '권순표의 뉴스하이킥', 가짜뉴스 방치</t>
  </si>
  <si>
    <t>https://blog.naver.com/PostView.naver?blogId=truth-guardian&amp;logNo=223886273060&amp;redirect=Dlog&amp;widgetTypeCall=true&amp;directAccess=false</t>
  </si>
  <si>
    <t>쫑우어멈라뉘</t>
  </si>
  <si>
    <t>여주대 심리재활치료과</t>
  </si>
  <si>
    <t>https://blog.naver.com/PostView.naver?blogId=mrk7128&amp;logNo=223886263614&amp;redirect=Dlog&amp;widgetTypeCall=true&amp;directAccess=false</t>
  </si>
  <si>
    <t>DailyConsumer</t>
  </si>
  <si>
    <t>내가 보려고 쓰는, 2025 대통령 선거 개표방송 일정 총정리 - 어디서, 언제 볼까?</t>
  </si>
  <si>
    <t>https://blog.naver.com/PostView.naver?blogId=cassie_ynk&amp;logNo=223886201644&amp;redirect=Dlog&amp;widgetTypeCall=true&amp;directAccess=false</t>
  </si>
  <si>
    <t>루잇</t>
  </si>
  <si>
    <t>김문수 '제주 4.3은 공산 폭동' 과거 망언</t>
  </si>
  <si>
    <t>https://blog.naver.com/PostView.naver?blogId=wnnbc&amp;logNo=223886185130&amp;redirect=Dlog&amp;widgetTypeCall=true&amp;directAccess=false</t>
  </si>
  <si>
    <t>쿨쿨</t>
  </si>
  <si>
    <t>Pensieve</t>
  </si>
  <si>
    <t>[영상] '오늘 아침 신문' 스크랩 | 2025년 6월</t>
  </si>
  <si>
    <t>https://blog.naver.com/PostView.naver?blogId=until_satisfied&amp;logNo=223886158840&amp;redirect=Dlog&amp;widgetTypeCall=true&amp;directAccess=false</t>
  </si>
  <si>
    <t>소곤이</t>
  </si>
  <si>
    <t>살롱 드 바이올린 – KoN(콘)</t>
  </si>
  <si>
    <t>https://blog.naver.com/PostView.naver?blogId=jekwon98&amp;logNo=223886129305&amp;redirect=Dlog&amp;widgetTypeCall=true&amp;directAccess=false</t>
  </si>
  <si>
    <t>홍명보호 이라크전 출국 월드컵 11회 연속 본선 진출 가능할까?</t>
  </si>
  <si>
    <t>https://blog.naver.com/PostView.naver?blogId=baekhw1&amp;logNo=223886120492&amp;redirect=Dlog&amp;widgetTypeCall=true&amp;directAccess=false</t>
  </si>
  <si>
    <t>아델</t>
  </si>
  <si>
    <t>박운석 우리술이야기)고문헌을 통해 본 증류소주의 역사</t>
  </si>
  <si>
    <t>https://blog.naver.com/PostView.naver?blogId=dwyun60&amp;logNo=223886111074&amp;redirect=Dlog&amp;widgetTypeCall=true&amp;directAccess=false</t>
  </si>
  <si>
    <t>백수</t>
  </si>
  <si>
    <t>에필로그</t>
  </si>
  <si>
    <t>https://blog.naver.com/PostView.naver?blogId=yacho222&amp;logNo=223886110113&amp;redirect=Dlog&amp;widgetTypeCall=true&amp;directAccess=false</t>
  </si>
  <si>
    <t>시골목사</t>
  </si>
  <si>
    <t>왜 출구조사와 개표 결과가 다른가? (제22대 총선)</t>
  </si>
  <si>
    <t>https://blog.naver.com/PostView.naver?blogId=khuknow&amp;logNo=223886109530&amp;redirect=Dlog&amp;widgetTypeCall=true&amp;directAccess=false</t>
  </si>
  <si>
    <t>우주로 가는 기술이동체 설계제조 운영기술</t>
  </si>
  <si>
    <t>https://blog.naver.com/PostView.naver?blogId=nonstop0404&amp;logNo=223886083795&amp;redirect=Dlog&amp;widgetTypeCall=true&amp;directAccess=false</t>
  </si>
  <si>
    <t>잭</t>
  </si>
  <si>
    <t>효민 충격 고백 신혼인데 각자 따로 사는 이유</t>
  </si>
  <si>
    <t>https://blog.naver.com/PostView.naver?blogId=hhwjh&amp;logNo=223886067319&amp;redirect=Dlog&amp;widgetTypeCall=true&amp;directAccess=false</t>
  </si>
  <si>
    <t>대DAE</t>
  </si>
  <si>
    <t>2025년 5월 결산</t>
  </si>
  <si>
    <t>https://blog.naver.com/PostView.naver?blogId=eor_js&amp;logNo=223885974057&amp;redirect=Dlog&amp;widgetTypeCall=true&amp;directAccess=false</t>
  </si>
  <si>
    <t>회색고양이</t>
  </si>
  <si>
    <t>이종석, 능력치 만렙 어쏘 변호사 됐다..엘리트美 폭발(‘서초동’)</t>
  </si>
  <si>
    <t>https://blog.naver.com/PostView.naver?blogId=wonogi&amp;logNo=223885727305&amp;redirect=Dlog&amp;widgetTypeCall=true&amp;directAccess=false</t>
  </si>
  <si>
    <t>조아요</t>
  </si>
  <si>
    <t>지드래곤' 사나와의 열애설 부인 "해명 안 했던 "덱스와 냉터뷰 촬영"</t>
  </si>
  <si>
    <t>https://blog.naver.com/PostView.naver?blogId=joayozzang&amp;logNo=223885898564&amp;redirect=Dlog&amp;widgetTypeCall=true&amp;directAccess=false</t>
  </si>
  <si>
    <t>ruthkim88</t>
  </si>
  <si>
    <t>다른</t>
  </si>
  <si>
    <t>민주당의 짐 로저스 지지선언 카드깡</t>
  </si>
  <si>
    <t>https://blog.naver.com/PostView.naver?blogId=darns&amp;logNo=223885877794&amp;redirect=Dlog&amp;widgetTypeCall=true&amp;directAccess=false</t>
  </si>
  <si>
    <t>포포트</t>
  </si>
  <si>
    <t>KYK INVITATION 2025</t>
  </si>
  <si>
    <t>https://blog.naver.com/PostView.naver?blogId=the-f-fort&amp;logNo=223885858687&amp;redirect=Dlog&amp;widgetTypeCall=true&amp;directAccess=false</t>
  </si>
  <si>
    <t>뮤즈온에어</t>
  </si>
  <si>
    <t>토북이</t>
  </si>
  <si>
    <t>[물회] 강동구청역 최냉면 본점 - 시원한 오징어 물회 맛집</t>
  </si>
  <si>
    <t>https://blog.naver.com/PostView.naver?blogId=tokkinturtle&amp;logNo=223884048992&amp;redirect=Dlog&amp;widgetTypeCall=true&amp;directAccess=false</t>
  </si>
  <si>
    <t>글 쓰는 운동 선생</t>
  </si>
  <si>
    <t>리박스쿨 김문수(feat. 유시민), 외모 자부심 설난영</t>
  </si>
  <si>
    <t>https://blog.naver.com/PostView.naver?blogId=koclubgo&amp;logNo=223885797789&amp;redirect=Dlog&amp;widgetTypeCall=true&amp;directAccess=false</t>
  </si>
  <si>
    <t>장인수</t>
  </si>
  <si>
    <t>사극풍 가요 모음' - Again 가요톱10 : KBS KPOP Classic(2022.2.16. 유튜브 게재분)</t>
  </si>
  <si>
    <t>https://blog.naver.com/PostView.naver?blogId=inzzang9807&amp;logNo=223885789061&amp;redirect=Dlog&amp;widgetTypeCall=true&amp;directAccess=false</t>
  </si>
  <si>
    <t>박나래·장도연 개콘, "임신? 애 아빠 누구?"→보아 뒷담화까지 해명 (+챗플릭스)</t>
  </si>
  <si>
    <t>https://blog.naver.com/PostView.naver?blogId=picklenews&amp;logNo=223885749244&amp;redirect=Dlog&amp;widgetTypeCall=true&amp;directAccess=false</t>
  </si>
  <si>
    <t>꿈과 이상</t>
  </si>
  <si>
    <t>김강현, ‘노무사 노무진’ 개성 넘치는 활약</t>
  </si>
  <si>
    <t>https://blog.naver.com/PostView.naver?blogId=chryu5386&amp;logNo=223885736061&amp;redirect=Dlog&amp;widgetTypeCall=true&amp;directAccess=false</t>
  </si>
  <si>
    <t>거니버거</t>
  </si>
  <si>
    <t>piaolaoshi01</t>
  </si>
  <si>
    <t>애너벨 리</t>
  </si>
  <si>
    <t>https://blog.naver.com/PostView.naver?blogId=piaolaoshi01&amp;logNo=223885719326&amp;redirect=Dlog&amp;widgetTypeCall=true&amp;directAccess=false</t>
  </si>
  <si>
    <t>250530</t>
  </si>
  <si>
    <t>https://blog.naver.com/PostView.naver?blogId=kstarfashion&amp;logNo=223885716001&amp;redirect=Dlog&amp;widgetTypeCall=true&amp;directAccess=false</t>
  </si>
  <si>
    <t>장현승, 돌아온 아이돌의 솔직한 속내</t>
  </si>
  <si>
    <t>https://blog.naver.com/PostView.naver?blogId=kstarfashion&amp;logNo=223885713679&amp;redirect=Dlog&amp;widgetTypeCall=true&amp;directAccess=false</t>
  </si>
  <si>
    <t>마음이</t>
  </si>
  <si>
    <t>최근 가장 네티즌들의 많은 뭇매와 질타를 받았던사건이 MBC 직장괴롭힘사건이다.왜 그런지 알아보자.</t>
  </si>
  <si>
    <t>https://blog.naver.com/PostView.naver?blogId=sunderbort-&amp;logNo=223885683792&amp;redirect=Dlog&amp;widgetTypeCall=true&amp;directAccess=false</t>
  </si>
  <si>
    <t>[커피 &amp; 뉴스] 李 여의도, 金 광화문…오늘 대선 유세 '피날레'</t>
  </si>
  <si>
    <t>https://blog.naver.com/PostView.naver?blogId=dukedomk&amp;logNo=223885674090&amp;redirect=Dlog&amp;widgetTypeCall=true&amp;directAccess=false</t>
  </si>
  <si>
    <t>독서캠페인</t>
  </si>
  <si>
    <t>오다 보니 여기__김병걸 가사집</t>
  </si>
  <si>
    <t>https://blog.naver.com/PostView.naver?blogId=coreawe&amp;logNo=223885658686&amp;redirect=Dlog&amp;widgetTypeCall=true&amp;directAccess=false</t>
  </si>
  <si>
    <t>애프터지</t>
  </si>
  <si>
    <t>지디/GD [피스마이너스원 하이볼] 구매</t>
  </si>
  <si>
    <t>https://blog.naver.com/PostView.naver?blogId=likejsw&amp;logNo=223885650445&amp;redirect=Dlog&amp;widgetTypeCall=true&amp;directAccess=false</t>
  </si>
  <si>
    <t>‘노브라 생방’ 임현주 아나운서, 노키즈존 소신발언…“힙한 곳에 아이는 왜 못갈까?”</t>
  </si>
  <si>
    <t>https://blog.naver.com/PostView.naver?blogId=newswa_official&amp;logNo=223885641336&amp;redirect=Dlog&amp;widgetTypeCall=true&amp;directAccess=false</t>
  </si>
  <si>
    <t>몽몽</t>
  </si>
  <si>
    <t>leesunhee9</t>
  </si>
  <si>
    <t>reviewangel</t>
  </si>
  <si>
    <t>xyz000p</t>
  </si>
  <si>
    <t>📜 [ZPX 기반] “대한민국 멸망 각” 분석 프레임워크주제: 대한민국 내부 붕괴는 자연현상이 아니라,설계된 통제 시스템 + 국민 멍청화에 의한 결과다.</t>
  </si>
  <si>
    <t>https://blog.naver.com/PostView.naver?blogId=xyz000p&amp;logNo=223885567219&amp;redirect=Dlog&amp;widgetTypeCall=true&amp;directAccess=false</t>
  </si>
  <si>
    <t>국카스텐·장기하, 이재명 지지선언 전면 부인…“우린 정치인 지지 선언 하지 않는다” m.fntoday.co.kr/news/articleVi… 논란의 발단은 지난 4월 말 제주 MB</t>
  </si>
  <si>
    <t>https://blog.naver.com/PostView.naver?blogId=hwebs&amp;logNo=223885566911&amp;redirect=Dlog&amp;widgetTypeCall=true&amp;directAccess=false</t>
  </si>
  <si>
    <t>리뷰조아</t>
  </si>
  <si>
    <t>사전투표 관리 비판하다..무심코 튀어나온 본심? [뉴스.zip/MBC뉴스]</t>
  </si>
  <si>
    <t>별의 목록</t>
  </si>
  <si>
    <t>비렉스 척추베드 + 마사지쿠션 + 러그 방문설치 모카 브라운 일상에 스며든 진짜 편함</t>
  </si>
  <si>
    <t>https://blog.naver.com/PostView.naver?blogId=lenikcrbn120&amp;logNo=223884861214&amp;redirect=Dlog&amp;widgetTypeCall=true&amp;directAccess=false</t>
  </si>
  <si>
    <t>jh_story_</t>
  </si>
  <si>
    <t>충격적인, 지하철 5호선 방화범 범행 동기 밝혀지다......</t>
  </si>
  <si>
    <t>https://blog.naver.com/PostView.naver?blogId=jh_story_&amp;logNo=223885481578&amp;redirect=Dlog&amp;widgetTypeCall=true&amp;directAccess=false</t>
  </si>
  <si>
    <t>hayeon</t>
  </si>
  <si>
    <t>우리의주름은늙어도우리의사랑은늙지말자</t>
  </si>
  <si>
    <t>https://blog.naver.com/PostView.naver?blogId=hayome_&amp;logNo=223885454154&amp;redirect=Dlog&amp;widgetTypeCall=true&amp;directAccess=false</t>
  </si>
  <si>
    <t>Diarygrapher</t>
  </si>
  <si>
    <t>목포 소고기 등대식육식당 진짜 맛집 맞아? 나혼산에 나온 생고기와 한우모듬구이 냉철한 후기</t>
  </si>
  <si>
    <t>https://blog.naver.com/PostView.naver?blogId=maniddo4001&amp;logNo=223884520357&amp;redirect=Dlog&amp;widgetTypeCall=true&amp;directAccess=false</t>
  </si>
  <si>
    <t>목석초화</t>
  </si>
  <si>
    <t>안경·노브라 생방송…임현주 아나, 노키즈존 비판</t>
  </si>
  <si>
    <t>https://blog.naver.com/PostView.naver?blogId=jaoom63&amp;logNo=223885425516&amp;redirect=Dlog&amp;widgetTypeCall=true&amp;directAccess=false</t>
  </si>
  <si>
    <t>클쓰</t>
  </si>
  <si>
    <t>[최근 본 작품들] - 한줄평 4</t>
  </si>
  <si>
    <t>https://blog.naver.com/PostView.naver?blogId=cdef0987&amp;logNo=223885420956&amp;redirect=Dlog&amp;widgetTypeCall=true&amp;directAccess=false</t>
  </si>
  <si>
    <t>Cantabile</t>
  </si>
  <si>
    <t>5월끝..주로 먹고마신일</t>
  </si>
  <si>
    <t>https://blog.naver.com/PostView.naver?blogId=a_eui&amp;logNo=223885408897&amp;redirect=Dlog&amp;widgetTypeCall=true&amp;directAccess=false</t>
  </si>
  <si>
    <t>2025.06.01 연예</t>
  </si>
  <si>
    <t>https://blog.naver.com/PostView.naver?blogId=kbs650604&amp;logNo=223885356490&amp;redirect=Dlog&amp;widgetTypeCall=true&amp;directAccess=false</t>
  </si>
  <si>
    <t>merry_heehee</t>
  </si>
  <si>
    <t>[협회장배] 현대고, 연장전 끝에 매탄고 2-1 잡고 대회 정상</t>
  </si>
  <si>
    <t>https://blog.naver.com/PostView.naver?blogId=kfa_official_&amp;logNo=223885319554&amp;redirect=Dlog&amp;widgetTypeCall=true&amp;directAccess=false</t>
  </si>
  <si>
    <t>kkk</t>
  </si>
  <si>
    <t>끓는점의 차이</t>
  </si>
  <si>
    <t>https://blog.naver.com/PostView.naver?blogId=kkk0121-&amp;logNo=223885291467&amp;redirect=Dlog&amp;widgetTypeCall=true&amp;directAccess=false</t>
  </si>
  <si>
    <t>달꽃</t>
  </si>
  <si>
    <t>면접 끝 휴식 시작...😱</t>
  </si>
  <si>
    <t>https://blog.naver.com/PostView.naver?blogId=mxxnfla&amp;logNo=223885290640&amp;redirect=Dlog&amp;widgetTypeCall=true&amp;directAccess=false</t>
  </si>
  <si>
    <t>마하마</t>
  </si>
  <si>
    <t>울산 동구 케이크 맛집 &lt;카페누트&gt; 내돈내산 솔직후기</t>
  </si>
  <si>
    <t>https://blog.naver.com/PostView.naver?blogId=yam_hama&amp;logNo=223885284952&amp;redirect=Dlog&amp;widgetTypeCall=true&amp;directAccess=false</t>
  </si>
  <si>
    <t>김대호X이수근, 양평 브라더스의 찐 우정…‘푹다행’서 무인도 입도만 두 시간</t>
  </si>
  <si>
    <t>https://blog.naver.com/PostView.naver?blogId=apahghfej&amp;logNo=223885264609&amp;redirect=Dlog&amp;widgetTypeCall=true&amp;directAccess=false</t>
  </si>
  <si>
    <t>네로와 아로아</t>
  </si>
  <si>
    <t>즐겁게 마친 mbc -오늘n 촬영</t>
  </si>
  <si>
    <t>https://blog.naver.com/PostView.naver?blogId=dkjs0523&amp;logNo=223885263589&amp;redirect=Dlog&amp;widgetTypeCall=true&amp;directAccess=false</t>
  </si>
  <si>
    <t>[아는형님]제1대부터 제4대 '반장선거'까지 (2025 대선기념) - 서장훈,민경훈,이수근,강호동</t>
  </si>
  <si>
    <t>https://blog.naver.com/PostView.naver?blogId=xonezoom&amp;logNo=223885243546&amp;redirect=Dlog&amp;widgetTypeCall=true&amp;directAccess=false</t>
  </si>
  <si>
    <t>ooo392817</t>
  </si>
  <si>
    <t>mbc 이브의 모든 것</t>
  </si>
  <si>
    <t>https://blog.naver.com/PostView.naver?blogId=ooo392817&amp;logNo=223885239517&amp;redirect=Dlog&amp;widgetTypeCall=true&amp;directAccess=false</t>
  </si>
  <si>
    <t>방송인 박미선의 근황, 병명 등 총정리</t>
  </si>
  <si>
    <t>https://blog.naver.com/PostView.naver?blogId=whatsthemattertoyou&amp;logNo=223885236215&amp;redirect=Dlog&amp;widgetTypeCall=true&amp;directAccess=false</t>
  </si>
  <si>
    <t>피터296 3</t>
  </si>
  <si>
    <t>한국 대선, 여성 혐오 발언으로 성평등 이슈 급부상</t>
  </si>
  <si>
    <t>https://blog.naver.com/PostView.naver?blogId=ktenc2024&amp;logNo=223885216541&amp;redirect=Dlog&amp;widgetTypeCall=true&amp;directAccess=false</t>
  </si>
  <si>
    <t>김작가</t>
  </si>
  <si>
    <t>&lt;노무사 노무진&gt; 1회를 보고나서</t>
  </si>
  <si>
    <t>https://blog.naver.com/PostView.naver?blogId=minipower77u&amp;logNo=223885215823&amp;redirect=Dlog&amp;widgetTypeCall=true&amp;directAccess=false</t>
  </si>
  <si>
    <t>김작</t>
  </si>
  <si>
    <t>방영예정 드라마 로그라인 공부 250601</t>
  </si>
  <si>
    <t>https://blog.naver.com/PostView.naver?blogId=alright99&amp;logNo=223885201891&amp;redirect=Dlog&amp;widgetTypeCall=true&amp;directAccess=false</t>
  </si>
  <si>
    <t>ehyn</t>
  </si>
  <si>
    <t>May. 지루함의 또 다른 말은 평화</t>
  </si>
  <si>
    <t>https://blog.naver.com/PostView.naver?blogId=ednhyun&amp;logNo=223885194496&amp;redirect=Dlog&amp;widgetTypeCall=true&amp;directAccess=false</t>
  </si>
  <si>
    <t>J</t>
  </si>
  <si>
    <t>TrustReview</t>
  </si>
  <si>
    <t>여니</t>
  </si>
  <si>
    <t>2월에는 무엇을 했나</t>
  </si>
  <si>
    <t>https://blog.naver.com/PostView.naver?blogId=aevoriy&amp;logNo=223885139169&amp;redirect=Dlog&amp;widgetTypeCall=true&amp;directAccess=false</t>
  </si>
  <si>
    <t>럭키다이아 주인장</t>
  </si>
  <si>
    <t>아모스</t>
  </si>
  <si>
    <t>김문수 왈 "돈 많은 이건희 딸도 극단 선택"  ... 이게 인간으로 할 소린가?</t>
  </si>
  <si>
    <t>https://blog.naver.com/PostView.naver?blogId=amos_amos&amp;logNo=223885120646&amp;redirect=Dlog&amp;widgetTypeCall=true&amp;directAccess=false</t>
  </si>
  <si>
    <t>“아이는 왜 힙한 곳에 못 가나” 임현주 아나운서, 노키즈존 문화에 솔직한 목소리</t>
  </si>
  <si>
    <t>https://blog.naver.com/PostView.naver?blogId=apahghfej&amp;logNo=223885110805&amp;redirect=Dlog&amp;widgetTypeCall=true&amp;directAccess=false</t>
  </si>
  <si>
    <t>디즈니플러스 한국 시장 사용자 급감 배경 분석</t>
  </si>
  <si>
    <t>https://blog.naver.com/PostView.naver?blogId=newyorkmanhattan&amp;logNo=223885088222&amp;redirect=Dlog&amp;widgetTypeCall=true&amp;directAccess=false</t>
  </si>
  <si>
    <t>이훈혁</t>
  </si>
  <si>
    <t>프로야구 NC "창원시 약속 안 지켜 ... 연고지 이전도 본격 검토"</t>
  </si>
  <si>
    <t>https://blog.naver.com/PostView.naver?blogId=valcan159&amp;logNo=223885086997&amp;redirect=Dlog&amp;widgetTypeCall=true&amp;directAccess=false</t>
  </si>
  <si>
    <t>유스호스텔HOSTEL</t>
  </si>
  <si>
    <t>11회 연속 월드컵 본선 진출 확정</t>
  </si>
  <si>
    <t>https://blog.naver.com/PostView.naver?blogId=hansbae&amp;logNo=223885084414&amp;redirect=Dlog&amp;widgetTypeCall=true&amp;directAccess=false</t>
  </si>
  <si>
    <t>“리치언니 클래스” 박세리, 수억 원 투자한 스포츠 문화센터 ‘SERI PAK with 용인’ 개관 화제</t>
  </si>
  <si>
    <t>https://blog.naver.com/PostView.naver?blogId=apahghfej&amp;logNo=223885075883&amp;redirect=Dlog&amp;widgetTypeCall=true&amp;directAccess=false</t>
  </si>
  <si>
    <t>디디</t>
  </si>
  <si>
    <t>내가 좋아했던 일용엄니 역의 김수미 씨</t>
  </si>
  <si>
    <t>https://blog.naver.com/PostView.naver?blogId=shpoem&amp;logNo=223885066335&amp;redirect=Dlog&amp;widgetTypeCall=true&amp;directAccess=false</t>
  </si>
  <si>
    <t>유시민은 "60이 넘으면 뇌가 썩는다"는 말을 한 적이 없다. 손병관</t>
  </si>
  <si>
    <t>https://blog.naver.com/PostView.naver?blogId=kimdaisuke&amp;logNo=223885065603&amp;redirect=Dlog&amp;widgetTypeCall=true&amp;directAccess=false</t>
  </si>
  <si>
    <t>이제뭐볼까</t>
  </si>
  <si>
    <t>[드라마리뷰] 노무사 노무진 1회-2회 후기 (보살과 근로계약을 체결한 유령보는 노무사 노무진 정경호/MBC 금토드라마)</t>
  </si>
  <si>
    <t>https://blog.naver.com/PostView.naver?blogId=tlcjdrlfhr0011&amp;logNo=223885059879&amp;redirect=Dlog&amp;widgetTypeCall=true&amp;directAccess=false</t>
  </si>
  <si>
    <t>시골참새</t>
  </si>
  <si>
    <t>심이영 딸 배우 꿈 친절한선주씨에 깜짝 등장한 배우들 자녀</t>
  </si>
  <si>
    <t>https://blog.naver.com/PostView.naver?blogId=amasvin_&amp;logNo=223885050698&amp;redirect=Dlog&amp;widgetTypeCall=true&amp;directAccess=false</t>
  </si>
  <si>
    <t>아나운서 임현주 노키즈존 소신발언 뭐길래? 남편 다니엘 튜더</t>
  </si>
  <si>
    <t>https://blog.naver.com/PostView.naver?blogId=pkeunyoo&amp;logNo=223885048517&amp;redirect=Dlog&amp;widgetTypeCall=true&amp;directAccess=false</t>
  </si>
  <si>
    <t>K씨 티브이</t>
  </si>
  <si>
    <t>놀면뭐하니 하차 이유는? 이미주 박진주 빈자리 새멤버 후임은 누구</t>
  </si>
  <si>
    <t>https://blog.naver.com/PostView.naver?blogId=chummilmil99&amp;logNo=223885046630&amp;redirect=Dlog&amp;widgetTypeCall=true&amp;directAccess=false</t>
  </si>
  <si>
    <t>팩트인뉴스</t>
  </si>
  <si>
    <t>박보검 주연 '굿보이', 시청률 4.8%로 첫 출발…'천국보다 아름다운' 대비 하락</t>
  </si>
  <si>
    <t>https://blog.naver.com/PostView.naver?blogId=factinnews777&amp;logNo=223885043324&amp;redirect=Dlog&amp;widgetTypeCall=true&amp;directAccess=false</t>
  </si>
  <si>
    <t>노무사 노무진 1화 2화 요약본</t>
  </si>
  <si>
    <t>https://blog.naver.com/PostView.naver?blogId=abn1234&amp;logNo=223885039596&amp;redirect=Dlog&amp;widgetTypeCall=true&amp;directAccess=false</t>
  </si>
  <si>
    <t>늘 푸른 나무</t>
  </si>
  <si>
    <t>남성南星 김장하 선생에 대해서</t>
  </si>
  <si>
    <t>https://blog.naver.com/PostView.naver?blogId=cosmossunguan&amp;logNo=223885032523&amp;redirect=Dlog&amp;widgetTypeCall=true&amp;directAccess=false</t>
  </si>
  <si>
    <t>김팀장</t>
  </si>
  <si>
    <t>성넨이</t>
  </si>
  <si>
    <t>6시간마다 라이즈를 만난</t>
  </si>
  <si>
    <t>https://blog.naver.com/PostView.naver?blogId=sungbingost&amp;logNo=223884999923&amp;redirect=Dlog&amp;widgetTypeCall=true&amp;directAccess=false</t>
  </si>
  <si>
    <t>세계경영</t>
  </si>
  <si>
    <t>일산 더샵 엘로이 오피스텔 등기 방법론(잔금대출)</t>
  </si>
  <si>
    <t>https://blog.naver.com/PostView.naver?blogId=freefreev&amp;logNo=223884998776&amp;redirect=Dlog&amp;widgetTypeCall=true&amp;directAccess=false</t>
  </si>
  <si>
    <t>연합뉴스 또 난수 화면?</t>
  </si>
  <si>
    <t>https://blog.naver.com/PostView.naver?blogId=inbible-ark&amp;logNo=223884995616&amp;redirect=Dlog&amp;widgetTypeCall=true&amp;directAccess=false</t>
  </si>
  <si>
    <t>"저는 예쁘고, 문학적인데.." '설난영의 선 넘은' 노조 발언 '발칵'...성괴 가니 요괴 온다..</t>
  </si>
  <si>
    <t>https://blog.naver.com/PostView.naver?blogId=croaton6219&amp;logNo=223884992732&amp;redirect=Dlog&amp;widgetTypeCall=true&amp;directAccess=false</t>
  </si>
  <si>
    <t>메이</t>
  </si>
  <si>
    <t>외로움 수업</t>
  </si>
  <si>
    <t>https://blog.naver.com/PostView.naver?blogId=may86p&amp;logNo=223884972274&amp;redirect=Dlog&amp;widgetTypeCall=true&amp;directAccess=false</t>
  </si>
  <si>
    <t>고미</t>
  </si>
  <si>
    <t>노무사 노무진 2화 특성화고 현장실습생 민욱 사망사건 2회 리뷰</t>
  </si>
  <si>
    <t>https://blog.naver.com/PostView.naver?blogId=hyebright&amp;logNo=223884960906&amp;redirect=Dlog&amp;widgetTypeCall=true&amp;directAccess=false</t>
  </si>
  <si>
    <t>포스트21 저널</t>
  </si>
  <si>
    <t>홍대 찰스 바버샵 정철수 원장, “대기업 총수부터 국회의원까지, 제 손을 찾았죠!”</t>
  </si>
  <si>
    <t>https://blog.naver.com/PostView.naver?blogId=post7-&amp;logNo=223884952970&amp;redirect=Dlog&amp;widgetTypeCall=true&amp;directAccess=false</t>
  </si>
  <si>
    <t>민들레화분</t>
  </si>
  <si>
    <t>노무사 노무진 MBC금토드라마.방영정보 회차 ott 인물관계도-귀신 보는 노무사</t>
  </si>
  <si>
    <t>https://blog.naver.com/PostView.naver?blogId=lovejsh85&amp;logNo=223884927252&amp;redirect=Dlog&amp;widgetTypeCall=true&amp;directAccess=false</t>
  </si>
  <si>
    <t>올곧음</t>
  </si>
  <si>
    <t>박태웅의 AI 강의 2025 ver3</t>
  </si>
  <si>
    <t>https://blog.naver.com/PostView.naver?blogId=djkkon&amp;logNo=223884915253&amp;redirect=Dlog&amp;widgetTypeCall=true&amp;directAccess=false</t>
  </si>
  <si>
    <t>우산도사의하루</t>
  </si>
  <si>
    <t>MBC 막판표심 통계치 이재명 김문수 이준석:개혁신당 이준석 123비상계엄 친위쿠데타 ~"준석아 계엄선포때 누구와같이 술마셨느냐?" 김성환시사평론가 인재이다.탐나는 인물이다.</t>
  </si>
  <si>
    <t>https://blog.naver.com/PostView.naver?blogId=milk7263_&amp;logNo=223884906769&amp;redirect=Dlog&amp;widgetTypeCall=true&amp;directAccess=false</t>
  </si>
  <si>
    <t>배우 박수오 대사 없이도 전해지는 감정 표현</t>
  </si>
  <si>
    <t>https://blog.naver.com/PostView.naver?blogId=jeje-_-&amp;logNo=223884892313&amp;redirect=Dlog&amp;widgetTypeCall=true&amp;directAccess=false</t>
  </si>
  <si>
    <t>정신못차린 윤석열 “김문수 힘 몰아달라” 호소문…전광훈 집회에서 대독</t>
  </si>
  <si>
    <t>https://blog.naver.com/PostView.naver?blogId=hun4339&amp;logNo=223884879735&amp;redirect=Dlog&amp;widgetTypeCall=true&amp;directAccess=false</t>
  </si>
  <si>
    <t>blah</t>
  </si>
  <si>
    <t>노무사노무진 완벽정리</t>
  </si>
  <si>
    <t>https://blog.naver.com/PostView.naver?blogId=blahblah771&amp;logNo=223884861291&amp;redirect=Dlog&amp;widgetTypeCall=true&amp;directAccess=false</t>
  </si>
  <si>
    <t>정선군 병방산 스카이워크, 쉼터 정비 완료…힐링 명소로 재도약 추진</t>
  </si>
  <si>
    <t>https://blog.naver.com/PostView.naver?blogId=metrotimes&amp;logNo=223884856576&amp;redirect=Dlog&amp;widgetTypeCall=true&amp;directAccess=false</t>
  </si>
  <si>
    <t>가을향기</t>
  </si>
  <si>
    <t>[여행 1일차/남해]독일마을</t>
  </si>
  <si>
    <t>https://blog.naver.com/PostView.naver?blogId=gaye2004&amp;logNo=223884854916&amp;redirect=Dlog&amp;widgetTypeCall=true&amp;directAccess=false</t>
  </si>
  <si>
    <t>임현주 아나운서, ‘노키즈존’ 현실에 일침…“아이, 배제돼도 괜찮은 존재 아냐”</t>
  </si>
  <si>
    <t>https://blog.naver.com/PostView.naver?blogId=picklenews&amp;logNo=223884855450&amp;redirect=Dlog&amp;widgetTypeCall=true&amp;directAccess=false</t>
  </si>
  <si>
    <t>700회 '이만갑'…14년 이어온 종편 최장수 예능 "해외 특집 꿈꿔"</t>
  </si>
  <si>
    <t>https://blog.naver.com/PostView.naver?blogId=wonogi&amp;logNo=223884124351&amp;redirect=Dlog&amp;widgetTypeCall=true&amp;directAccess=false</t>
  </si>
  <si>
    <t>오화</t>
  </si>
  <si>
    <t>뉴스레터 추천📬 '14F'.. 이것 뭐예요?</t>
  </si>
  <si>
    <t>https://blog.naver.com/PostView.naver?blogId=dearsienna&amp;logNo=223884854305&amp;redirect=Dlog&amp;widgetTypeCall=true&amp;directAccess=false</t>
  </si>
  <si>
    <t>best도전</t>
  </si>
  <si>
    <t>한국 국악협회 심은주 부이사장</t>
  </si>
  <si>
    <t>https://blog.naver.com/PostView.naver?blogId=pressbeom&amp;logNo=223884843472&amp;redirect=Dlog&amp;widgetTypeCall=true&amp;directAccess=false</t>
  </si>
  <si>
    <t>유재석, 이미주·박진주 하차에 200만원 순금 통 크게 양보</t>
  </si>
  <si>
    <t>https://blog.naver.com/PostView.naver?blogId=picklenews&amp;logNo=223884790756&amp;redirect=Dlog&amp;widgetTypeCall=true&amp;directAccess=false</t>
  </si>
  <si>
    <t>므라피</t>
  </si>
  <si>
    <t>유시민의 여성,노동자 비하</t>
  </si>
  <si>
    <t>https://blog.naver.com/PostView.naver?blogId=titan0ii&amp;logNo=223884779548&amp;redirect=Dlog&amp;widgetTypeCall=true&amp;directAccess=false</t>
  </si>
  <si>
    <t>나우무비</t>
  </si>
  <si>
    <t>지혜로움</t>
  </si>
  <si>
    <t>티아라 효민, 신혼인데 각집살이? “결혼 전날까지 싸웠어요”</t>
  </si>
  <si>
    <t>https://blog.naver.com/PostView.naver?blogId=picklenews&amp;logNo=223884763768&amp;redirect=Dlog&amp;widgetTypeCall=true&amp;directAccess=false</t>
  </si>
  <si>
    <t>강원종합뉴스</t>
  </si>
  <si>
    <t>정선 병방산 스카이워크 쉼터 새 단장… 힐링 명소로 재도약</t>
  </si>
  <si>
    <t>https://blog.naver.com/PostView.naver?blogId=kwtotalnews&amp;logNo=223884762269&amp;redirect=Dlog&amp;widgetTypeCall=true&amp;directAccess=false</t>
  </si>
  <si>
    <t>MiNDSTORM</t>
  </si>
  <si>
    <t>너무많은 로또1등당첨자수, 서울집한채못사는 로또1등당첨금. 로또1등 당청금높인다.</t>
  </si>
  <si>
    <t>https://blog.naver.com/PostView.naver?blogId=reverple&amp;logNo=223884759190&amp;redirect=Dlog&amp;widgetTypeCall=true&amp;directAccess=false</t>
  </si>
  <si>
    <t>musha3630</t>
  </si>
  <si>
    <t>음악 표절 여부는 쉽게 판단하기 어렵다.</t>
  </si>
  <si>
    <t>https://blog.naver.com/PostView.naver?blogId=musha3630&amp;logNo=223884758088&amp;redirect=Dlog&amp;widgetTypeCall=true&amp;directAccess=false</t>
  </si>
  <si>
    <t>AI가 정리한 6월 1일 국내·외 주요 뉴스</t>
  </si>
  <si>
    <t>https://blog.naver.com/PostView.naver?blogId=ksahn1960&amp;logNo=223884737268&amp;redirect=Dlog&amp;widgetTypeCall=true&amp;directAccess=false</t>
  </si>
  <si>
    <t>나무처럼</t>
  </si>
  <si>
    <t>6월 최신 인기 드라마 시청률 순위, 굿보이 미지의서울 노무사노무진 누가 1위?</t>
  </si>
  <si>
    <t>https://blog.naver.com/PostView.naver?blogId=treewg&amp;logNo=223884727914&amp;redirect=Dlog&amp;widgetTypeCall=true&amp;directAccess=false</t>
  </si>
  <si>
    <t>공가리</t>
  </si>
  <si>
    <t>[내돈내산] 고양시 일산 웨스턴돔 회 정식 맛집. 모임 하기 좋은 전통한식횟집 강릉집.</t>
  </si>
  <si>
    <t>https://blog.naver.com/PostView.naver?blogId=totanns&amp;logNo=223884673949&amp;redirect=Dlog&amp;widgetTypeCall=true&amp;directAccess=false</t>
  </si>
  <si>
    <t>dnjftndlqcjsdjr</t>
  </si>
  <si>
    <t>아랑가(ArangGA)-1105. 가는 세월</t>
  </si>
  <si>
    <t>https://blog.naver.com/PostView.naver?blogId=ycy519444&amp;logNo=223884624423&amp;redirect=Dlog&amp;widgetTypeCall=true&amp;directAccess=false</t>
  </si>
  <si>
    <t>커빠</t>
  </si>
  <si>
    <t>브루</t>
  </si>
  <si>
    <t>노무사 노무진 2회 줄거리 리뷰 : 사고가 아닌 살인, 태협철강의 피해자 이민욱 원한 풀어준 무진</t>
  </si>
  <si>
    <t>https://blog.naver.com/PostView.naver?blogId=ektha0108&amp;logNo=223884601354&amp;redirect=Dlog&amp;widgetTypeCall=true&amp;directAccess=false</t>
  </si>
  <si>
    <t>아랑가(ArangGA)-1103. 친구야 친구</t>
  </si>
  <si>
    <t>https://blog.naver.com/PostView.naver?blogId=ycy519444&amp;logNo=223884597236&amp;redirect=Dlog&amp;widgetTypeCall=true&amp;directAccess=false</t>
  </si>
  <si>
    <t>재림 약속의 목자</t>
  </si>
  <si>
    <t>차기 정부를 응원한다.</t>
  </si>
  <si>
    <t>https://blog.naver.com/PostView.naver?blogId=priestofgod1&amp;logNo=223884582893&amp;redirect=Dlog&amp;widgetTypeCall=true&amp;directAccess=false</t>
  </si>
  <si>
    <t>Dana</t>
  </si>
  <si>
    <t>[다큐] 5.18 민주화운동 44주년 특집: 그가 죽었다</t>
  </si>
  <si>
    <t>https://blog.naver.com/PostView.naver?blogId=by_edith&amp;logNo=223884562394&amp;redirect=Dlog&amp;widgetTypeCall=true&amp;directAccess=false</t>
  </si>
  <si>
    <t>lilycole</t>
  </si>
  <si>
    <t>아이오티 지도</t>
  </si>
  <si>
    <t>서울대 출신 여배우 김혜은 왈 "서울대 학력 부끄러운 적 처음"</t>
  </si>
  <si>
    <t>https://blog.naver.com/PostView.naver?blogId=wiznethq&amp;logNo=223884555785&amp;redirect=Dlog&amp;widgetTypeCall=true&amp;directAccess=false</t>
  </si>
  <si>
    <t>노무사 노무진 2화 첫번째 유령 의뢰인 현장실습생 이민욱</t>
  </si>
  <si>
    <t>https://blog.naver.com/PostView.naver?blogId=jeje-_-&amp;logNo=223884537342&amp;redirect=Dlog&amp;widgetTypeCall=true&amp;directAccess=false</t>
  </si>
  <si>
    <t>드라마 '노무진 노무사' 정경호, 설인아 2회</t>
  </si>
  <si>
    <t>https://blog.naver.com/PostView.naver?blogId=rrussy&amp;logNo=223884536980&amp;redirect=Dlog&amp;widgetTypeCall=true&amp;directAccess=false</t>
  </si>
  <si>
    <t>파란하늘</t>
  </si>
  <si>
    <t>인연</t>
  </si>
  <si>
    <t>https://blog.naver.com/PostView.naver?blogId=gmkdlp&amp;logNo=223884532324&amp;redirect=Dlog&amp;widgetTypeCall=true&amp;directAccess=false</t>
  </si>
  <si>
    <t>유나</t>
  </si>
  <si>
    <t>107</t>
  </si>
  <si>
    <t>https://blog.naver.com/PostView.naver?blogId=uandi0418&amp;logNo=223884524810&amp;redirect=Dlog&amp;widgetTypeCall=true&amp;directAccess=false</t>
  </si>
  <si>
    <t>론리스트</t>
  </si>
  <si>
    <t>반반 나눠진 국민. 단합은 언제 될까. 좌우 보다보면 혼돈</t>
  </si>
  <si>
    <t>https://blog.naver.com/PostView.naver?blogId=lonelinist&amp;logNo=223884510537&amp;redirect=Dlog&amp;widgetTypeCall=true&amp;directAccess=false</t>
  </si>
  <si>
    <t>곰곰책상</t>
  </si>
  <si>
    <t>“틀리게 읽는 재미, 나만의 책을 만드는 시간 — 『오독의 즐거움』 ”</t>
  </si>
  <si>
    <t>https://blog.naver.com/PostView.naver?blogId=gomgom_mind&amp;logNo=223884499830&amp;redirect=Dlog&amp;widgetTypeCall=true&amp;directAccess=false</t>
  </si>
  <si>
    <t>OTT 신작 드라마 2025년 6월 라인업 10편</t>
  </si>
  <si>
    <t>https://blog.naver.com/PostView.naver?blogId=jeje-_-&amp;logNo=223882761501&amp;redirect=Dlog&amp;widgetTypeCall=true&amp;directAccess=false</t>
  </si>
  <si>
    <t>연탄한장</t>
  </si>
  <si>
    <t>21대 대통령 선거 결과</t>
  </si>
  <si>
    <t>https://blog.naver.com/PostView.naver?blogId=yhjeongetri&amp;logNo=223891809000&amp;redirect=Dlog&amp;widgetTypeCall=true&amp;directAccess=false</t>
  </si>
  <si>
    <t>소형</t>
  </si>
  <si>
    <t>[포터덤프] 5월중~6월초 일상</t>
  </si>
  <si>
    <t>https://blog.naver.com/PostView.naver?blogId=u_ta&amp;logNo=223891790544&amp;redirect=Dlog&amp;widgetTypeCall=true&amp;directAccess=false</t>
  </si>
  <si>
    <t>가비 졸업사진 포즈 대참사…허리 꺾고 V자까지 누구한테 배운 거야?(+ 댄서 | 예능 | 인스타 | 졸업사진)</t>
  </si>
  <si>
    <t>https://blog.naver.com/PostView.naver?blogId=hosunews&amp;logNo=223891788284&amp;redirect=Dlog&amp;widgetTypeCall=true&amp;directAccess=false</t>
  </si>
  <si>
    <t>화평</t>
  </si>
  <si>
    <t>365티비</t>
  </si>
  <si>
    <t>키움에 발목 잡힌 LG 추격하는 한화('ㅅ') ,폰세 앞세워 선두 탈환준비 완료!!KBO순위 실시간중계보기</t>
  </si>
  <si>
    <t>https://blog.naver.com/PostView.naver?blogId=candlee2&amp;logNo=223891770475&amp;redirect=Dlog&amp;widgetTypeCall=true&amp;directAccess=false</t>
  </si>
  <si>
    <t>장작</t>
  </si>
  <si>
    <t>아저씨는 인생을 미리 준비해왔어요, 김영만 &lt;코딱지 대장 김영만(2024)&gt;</t>
  </si>
  <si>
    <t>https://blog.naver.com/PostView.naver?blogId=spmark93&amp;logNo=223891763151&amp;redirect=Dlog&amp;widgetTypeCall=true&amp;directAccess=false</t>
  </si>
  <si>
    <t>폴리안나</t>
  </si>
  <si>
    <t>뺀질이</t>
  </si>
  <si>
    <t>유재석, 주우재 220만원 탕진에 분노 폭발 왜? "네 돈 아니라고…" 결국 촬영 중단 사태 (+유퀴즈, 미추리, 런닝맨)</t>
  </si>
  <si>
    <t>https://blog.naver.com/PostView.naver?blogId=qoswlfdl-&amp;logNo=223891748745&amp;redirect=Dlog&amp;widgetTypeCall=true&amp;directAccess=false</t>
  </si>
  <si>
    <t>헌법재판관 후보군 3명 압축…이재명 대통령 측근 변호사 포함</t>
  </si>
  <si>
    <t>https://blog.naver.com/PostView.naver?blogId=koolap&amp;logNo=223891744254&amp;redirect=Dlog&amp;widgetTypeCall=true&amp;directAccess=false</t>
  </si>
  <si>
    <t>아지트</t>
  </si>
  <si>
    <t>2025년 6월 7일, 이재명 대통령 헌법재판관 후보 3명 압축. X반응.</t>
  </si>
  <si>
    <t>https://blog.naver.com/PostView.naver?blogId=shinswoong75&amp;logNo=223891719287&amp;redirect=Dlog&amp;widgetTypeCall=true&amp;directAccess=false</t>
  </si>
  <si>
    <t>요즘 보면...</t>
  </si>
  <si>
    <t>https://blog.naver.com/PostView.naver?blogId=sunmen77&amp;logNo=223891714854&amp;redirect=Dlog&amp;widgetTypeCall=true&amp;directAccess=false</t>
  </si>
  <si>
    <t>inoyah</t>
  </si>
  <si>
    <t>이제부터 진짜 대한민국</t>
  </si>
  <si>
    <t>https://blog.naver.com/PostView.naver?blogId=inoyah&amp;logNo=223891688730&amp;redirect=Dlog&amp;widgetTypeCall=true&amp;directAccess=false</t>
  </si>
  <si>
    <t>문시사</t>
  </si>
  <si>
    <t>11명 입양해 키워 국내최대 입양가족 이룬 윤정희·김상훈 부부</t>
  </si>
  <si>
    <t>https://blog.naver.com/PostView.naver?blogId=civinker&amp;logNo=223891681273&amp;redirect=Dlog&amp;widgetTypeCall=true&amp;directAccess=false</t>
  </si>
  <si>
    <t>럭키8303</t>
  </si>
  <si>
    <t>라디오 방송</t>
  </si>
  <si>
    <t>https://blog.naver.com/PostView.naver?blogId=yeskim83&amp;logNo=223891645837&amp;redirect=Dlog&amp;widgetTypeCall=true&amp;directAccess=false</t>
  </si>
  <si>
    <t>시간창조자</t>
  </si>
  <si>
    <t>나는 겨우 자식이 되어간다'를 읽고</t>
  </si>
  <si>
    <t>https://blog.naver.com/PostView.naver?blogId=lsy1004g&amp;logNo=223891629056&amp;redirect=Dlog&amp;widgetTypeCall=true&amp;directAccess=false</t>
  </si>
  <si>
    <t>mono</t>
  </si>
  <si>
    <t>울산가볼만한곳 -방어진 슬도에서 대왕암까지 슬도바닷길 산책하며 힐링하다</t>
  </si>
  <si>
    <t>https://blog.naver.com/PostView.naver?blogId=mono2117411&amp;logNo=223891568785&amp;redirect=Dlog&amp;widgetTypeCall=true&amp;directAccess=false</t>
  </si>
  <si>
    <t>carstop</t>
  </si>
  <si>
    <t>걷다보니 그곳,,, &lt;9&gt;</t>
  </si>
  <si>
    <t>https://blog.naver.com/PostView.naver?blogId=cha4831&amp;logNo=223891557892&amp;redirect=Dlog&amp;widgetTypeCall=true&amp;directAccess=false</t>
  </si>
  <si>
    <t>문곡</t>
  </si>
  <si>
    <t>MBC와 KBS</t>
  </si>
  <si>
    <t>https://blog.naver.com/PostView.naver?blogId=canta1976&amp;logNo=223891539384&amp;redirect=Dlog&amp;widgetTypeCall=true&amp;directAccess=false</t>
  </si>
  <si>
    <t>샤이니 키, 갑작스레 생긴 페니실린 알레르기 고백…“목이 붓더라” (‘나 혼자 산다’)</t>
  </si>
  <si>
    <t>https://blog.naver.com/PostView.naver?blogId=apahghfej&amp;logNo=223891516920&amp;redirect=Dlog&amp;widgetTypeCall=true&amp;directAccess=false</t>
  </si>
  <si>
    <t>박나래, 나혼산 어란 때문에 지리산까지? 오라버니 양재중…그녀의 음식 연구실에서 무슨 일이 (+나혼자산다, 전유성, 주문 위치)</t>
  </si>
  <si>
    <t>https://blog.naver.com/PostView.naver?blogId=qoswlfdl-&amp;logNo=223891458432&amp;redirect=Dlog&amp;widgetTypeCall=true&amp;directAccess=false</t>
  </si>
  <si>
    <t>SORENTO</t>
  </si>
  <si>
    <t>250607 전지적 참견 시점 350회 예고 / '전참시' 월클 비트펠라하우스, 역대급 도파민 무대에 한강 시민 열광</t>
  </si>
  <si>
    <t>https://blog.naver.com/PostView.naver?blogId=kbmbc_8919&amp;logNo=223891448005&amp;redirect=Dlog&amp;widgetTypeCall=true&amp;directAccess=false</t>
  </si>
  <si>
    <t>돌아온저격수다</t>
  </si>
  <si>
    <t>북한이 상당한 정보기술교류사와 정보기술교류소로 개인들이 경영하고 있다.</t>
  </si>
  <si>
    <t>https://blog.naver.com/PostView.naver?blogId=north-486&amp;logNo=223891440303&amp;redirect=Dlog&amp;widgetTypeCall=true&amp;directAccess=false</t>
  </si>
  <si>
    <t>내사랑바보</t>
  </si>
  <si>
    <t>보이지 않는 것을 그리기</t>
  </si>
  <si>
    <t>https://blog.naver.com/PostView.naver?blogId=mine1472&amp;logNo=223891408776&amp;redirect=Dlog&amp;widgetTypeCall=true&amp;directAccess=false</t>
  </si>
  <si>
    <t>김화중 사진가</t>
  </si>
  <si>
    <t>여성시대 50주년 기념 특별 공연에 다녀오다</t>
  </si>
  <si>
    <t>https://blog.naver.com/PostView.naver?blogId=jaram474&amp;logNo=223891406749&amp;redirect=Dlog&amp;widgetTypeCall=true&amp;directAccess=false</t>
  </si>
  <si>
    <t>청년</t>
  </si>
  <si>
    <t>[자료]부동산 유투브로 공부하기~25.6.7</t>
  </si>
  <si>
    <t>https://blog.naver.com/PostView.naver?blogId=interfice&amp;logNo=223891403354&amp;redirect=Dlog&amp;widgetTypeCall=true&amp;directAccess=false</t>
  </si>
  <si>
    <t>정경호 노무사 연기로 안방극장 홀렸다</t>
  </si>
  <si>
    <t>https://blog.naver.com/PostView.naver?blogId=wwioa__&amp;logNo=223891402145&amp;redirect=Dlog&amp;widgetTypeCall=true&amp;directAccess=false</t>
  </si>
  <si>
    <t>박나래 어란, 혼자 다 먹었다? 지리산 오라버니…양재중 명인 택배 찬해원 가격 대체 얼마길래? (+나혼자산다 599회, 어란 레시피, 박나래 먹방)</t>
  </si>
  <si>
    <t>https://blog.naver.com/PostView.naver?blogId=qoswlfdl-&amp;logNo=223891385865&amp;redirect=Dlog&amp;widgetTypeCall=true&amp;directAccess=false</t>
  </si>
  <si>
    <t>"1상자에 3천만 원" 박나래, 어란 들고 '나혼산' 출격…역대급 클래스 통 큰 플렉스</t>
  </si>
  <si>
    <t>https://blog.naver.com/PostView.naver?blogId=apahghfej&amp;logNo=223891365895&amp;redirect=Dlog&amp;widgetTypeCall=true&amp;directAccess=false</t>
  </si>
  <si>
    <t>dorog</t>
  </si>
  <si>
    <t>최사장</t>
  </si>
  <si>
    <t>결혼지옥 겉과 속이 다른 연극부부 오은영리포트 124회</t>
  </si>
  <si>
    <t>https://blog.naver.com/PostView.naver?blogId=rlflsclxk79&amp;logNo=223891289018&amp;redirect=Dlog&amp;widgetTypeCall=true&amp;directAccess=false</t>
  </si>
  <si>
    <t>[속보] 이 대통령, G7 정상 회의 초청받아 참석한다</t>
  </si>
  <si>
    <t>https://blog.naver.com/PostView.naver?blogId=getwhatiwant_365&amp;logNo=223891275315&amp;redirect=Dlog&amp;widgetTypeCall=true&amp;directAccess=false</t>
  </si>
  <si>
    <t>찻잎향기</t>
  </si>
  <si>
    <t>mbc드라마 노무사 노무진 재미와 감동, 세 배우의 시너지 효과 (4회 회차정보)</t>
  </si>
  <si>
    <t>https://blog.naver.com/PostView.naver?blogId=naamoo65&amp;logNo=223891267307&amp;redirect=Dlog&amp;widgetTypeCall=true&amp;directAccess=false</t>
  </si>
  <si>
    <t>윤석열의 빠른 통화는 바이든을 날려버렸다</t>
  </si>
  <si>
    <t>https://blog.naver.com/PostView.naver?blogId=dudwhg&amp;logNo=223891227262&amp;redirect=Dlog&amp;widgetTypeCall=true&amp;directAccess=false</t>
  </si>
  <si>
    <t>파란우산</t>
  </si>
  <si>
    <t>우수아빠</t>
  </si>
  <si>
    <t>Namo</t>
  </si>
  <si>
    <t>1999년 6월 7일</t>
  </si>
  <si>
    <t>https://blog.naver.com/PostView.naver?blogId=debboda&amp;logNo=223891181088&amp;redirect=Dlog&amp;widgetTypeCall=true&amp;directAccess=false</t>
  </si>
  <si>
    <t>파라벨룸</t>
  </si>
  <si>
    <t>정경호, 간호사 억울한 죽음 파헤친다..황보름별 유령 빙의 [노무사 노무진]</t>
  </si>
  <si>
    <t>https://blog.naver.com/PostView.naver?blogId=plug_and_play_life&amp;logNo=223891164675&amp;redirect=Dlog&amp;widgetTypeCall=true&amp;directAccess=false</t>
  </si>
  <si>
    <t>이재명이 세금으로 집값 안 잡는다 한 이유</t>
  </si>
  <si>
    <t>https://blog.naver.com/PostView.naver?blogId=hegel38&amp;logNo=223891161999&amp;redirect=Dlog&amp;widgetTypeCall=true&amp;directAccess=false</t>
  </si>
  <si>
    <t>MBCNEWS ~ 정치 돋보기님의 오늘자 이재명 소식. 내란·김건희·해병특검' 통과, 이젠 거부할 대통령 없다. 우리가 속았구나' 국힘 당원들 충격 상당할 것"</t>
  </si>
  <si>
    <t>https://blog.naver.com/PostView.naver?blogId=wishut3281&amp;logNo=223891158770&amp;redirect=Dlog&amp;widgetTypeCall=true&amp;directAccess=false</t>
  </si>
  <si>
    <t>“[글로벌리포트] 개발도상국 돈줄 | 중국의 배달 사업 | 일본 빙하기 세대 - 한경제 기자(한국경제신문)” 의 영상 요약</t>
  </si>
  <si>
    <t>https://blog.naver.com/PostView.naver?blogId=lucidjun&amp;logNo=223891131129&amp;redirect=Dlog&amp;widgetTypeCall=true&amp;directAccess=false</t>
  </si>
  <si>
    <t>Nomad</t>
  </si>
  <si>
    <t>통합과 분열 1: Ségmentarité</t>
  </si>
  <si>
    <t>https://blog.naver.com/PostView.naver?blogId=lmc3230&amp;logNo=223891080661&amp;redirect=Dlog&amp;widgetTypeCall=true&amp;directAccess=false</t>
  </si>
  <si>
    <t>시와 칼럼</t>
  </si>
  <si>
    <t>이재명 운명 어찌될까... 헌법 제84조 놓고 전문가들 해석 상반</t>
  </si>
  <si>
    <t>https://blog.naver.com/PostView.naver?blogId=social_kr&amp;logNo=223891073150&amp;redirect=Dlog&amp;widgetTypeCall=true&amp;directAccess=false</t>
  </si>
  <si>
    <t>맛살</t>
  </si>
  <si>
    <t>동해 초록봉</t>
  </si>
  <si>
    <t>https://blog.naver.com/PostView.naver?blogId=kp9133&amp;logNo=223891056486&amp;redirect=Dlog&amp;widgetTypeCall=true&amp;directAccess=false</t>
  </si>
  <si>
    <t>노무사 노무진 3회 줄거리 리뷰 : 보살과 불공정 계약 체결한 무진, 조은영에게 빙의까지 당해</t>
  </si>
  <si>
    <t>https://blog.naver.com/PostView.naver?blogId=ektha0108&amp;logNo=223891038256&amp;redirect=Dlog&amp;widgetTypeCall=true&amp;directAccess=false</t>
  </si>
  <si>
    <t>"생수 사서 출근해야‥폐허 같은 업무 환경"</t>
  </si>
  <si>
    <t>https://blog.naver.com/PostView.naver?blogId=yunou21c&amp;logNo=223890994341&amp;redirect=Dlog&amp;widgetTypeCall=true&amp;directAccess=false</t>
  </si>
  <si>
    <t>수혼바람</t>
  </si>
  <si>
    <t>나비</t>
  </si>
  <si>
    <t>심리적 거부감이 큰 환경 속 생활 체험(6월 3일, 화~6일, 금)</t>
  </si>
  <si>
    <t>https://blog.naver.com/PostView.naver?blogId=ktlee5483&amp;logNo=223890947914&amp;redirect=Dlog&amp;widgetTypeCall=true&amp;directAccess=false</t>
  </si>
  <si>
    <t>“전 국민 25만원 민생지원금”…지역화폐로 지급되나? 진성준 정책위원장, 추경 방안 언급</t>
  </si>
  <si>
    <t>https://blog.naver.com/PostView.naver?blogId=koolap&amp;logNo=223890915390&amp;redirect=Dlog&amp;widgetTypeCall=true&amp;directAccess=false</t>
  </si>
  <si>
    <t>ENA</t>
  </si>
  <si>
    <t>나혼자산다에 나온 감성무드의 공간, 플랫화이트 스튜디오</t>
  </si>
  <si>
    <t>https://blog.naver.com/PostView.naver?blogId=hihello_hellohi&amp;logNo=223890910299&amp;redirect=Dlog&amp;widgetTypeCall=true&amp;directAccess=false</t>
  </si>
  <si>
    <t>마르키사</t>
  </si>
  <si>
    <t>트럼프와 통화 못하는 이재명, 코리아 패싱? MBC의 이중 잣대</t>
  </si>
  <si>
    <t>https://blog.naver.com/PostView.naver?blogId=trarmufo&amp;logNo=223890904919&amp;redirect=Dlog&amp;widgetTypeCall=true&amp;directAccess=false</t>
  </si>
  <si>
    <t>j</t>
  </si>
  <si>
    <t>해빛</t>
  </si>
  <si>
    <t>서로의 마음을 다 나누지 않아도 함께 걸을 수 있는 사람... 친구</t>
  </si>
  <si>
    <t>https://blog.naver.com/PostView.naver?blogId=hab-it&amp;logNo=223890881279&amp;redirect=Dlog&amp;widgetTypeCall=true&amp;directAccess=false</t>
  </si>
  <si>
    <t>김호두닷컴</t>
  </si>
  <si>
    <t>바르구르스</t>
  </si>
  <si>
    <t>현충일 뉴스</t>
  </si>
  <si>
    <t>https://blog.naver.com/PostView.naver?blogId=mcdjjdcm&amp;logNo=223890847919&amp;redirect=Dlog&amp;widgetTypeCall=true&amp;directAccess=false</t>
  </si>
  <si>
    <t>예술시인</t>
  </si>
  <si>
    <t>범죄자가 행정부 수반이 된 나라</t>
  </si>
  <si>
    <t>https://blog.naver.com/PostView.naver?blogId=artpoet4&amp;logNo=223890840207&amp;redirect=Dlog&amp;widgetTypeCall=true&amp;directAccess=false</t>
  </si>
  <si>
    <t>인생게이머</t>
  </si>
  <si>
    <t>"친중친북반미 이재명 정부" 우려하는 일이 임기 시작하자마자 일어났다. 미국의 이재명 패싱! 웃어넘길일이 아니다, 미국은 왜 이재명을 패싱할까? 과거 이재명의 만행들을 다시보자</t>
  </si>
  <si>
    <t>https://blog.naver.com/PostView.naver?blogId=liferpg2024&amp;logNo=223890811103&amp;redirect=Dlog&amp;widgetTypeCall=true&amp;directAccess=false</t>
  </si>
  <si>
    <t>진성준 “20~21조 규모 추경 필요…소비 회복이 핵심”</t>
  </si>
  <si>
    <t>https://blog.naver.com/PostView.naver?blogId=factinnews777&amp;logNo=223890802929&amp;redirect=Dlog&amp;widgetTypeCall=true&amp;directAccess=false</t>
  </si>
  <si>
    <t>조이루나</t>
  </si>
  <si>
    <t>담양 디저트 맛집 및 카페(부부찹쌀도너츠, 낼름, LP음악충전소)</t>
  </si>
  <si>
    <t>https://blog.naver.com/PostView.naver?blogId=carpediem171717&amp;logNo=223890801996&amp;redirect=Dlog&amp;widgetTypeCall=true&amp;directAccess=false</t>
  </si>
  <si>
    <t>탤런트임채무 정애리</t>
  </si>
  <si>
    <t>https://blog.naver.com/PostView.naver?blogId=yang83529&amp;logNo=223890764987&amp;redirect=Dlog&amp;widgetTypeCall=true&amp;directAccess=false</t>
  </si>
  <si>
    <t>나 혼자 산다 NCT 도영 학창시절 떡볶이 분식집</t>
  </si>
  <si>
    <t>https://blog.naver.com/PostView.naver?blogId=richman_v&amp;logNo=223890758589&amp;redirect=Dlog&amp;widgetTypeCall=true&amp;directAccess=false</t>
  </si>
  <si>
    <t>탤런트유인촌</t>
  </si>
  <si>
    <t>https://blog.naver.com/PostView.naver?blogId=yang83529&amp;logNo=223890757325&amp;redirect=Dlog&amp;widgetTypeCall=true&amp;directAccess=false</t>
  </si>
  <si>
    <t>도찐뭉찐</t>
  </si>
  <si>
    <t>2025 대한민국 축구 국가대표팀 경기 일정 총정리</t>
  </si>
  <si>
    <t>https://blog.naver.com/PostView.naver?blogId=dyk2022&amp;logNo=223890742294&amp;redirect=Dlog&amp;widgetTypeCall=true&amp;directAccess=false</t>
  </si>
  <si>
    <t>evanrachelwood</t>
  </si>
  <si>
    <t>나 혼자 산다·개그맨 전유성 프로필·집 한옥 전원주택·카페 제비 위치? 가족·자녀·리즈·와이프·아내·고향·소속사·건강 근황⭐️전유성 진미령 사실혼</t>
  </si>
  <si>
    <t>https://blog.naver.com/PostView.naver?blogId=rachelwood6&amp;logNo=223890728664&amp;redirect=Dlog&amp;widgetTypeCall=true&amp;directAccess=false</t>
  </si>
  <si>
    <t>신문고뉴스</t>
  </si>
  <si>
    <t>맨발의사나이 ‘조승환’ 트롯가수 ‘진혜진’ 양평군 홍보대사 위촉</t>
  </si>
  <si>
    <t>https://blog.naver.com/PostView.naver?blogId=chookk7&amp;logNo=223890725140&amp;redirect=Dlog&amp;widgetTypeCall=true&amp;directAccess=false</t>
  </si>
  <si>
    <t>산책론자</t>
  </si>
  <si>
    <t>현충일 기념 산책일지</t>
  </si>
  <si>
    <t>https://blog.naver.com/PostView.naver?blogId=rejoice940123&amp;logNo=223890707956&amp;redirect=Dlog&amp;widgetTypeCall=true&amp;directAccess=false</t>
  </si>
  <si>
    <t>이미도 보디빌더 대회 출전 ‘24시 헬스클럽’ 통해 값진 경험</t>
  </si>
  <si>
    <t>https://blog.naver.com/PostView.naver?blogId=wwioa__&amp;logNo=223890687577&amp;redirect=Dlog&amp;widgetTypeCall=true&amp;directAccess=false</t>
  </si>
  <si>
    <t>한국에서 여배우 활동하다가 "호주에서 비밀리에 몰래 결혼식을 올린" 여배우</t>
  </si>
  <si>
    <t>https://blog.naver.com/PostView.naver?blogId=andromeda7322&amp;logNo=223890453639&amp;redirect=Dlog&amp;widgetTypeCall=true&amp;directAccess=false</t>
  </si>
  <si>
    <t>이빗</t>
  </si>
  <si>
    <t>임0웅</t>
  </si>
  <si>
    <t>2025년 06월 06일 한화 이글스 KIA 타이거즈 중계 방송 바로가기</t>
  </si>
  <si>
    <t>https://blog.naver.com/PostView.naver?blogId=stroke6116&amp;logNo=223890547269&amp;redirect=Dlog&amp;widgetTypeCall=true&amp;directAccess=false</t>
  </si>
  <si>
    <t>정은숙 나한일과 파란만장 옥중 결혼 이혼 후 새 삶</t>
  </si>
  <si>
    <t>https://blog.naver.com/PostView.naver?blogId=qnzjn8&amp;logNo=223890531693&amp;redirect=Dlog&amp;widgetTypeCall=true&amp;directAccess=false</t>
  </si>
  <si>
    <t>아이유X차은우, 현실판 ‘무궁화 꽃이 피었습니다’…뮤비 '미인' 챌린지 비하인드도 드라마였다</t>
  </si>
  <si>
    <t>https://blog.naver.com/PostView.naver?blogId=museonair2025&amp;logNo=223890539065&amp;redirect=Dlog&amp;widgetTypeCall=true&amp;directAccess=false</t>
  </si>
  <si>
    <t>유끼</t>
  </si>
  <si>
    <t>2년 만의 강릉 여행 첫날, 초당동 동화가든 짬뽕순두부 + 강문해변 + 경포호 둘레길 산책</t>
  </si>
  <si>
    <t>https://blog.naver.com/PostView.naver?blogId=gardenssi&amp;logNo=223890508656&amp;redirect=Dlog&amp;widgetTypeCall=true&amp;directAccess=false</t>
  </si>
  <si>
    <t>요즘 넷플릭스 굿보이, 귀궁, 노무사 노무진, 미지의 서울 금토일 드라마 순위!.</t>
  </si>
  <si>
    <t>https://blog.naver.com/PostView.naver?blogId=naamoo65&amp;logNo=223890449823&amp;redirect=Dlog&amp;widgetTypeCall=true&amp;directAccess=false</t>
  </si>
  <si>
    <t>오늘의프로야구중계방송 무료 실시간 라이브</t>
  </si>
  <si>
    <t>https://blog.naver.com/PostView.naver?blogId=stroke6116&amp;logNo=223890444013&amp;redirect=Dlog&amp;widgetTypeCall=true&amp;directAccess=false</t>
  </si>
  <si>
    <t>허리케인L</t>
  </si>
  <si>
    <t>하루아침에 이렇게 국격이 달라지다니!  &lt;현충일 기념식&gt;</t>
  </si>
  <si>
    <t>https://blog.naver.com/PostView.naver?blogId=pf0120&amp;logNo=223890442429&amp;redirect=Dlog&amp;widgetTypeCall=true&amp;directAccess=false</t>
  </si>
  <si>
    <t>1119. 18년 동안 귀신을 보았다는 배우 하희라(夏希羅)</t>
  </si>
  <si>
    <t>https://blog.naver.com/PostView.naver?blogId=seskman&amp;logNo=223890414522&amp;redirect=Dlog&amp;widgetTypeCall=true&amp;directAccess=false</t>
  </si>
  <si>
    <t>굿데이충청</t>
  </si>
  <si>
    <t>괴산군, ‘제2회 괴산유기농배 전국장사씨름대회’ 개최</t>
  </si>
  <si>
    <t>https://blog.naver.com/PostView.naver?blogId=gooddayccksh3752&amp;logNo=223890408354&amp;redirect=Dlog&amp;widgetTypeCall=true&amp;directAccess=false</t>
  </si>
  <si>
    <t>변우석, ‘21세기 대군부인’ 차기작 확정…스타랭킹 남자 배우 부문 3위 기록</t>
  </si>
  <si>
    <t>https://blog.naver.com/PostView.naver?blogId=wwioa__&amp;logNo=223890351003&amp;redirect=Dlog&amp;widgetTypeCall=true&amp;directAccess=false</t>
  </si>
  <si>
    <t>한국 쿠웨이트 경기일정 중계는? 2026 북중미 월드컵 3차 예선 B조 순위 대한민국 축구 대표팀 명단 피파랭킹</t>
  </si>
  <si>
    <t>https://blog.naver.com/PostView.naver?blogId=baekhw1&amp;logNo=223890336693&amp;redirect=Dlog&amp;widgetTypeCall=true&amp;directAccess=false</t>
  </si>
  <si>
    <t>베어달</t>
  </si>
  <si>
    <t>여명의 눈동자</t>
  </si>
  <si>
    <t>https://blog.naver.com/PostView.naver?blogId=mslee73&amp;logNo=223890349061&amp;redirect=Dlog&amp;widgetTypeCall=true&amp;directAccess=false</t>
  </si>
  <si>
    <t>모과</t>
  </si>
  <si>
    <t>새로운 리더십이 필요한 국힘</t>
  </si>
  <si>
    <t>https://blog.naver.com/PostView.naver?blogId=myp02_&amp;logNo=223890330564&amp;redirect=Dlog&amp;widgetTypeCall=true&amp;directAccess=false</t>
  </si>
  <si>
    <t>곰곰이</t>
  </si>
  <si>
    <t>결국 어떻게 살 것인가의 문제 &lt;고전이 답했다 마땅히 살아야 할 삶에 대하여&gt;</t>
  </si>
  <si>
    <t>https://blog.naver.com/PostView.naver?blogId=ezez98&amp;logNo=223890330627&amp;redirect=Dlog&amp;widgetTypeCall=true&amp;directAccess=false</t>
  </si>
  <si>
    <t>나비엔젤</t>
  </si>
  <si>
    <t>[현충일]~대통령 선출됨~[김호중 만개 1700만 돌파]</t>
  </si>
  <si>
    <t>https://blog.naver.com/PostView.naver?blogId=yjs6282&amp;logNo=223890300443&amp;redirect=Dlog&amp;widgetTypeCall=true&amp;directAccess=false</t>
  </si>
  <si>
    <t>홍명보호 드디어 월드컵 간다! 이라크전 2:0 승 11회 연속 진출</t>
  </si>
  <si>
    <t>https://blog.naver.com/PostView.naver?blogId=baekhw1&amp;logNo=223890296840&amp;redirect=Dlog&amp;widgetTypeCall=true&amp;directAccess=false</t>
  </si>
  <si>
    <t>sook poet</t>
  </si>
  <si>
    <t>투표와  좋은 영화</t>
  </si>
  <si>
    <t>https://blog.naver.com/PostView.naver?blogId=heesook6097&amp;logNo=223890273048&amp;redirect=Dlog&amp;widgetTypeCall=true&amp;directAccess=false</t>
  </si>
  <si>
    <t>◇ 대구에서 가장 핫한 곳은 '여기' ◇</t>
  </si>
  <si>
    <t>https://blog.naver.com/PostView.naver?blogId=bakmulgan&amp;logNo=223890268983&amp;redirect=Dlog&amp;widgetTypeCall=true&amp;directAccess=false</t>
  </si>
  <si>
    <t>태안화력 故 김충현 노동자 사망, '위험의 외주화'가 부른 참극</t>
  </si>
  <si>
    <t>https://blog.naver.com/PostView.naver?blogId=newsfield_&amp;logNo=223890264203&amp;redirect=Dlog&amp;widgetTypeCall=true&amp;directAccess=false</t>
  </si>
  <si>
    <t>우리나라 역사</t>
  </si>
  <si>
    <t>https://blog.naver.com/PostView.naver?blogId=ss920527&amp;logNo=223890262909&amp;redirect=Dlog&amp;widgetTypeCall=true&amp;directAccess=false</t>
  </si>
  <si>
    <t>스마트팩토리연구소</t>
  </si>
  <si>
    <t>장군의 아들이라는 그림자 속에서</t>
  </si>
  <si>
    <t>https://blog.naver.com/PostView.naver?blogId=yhs5719&amp;logNo=223890249898&amp;redirect=Dlog&amp;widgetTypeCall=true&amp;directAccess=false</t>
  </si>
  <si>
    <t>민정수석 오광수 안돼/국가정책으로 포장된 개신교 이권사업 철저한 조사와 처벌필요/'내란 종식' 3특검, 조희대도 겨눈다... 파견 검사만 120명</t>
  </si>
  <si>
    <t>https://blog.naver.com/PostView.naver?blogId=sshong3&amp;logNo=223890229686&amp;redirect=Dlog&amp;widgetTypeCall=true&amp;directAccess=false</t>
  </si>
  <si>
    <t>엘피뮤지엄</t>
  </si>
  <si>
    <t>안경태</t>
  </si>
  <si>
    <t>가온빠</t>
  </si>
  <si>
    <t>현충일(6월 6일) 의미와 역대 기념행사 분석</t>
  </si>
  <si>
    <t>https://blog.naver.com/PostView.naver?blogId=smallsky_gaonppa&amp;logNo=223889724906&amp;redirect=Dlog&amp;widgetTypeCall=true&amp;directAccess=false</t>
  </si>
  <si>
    <t>클레오</t>
  </si>
  <si>
    <t>봄비교수</t>
  </si>
  <si>
    <t>신용, 신뢰(믿음)=사회 생활(삶)의 생명... &lt;=&gt; 삶의 몰락(사회적 죽음, 버림받음) = 불신 ....백종원?</t>
  </si>
  <si>
    <t>https://blog.naver.com/PostView.naver?blogId=spring_rain1&amp;logNo=223890194382&amp;redirect=Dlog&amp;widgetTypeCall=true&amp;directAccess=false</t>
  </si>
  <si>
    <t>J style in NY</t>
  </si>
  <si>
    <t>삶이라는 완벽한 농담</t>
  </si>
  <si>
    <t>https://blog.naver.com/PostView.naver?blogId=jenniegim&amp;logNo=223890189356&amp;redirect=Dlog&amp;widgetTypeCall=true&amp;directAccess=false</t>
  </si>
  <si>
    <t>[뉴스 '꾹'] "아직 안 끝났어!" 난장판.. 급기야 "여기 다 퇴장시켜" (2025.06.05/MBC뉴스)</t>
  </si>
  <si>
    <t>https://blog.naver.com/PostView.naver?blogId=yjhyjhy&amp;logNo=223890153558&amp;redirect=Dlog&amp;widgetTypeCall=true&amp;directAccess=false</t>
  </si>
  <si>
    <t>슥하</t>
  </si>
  <si>
    <t>이미.. 그렇게 되었다</t>
  </si>
  <si>
    <t>https://blog.naver.com/PostView.naver?blogId=scar1212&amp;logNo=223890132841&amp;redirect=Dlog&amp;widgetTypeCall=true&amp;directAccess=false</t>
  </si>
  <si>
    <t>&lt;국내 정치/경제&gt; 천하람, 이준석 8.34% 득표에 "확장성 과제 확인… 더 잘해야"</t>
  </si>
  <si>
    <t>https://blog.naver.com/PostView.naver?blogId=nicodemus4620&amp;logNo=223890125404&amp;redirect=Dlog&amp;widgetTypeCall=true&amp;directAccess=false</t>
  </si>
  <si>
    <t>최강조운</t>
  </si>
  <si>
    <t>mbc 카운트 다운.</t>
  </si>
  <si>
    <t>https://blog.naver.com/PostView.naver?blogId=gtngod&amp;logNo=223890110245&amp;redirect=Dlog&amp;widgetTypeCall=true&amp;directAccess=false</t>
  </si>
  <si>
    <t>피터의 게으른 삶</t>
  </si>
  <si>
    <t>[북토크 후기] ‘버리는 부동산, 살리는 부동산’ 김서준 작가를 직접 만나다!</t>
  </si>
  <si>
    <t>https://blog.naver.com/PostView.naver?blogId=petrus0501&amp;logNo=223890108886&amp;redirect=Dlog&amp;widgetTypeCall=true&amp;directAccess=false</t>
  </si>
  <si>
    <t>방첩사의 내란 행위 드러나</t>
  </si>
  <si>
    <t>https://blog.naver.com/PostView.naver?blogId=twobridge&amp;logNo=223890092729&amp;redirect=Dlog&amp;widgetTypeCall=true&amp;directAccess=false</t>
  </si>
  <si>
    <t>리오</t>
  </si>
  <si>
    <t>MBC 토요 예능 놀면뭐하니 282회 주주 자매의 마지막 방송</t>
  </si>
  <si>
    <t>https://blog.naver.com/PostView.naver?blogId=riosniper114&amp;logNo=223890053940&amp;redirect=Dlog&amp;widgetTypeCall=true&amp;directAccess=false</t>
  </si>
  <si>
    <t>2227605</t>
  </si>
  <si>
    <t>이승현 (프로게이머)</t>
  </si>
  <si>
    <t>https://blog.naver.com/PostView.naver?blogId=djm05208&amp;logNo=223890039609&amp;redirect=Dlog&amp;widgetTypeCall=true&amp;directAccess=false</t>
  </si>
  <si>
    <t>탤런트한인수</t>
  </si>
  <si>
    <t>https://blog.naver.com/PostView.naver?blogId=yang83529&amp;logNo=223890035406&amp;redirect=Dlog&amp;widgetTypeCall=true&amp;directAccess=false</t>
  </si>
  <si>
    <t>https://blog.naver.com/PostView.naver?blogId=yang83529&amp;logNo=223890033432&amp;redirect=Dlog&amp;widgetTypeCall=true&amp;directAccess=false</t>
  </si>
  <si>
    <t>별빛리아</t>
  </si>
  <si>
    <t>임현주 아나운서 노키즈존 발언, 왜 이렇게 논란이 됐을까?</t>
  </si>
  <si>
    <t>https://blog.naver.com/PostView.naver?blogId=tokseom&amp;logNo=223890027784&amp;redirect=Dlog&amp;widgetTypeCall=true&amp;directAccess=false</t>
  </si>
  <si>
    <t>어바타</t>
  </si>
  <si>
    <t>인사이트</t>
  </si>
  <si>
    <t>마녀사냥의 그림자, 그리고 2008년 광우병 사태 – 한국 사회의 집단심리와 정보 왜곡에 대한 성찰</t>
  </si>
  <si>
    <t>https://blog.naver.com/PostView.naver?blogId=ageofai&amp;logNo=223889985687&amp;redirect=Dlog&amp;widgetTypeCall=true&amp;directAccess=false</t>
  </si>
  <si>
    <t>실시간 정보 제공</t>
  </si>
  <si>
    <t>Fiona</t>
  </si>
  <si>
    <t>[채용공고 ]MBC충북 라디오 프리랜서 아나운서 모집</t>
  </si>
  <si>
    <t>https://blog.naver.com/PostView.naver?blogId=nous_allons_y&amp;logNo=223889973692&amp;redirect=Dlog&amp;widgetTypeCall=true&amp;directAccess=false</t>
  </si>
  <si>
    <t>김문수 닭띠? 안 끼는 곳을 찾아야 할 듯</t>
  </si>
  <si>
    <t>https://blog.naver.com/PostView.naver?blogId=xianu&amp;logNo=223889974025&amp;redirect=Dlog&amp;widgetTypeCall=true&amp;directAccess=false</t>
  </si>
  <si>
    <t>purplewater98</t>
  </si>
  <si>
    <t>이토록 친밀한 배신자 Doubt MBC 한석규 채원빈 한예리 노재원 윤경호 오연수 최유화 김정진 유오성   2024</t>
  </si>
  <si>
    <t>https://blog.naver.com/PostView.naver?blogId=greybrush&amp;logNo=223889956391&amp;redirect=Dlog&amp;widgetTypeCall=true&amp;directAccess=false</t>
  </si>
  <si>
    <t>영혼아이 TERU</t>
  </si>
  <si>
    <t>[현충일 기념] 애국심을 드높이는 세계 각국의 국뽕 영화 추천 순위 10편 (ft 네이버 커넥트)</t>
  </si>
  <si>
    <t>https://blog.naver.com/PostView.naver?blogId=teruloved&amp;logNo=223873521486&amp;redirect=Dlog&amp;widgetTypeCall=true&amp;directAccess=false</t>
  </si>
  <si>
    <t>도치눙이</t>
  </si>
  <si>
    <t>축구와 안주와 술이 있다면 그곳이 천국이지요</t>
  </si>
  <si>
    <t>https://blog.naver.com/PostView.naver?blogId=parkwon9181&amp;logNo=223889958044&amp;redirect=Dlog&amp;widgetTypeCall=true&amp;directAccess=false</t>
  </si>
  <si>
    <t>이재명 ‘과반 득표’에 男스타가 조용히 올린 ‘사진 한 장’</t>
  </si>
  <si>
    <t>https://blog.naver.com/PostView.naver?blogId=ormaverh-m&amp;logNo=223889956365&amp;redirect=Dlog&amp;widgetTypeCall=true&amp;directAccess=false</t>
  </si>
  <si>
    <t>윤석열 부부 의혹 총망라‥최대 120명 검사 동시수사, 윤과 국힘 지옥문열렸다. 직접관련 국힘의원 최소40명</t>
  </si>
  <si>
    <t>https://blog.naver.com/PostView.naver?blogId=hun4339&amp;logNo=223889948739&amp;redirect=Dlog&amp;widgetTypeCall=true&amp;directAccess=false</t>
  </si>
  <si>
    <t>산성동 21대 대통령신거 투표 참여</t>
  </si>
  <si>
    <t>https://blog.naver.com/PostView.naver?blogId=jaram474&amp;logNo=223889938621&amp;redirect=Dlog&amp;widgetTypeCall=true&amp;directAccess=false</t>
  </si>
  <si>
    <t>책읽는 토끼엄마</t>
  </si>
  <si>
    <t>환경의 날 법륜스님과 함께 하는 그린 토크 콘서트 즉문즉설</t>
  </si>
  <si>
    <t>https://blog.naver.com/PostView.naver?blogId=msue77&amp;logNo=223889934248&amp;redirect=Dlog&amp;widgetTypeCall=true&amp;directAccess=false</t>
  </si>
  <si>
    <t>다큐mbc라파엘리포트] 리셋의 시간</t>
  </si>
  <si>
    <t>https://blog.naver.com/PostView.naver?blogId=event1412&amp;logNo=223889933687&amp;redirect=Dlog&amp;widgetTypeCall=true&amp;directAccess=false</t>
  </si>
  <si>
    <t>"이재명 포승줄·수갑 채우라는 지시받았다."</t>
  </si>
  <si>
    <t>https://blog.naver.com/PostView.naver?blogId=wnnbc&amp;logNo=223889914387&amp;redirect=Dlog&amp;widgetTypeCall=true&amp;directAccess=false</t>
  </si>
  <si>
    <t>오늘의 S&amp;C 6/7 (토) 김진주</t>
  </si>
  <si>
    <t>https://blog.naver.com/PostView.naver?blogId=sncspeech&amp;logNo=223889906294&amp;redirect=Dlog&amp;widgetTypeCall=true&amp;directAccess=false</t>
  </si>
  <si>
    <t>지예은, 예능계 샛별로 우뚝…‘크레이지 리치 코리안’으로 KBS 첫 MC 도전</t>
  </si>
  <si>
    <t>https://blog.naver.com/PostView.naver?blogId=apahghfej&amp;logNo=223889903846&amp;redirect=Dlog&amp;widgetTypeCall=true&amp;directAccess=false</t>
  </si>
  <si>
    <t>비혼 선언한 윤현민, 왜 다시 소개팅?…수비학이 말하는 백진희와 '7년 궁합'의 진짜 이유</t>
  </si>
  <si>
    <t>https://blog.naver.com/PostView.naver?blogId=stonesam3&amp;logNo=223889900141&amp;redirect=Dlog&amp;widgetTypeCall=true&amp;directAccess=false</t>
  </si>
  <si>
    <t>천년고목</t>
  </si>
  <si>
    <t>250605 배우 이루다(우주소녀루다) 첫 공중파 드라마 &lt;태양을 삼킨 여자&gt; 제작발표회</t>
  </si>
  <si>
    <t>https://blog.naver.com/PostView.naver?blogId=ujungoldtree&amp;logNo=223889889949&amp;redirect=Dlog&amp;widgetTypeCall=true&amp;directAccess=false</t>
  </si>
  <si>
    <t>IN K</t>
  </si>
  <si>
    <t>블로그를 만들다.</t>
  </si>
  <si>
    <t>https://blog.naver.com/PostView.naver?blogId=in_k0702&amp;logNo=223889879701&amp;redirect=Dlog&amp;widgetTypeCall=true&amp;directAccess=false</t>
  </si>
  <si>
    <t>cjw645</t>
  </si>
  <si>
    <t>왕당파: 유권자와 의원 중에 누가 먼저일까?</t>
  </si>
  <si>
    <t>https://blog.naver.com/PostView.naver?blogId=cjw645&amp;logNo=223889863971&amp;redirect=Dlog&amp;widgetTypeCall=true&amp;directAccess=false</t>
  </si>
  <si>
    <t>구름수집가</t>
  </si>
  <si>
    <t>[네팔_포카라4] 꿈만 같았던 안나푸르나베이스캠프 (우기의 ABC) / ABC-MBC-데우랄리-히말라야-밤부-Upper 시누와</t>
  </si>
  <si>
    <t>https://blog.naver.com/PostView.naver?blogId=flight4064&amp;logNo=223889855040&amp;redirect=Dlog&amp;widgetTypeCall=true&amp;directAccess=false</t>
  </si>
  <si>
    <t>#라디오스타 출연한 #배우 #지승현 ' #고려 #거란 #전쟁 '에서 연기한 ' #양규 #장군 '을 향한 진심을 드러낸다.</t>
  </si>
  <si>
    <t>https://blog.naver.com/PostView.naver?blogId=acamos&amp;logNo=223889833912&amp;redirect=Dlog&amp;widgetTypeCall=true&amp;directAccess=false</t>
  </si>
  <si>
    <t>이방인A</t>
  </si>
  <si>
    <t>포카치아</t>
  </si>
  <si>
    <t>전통의 장에서 만난 이비티에스협동조합의 독도 플래시몹</t>
  </si>
  <si>
    <t>https://blog.naver.com/PostView.naver?blogId=poca8611&amp;logNo=223889820366&amp;redirect=Dlog&amp;widgetTypeCall=true&amp;directAccess=false</t>
  </si>
  <si>
    <t>BBBBoom</t>
  </si>
  <si>
    <t>[자막뉴스] 유통기한 임박할수록 인기? '고객님, 여기 가면 있어요!' (MBC뉴스)</t>
  </si>
  <si>
    <t>https://blog.naver.com/PostView.naver?blogId=boombaboam&amp;logNo=223886422498&amp;redirect=Dlog&amp;widgetTypeCall=true&amp;directAccess=false</t>
  </si>
  <si>
    <t>2025년 6월 5일, 이재명 대통령, 안전치안 점검 회의 개최. X 반응.</t>
  </si>
  <si>
    <t>https://blog.naver.com/PostView.naver?blogId=shinswoong75&amp;logNo=223889789967&amp;redirect=Dlog&amp;widgetTypeCall=true&amp;directAccess=false</t>
  </si>
  <si>
    <t>내각제를 할 수가 없어</t>
  </si>
  <si>
    <t>https://blog.naver.com/PostView.naver?blogId=hearim0&amp;logNo=223889754985&amp;redirect=Dlog&amp;widgetTypeCall=true&amp;directAccess=false</t>
  </si>
  <si>
    <t>전국에단비</t>
  </si>
  <si>
    <t>KOBA 2025 기획부터 운영 현장, KOBA 전시회 주최자 업무 기록</t>
  </si>
  <si>
    <t>https://blog.naver.com/PostView.naver?blogId=l7an3i&amp;logNo=223889736132&amp;redirect=Dlog&amp;widgetTypeCall=true&amp;directAccess=false</t>
  </si>
  <si>
    <t>내란·김건희·채상병 특검법 통과시켜야</t>
  </si>
  <si>
    <t>https://blog.naver.com/PostView.naver?blogId=skymouu&amp;logNo=223889725284&amp;redirect=Dlog&amp;widgetTypeCall=true&amp;directAccess=false</t>
  </si>
  <si>
    <t>sunnyHwang</t>
  </si>
  <si>
    <t>육송, 대구 '어나드 범어 APT'에 전기車 화재 방지 장치 46대 공급</t>
  </si>
  <si>
    <t>https://blog.naver.com/PostView.naver?blogId=muson999&amp;logNo=223889703987&amp;redirect=Dlog&amp;widgetTypeCall=true&amp;directAccess=false</t>
  </si>
  <si>
    <t>더찰리</t>
  </si>
  <si>
    <t>[맛칼럼/용산맛집] 생활의달인 효창공원 원효로 김밥집 ‘서리김밥’ 묵은지김밥 통아삭이김밥</t>
  </si>
  <si>
    <t>https://blog.naver.com/PostView.naver?blogId=thecharlee&amp;logNo=223889504032&amp;redirect=Dlog&amp;widgetTypeCall=true&amp;directAccess=false</t>
  </si>
  <si>
    <t>SBS의 화려한 대선 방송 그래픽, 유쾌함인가? 정치 희화화인가?</t>
  </si>
  <si>
    <t>https://blog.naver.com/PostView.naver?blogId=ktenc2024&amp;logNo=223889698373&amp;redirect=Dlog&amp;widgetTypeCall=true&amp;directAccess=false</t>
  </si>
  <si>
    <t>소비자타임즈</t>
  </si>
  <si>
    <t>MBC 신비한TV 서프라이즈, 오는 15일·22일 특집 코너 ‘Project AI’ 방영</t>
  </si>
  <si>
    <t>https://blog.naver.com/PostView.naver?blogId=hmknews&amp;logNo=223889669117&amp;redirect=Dlog&amp;widgetTypeCall=true&amp;directAccess=false</t>
  </si>
  <si>
    <t>action002</t>
  </si>
  <si>
    <t>디즈니 플러스 오리지널 드라마 '무빙' 정보, 출연진, 후기</t>
  </si>
  <si>
    <t>https://blog.naver.com/PostView.naver?blogId=action002&amp;logNo=223889654953&amp;redirect=Dlog&amp;widgetTypeCall=true&amp;directAccess=false</t>
  </si>
  <si>
    <t>국회 본희의 내란,김건희,채해병 3대 특검법 통과</t>
  </si>
  <si>
    <t>https://blog.naver.com/PostView.naver?blogId=wnnbc&amp;logNo=223889653348&amp;redirect=Dlog&amp;widgetTypeCall=true&amp;directAccess=false</t>
  </si>
  <si>
    <t>퍼랭이</t>
  </si>
  <si>
    <t>산업안전상생재단-경상남도 ‘중소기업과 함께하는 안전상생 토크콘서트’ 개최</t>
  </si>
  <si>
    <t>https://blog.naver.com/PostView.naver?blogId=bc703&amp;logNo=223889289123&amp;redirect=Dlog&amp;widgetTypeCall=true&amp;directAccess=false</t>
  </si>
  <si>
    <t>백진희, 매니지먼트에이엠나인과 전속계약 체결…새로운 도약 예고</t>
  </si>
  <si>
    <t>https://blog.naver.com/PostView.naver?blogId=news1star&amp;logNo=223889601513&amp;redirect=Dlog&amp;widgetTypeCall=true&amp;directAccess=false</t>
  </si>
  <si>
    <t>ui</t>
  </si>
  <si>
    <t>Fillin' live - 김재중 후기</t>
  </si>
  <si>
    <t>https://blog.naver.com/PostView.naver?blogId=particularize&amp;logNo=223889612982&amp;redirect=Dlog&amp;widgetTypeCall=true&amp;directAccess=false</t>
  </si>
  <si>
    <t>일 백의 이야기</t>
  </si>
  <si>
    <t>이 대통령 재판 계속돼야 하냐’라는 물음에 국민은 이렇게 대답했다</t>
  </si>
  <si>
    <t>https://blog.naver.com/PostView.naver?blogId=e_gyu&amp;logNo=223889591561&amp;redirect=Dlog&amp;widgetTypeCall=true&amp;directAccess=false</t>
  </si>
  <si>
    <t>닥터제이</t>
  </si>
  <si>
    <t>[한국 언론의 심각한 좌경화] 윤석열 취임 때는 첫날부터 민노총, 시민단체들의 시위 대서 특필 v. 이재명 취임 때는 '코스피 폭등'했다고 과장적 호들갑</t>
  </si>
  <si>
    <t>https://blog.naver.com/PostView.naver?blogId=wikipedia-&amp;logNo=223889589485&amp;redirect=Dlog&amp;widgetTypeCall=true&amp;directAccess=false</t>
  </si>
  <si>
    <t>자경</t>
  </si>
  <si>
    <t>#2025년 5월 ; 지적 대화를 위한 넓고 얕은 지식1 (역사/경제/정치/사회/윤리)</t>
  </si>
  <si>
    <t>https://blog.naver.com/PostView.naver?blogId=ourasphalt&amp;logNo=223889586481&amp;redirect=Dlog&amp;widgetTypeCall=true&amp;directAccess=false</t>
  </si>
  <si>
    <t>쾌남윤PD</t>
  </si>
  <si>
    <t>PD라는 마약같은 꿈에 빠져 살지 말아요</t>
  </si>
  <si>
    <t>https://blog.naver.com/PostView.naver?blogId=yunjh90&amp;logNo=223888079328&amp;redirect=Dlog&amp;widgetTypeCall=true&amp;directAccess=false</t>
  </si>
  <si>
    <t>25.6.5 뉴스잡기~그리고 부동산</t>
  </si>
  <si>
    <t>https://blog.naver.com/PostView.naver?blogId=foryoutoyoy&amp;logNo=223889487916&amp;redirect=Dlog&amp;widgetTypeCall=true&amp;directAccess=false</t>
  </si>
  <si>
    <t>홍명보호 6월 A매치 일정 명단 월드컵 예선 중계 대한민국 한국 축구 국가대표 평가전 친선경기</t>
  </si>
  <si>
    <t>https://blog.naver.com/PostView.naver?blogId=baekhw1&amp;logNo=223889438516&amp;redirect=Dlog&amp;widgetTypeCall=true&amp;directAccess=false</t>
  </si>
  <si>
    <t>&lt;국내 정치/경제&gt; 조경태, "내란·김건희·채상병 특검법 통과 협력해야"… 국민의힘 지도부 사퇴 촉구</t>
  </si>
  <si>
    <t>https://blog.naver.com/PostView.naver?blogId=nicodemus4620&amp;logNo=223889358340&amp;redirect=Dlog&amp;widgetTypeCall=true&amp;directAccess=false</t>
  </si>
  <si>
    <t>리즈</t>
  </si>
  <si>
    <t>김구와 BTS가 한 영상 안에? MBC 선거방송 영상에 담긴 과거와 현재</t>
  </si>
  <si>
    <t>https://blog.naver.com/PostView.naver?blogId=velvetpaw1&amp;logNo=223889351289&amp;redirect=Dlog&amp;widgetTypeCall=true&amp;directAccess=false</t>
  </si>
  <si>
    <t>"드디어 이런 장면을 보다니"... 지상파 뉴스에 등장한 '만삭' 여기자에 누리꾼 반응 쏟아져</t>
  </si>
  <si>
    <t>https://blog.naver.com/PostView.naver?blogId=insightmedia&amp;logNo=223889172789&amp;redirect=Dlog&amp;widgetTypeCall=true&amp;directAccess=false</t>
  </si>
  <si>
    <t>같이가기</t>
  </si>
  <si>
    <t>제21대 대통령선거 투표사무요원 종사 후기</t>
  </si>
  <si>
    <t>https://blog.naver.com/PostView.naver?blogId=lleter&amp;logNo=223889344972&amp;redirect=Dlog&amp;widgetTypeCall=true&amp;directAccess=false</t>
  </si>
  <si>
    <t>한모금힐링</t>
  </si>
  <si>
    <t>교회는 사랑이고 불교는 자비입니다</t>
  </si>
  <si>
    <t>https://blog.naver.com/PostView.naver?blogId=happyland23&amp;logNo=223889313010&amp;redirect=Dlog&amp;widgetTypeCall=true&amp;directAccess=false</t>
  </si>
  <si>
    <t>코끼리다리 아빠 정주영씨 근황</t>
  </si>
  <si>
    <t>https://blog.naver.com/PostView.naver?blogId=eucalyptus72&amp;logNo=223889299910&amp;redirect=Dlog&amp;widgetTypeCall=true&amp;directAccess=false</t>
  </si>
  <si>
    <t>용산 무덤같아 집무실 부적절 청와대 재이전</t>
  </si>
  <si>
    <t>https://blog.naver.com/PostView.naver?blogId=modelaa77&amp;logNo=223889298019&amp;redirect=Dlog&amp;widgetTypeCall=true&amp;directAccess=false</t>
  </si>
  <si>
    <t>‘제51회 전주대사습놀이 전국대회’ 대장정 돌입</t>
  </si>
  <si>
    <t>https://blog.naver.com/PostView.naver?blogId=kmts9&amp;logNo=223889255140&amp;redirect=Dlog&amp;widgetTypeCall=true&amp;directAccess=false</t>
  </si>
  <si>
    <t>더본뉴스</t>
  </si>
  <si>
    <t>issuereview</t>
  </si>
  <si>
    <t>rin</t>
  </si>
  <si>
    <t>[오늘N] 착한 가격의 비밀 1++ 한우 국밥 6천원 6000원 세종 맛집 명품한우타운 이 맛에 산다 수고했어 오늘도 플레이 조리 전문 아쿠아리스트 부천 아쿠아리움 2506회</t>
  </si>
  <si>
    <t>https://blog.naver.com/PostView.naver?blogId=pirin888&amp;logNo=223889218426&amp;redirect=Dlog&amp;widgetTypeCall=true&amp;directAccess=false</t>
  </si>
  <si>
    <t>https://blog.naver.com/PostView.naver?blogId=peoplestorynews&amp;logNo=223889198526&amp;redirect=Dlog&amp;widgetTypeCall=true&amp;directAccess=false</t>
  </si>
  <si>
    <t>더블앤</t>
  </si>
  <si>
    <t>쇼챔' 클유아, MC 활약→환상의 무대까지...'신흥 퍼포먼스 강자' 완벽 입증</t>
  </si>
  <si>
    <t>https://blog.naver.com/PostView.naver?blogId=gyment&amp;logNo=223888861680&amp;redirect=Dlog&amp;widgetTypeCall=true&amp;directAccess=false</t>
  </si>
  <si>
    <t>조이</t>
  </si>
  <si>
    <t>강다현, 인코드 엔터테인먼트와 전속계약 체결…다채로운 연기 활동 기대</t>
  </si>
  <si>
    <t>https://blog.naver.com/PostView.naver?blogId=news1star&amp;logNo=223889160443&amp;redirect=Dlog&amp;widgetTypeCall=true&amp;directAccess=false</t>
  </si>
  <si>
    <t>모토야</t>
  </si>
  <si>
    <t>릴숏, 최초 한국 숏폼드라마 ‘구미호, 운명의 짝’ 방송 시작</t>
  </si>
  <si>
    <t>https://blog.naver.com/PostView.naver?blogId=motoyard&amp;logNo=223889166703&amp;redirect=Dlog&amp;widgetTypeCall=true&amp;directAccess=false</t>
  </si>
  <si>
    <t>“죽음도 노동도, 유령도 해결한다”…정경호, 퇴마 위해 무당 찾은 사연</t>
  </si>
  <si>
    <t>https://blog.naver.com/PostView.naver?blogId=news1star&amp;logNo=223888159081&amp;redirect=Dlog&amp;widgetTypeCall=true&amp;directAccess=false</t>
  </si>
  <si>
    <t>남양주복부인</t>
  </si>
  <si>
    <t>경제뉴스와 지수(6월 5일 2025년)뉴욕증시, 고용 둔화 속 혼조 마감....테슬라 3.55% ↓,"더 늦기 전에".....무주택 실수요자들, 경기권 매수로 몰렸다</t>
  </si>
  <si>
    <t>https://blog.naver.com/PostView.naver?blogId=elle1101&amp;logNo=223889115587&amp;redirect=Dlog&amp;widgetTypeCall=true&amp;directAccess=false</t>
  </si>
  <si>
    <t>꺽정님</t>
  </si>
  <si>
    <t>https://blog.naver.com/PostView.naver?blogId=ssh6993&amp;logNo=223889108057&amp;redirect=Dlog&amp;widgetTypeCall=true&amp;directAccess=false</t>
  </si>
  <si>
    <t>Mu myeong</t>
  </si>
  <si>
    <t>이데올로기</t>
  </si>
  <si>
    <t>https://blog.naver.com/PostView.naver?blogId=redfake12&amp;logNo=223889105974&amp;redirect=Dlog&amp;widgetTypeCall=true&amp;directAccess=false</t>
  </si>
  <si>
    <t>토실댁 가계부</t>
  </si>
  <si>
    <t>mbc 21대 대선 카운트다운 영상, 과거가 현재를 도울 수 있는가</t>
  </si>
  <si>
    <t>https://blog.naver.com/PostView.naver?blogId=rubely&amp;logNo=223889095966&amp;redirect=Dlog&amp;widgetTypeCall=true&amp;directAccess=false</t>
  </si>
  <si>
    <t>오늘 국회 3대 특검법(내란·김건희·채해병특검법) 처리/이시바 한일 정상회담 희망, 미국도 조기회동 촉구/외국 매체들 한국 전망</t>
  </si>
  <si>
    <t>https://blog.naver.com/PostView.naver?blogId=sshong3&amp;logNo=223889094276&amp;redirect=Dlog&amp;widgetTypeCall=true&amp;directAccess=false</t>
  </si>
  <si>
    <t>글농장</t>
  </si>
  <si>
    <t>동심초, 그 아침의 선율</t>
  </si>
  <si>
    <t>https://blog.naver.com/PostView.naver?blogId=rose4526565&amp;logNo=223888803064&amp;redirect=Dlog&amp;widgetTypeCall=true&amp;directAccess=false</t>
  </si>
  <si>
    <t>이태화</t>
  </si>
  <si>
    <t>한 달만에 쓰는 일상기록🌿 ft.실습 선거 젤리펌 쿵야, 그리고 맛있는 거</t>
  </si>
  <si>
    <t>https://blog.naver.com/PostView.naver?blogId=xx4x4xx&amp;logNo=223889086234&amp;redirect=Dlog&amp;widgetTypeCall=true&amp;directAccess=false</t>
  </si>
  <si>
    <t>아랑가(ArangGA)-1120. 간양록</t>
  </si>
  <si>
    <t>https://blog.naver.com/PostView.naver?blogId=ycy519444&amp;logNo=223889079371&amp;redirect=Dlog&amp;widgetTypeCall=true&amp;directAccess=false</t>
  </si>
  <si>
    <t>최부장</t>
  </si>
  <si>
    <t>희락갈치 남대문시장 갈치조림골목 서울 여행 맛집 추천 삼치구이</t>
  </si>
  <si>
    <t>https://blog.naver.com/PostView.naver?blogId=tazmaniandev&amp;logNo=223889063490&amp;redirect=Dlog&amp;widgetTypeCall=true&amp;directAccess=false</t>
  </si>
  <si>
    <t>북두</t>
  </si>
  <si>
    <t>대선결과 불복 저항운동에 참여하기로 결정했다.</t>
  </si>
  <si>
    <t>https://blog.naver.com/PostView.naver?blogId=elevicto&amp;logNo=223889056649&amp;redirect=Dlog&amp;widgetTypeCall=true&amp;directAccess=false</t>
  </si>
  <si>
    <t>도광양회</t>
  </si>
  <si>
    <t>지예 "차라리" : 이제 그만 잊고 싶어요</t>
  </si>
  <si>
    <t>https://blog.naver.com/PostView.naver?blogId=junjsik&amp;logNo=223889053385&amp;redirect=Dlog&amp;widgetTypeCall=true&amp;directAccess=false</t>
  </si>
  <si>
    <t>오마이TV ~ 뉴스와사람들님의 오늘자 윤석열 소식. 역경과 고난을 딛고 바로 처음부터 시작하자. 빛의 혁명 완성한 위대한 대한국민</t>
  </si>
  <si>
    <t>https://blog.naver.com/PostView.naver?blogId=wishut3281&amp;logNo=223889053649&amp;redirect=Dlog&amp;widgetTypeCall=true&amp;directAccess=false</t>
  </si>
  <si>
    <t>https://blog.naver.com/PostView.naver?blogId=kbs650604&amp;logNo=223889051026&amp;redirect=Dlog&amp;widgetTypeCall=true&amp;directAccess=false</t>
  </si>
  <si>
    <t>환경연구소 정숙하다</t>
  </si>
  <si>
    <t>[공유] 2025년 대선 개표방송 #MBC 너무 잘 만들어 #최태성 선생님 칭찬받은 영상</t>
  </si>
  <si>
    <t>https://blog.naver.com/PostView.naver?blogId=goldweater&amp;logNo=223889045862&amp;redirect=Dlog&amp;widgetTypeCall=true&amp;directAccess=false</t>
  </si>
  <si>
    <t>성산</t>
  </si>
  <si>
    <t>대한민국 제21대 대통령 선거</t>
  </si>
  <si>
    <t>https://blog.naver.com/PostView.naver?blogId=kdyoungju&amp;logNo=223889014039&amp;redirect=Dlog&amp;widgetTypeCall=true&amp;directAccess=false</t>
  </si>
  <si>
    <t>구사일생</t>
  </si>
  <si>
    <t>&lt;오은영리포트&gt; 연극부부, 스스로 만든 감옥에 빠진 아내</t>
  </si>
  <si>
    <t>https://blog.naver.com/PostView.naver?blogId=seaoflee&amp;logNo=223889003230&amp;redirect=Dlog&amp;widgetTypeCall=true&amp;directAccess=false</t>
  </si>
  <si>
    <t>공주님</t>
  </si>
  <si>
    <t>소주전쟁' 한 줄 평</t>
  </si>
  <si>
    <t>https://blog.naver.com/PostView.naver?blogId=lyc7248&amp;logNo=223888935195&amp;redirect=Dlog&amp;widgetTypeCall=true&amp;directAccess=false</t>
  </si>
  <si>
    <t>장태공</t>
  </si>
  <si>
    <t>용어</t>
  </si>
  <si>
    <t>https://blog.naver.com/PostView.naver?blogId=jsw0579&amp;logNo=223888933493&amp;redirect=Dlog&amp;widgetTypeCall=true&amp;directAccess=false</t>
  </si>
  <si>
    <t>뉴욕혜윰</t>
  </si>
  <si>
    <t>재건의 시작, 내란의 종말</t>
  </si>
  <si>
    <t>https://blog.naver.com/PostView.naver?blogId=2binidad&amp;logNo=223888892002&amp;redirect=Dlog&amp;widgetTypeCall=true&amp;directAccess=false</t>
  </si>
  <si>
    <t>mk love</t>
  </si>
  <si>
    <t>개군 할머니 토종 순대국 / 양평 전현무 순대국</t>
  </si>
  <si>
    <t>https://blog.naver.com/PostView.naver?blogId=dalkisk78&amp;logNo=223888882491&amp;redirect=Dlog&amp;widgetTypeCall=true&amp;directAccess=false</t>
  </si>
  <si>
    <t>“윤석열 때문에 이재명 당선돼”... 대선 참패 ‘예측’에 보수 커뮤니티 반응</t>
  </si>
  <si>
    <t>https://blog.naver.com/PostView.naver?blogId=lymcall&amp;logNo=223888872684&amp;redirect=Dlog&amp;widgetTypeCall=true&amp;directAccess=false</t>
  </si>
  <si>
    <t>내란·김건희·명태균' 3특검법 처리한다</t>
  </si>
  <si>
    <t>https://blog.naver.com/PostView.naver?blogId=cscg6472&amp;logNo=223888850146&amp;redirect=Dlog&amp;widgetTypeCall=true&amp;directAccess=false</t>
  </si>
  <si>
    <t>쏭이</t>
  </si>
  <si>
    <t>울산입주가구 여러가지 가구를 한번에 보는 올랜드아울렛 울산점</t>
  </si>
  <si>
    <t>https://blog.naver.com/PostView.naver?blogId=won13365&amp;logNo=223888842239&amp;redirect=Dlog&amp;widgetTypeCall=true&amp;directAccess=false</t>
  </si>
  <si>
    <t>풀보리</t>
  </si>
  <si>
    <t>엑스또치</t>
  </si>
  <si>
    <t>나는 신이다 : 신을 배신한 사람들 후기...</t>
  </si>
  <si>
    <t>https://blog.naver.com/PostView.naver?blogId=joetowchi&amp;logNo=223888800495&amp;redirect=Dlog&amp;widgetTypeCall=true&amp;directAccess=false</t>
  </si>
  <si>
    <t>[My 2Day] 2025.6.4(수) 제21대 대통령 이재명 임기 공식 개시!🎉, 성가 연습 계속, '존 윅-리로드' 감상</t>
  </si>
  <si>
    <t>https://blog.naver.com/PostView.naver?blogId=cooljay7&amp;logNo=223888676057&amp;redirect=Dlog&amp;widgetTypeCall=true&amp;directAccess=false</t>
  </si>
  <si>
    <t>캘리</t>
  </si>
  <si>
    <t>2025 BNK부산은행배 제18회 부산MBC 배드민턴대회</t>
  </si>
  <si>
    <t>https://blog.naver.com/PostView.naver?blogId=oscarb&amp;logNo=223888787000&amp;redirect=Dlog&amp;widgetTypeCall=true&amp;directAccess=false</t>
  </si>
  <si>
    <t>숏티</t>
  </si>
  <si>
    <t>6월4일 : 하루 일과를 마무리 하려고</t>
  </si>
  <si>
    <t>https://blog.naver.com/PostView.naver?blogId=mymom-recipe&amp;logNo=223888762749&amp;redirect=Dlog&amp;widgetTypeCall=true&amp;directAccess=false</t>
  </si>
  <si>
    <t>everylee</t>
  </si>
  <si>
    <t>[마케팅 공부 기록 39] 치열한 국내 OTT 경쟁의 승자는?ㅣ쿠팡플레이 6월부터 전면 무료화, 쿠팡플레이(축구) VS 티빙(야구) 스포츠 중계권 전쟁, 각 기업의 전략</t>
  </si>
  <si>
    <t>https://blog.naver.com/PostView.naver?blogId=jseily&amp;logNo=223888739325&amp;redirect=Dlog&amp;widgetTypeCall=true&amp;directAccess=false</t>
  </si>
  <si>
    <t>사랑해봉봉</t>
  </si>
  <si>
    <t>과거와 현재를 아우르는 MBC 선거방송 카운트다운 감동이었다.</t>
  </si>
  <si>
    <t>https://blog.naver.com/PostView.naver?blogId=miffy992279&amp;logNo=223888739374&amp;redirect=Dlog&amp;widgetTypeCall=true&amp;directAccess=false</t>
  </si>
  <si>
    <t>오방</t>
  </si>
  <si>
    <t>[사전투표 전 완독하여 했는데, 결국 대통령 당선 후가 되고 말았군. 지난 대선은 슬펐고, 작년 계엄은 빡쳤으나, 이젠 달라질거야. 믿는다. 그리고 지지한다] 결국 국민이 합니다</t>
  </si>
  <si>
    <t>https://blog.naver.com/PostView.naver?blogId=5seung&amp;logNo=223888735443&amp;redirect=Dlog&amp;widgetTypeCall=true&amp;directAccess=false</t>
  </si>
  <si>
    <t>경이아빠</t>
  </si>
  <si>
    <t>&lt;김사드립니다&gt; MBC 조현용, 김수지 앵커 ㅡ 방송을 목숨 걸고 해야할까?</t>
  </si>
  <si>
    <t>https://blog.naver.com/PostView.naver?blogId=ks2008lee&amp;logNo=223888732209&amp;redirect=Dlog&amp;widgetTypeCall=true&amp;directAccess=false</t>
  </si>
  <si>
    <t>이준석, 예상 벗어난 ‘패배’에 당혹... 2차 입장문 내놨다</t>
  </si>
  <si>
    <t>https://blog.naver.com/PostView.naver?blogId=lymcall&amp;logNo=223888719090&amp;redirect=Dlog&amp;widgetTypeCall=true&amp;directAccess=false</t>
  </si>
  <si>
    <t>넷플릭스 K-드라마 톱10 점령 5편 동시 진입</t>
  </si>
  <si>
    <t>https://blog.naver.com/PostView.naver?blogId=wwioa__&amp;logNo=223888705224&amp;redirect=Dlog&amp;widgetTypeCall=true&amp;directAccess=false</t>
  </si>
  <si>
    <t>밀양인</t>
  </si>
  <si>
    <t>대통령선거일을 차분하게 보내며 개표현황을 지켜보다</t>
  </si>
  <si>
    <t>https://blog.naver.com/PostView.naver?blogId=djdoorumi&amp;logNo=223888699723&amp;redirect=Dlog&amp;widgetTypeCall=true&amp;directAccess=false</t>
  </si>
  <si>
    <t>막새</t>
  </si>
  <si>
    <t>2025.06.03. 21대 대통령 선거</t>
  </si>
  <si>
    <t>https://blog.naver.com/PostView.naver?blogId=kimmy0001&amp;logNo=223888658049&amp;redirect=Dlog&amp;widgetTypeCall=true&amp;directAccess=false</t>
  </si>
  <si>
    <t>유유자적</t>
  </si>
  <si>
    <t>윤석열 타임라인</t>
  </si>
  <si>
    <t>https://blog.naver.com/PostView.naver?blogId=u2zajuck&amp;logNo=223888651571&amp;redirect=Dlog&amp;widgetTypeCall=true&amp;directAccess=false</t>
  </si>
  <si>
    <t>케이트렌디</t>
  </si>
  <si>
    <t>구름다리</t>
  </si>
  <si>
    <t>스포츠 코미디 드라마 맹감독의 악플러 (박성웅, 박수오) 등장인물관계도 정보</t>
  </si>
  <si>
    <t>https://blog.naver.com/PostView.naver?blogId=god-fe&amp;logNo=223888634839&amp;redirect=Dlog&amp;widgetTypeCall=true&amp;directAccess=false</t>
  </si>
  <si>
    <t>덕쟁이</t>
  </si>
  <si>
    <t>https://blog.naver.com/PostView.naver?blogId=seenedom&amp;logNo=223888624823&amp;redirect=Dlog&amp;widgetTypeCall=true&amp;directAccess=false</t>
  </si>
  <si>
    <t>안철수 뚝심보이는 순간</t>
  </si>
  <si>
    <t>https://blog.naver.com/PostView.naver?blogId=skymouu&amp;logNo=223888591689&amp;redirect=Dlog&amp;widgetTypeCall=true&amp;directAccess=false</t>
  </si>
  <si>
    <t>“나를 아예 못 알아봐?” 김대호, ‘구해줘! 홈즈’서 굴욕…학생들과 인지도 대면 실패</t>
  </si>
  <si>
    <t>https://blog.naver.com/PostView.naver?blogId=apahghfej&amp;logNo=223888568605&amp;redirect=Dlog&amp;widgetTypeCall=true&amp;directAccess=false</t>
  </si>
  <si>
    <t>이재명 김문수 투표결과</t>
  </si>
  <si>
    <t>https://blog.naver.com/PostView.naver?blogId=skymouu&amp;logNo=223888564814&amp;redirect=Dlog&amp;widgetTypeCall=true&amp;directAccess=false</t>
  </si>
  <si>
    <t>김혜은, 유시민 저격 후 자필 사과…“말의 무게를 다시 배웠다”</t>
  </si>
  <si>
    <t>https://blog.naver.com/PostView.naver?blogId=apahghfej&amp;logNo=223888533319&amp;redirect=Dlog&amp;widgetTypeCall=true&amp;directAccess=false</t>
  </si>
  <si>
    <t>화애</t>
  </si>
  <si>
    <t>노무사 노무진 출연진 시청률 정보 "정경호의 대변신!"</t>
  </si>
  <si>
    <t>https://blog.naver.com/PostView.naver?blogId=ccalvados&amp;logNo=223888526347&amp;redirect=Dlog&amp;widgetTypeCall=true&amp;directAccess=false</t>
  </si>
  <si>
    <t>MBC 100분 토론, 이재명 대통령 취임…과제는?</t>
  </si>
  <si>
    <t>https://blog.naver.com/PostView.naver?blogId=hmknews&amp;logNo=223888524088&amp;redirect=Dlog&amp;widgetTypeCall=true&amp;directAccess=false</t>
  </si>
  <si>
    <t>행복한</t>
  </si>
  <si>
    <t>조덕수</t>
  </si>
  <si>
    <t>우리가 이겼다</t>
  </si>
  <si>
    <t>https://blog.naver.com/PostView.naver?blogId=mad_string&amp;logNo=223888508794&amp;redirect=Dlog&amp;widgetTypeCall=true&amp;directAccess=false</t>
  </si>
  <si>
    <t>이즈나, ‘주간아이돌’ 첫 출연에 예능감 폭발</t>
  </si>
  <si>
    <t>https://blog.naver.com/PostView.naver?blogId=kstarfashion&amp;logNo=223888499229&amp;redirect=Dlog&amp;widgetTypeCall=true&amp;directAccess=false</t>
  </si>
  <si>
    <t>라미란 17kg·김신영 44kg 감량 성공, 진짜 고비는 ‘정체기’였다</t>
  </si>
  <si>
    <t>https://blog.naver.com/PostView.naver?blogId=apahghfej&amp;logNo=223888487579&amp;redirect=Dlog&amp;widgetTypeCall=true&amp;directAccess=false</t>
  </si>
  <si>
    <t>mondaytimes</t>
  </si>
  <si>
    <t>[신/배/영] 제21대 대통령 이재명 당선 ... 세대교체 열망 있어</t>
  </si>
  <si>
    <t>https://blog.naver.com/PostView.naver?blogId=mondaytimes&amp;logNo=223888470768&amp;redirect=Dlog&amp;widgetTypeCall=true&amp;directAccess=false</t>
  </si>
  <si>
    <t>유미로</t>
  </si>
  <si>
    <t>김소현(Kim So hyun) 【 작품 필모그래피(출연작품) 】</t>
  </si>
  <si>
    <t>https://blog.naver.com/PostView.naver?blogId=tvxq126122&amp;logNo=223888460517&amp;redirect=Dlog&amp;widgetTypeCall=true&amp;directAccess=false</t>
  </si>
  <si>
    <t>수박페페</t>
  </si>
  <si>
    <t>검은고양이</t>
  </si>
  <si>
    <t>표충사 맛집 천황산가든</t>
  </si>
  <si>
    <t>https://blog.naver.com/PostView.naver?blogId=chaim100&amp;logNo=223888456586&amp;redirect=Dlog&amp;widgetTypeCall=true&amp;directAccess=false</t>
  </si>
  <si>
    <t>맑은울림</t>
  </si>
  <si>
    <t>21대 장미대선... 역대 최악의 부정선거...3.5% 전자개표조작... 출구조사와 개표 득표율 차이의 의미</t>
  </si>
  <si>
    <t>https://blog.naver.com/PostView.naver?blogId=metgol&amp;logNo=223888454876&amp;redirect=Dlog&amp;widgetTypeCall=true&amp;directAccess=false</t>
  </si>
  <si>
    <t>해운대하츄핑</t>
  </si>
  <si>
    <t>부산 송정 찐맛집 [ 송정돌짬뽕 ] 해변열차 지나가는 송정바다뷰 앞 돌짬뽕 돌짜장</t>
  </si>
  <si>
    <t>https://blog.naver.com/PostView.naver?blogId=h_j_bom&amp;logNo=223888455073&amp;redirect=Dlog&amp;widgetTypeCall=true&amp;directAccess=false</t>
  </si>
  <si>
    <t>약오르쥬</t>
  </si>
  <si>
    <t>기레기들도 정권교체? 자알들 논다.</t>
  </si>
  <si>
    <t>https://blog.naver.com/PostView.naver?blogId=amos_amos&amp;logNo=223888435145&amp;redirect=Dlog&amp;widgetTypeCall=true&amp;directAccess=false</t>
  </si>
  <si>
    <t>이재명 대통령 취임 선서 후 첫 행보로 국회 청소노동자와 국회 방호직원 만나..</t>
  </si>
  <si>
    <t>https://blog.naver.com/PostView.naver?blogId=wnnbc&amp;logNo=223888424592&amp;redirect=Dlog&amp;widgetTypeCall=true&amp;directAccess=false</t>
  </si>
  <si>
    <t>misfit</t>
  </si>
  <si>
    <t>코알라</t>
  </si>
  <si>
    <t>2025대선 개표방송 최고였던 장면!!</t>
  </si>
  <si>
    <t>https://blog.naver.com/PostView.naver?blogId=babsang21&amp;logNo=223888422373&amp;redirect=Dlog&amp;widgetTypeCall=true&amp;directAccess=false</t>
  </si>
  <si>
    <t>안철수, 2시간 넘도록 텅텅 빈 자리 지켜</t>
  </si>
  <si>
    <t>https://blog.naver.com/PostView.naver?blogId=klp654&amp;logNo=223888412740&amp;redirect=Dlog&amp;widgetTypeCall=true&amp;directAccess=false</t>
  </si>
  <si>
    <t>핑크도리</t>
  </si>
  <si>
    <t>이재명 대통령 당선인 테마주</t>
  </si>
  <si>
    <t>https://blog.naver.com/PostView.naver?blogId=gongbooboosoosoo&amp;logNo=223888403997&amp;redirect=Dlog&amp;widgetTypeCall=true&amp;directAccess=false</t>
  </si>
  <si>
    <t>windoor21</t>
  </si>
  <si>
    <t>제69회 MBC건축박람회, 8월 21일부터 나흘간 일산 킨텍스</t>
  </si>
  <si>
    <t>https://blog.naver.com/PostView.naver?blogId=windoor21&amp;logNo=223888389633&amp;redirect=Dlog&amp;widgetTypeCall=true&amp;directAccess=false</t>
  </si>
  <si>
    <t>[춘천 두피스파 후기] 웨딩케어전문 뷰티 오로라엘 힐링 관리💆🏻‍♀️</t>
  </si>
  <si>
    <t>https://blog.naver.com/PostView.naver?blogId=kb000111&amp;logNo=223888368202&amp;redirect=Dlog&amp;widgetTypeCall=true&amp;directAccess=false</t>
  </si>
  <si>
    <t>[이재명 시대 교육] ①교원의 열망 '정치기본권' 확대될까?</t>
  </si>
  <si>
    <t>https://blog.naver.com/PostView.naver?blogId=theedu3000&amp;logNo=223888356085&amp;redirect=Dlog&amp;widgetTypeCall=true&amp;directAccess=false</t>
  </si>
  <si>
    <t>어썸</t>
  </si>
  <si>
    <t>소년공' 대통령 되다..이재명이 걸어온 길 (2025.06.04/MBC뉴스)</t>
  </si>
  <si>
    <t>https://blog.naver.com/PostView.naver?blogId=syowoo&amp;logNo=223888340715&amp;redirect=Dlog&amp;widgetTypeCall=true&amp;directAccess=false</t>
  </si>
  <si>
    <t>와이제이</t>
  </si>
  <si>
    <t>250603 대한민국 제21대 대통령 이재명!!</t>
  </si>
  <si>
    <t>https://blog.naver.com/PostView.naver?blogId=meet1231&amp;logNo=223888311125&amp;redirect=Dlog&amp;widgetTypeCall=true&amp;directAccess=false</t>
  </si>
  <si>
    <t>【속보】이재명 51.7% 김문수 39.2%...내란세력 심판했다.[MBC KBS SBS3사 출구조사]</t>
  </si>
  <si>
    <t>https://blog.naver.com/PostView.naver?blogId=esejong1&amp;logNo=223888293251&amp;redirect=Dlog&amp;widgetTypeCall=true&amp;directAccess=false</t>
  </si>
  <si>
    <t>원수는 외나무 다리에서 만난다</t>
  </si>
  <si>
    <t>https://blog.naver.com/PostView.naver?blogId=search_truth&amp;logNo=223888284879&amp;redirect=Dlog&amp;widgetTypeCall=true&amp;directAccess=false</t>
  </si>
  <si>
    <t>또로로</t>
  </si>
  <si>
    <t>대구 보양식 제철요리 맛집 한다레 갯장어 하모 샤브샤브 즐기기!</t>
  </si>
  <si>
    <t>https://blog.naver.com/PostView.naver?blogId=zssssssss&amp;logNo=223888285389&amp;redirect=Dlog&amp;widgetTypeCall=true&amp;directAccess=false</t>
  </si>
  <si>
    <t>시민의 생각</t>
  </si>
  <si>
    <t>이러다 또 대통령 뽑아야 하는 건가?</t>
  </si>
  <si>
    <t>https://blog.naver.com/PostView.naver?blogId=busankmin&amp;logNo=223888261678&amp;redirect=Dlog&amp;widgetTypeCall=true&amp;directAccess=false</t>
  </si>
  <si>
    <t>연예인 예능 드라마</t>
  </si>
  <si>
    <t>李대통령 재판 계속 64%, 중단 26%…민주 지지자 42% "계속해야"(조선일보)</t>
  </si>
  <si>
    <t>https://blog.naver.com/PostView.naver?blogId=busankmin&amp;logNo=223888236414&amp;redirect=Dlog&amp;widgetTypeCall=true&amp;directAccess=false</t>
  </si>
  <si>
    <t>서산포스트 신문</t>
  </si>
  <si>
    <t>21대 대통령선거 본투표, 오전 11시 전국 투표율 18.3%… 서산 18.1%, 태안 20.3% 기록</t>
  </si>
  <si>
    <t>https://blog.naver.com/PostView.naver?blogId=seosanpost&amp;logNo=223888235847&amp;redirect=Dlog&amp;widgetTypeCall=true&amp;directAccess=false</t>
  </si>
  <si>
    <t>하루팡팡</t>
  </si>
  <si>
    <t>“이재명 시대, 재판은 계속돼야 하나?…국민의 선택은 뜻밖이었다”</t>
  </si>
  <si>
    <t>https://blog.naver.com/PostView.naver?blogId=protocolnchae&amp;logNo=223888233641&amp;redirect=Dlog&amp;widgetTypeCall=true&amp;directAccess=false</t>
  </si>
  <si>
    <t>이재명, 부산에서 40% 돌파.. 강서구에서는 1위 (2025-06-03,화/부산MBC뉴스)</t>
  </si>
  <si>
    <t>https://blog.naver.com/PostView.naver?blogId=edongkyoo&amp;logNo=223888233358&amp;redirect=Dlog&amp;widgetTypeCall=true&amp;directAccess=false</t>
  </si>
  <si>
    <t>Life is</t>
  </si>
  <si>
    <t>오늘 N 장어구이 장어집 퇴근후N 9년 차 직장인의 여름 보양식</t>
  </si>
  <si>
    <t>https://blog.naver.com/PostView.naver?blogId=brjang71&amp;logNo=223888226113&amp;redirect=Dlog&amp;widgetTypeCall=true&amp;directAccess=false</t>
  </si>
  <si>
    <t>JINNYWA</t>
  </si>
  <si>
    <t>MBC 21대 대선 투표 카운트다운 감동 영상</t>
  </si>
  <si>
    <t>https://blog.naver.com/PostView.naver?blogId=howruuuu&amp;logNo=223888221628&amp;redirect=Dlog&amp;widgetTypeCall=true&amp;directAccess=false</t>
  </si>
  <si>
    <t>단양 온달드라마세트장, KBS 천추태후 MBC 태왕사신기 SBS 연개소문 등 사극촬영지/단양가볼만한곳</t>
  </si>
  <si>
    <t>https://blog.naver.com/PostView.naver?blogId=manhoc2002&amp;logNo=223888197316&amp;redirect=Dlog&amp;widgetTypeCall=true&amp;directAccess=false</t>
  </si>
  <si>
    <t>피리딘</t>
  </si>
  <si>
    <t>21대 대통령선거 투표결과 및 MBC 출구조사 연령별 표심</t>
  </si>
  <si>
    <t>https://blog.naver.com/PostView.naver?blogId=sybbys&amp;logNo=223888188623&amp;redirect=Dlog&amp;widgetTypeCall=true&amp;directAccess=false</t>
  </si>
  <si>
    <t>유스프리</t>
  </si>
  <si>
    <t>제21대 대통령선거 결과 - 투표율과 출구조사, 지역별 개표결과 그리고 새출발...</t>
  </si>
  <si>
    <t>https://blog.naver.com/PostView.naver?blogId=nabibelle&amp;logNo=223888177173&amp;redirect=Dlog&amp;widgetTypeCall=true&amp;directAccess=false</t>
  </si>
  <si>
    <t>MBC 'AI 기술' 접목한 출구조사 카운트다운 영상 '화제', 김구 선생 연설-BTS 연설... 나운규-봉준호 감독 '시대 초월 연결' 눈길</t>
  </si>
  <si>
    <t>https://blog.naver.com/PostView.naver?blogId=lsb3002&amp;logNo=223888170601&amp;redirect=Dlog&amp;widgetTypeCall=true&amp;directAccess=false</t>
  </si>
  <si>
    <t>정책실장 거론되는 이한주, "추경에 지역화폐 포함돼야…노란봉투법·양곡법 바로 할 것"</t>
  </si>
  <si>
    <t>https://blog.naver.com/PostView.naver?blogId=koolap&amp;logNo=223888147169&amp;redirect=Dlog&amp;widgetTypeCall=true&amp;directAccess=false</t>
  </si>
  <si>
    <t>e미래뉴스 입니다</t>
  </si>
  <si>
    <t>목포교육지원청 공공기관 진로·직업체험 운영[미래교육신문]</t>
  </si>
  <si>
    <t>https://blog.naver.com/PostView.naver?blogId=s6320898&amp;logNo=223888139528&amp;redirect=Dlog&amp;widgetTypeCall=true&amp;directAccess=false</t>
  </si>
  <si>
    <t>&lt;국내 정치/경제&gt; 이재명, 제21대 대통령 당선 확정… 득표율 49.42%로 역대 최다 득표 기록</t>
  </si>
  <si>
    <t>https://blog.naver.com/PostView.naver?blogId=nicodemus4620&amp;logNo=223888133351&amp;redirect=Dlog&amp;widgetTypeCall=true&amp;directAccess=false</t>
  </si>
  <si>
    <t>indra21c</t>
  </si>
  <si>
    <t>대선 이 뉴스] '소년공' 대통령 되다..이재명이 걸어온 길 (2025.06.04/MBC뉴스)/제 21대 대통령 취임식 생중계 | 06월 04일</t>
  </si>
  <si>
    <t>https://blog.naver.com/PostView.naver?blogId=indra21c&amp;logNo=223888103350&amp;redirect=Dlog&amp;widgetTypeCall=true&amp;directAccess=false</t>
  </si>
  <si>
    <t>까정</t>
  </si>
  <si>
    <t>wthere</t>
  </si>
  <si>
    <t>[제18회 전국생활체육 大장사씨름대회 in 창녕 ; 06/6~8]</t>
  </si>
  <si>
    <t>https://blog.naver.com/PostView.naver?blogId=wthere&amp;logNo=223888085292&amp;redirect=Dlog&amp;widgetTypeCall=true&amp;directAccess=false</t>
  </si>
  <si>
    <t>MBC 수목드라마 더킹 투하츠 조정석 이승기 하지원, 미쓰리는 알고 있다 강성연 등장인물 웨이브 왓챠 방영 종료 한국 정주행 수요일 목요일 평일 드라마 추천</t>
  </si>
  <si>
    <t>https://blog.naver.com/PostView.naver?blogId=kws3128pdm&amp;logNo=223888077377&amp;redirect=Dlog&amp;widgetTypeCall=true&amp;directAccess=false</t>
  </si>
  <si>
    <t>3년 만에 정권교체… 이재명, 역대 최다 득표로 제21대 대통령 당선 확정</t>
  </si>
  <si>
    <t>https://blog.naver.com/PostView.naver?blogId=rttn-&amp;logNo=223888072082&amp;redirect=Dlog&amp;widgetTypeCall=true&amp;directAccess=false</t>
  </si>
  <si>
    <t>이재명 대통령, 역대 대선 '최다' 득표 기록…1728만여표로 당선</t>
  </si>
  <si>
    <t>https://blog.naver.com/PostView.naver?blogId=vitamin_333&amp;logNo=223888056403&amp;redirect=Dlog&amp;widgetTypeCall=true&amp;directAccess=false</t>
  </si>
  <si>
    <t>jstory1</t>
  </si>
  <si>
    <t>지난주말2('25.6.1.)</t>
  </si>
  <si>
    <t>https://blog.naver.com/PostView.naver?blogId=jstory1&amp;logNo=223888054275&amp;redirect=Dlog&amp;widgetTypeCall=true&amp;directAccess=false</t>
  </si>
  <si>
    <t>분양쟁이</t>
  </si>
  <si>
    <t>대구 수성구 범어동 1번지 '어나드 범어' 이달 분양 예정</t>
  </si>
  <si>
    <t>https://blog.naver.com/PostView.naver?blogId=sunnyapt81&amp;logNo=223888041184&amp;redirect=Dlog&amp;widgetTypeCall=true&amp;directAccess=false</t>
  </si>
  <si>
    <t>이재명 가장 강력한 대통령 될것 한미 동맹과 중국 북한 관계 개선 김정은 과 료류 협력 강화 할듯 북한에서 괴뢰 용어 사라져 남한 남북 동시 유엔가입</t>
  </si>
  <si>
    <t>https://blog.naver.com/PostView.naver?blogId=esuccess&amp;logNo=223888039744&amp;redirect=Dlog&amp;widgetTypeCall=true&amp;directAccess=false</t>
  </si>
  <si>
    <t>6월 4일 뽀너스7</t>
  </si>
  <si>
    <t>https://blog.naver.com/PostView.naver?blogId=wonogi&amp;logNo=223887657047&amp;redirect=Dlog&amp;widgetTypeCall=true&amp;directAccess=false</t>
  </si>
  <si>
    <t>이재명 대통령에게 바란다.</t>
  </si>
  <si>
    <t>https://blog.naver.com/PostView.naver?blogId=anchorus&amp;logNo=223888021766&amp;redirect=Dlog&amp;widgetTypeCall=true&amp;directAccess=false</t>
  </si>
  <si>
    <t>이준석 개혁신당 후보, 득표율 8.34%로 대선 완주…선거비용 보전 무산</t>
  </si>
  <si>
    <t>https://blog.naver.com/PostView.naver?blogId=its_news&amp;logNo=223888019317&amp;redirect=Dlog&amp;widgetTypeCall=true&amp;directAccess=false</t>
  </si>
  <si>
    <t>김혜은, 유시민 비판 논란 끝에 자필 사과문 공개 (+ 설난영 논란, 서울대, 학력비하, 인스타그램)</t>
  </si>
  <si>
    <t>https://blog.naver.com/PostView.naver?blogId=minsimnews&amp;logNo=223887993141&amp;redirect=Dlog&amp;widgetTypeCall=true&amp;directAccess=false</t>
  </si>
  <si>
    <t>갓쑤</t>
  </si>
  <si>
    <t>2025.06.04 아침을 맞으며</t>
  </si>
  <si>
    <t>https://blog.naver.com/PostView.naver?blogId=dalsuitda&amp;logNo=223887993409&amp;redirect=Dlog&amp;widgetTypeCall=true&amp;directAccess=false</t>
  </si>
  <si>
    <t>[속보] 이재명 대통령 시대 열렸다…"국민 결정에 경의"</t>
  </si>
  <si>
    <t>https://blog.naver.com/PostView.naver?blogId=jang0355&amp;logNo=223887985194&amp;redirect=Dlog&amp;widgetTypeCall=true&amp;directAccess=false</t>
  </si>
  <si>
    <t>제동 장치 없는 거대 정권… 입법 독주·사법부 물갈이 다 가능해져</t>
  </si>
  <si>
    <t>https://blog.naver.com/PostView.naver?blogId=nsunday&amp;logNo=223887983102&amp;redirect=Dlog&amp;widgetTypeCall=true&amp;directAccess=false</t>
  </si>
  <si>
    <t>풍계묻이</t>
  </si>
  <si>
    <t>[공유]  MBC 응원합니다 지금은 단호한 시민으로 설 때</t>
  </si>
  <si>
    <t>https://blog.naver.com/PostView.naver?blogId=trio1009&amp;logNo=223887980834&amp;redirect=Dlog&amp;widgetTypeCall=true&amp;directAccess=false</t>
  </si>
  <si>
    <t>푸름</t>
  </si>
  <si>
    <t>2025 6.3 장미대선 결과 출구조사 결과</t>
  </si>
  <si>
    <t>https://blog.naver.com/PostView.naver?blogId=withustobible&amp;logNo=223887979441&amp;redirect=Dlog&amp;widgetTypeCall=true&amp;directAccess=false</t>
  </si>
  <si>
    <t>유통기한 임박 '라면ㆍ국수' 버리지 말고, 독거노인 및 장애인 가정에 기부해주세요!</t>
  </si>
  <si>
    <t>https://blog.naver.com/PostView.naver?blogId=kbinews&amp;logNo=223887970449&amp;redirect=Dlog&amp;widgetTypeCall=true&amp;directAccess=false</t>
  </si>
  <si>
    <t>우진부동산</t>
  </si>
  <si>
    <t>[필사하기] 공공기관의 정보공개에 관한 법률 - 공공기관의 의무</t>
  </si>
  <si>
    <t>https://blog.naver.com/PostView.naver?blogId=chs5167&amp;logNo=223887965415&amp;redirect=Dlog&amp;widgetTypeCall=true&amp;directAccess=false</t>
  </si>
  <si>
    <t>하루한걸음</t>
  </si>
  <si>
    <t>숨겨진꿈</t>
  </si>
  <si>
    <t>영탁, 날 위해 무속인이 되신 母… ‘신 안 받으면 계속 다칠 것’</t>
  </si>
  <si>
    <t>https://blog.naver.com/PostView.naver?blogId=yoose2&amp;logNo=223887958599&amp;redirect=Dlog&amp;widgetTypeCall=true&amp;directAccess=false</t>
  </si>
  <si>
    <t>TVONE</t>
  </si>
  <si>
    <t>[동영상]대한민국. 이제 다시 시작할 때....</t>
  </si>
  <si>
    <t>https://blog.naver.com/PostView.naver?blogId=tvone&amp;logNo=223887949210&amp;redirect=Dlog&amp;widgetTypeCall=true&amp;directAccess=false</t>
  </si>
  <si>
    <t>2025.06.04 연예</t>
  </si>
  <si>
    <t>https://blog.naver.com/PostView.naver?blogId=kbs650604&amp;logNo=223887940325&amp;redirect=Dlog&amp;widgetTypeCall=true&amp;directAccess=false</t>
  </si>
  <si>
    <t>이재명 대통령 6시 20분 공식 임기 시작‥잠시 뒤 현충원 참배 (2025.06.04/뉴스특보/MBC)</t>
  </si>
  <si>
    <t>https://blog.naver.com/PostView.naver?blogId=redrose117&amp;logNo=223887938595&amp;redirect=Dlog&amp;widgetTypeCall=true&amp;directAccess=false</t>
  </si>
  <si>
    <t>나는가은</t>
  </si>
  <si>
    <t>MBC가 또 미쳤다....이 시그널 뭐임??? 실화임??</t>
  </si>
  <si>
    <t>https://blog.naver.com/PostView.naver?blogId=seonae62&amp;logNo=223887938254&amp;redirect=Dlog&amp;widgetTypeCall=true&amp;directAccess=false</t>
  </si>
  <si>
    <t>KBO 1990년 신인드레프트. 김동수, 공필성, 이병훈, 김경기, 김상진, 조웅천 등</t>
  </si>
  <si>
    <t>https://blog.naver.com/PostView.naver?blogId=abundious&amp;logNo=223887934472&amp;redirect=Dlog&amp;widgetTypeCall=true&amp;directAccess=false</t>
  </si>
  <si>
    <t>영화 &lt;악의 도시&gt; 속 빛나는 명품 조연! 분위기를 뒤바꾸는 신스틸러 배우 김혜은, 우희진, 배재원</t>
  </si>
  <si>
    <t>https://blog.naver.com/PostView.naver?blogId=withinnews&amp;logNo=223887930697&amp;redirect=Dlog&amp;widgetTypeCall=true&amp;directAccess=false</t>
  </si>
  <si>
    <t>생각없음</t>
  </si>
  <si>
    <t>정치를 아는가?</t>
  </si>
  <si>
    <t>https://blog.naver.com/PostView.naver?blogId=limited-89&amp;logNo=223887928468&amp;redirect=Dlog&amp;widgetTypeCall=true&amp;directAccess=false</t>
  </si>
  <si>
    <t>트레이드(1990년). 김경문, 김평호, 조범현, 이길환 등</t>
  </si>
  <si>
    <t>https://blog.naver.com/PostView.naver?blogId=abundious&amp;logNo=223887922223&amp;redirect=Dlog&amp;widgetTypeCall=true&amp;directAccess=false</t>
  </si>
  <si>
    <t>미래청년</t>
  </si>
  <si>
    <t>&lt;마이 네임 (My Name, 2021)&gt; 모던한 고전물</t>
  </si>
  <si>
    <t>https://blog.naver.com/PostView.naver?blogId=adplayer&amp;logNo=223815250493&amp;redirect=Dlog&amp;widgetTypeCall=true&amp;directAccess=false</t>
  </si>
  <si>
    <t>트레이드(1988년). 김시진, 장효조, 최동원, 김용철 등</t>
  </si>
  <si>
    <t>https://blog.naver.com/PostView.naver?blogId=abundious&amp;logNo=223887914837&amp;redirect=Dlog&amp;widgetTypeCall=true&amp;directAccess=false</t>
  </si>
  <si>
    <t>민수샘</t>
  </si>
  <si>
    <t>다시, 민주 공화국 - MBC 개표카운트다운의 감동</t>
  </si>
  <si>
    <t>https://blog.naver.com/PostView.naver?blogId=koris1&amp;logNo=223887912992&amp;redirect=Dlog&amp;widgetTypeCall=true&amp;directAccess=false</t>
  </si>
  <si>
    <t>여성 국무총리 후보 거론,,, ‘강금실’ 프로필 노무현 정부 법무부 장관 출신 이재명 대통령 총괄선대위원장</t>
  </si>
  <si>
    <t>https://blog.naver.com/PostView.naver?blogId=universal_studeo&amp;logNo=223887906570&amp;redirect=Dlog&amp;widgetTypeCall=true&amp;directAccess=false</t>
  </si>
  <si>
    <t>유시민 "이재명, 당선되더라도 쉽지 않겠다" 탄식…이유가</t>
  </si>
  <si>
    <t>https://blog.naver.com/PostView.naver?blogId=cybernmt&amp;logNo=223887904388&amp;redirect=Dlog&amp;widgetTypeCall=true&amp;directAccess=false</t>
  </si>
  <si>
    <t>고독한미식가</t>
  </si>
  <si>
    <t>21대 대통령선거 결과 이재명 당선</t>
  </si>
  <si>
    <t>https://blog.naver.com/PostView.naver?blogId=flight_21c&amp;logNo=223887904518&amp;redirect=Dlog&amp;widgetTypeCall=true&amp;directAccess=false</t>
  </si>
  <si>
    <t>제21대 대통령선거 이재명 당선 49.42%</t>
  </si>
  <si>
    <t>https://blog.naver.com/PostView.naver?blogId=w7445000&amp;logNo=223887904069&amp;redirect=Dlog&amp;widgetTypeCall=true&amp;directAccess=false</t>
  </si>
  <si>
    <t>매운맛제니</t>
  </si>
  <si>
    <t>이번 대선 결과 방향/부자의 성공 아이템은 사람들의 심기를 건드리면 안 된다.</t>
  </si>
  <si>
    <t>https://blog.naver.com/PostView.naver?blogId=redhot_jenny&amp;logNo=223887727803&amp;redirect=Dlog&amp;widgetTypeCall=true&amp;directAccess=false</t>
  </si>
  <si>
    <t>[2025대선] 제 21대 대통령에 이재명 "국민대통합 과제"               49.42%(1728만7513표) 얻으며 승리 확정</t>
  </si>
  <si>
    <t>https://blog.naver.com/PostView.naver?blogId=newsnanumy&amp;logNo=223887896843&amp;redirect=Dlog&amp;widgetTypeCall=true&amp;directAccess=false</t>
  </si>
  <si>
    <t>아프리카TV 스타리그</t>
  </si>
  <si>
    <t>https://blog.naver.com/PostView.naver?blogId=djm05208&amp;logNo=223887884109&amp;redirect=Dlog&amp;widgetTypeCall=true&amp;directAccess=false</t>
  </si>
  <si>
    <t>실시간 뉴스</t>
  </si>
  <si>
    <t>민주당후보 이재명 21대 대통령 당선</t>
  </si>
  <si>
    <t>https://blog.naver.com/PostView.naver?blogId=jnp20012&amp;logNo=223887875587&amp;redirect=Dlog&amp;widgetTypeCall=true&amp;directAccess=false</t>
  </si>
  <si>
    <t>권문득</t>
  </si>
  <si>
    <t>[2025 무도런] 01. 나에게 무한도전이란?</t>
  </si>
  <si>
    <t>https://blog.naver.com/PostView.naver?blogId=martin36&amp;logNo=223887509400&amp;redirect=Dlog&amp;widgetTypeCall=true&amp;directAccess=false</t>
  </si>
  <si>
    <t>[ 수요일 &amp; SNS ] &lt; 2025년 06월 04일 수요일 01 &gt;</t>
  </si>
  <si>
    <t>https://blog.naver.com/PostView.naver?blogId=jinhwan1016&amp;logNo=223887853485&amp;redirect=Dlog&amp;widgetTypeCall=true&amp;directAccess=false</t>
  </si>
  <si>
    <t>[ 수요일 &amp; SNS ] &lt; 2025년 06월 04일 수요일 02 &gt;</t>
  </si>
  <si>
    <t>https://blog.naver.com/PostView.naver?blogId=jinhwan1016&amp;logNo=223887853619&amp;redirect=Dlog&amp;widgetTypeCall=true&amp;directAccess=false</t>
  </si>
  <si>
    <t>출구 조사 / 실제..</t>
  </si>
  <si>
    <t>https://blog.naver.com/PostView.naver?blogId=yujmmm&amp;logNo=223887852029&amp;redirect=Dlog&amp;widgetTypeCall=true&amp;directAccess=false</t>
  </si>
  <si>
    <t>개표방송은 MBC 한판승.</t>
  </si>
  <si>
    <t>https://blog.naver.com/PostView.naver?blogId=amos_amos&amp;logNo=223887850590&amp;redirect=Dlog&amp;widgetTypeCall=true&amp;directAccess=false</t>
  </si>
  <si>
    <t>‘대선 개표방송’에 BTS 깜짝 등장… “세계 무대의 발걸음” 감동 더해</t>
  </si>
  <si>
    <t>https://blog.naver.com/PostView.naver?blogId=leesunhee9&amp;logNo=223887842005&amp;redirect=Dlog&amp;widgetTypeCall=true&amp;directAccess=false</t>
  </si>
  <si>
    <t>잣골농원</t>
  </si>
  <si>
    <t>새로운 시대를 기대해 본다.</t>
  </si>
  <si>
    <t>https://blog.naver.com/PostView.naver?blogId=isonga&amp;logNo=223887837745&amp;redirect=Dlog&amp;widgetTypeCall=true&amp;directAccess=false</t>
  </si>
  <si>
    <t>꼬미언니</t>
  </si>
  <si>
    <t>국민과 함께 승리한 대통령 이재명…'빛의 혁명' 완수한다</t>
  </si>
  <si>
    <t>https://blog.naver.com/PostView.naver?blogId=ghenghen08&amp;logNo=223887822411&amp;redirect=Dlog&amp;widgetTypeCall=true&amp;directAccess=false</t>
  </si>
  <si>
    <t>RanXiu</t>
  </si>
  <si>
    <t>감동했던 MBC 출구조사 영상</t>
  </si>
  <si>
    <t>https://blog.naver.com/PostView.naver?blogId=ys4217&amp;logNo=223887818467&amp;redirect=Dlog&amp;widgetTypeCall=true&amp;directAccess=false</t>
  </si>
  <si>
    <t>출구조사에서만 확인할 수 있는 몇 가지 지표. [슬로우데이터] 이정환</t>
  </si>
  <si>
    <t>https://blog.naver.com/PostView.naver?blogId=kimdaisuke&amp;logNo=223887815231&amp;redirect=Dlog&amp;widgetTypeCall=true&amp;directAccess=false</t>
  </si>
  <si>
    <t>코미디언 출신 이재포, 2천만원 사기 저질러 벌금형 선고받아</t>
  </si>
  <si>
    <t>https://blog.naver.com/PostView.naver?blogId=chookk7&amp;logNo=223887801468&amp;redirect=Dlog&amp;widgetTypeCall=true&amp;directAccess=false</t>
  </si>
  <si>
    <t>21대 대통령으로 이재명 당선...국민들 내란심판, 3년만에 정권교체</t>
  </si>
  <si>
    <t>https://blog.naver.com/PostView.naver?blogId=3658290&amp;logNo=223887798958&amp;redirect=Dlog&amp;widgetTypeCall=true&amp;directAccess=false</t>
  </si>
  <si>
    <t>방송3사 출구조사, 이재명 51.7% 김문수 39.3% 이준석 7.7%...李 유력</t>
  </si>
  <si>
    <t>https://blog.naver.com/PostView.naver?blogId=3658290&amp;logNo=223887797893&amp;redirect=Dlog&amp;widgetTypeCall=true&amp;directAccess=false</t>
  </si>
  <si>
    <t>미디어대전</t>
  </si>
  <si>
    <t>이재명 후보, 제 21대 대통령 당선</t>
  </si>
  <si>
    <t>https://blog.naver.com/PostView.naver?blogId=mediadj&amp;logNo=223887795922&amp;redirect=Dlog&amp;widgetTypeCall=true&amp;directAccess=false</t>
  </si>
  <si>
    <t>대선 이 뉴스] '소년공' 대통령 되다..이재명이 걸어온 길 (2025.06.04/MBC뉴스)</t>
  </si>
  <si>
    <t>https://blog.naver.com/PostView.naver?blogId=redrose117&amp;logNo=223887790068&amp;redirect=Dlog&amp;widgetTypeCall=true&amp;directAccess=false</t>
  </si>
  <si>
    <t>#이재명 21대 진짜 대한민국 대통령 2025년 6월 4일 새벽 2시 50분 기준 당선!</t>
  </si>
  <si>
    <t>https://blog.naver.com/PostView.naver?blogId=euntkj&amp;logNo=223887784461&amp;redirect=Dlog&amp;widgetTypeCall=true&amp;directAccess=false</t>
  </si>
  <si>
    <t>findingflow1</t>
  </si>
  <si>
    <t>[대선 이 뉴스] 21대 대통령에 '이재명' 새벽 2시 반 '당선 확정' (2025.06.04/MBC뉴스)</t>
  </si>
  <si>
    <t>https://blog.naver.com/PostView.naver?blogId=findingflow1&amp;logNo=223887782466&amp;redirect=Dlog&amp;widgetTypeCall=true&amp;directAccess=false</t>
  </si>
  <si>
    <t>SuH</t>
  </si>
  <si>
    <t>Deep Lens #05 – 이준석의 7.7%, 의미 있는 실패인가?</t>
  </si>
  <si>
    <t>https://blog.naver.com/PostView.naver?blogId=jung8033&amp;logNo=223887782171&amp;redirect=Dlog&amp;widgetTypeCall=true&amp;directAccess=false</t>
  </si>
  <si>
    <t>천주현 박사</t>
  </si>
  <si>
    <t>군인의 성폭력 성범죄 신속,막중한 징계처분. 파면 - 피해자대리 대구 변호사 _ 대한변협 형사 이혼 전문변호사 사무실</t>
  </si>
  <si>
    <t>https://blog.naver.com/PostView.naver?blogId=brotherlaw-blog&amp;logNo=223887766215&amp;redirect=Dlog&amp;widgetTypeCall=true&amp;directAccess=false</t>
  </si>
  <si>
    <t>[속보] 제21대 대통령 선거서 이재명 당선 확실</t>
  </si>
  <si>
    <t>https://blog.naver.com/PostView.naver?blogId=js00lee2&amp;logNo=223887759306&amp;redirect=Dlog&amp;widgetTypeCall=true&amp;directAccess=false</t>
  </si>
  <si>
    <t>4050세대의 이재명 후보 지지 이유 분석</t>
  </si>
  <si>
    <t>https://blog.naver.com/PostView.naver?blogId=newyorkmanhattan&amp;logNo=223887753295&amp;redirect=Dlog&amp;widgetTypeCall=true&amp;directAccess=false</t>
  </si>
  <si>
    <t>Born beauty</t>
  </si>
  <si>
    <t>이재명 대통령 당선 확실 - 여의도 무대에서 밝힌 이재명 대국민 메시지 통해 포부 밝혔다.</t>
  </si>
  <si>
    <t>https://blog.naver.com/PostView.naver?blogId=oneworld-&amp;logNo=223887747597&amp;redirect=Dlog&amp;widgetTypeCall=true&amp;directAccess=false</t>
  </si>
  <si>
    <t>제 21대 대선 이재명 당선 확실...3년만에 정권교체</t>
  </si>
  <si>
    <t>https://blog.naver.com/PostView.naver?blogId=standby11&amp;logNo=223887743528&amp;redirect=Dlog&amp;widgetTypeCall=true&amp;directAccess=false</t>
  </si>
  <si>
    <t>노진탁</t>
  </si>
  <si>
    <t>과거의 투사와 오늘의 투사</t>
  </si>
  <si>
    <t>https://blog.naver.com/PostView.naver?blogId=lawjintak&amp;logNo=223887741709&amp;redirect=Dlog&amp;widgetTypeCall=true&amp;directAccess=false</t>
  </si>
  <si>
    <t>KBS "이재명 후보 당선 확실" 예측</t>
  </si>
  <si>
    <t>https://blog.naver.com/PostView.naver?blogId=js00lee2&amp;logNo=223887735635&amp;redirect=Dlog&amp;widgetTypeCall=true&amp;directAccess=false</t>
  </si>
  <si>
    <t>TopNews</t>
  </si>
  <si>
    <t>[속보] 방송 3사(KBS·MBC·SBS) 출구조사 결과 더불어민주당 이재명 51.7%, 국민의힘 39.3%, 개혁신당 이준석 7.7%, 민주노동당 권영국 1.3%</t>
  </si>
  <si>
    <t>https://blog.naver.com/PostView.naver?blogId=gotopnews&amp;logNo=223887721461&amp;redirect=Dlog&amp;widgetTypeCall=true&amp;directAccess=false</t>
  </si>
  <si>
    <t>나비꽃방</t>
  </si>
  <si>
    <t>대통령 선거: 이재명 후보 당선 확실시, 3년 만의 정권 교체 성공!</t>
  </si>
  <si>
    <t>https://blog.naver.com/PostView.naver?blogId=nabiflowerhouse&amp;logNo=223887720410&amp;redirect=Dlog&amp;widgetTypeCall=true&amp;directAccess=false</t>
  </si>
  <si>
    <t>더뉴스메디칼</t>
  </si>
  <si>
    <t>국민의 선택! 3년 만에 정권 교체 확실, 이재명 대통령, 어떤 변화가 찾아올까?</t>
  </si>
  <si>
    <t>https://blog.naver.com/PostView.naver?blogId=thenewsmedical&amp;logNo=223887717262&amp;redirect=Dlog&amp;widgetTypeCall=true&amp;directAccess=false</t>
  </si>
  <si>
    <t>뉴스체인지</t>
  </si>
  <si>
    <t>제21대 대통령 선거···민주당 이재명 후보 ‘당선 확실’</t>
  </si>
  <si>
    <t>https://blog.naver.com/PostView.naver?blogId=newsc24&amp;logNo=223887714463&amp;redirect=Dlog&amp;widgetTypeCall=true&amp;directAccess=false</t>
  </si>
  <si>
    <t>Babesquirrel</t>
  </si>
  <si>
    <t>Step 2</t>
  </si>
  <si>
    <t>https://blog.naver.com/PostView.naver?blogId=babesquirrel_&amp;logNo=223887713923&amp;redirect=Dlog&amp;widgetTypeCall=true&amp;directAccess=false</t>
  </si>
  <si>
    <t>호호할아버지몬스터</t>
  </si>
  <si>
    <t>새로운 정부의 출발을 축하하며</t>
  </si>
  <si>
    <t>https://blog.naver.com/PostView.naver?blogId=loading527&amp;logNo=223887710429&amp;redirect=Dlog&amp;widgetTypeCall=true&amp;directAccess=false</t>
  </si>
  <si>
    <t>놀면 뭐하니?' 박진주·이미주 하차 후 첫 녹화…새롭게 꾸려진 4인 체제, 어색함 속 웃음 찾기</t>
  </si>
  <si>
    <t>https://blog.naver.com/PostView.naver?blogId=apahghfej&amp;logNo=223887704664&amp;redirect=Dlog&amp;widgetTypeCall=true&amp;directAccess=false</t>
  </si>
  <si>
    <t>[속보] 이재명 당선 확실...“국민의 위대한 결정에 경의 표한다”</t>
  </si>
  <si>
    <t>https://blog.naver.com/PostView.naver?blogId=etisot&amp;logNo=223887700326&amp;redirect=Dlog&amp;widgetTypeCall=true&amp;directAccess=false</t>
  </si>
  <si>
    <t>이재명, 대통령 당선 확실 "국민의 위대한 결정"</t>
  </si>
  <si>
    <t>https://blog.naver.com/PostView.naver?blogId=w7445000&amp;logNo=223887698157&amp;redirect=Dlog&amp;widgetTypeCall=true&amp;directAccess=false</t>
  </si>
  <si>
    <t>양상현 기자</t>
  </si>
  <si>
    <t>이재명, 출구조사서 수도권·충청·호남 우세…TK·PK선 김문수 앞서</t>
  </si>
  <si>
    <t>https://blog.naver.com/PostView.naver?blogId=kunitachii&amp;logNo=223887694740&amp;redirect=Dlog&amp;widgetTypeCall=true&amp;directAccess=false</t>
  </si>
  <si>
    <t>‘야인시대’ 이재포, 사기 혐의로 벌금형…한 시대 풍미한 배우의 씁쓸한 근황</t>
  </si>
  <si>
    <t>https://blog.naver.com/PostView.naver?blogId=apahghfej&amp;logNo=223887694988&amp;redirect=Dlog&amp;widgetTypeCall=true&amp;directAccess=false</t>
  </si>
  <si>
    <t>돼지꼬리땡땡</t>
  </si>
  <si>
    <t>더불어민주당 김민석 프로필 나이 학력 초대 총리</t>
  </si>
  <si>
    <t>https://blog.naver.com/PostView.naver?blogId=pyeong_ganghyo&amp;logNo=223887694787&amp;redirect=Dlog&amp;widgetTypeCall=true&amp;directAccess=false</t>
  </si>
  <si>
    <t>개표 40% 돌파하며 MBC "이재명 당선 확정" 발표…KBS·SBS도 동참</t>
  </si>
  <si>
    <t>https://blog.naver.com/PostView.naver?blogId=hoa_nomics&amp;logNo=223887692105&amp;redirect=Dlog&amp;widgetTypeCall=true&amp;directAccess=false</t>
  </si>
  <si>
    <t>이진숙 방통위원장 임기 언제까지? 대통령도 해임 할수 없는 이유</t>
  </si>
  <si>
    <t>https://blog.naver.com/PostView.naver?blogId=jieum2&amp;logNo=223896280776&amp;redirect=Dlog&amp;widgetTypeCall=true&amp;directAccess=false</t>
  </si>
  <si>
    <t>Joy</t>
  </si>
  <si>
    <t>250611_배구의 꿈</t>
  </si>
  <si>
    <t>https://blog.naver.com/PostView.naver?blogId=joyleeom&amp;logNo=223896274017&amp;redirect=Dlog&amp;widgetTypeCall=true&amp;directAccess=false</t>
  </si>
  <si>
    <t>G군2세</t>
  </si>
  <si>
    <t>尹, 무죄 100% 확신…김건희는 좌절 상태”</t>
  </si>
  <si>
    <t>https://blog.naver.com/PostView.naver?blogId=wishut3281&amp;logNo=223896193684&amp;redirect=Dlog&amp;widgetTypeCall=true&amp;directAccess=false</t>
  </si>
  <si>
    <t>안유진파. 안유진의 모든것</t>
  </si>
  <si>
    <t>https://blog.naver.com/PostView.naver?blogId=neosea_com&amp;logNo=223896179844&amp;redirect=Dlog&amp;widgetTypeCall=true&amp;directAccess=false</t>
  </si>
  <si>
    <t>기록하는여자</t>
  </si>
  <si>
    <t>쓰담쓰담 6일차 내가 드라마의 주인공</t>
  </si>
  <si>
    <t>https://blog.naver.com/PostView.naver?blogId=woman_writing&amp;logNo=223896162253&amp;redirect=Dlog&amp;widgetTypeCall=true&amp;directAccess=false</t>
  </si>
  <si>
    <t>이재명 암살하려 했다... 극우 유튜브 실토... 미국산 특수총 구매 시도... 경찰은 듣고서도 묵인...</t>
  </si>
  <si>
    <t>https://blog.naver.com/PostView.naver?blogId=sabbaton&amp;logNo=223896121813&amp;redirect=Dlog&amp;widgetTypeCall=true&amp;directAccess=false</t>
  </si>
  <si>
    <t>혜천법사 송준섭기자</t>
  </si>
  <si>
    <t>“팔팔하니까 팔순이다”“어르신들의 80년 삶을 기억하고 존중하는 특별한 하루”</t>
  </si>
  <si>
    <t>https://blog.naver.com/PostView.naver?blogId=cmcsong&amp;logNo=223896066702&amp;redirect=Dlog&amp;widgetTypeCall=true&amp;directAccess=false</t>
  </si>
  <si>
    <t>태양을 삼킨 여자 3회, 이루다 박서연에게 폭행당하다</t>
  </si>
  <si>
    <t>https://blog.naver.com/PostView.naver?blogId=gktkrk&amp;logNo=223896046157&amp;redirect=Dlog&amp;widgetTypeCall=true&amp;directAccess=false</t>
  </si>
  <si>
    <t>기회</t>
  </si>
  <si>
    <t>이재명 경제정책에 반응하는 시장, 코스피 2900돌파! 전세계 1위 상승폭!  "제가 칼춤 춰볼까요?" 경고에 내란위원들 식은땀! 김병기 의원직 걸었다. 역풍맞은 국정원 적폐세력!</t>
  </si>
  <si>
    <t>https://blog.naver.com/PostView.naver?blogId=wouk0691316&amp;logNo=223895995765&amp;redirect=Dlog&amp;widgetTypeCall=true&amp;directAccess=false</t>
  </si>
  <si>
    <t>한국공정일보</t>
  </si>
  <si>
    <t>(재)마포문화재단 제8대 서유석 이사장 취임</t>
  </si>
  <si>
    <t>https://blog.naver.com/PostView.naver?blogId=ceo009&amp;logNo=223895976215&amp;redirect=Dlog&amp;widgetTypeCall=true&amp;directAccess=false</t>
  </si>
  <si>
    <t>나미연</t>
  </si>
  <si>
    <t>정치적 의도로 활용된 반페미니즘...실제 통계 성평등한 국가 행복도 높다</t>
  </si>
  <si>
    <t>https://blog.naver.com/PostView.naver?blogId=110011na&amp;logNo=223895955462&amp;redirect=Dlog&amp;widgetTypeCall=true&amp;directAccess=false</t>
  </si>
  <si>
    <t>지금 여의도국회의사당대로엔 경찰버스100여대 불법주차 중-尹정부 관료들 국무회의에서 3특검법에 반대-李 충격반응-좌파언론MBC문화방송까지 리재명때리기-판사는 니 기분대로하는게 아냐</t>
  </si>
  <si>
    <t>https://blog.naver.com/PostView.naver?blogId=danbeenongbu&amp;logNo=223895934455&amp;redirect=Dlog&amp;widgetTypeCall=true&amp;directAccess=false</t>
  </si>
  <si>
    <t>코티비</t>
  </si>
  <si>
    <t>‘청소년 인문융합 진로 콘서트’ 전주 우석고에서 열려</t>
  </si>
  <si>
    <t>https://blog.naver.com/PostView.naver?blogId=kormadangnews&amp;logNo=223895922388&amp;redirect=Dlog&amp;widgetTypeCall=true&amp;directAccess=false</t>
  </si>
  <si>
    <t>배우정태석</t>
  </si>
  <si>
    <t>2023 MBC드라마 연인- 사내 역</t>
  </si>
  <si>
    <t>https://blog.naver.com/PostView.naver?blogId=ykjts8145&amp;logNo=223895922155&amp;redirect=Dlog&amp;widgetTypeCall=true&amp;directAccess=false</t>
  </si>
  <si>
    <t>“1세대 톱모델의 우아한 퇴장” 이희재, 담도암 투병 끝 별세…패션계 애도 물결</t>
  </si>
  <si>
    <t>https://blog.naver.com/PostView.naver?blogId=apahghfej&amp;logNo=223895866390&amp;redirect=Dlog&amp;widgetTypeCall=true&amp;directAccess=false</t>
  </si>
  <si>
    <t>또봄</t>
  </si>
  <si>
    <t>수교</t>
  </si>
  <si>
    <t>매드포갈릭 패밀리레스토랑 인기 추천 세트 메뉴 추천</t>
  </si>
  <si>
    <t>https://blog.naver.com/PostView.naver?blogId=sookyoa&amp;logNo=223884663358&amp;redirect=Dlog&amp;widgetTypeCall=true&amp;directAccess=false</t>
  </si>
  <si>
    <t>래미</t>
  </si>
  <si>
    <t>[덴버 북클럽] 고통 구경하는 사회 - 김인정</t>
  </si>
  <si>
    <t>https://blog.naver.com/PostView.naver?blogId=jjeh99&amp;logNo=223895818403&amp;redirect=Dlog&amp;widgetTypeCall=true&amp;directAccess=false</t>
  </si>
  <si>
    <t>MBC 너마저 왜이러니..언론개혁이 정말 절실하다</t>
  </si>
  <si>
    <t>https://blog.naver.com/PostView.naver?blogId=kyh070181&amp;logNo=223895792464&amp;redirect=Dlog&amp;widgetTypeCall=true&amp;directAccess=false</t>
  </si>
  <si>
    <t>연두</t>
  </si>
  <si>
    <t>원내대표 : 김병기와 서영교</t>
  </si>
  <si>
    <t>https://blog.naver.com/PostView.naver?blogId=yaundoo&amp;logNo=223895787873&amp;redirect=Dlog&amp;widgetTypeCall=true&amp;directAccess=false</t>
  </si>
  <si>
    <t>김가중</t>
  </si>
  <si>
    <t>(재)마포문화재단 제8대 서유석 이사장 취임  (재)마포문화재단 제8대 이사장에 포크가수 1세대 서유석 임용 (재)마포문화재단 제8대 이사장에 서유석(80, 사진)이 선출되었다.</t>
  </si>
  <si>
    <t>https://blog.naver.com/PostView.naver?blogId=kimjajoong&amp;logNo=223895743314&amp;redirect=Dlog&amp;widgetTypeCall=true&amp;directAccess=false</t>
  </si>
  <si>
    <t>토바오</t>
  </si>
  <si>
    <t>그럴 만한 사정이 있었다.</t>
  </si>
  <si>
    <t>https://blog.naver.com/PostView.naver?blogId=sisi2621&amp;logNo=223895711818&amp;redirect=Dlog&amp;widgetTypeCall=true&amp;directAccess=false</t>
  </si>
  <si>
    <t>코코야자</t>
  </si>
  <si>
    <t>[펌] 확실히 탄핵 정국을 거치면서 시민들 수준이 한 층 더 성장한 듯</t>
  </si>
  <si>
    <t>https://blog.naver.com/PostView.naver?blogId=sorrjj&amp;logNo=223895684026&amp;redirect=Dlog&amp;widgetTypeCall=true&amp;directAccess=false</t>
  </si>
  <si>
    <t>가로세로연구소 대표이자 전 MBC 기자, 김세의 프로필!(고향, 학력, 가족관계, 논란 등)(2025년 최신판!)</t>
  </si>
  <si>
    <t>https://blog.naver.com/PostView.naver?blogId=englishmaninty&amp;logNo=223895656182&amp;redirect=Dlog&amp;widgetTypeCall=true&amp;directAccess=false</t>
  </si>
  <si>
    <t>혼혈왕자</t>
  </si>
  <si>
    <t>신라 선덕여왕</t>
  </si>
  <si>
    <t>https://blog.naver.com/PostView.naver?blogId=jejus898&amp;logNo=223895622505&amp;redirect=Dlog&amp;widgetTypeCall=true&amp;directAccess=false</t>
  </si>
  <si>
    <t>”이재명도 범죄자“ 목청 높이다...나는 누구?</t>
  </si>
  <si>
    <t>https://blog.naver.com/PostView.naver?blogId=syowoo&amp;logNo=223895598705&amp;redirect=Dlog&amp;widgetTypeCall=true&amp;directAccess=false</t>
  </si>
  <si>
    <t>김병기 의원님 아들분 신원노출로 국정원 사표 제출?</t>
  </si>
  <si>
    <t>https://blog.naver.com/PostView.naver?blogId=kyh070181&amp;logNo=223895587618&amp;redirect=Dlog&amp;widgetTypeCall=true&amp;directAccess=false</t>
  </si>
  <si>
    <t>대구경북 부동산 투자 어떻게 하나?... 내달 4,5일 '부동산 머니쇼'</t>
  </si>
  <si>
    <t>https://blog.naver.com/PostView.naver?blogId=bilsabu&amp;logNo=223895557193&amp;redirect=Dlog&amp;widgetTypeCall=true&amp;directAccess=false</t>
  </si>
  <si>
    <t>날다</t>
  </si>
  <si>
    <t>2025-06-11, 김병기 의원 아들 취업 이슈에 대한 나의 생각.</t>
  </si>
  <si>
    <t>https://blog.naver.com/PostView.naver?blogId=aboutpc&amp;logNo=223895556566&amp;redirect=Dlog&amp;widgetTypeCall=true&amp;directAccess=false</t>
  </si>
  <si>
    <t>carpe diem</t>
  </si>
  <si>
    <t>[박진영의 드라마] 사랑하는 은동아, 화양연화, 유미의 세포들 2, 미지의 서울</t>
  </si>
  <si>
    <t>https://blog.naver.com/PostView.naver?blogId=silver3358&amp;logNo=223895547957&amp;redirect=Dlog&amp;widgetTypeCall=true&amp;directAccess=false</t>
  </si>
  <si>
    <t>김혜경 여사 밀친 기자 관련 국회영상 기자단 입장문</t>
  </si>
  <si>
    <t>https://blog.naver.com/PostView.naver?blogId=kyh070181&amp;logNo=223895537145&amp;redirect=Dlog&amp;widgetTypeCall=true&amp;directAccess=false</t>
  </si>
  <si>
    <t>김병기 "내 아들, 장애 있는데 국정원 합격?…맞다면 의원직 사퇴, 아니면 법적조치"</t>
  </si>
  <si>
    <t>https://blog.naver.com/PostView.naver?blogId=solarplane&amp;logNo=223895478819&amp;redirect=Dlog&amp;widgetTypeCall=true&amp;directAccess=false</t>
  </si>
  <si>
    <t>페이러빗</t>
  </si>
  <si>
    <t>상암동 맛집 디지털미디어시티역 고기집 찾는다면, 무한리필808 후기</t>
  </si>
  <si>
    <t>https://blog.naver.com/PostView.naver?blogId=failoveit&amp;logNo=223895500670&amp;redirect=Dlog&amp;widgetTypeCall=true&amp;directAccess=false</t>
  </si>
  <si>
    <t>금동이</t>
  </si>
  <si>
    <t>[장기이식] 장기기증의 오해와 진실...장기기증 결사 반대!!</t>
  </si>
  <si>
    <t>https://blog.naver.com/PostView.naver?blogId=croaton6219&amp;logNo=223895493946&amp;redirect=Dlog&amp;widgetTypeCall=true&amp;directAccess=false</t>
  </si>
  <si>
    <t>맛뷰</t>
  </si>
  <si>
    <t>우리금융캐피탈 PBA LPBA 챔피언십 2025 6월 15일 시즌개막 일정 참가팀 참가선수 명단</t>
  </si>
  <si>
    <t>https://blog.naver.com/PostView.naver?blogId=neo2538&amp;logNo=223895478011&amp;redirect=Dlog&amp;widgetTypeCall=true&amp;directAccess=false</t>
  </si>
  <si>
    <t>‘공천 개입 의혹’ 김건희 측 “혐의 성립 안 돼”‥검찰에 의견서</t>
  </si>
  <si>
    <t>https://blog.naver.com/PostView.naver?blogId=umbrae_scriptor&amp;logNo=223895441699&amp;redirect=Dlog&amp;widgetTypeCall=true&amp;directAccess=false</t>
  </si>
  <si>
    <t>홀리맘</t>
  </si>
  <si>
    <t>DSR 3단계 전에 1만7000가구 쏟아지는 이유</t>
  </si>
  <si>
    <t>https://blog.naver.com/PostView.naver?blogId=90kde&amp;logNo=223895439298&amp;redirect=Dlog&amp;widgetTypeCall=true&amp;directAccess=false</t>
  </si>
  <si>
    <t>30살 사회초년생</t>
  </si>
  <si>
    <t>오늘의 사회 뉴스, 내년 도급제 노동자에 최저임금 적용 안한다.. "별도기구 논의 필요"</t>
  </si>
  <si>
    <t>https://blog.naver.com/PostView.naver?blogId=30sblog&amp;logNo=223895430577&amp;redirect=Dlog&amp;widgetTypeCall=true&amp;directAccess=false</t>
  </si>
  <si>
    <t>평등</t>
  </si>
  <si>
    <t>[표지동판] 서울밤풍경 (상암문화광장)</t>
  </si>
  <si>
    <t>https://blog.naver.com/PostView.naver?blogId=duideng&amp;logNo=223895421678&amp;redirect=Dlog&amp;widgetTypeCall=true&amp;directAccess=false</t>
  </si>
  <si>
    <t>soleun</t>
  </si>
  <si>
    <t>의심하는 순간 사랑은 끝났다</t>
  </si>
  <si>
    <t>https://blog.naver.com/PostView.naver?blogId=imhope_&amp;logNo=223895420541&amp;redirect=Dlog&amp;widgetTypeCall=true&amp;directAccess=false</t>
  </si>
  <si>
    <t>PDC HANEUL</t>
  </si>
  <si>
    <t>Elvica 백산</t>
  </si>
  <si>
    <t>사연- 누구나 있지만 아무도 모르는!</t>
  </si>
  <si>
    <t>https://blog.naver.com/PostView.naver?blogId=elvica&amp;logNo=223894339606&amp;redirect=Dlog&amp;widgetTypeCall=true&amp;directAccess=false</t>
  </si>
  <si>
    <t>해달이네</t>
  </si>
  <si>
    <t>[경기 광주] 곤지암토담 : 경기 광주 맛집 / 모듬장작구이 소개 및 후기</t>
  </si>
  <si>
    <t>https://blog.naver.com/PostView.naver?blogId=modestsoul&amp;logNo=223895055383&amp;redirect=Dlog&amp;widgetTypeCall=true&amp;directAccess=false</t>
  </si>
  <si>
    <t>토미 영어</t>
  </si>
  <si>
    <t>Tving and Wavve merger gets green light with conditions</t>
  </si>
  <si>
    <t>https://blog.naver.com/PostView.naver?blogId=tommy1004_&amp;logNo=223895381503&amp;redirect=Dlog&amp;widgetTypeCall=true&amp;directAccess=false</t>
  </si>
  <si>
    <t>이북나라</t>
  </si>
  <si>
    <t>MBC 2025 ENTERTAINMENT FORMAT</t>
  </si>
  <si>
    <t>https://blog.naver.com/PostView.naver?blogId=ebooknara&amp;logNo=223894794824&amp;redirect=Dlog&amp;widgetTypeCall=true&amp;directAccess=false</t>
  </si>
  <si>
    <t>꼬두매</t>
  </si>
  <si>
    <t>방송예능프로 6월 브랜드순위 1위 나혼자산다,2위 런닝맨,3위 미운 우리새끼</t>
  </si>
  <si>
    <t>https://blog.naver.com/PostView.naver?blogId=wjdwlrtjd&amp;logNo=223895331361&amp;redirect=Dlog&amp;widgetTypeCall=true&amp;directAccess=false</t>
  </si>
  <si>
    <t>땅꾼햄쥐</t>
  </si>
  <si>
    <t>MBCNEWS ~ 촛불행동tv님의 오늘자 이재명, 윤석열 소식. 내란 종식, 적폐 청산 속도 낸다.</t>
  </si>
  <si>
    <t>https://blog.naver.com/PostView.naver?blogId=wishut3281&amp;logNo=223895311503&amp;redirect=Dlog&amp;widgetTypeCall=true&amp;directAccess=false</t>
  </si>
  <si>
    <t>선넘음</t>
  </si>
  <si>
    <t>대운을 잡아라 손창민 하차 드라마 프로필 갤러리 MBTI</t>
  </si>
  <si>
    <t>https://blog.naver.com/PostView.naver?blogId=lucky1977&amp;logNo=223894516737&amp;redirect=Dlog&amp;widgetTypeCall=true&amp;directAccess=false</t>
  </si>
  <si>
    <t>김병기, 위성락 보도에 대하여</t>
  </si>
  <si>
    <t>https://blog.naver.com/PostView.naver?blogId=mrsanahi&amp;logNo=223895301491&amp;redirect=Dlog&amp;widgetTypeCall=true&amp;directAccess=false</t>
  </si>
  <si>
    <t>돈 많은 재벌 2세랑 결혼 했다가 "처참하게 이혼 한 후 다시 새출발 한다는" 여배우</t>
  </si>
  <si>
    <t>https://blog.naver.com/PostView.naver?blogId=raspberry7322&amp;logNo=223895283481&amp;redirect=Dlog&amp;widgetTypeCall=true&amp;directAccess=false</t>
  </si>
  <si>
    <t>초긍</t>
  </si>
  <si>
    <t>꿀잠 (#수련)</t>
  </si>
  <si>
    <t>https://blog.naver.com/PostView.naver?blogId=rhlfhqgla119&amp;logNo=223895278254&amp;redirect=Dlog&amp;widgetTypeCall=true&amp;directAccess=false</t>
  </si>
  <si>
    <t>Cindyhappy</t>
  </si>
  <si>
    <t>씨네소울</t>
  </si>
  <si>
    <t>찐짱</t>
  </si>
  <si>
    <t>엄마를 위한 육아팁 추천글</t>
  </si>
  <si>
    <t>https://blog.naver.com/PostView.naver?blogId=jjinunii&amp;logNo=223895247415&amp;redirect=Dlog&amp;widgetTypeCall=true&amp;directAccess=false</t>
  </si>
  <si>
    <t>돌아온 탕자</t>
  </si>
  <si>
    <t>🌅 2025년 6월 11일(수) | 오늘의 주요 뉴스</t>
  </si>
  <si>
    <t>https://blog.naver.com/PostView.naver?blogId=back2grace&amp;logNo=223895097911&amp;redirect=Dlog&amp;widgetTypeCall=true&amp;directAccess=false</t>
  </si>
  <si>
    <t>emotalks</t>
  </si>
  <si>
    <t>반 년이 지났다</t>
  </si>
  <si>
    <t>https://blog.naver.com/PostView.naver?blogId=emotalks&amp;logNo=223895184485&amp;redirect=Dlog&amp;widgetTypeCall=true&amp;directAccess=false</t>
  </si>
  <si>
    <t>booh0309</t>
  </si>
  <si>
    <t>베를린발 런던행 유럽여행 (1) - 유럽으로의 첫걸음, 유럽에서의 첫날</t>
  </si>
  <si>
    <t>https://blog.naver.com/PostView.naver?blogId=booh0309&amp;logNo=223895142048&amp;redirect=Dlog&amp;widgetTypeCall=true&amp;directAccess=false</t>
  </si>
  <si>
    <t>ol맘</t>
  </si>
  <si>
    <t>다다</t>
  </si>
  <si>
    <t>수술 상담과 일번가 포차 제육볶음, MBC발명왕 도너츠</t>
  </si>
  <si>
    <t>https://blog.naver.com/PostView.naver?blogId=dejh2&amp;logNo=223895112996&amp;redirect=Dlog&amp;widgetTypeCall=true&amp;directAccess=false</t>
  </si>
  <si>
    <t>루지</t>
  </si>
  <si>
    <t>JONG GANG 🌱🪨| mbc천호아카데미컴퓨터학원</t>
  </si>
  <si>
    <t>https://blog.naver.com/PostView.naver?blogId=jiiyeon_17&amp;logNo=223895107365&amp;redirect=Dlog&amp;widgetTypeCall=true&amp;directAccess=false</t>
  </si>
  <si>
    <t>이주빈, 키이스트와 전속계약 체결…차승원·김희애와 같은 소속사에</t>
  </si>
  <si>
    <t>https://blog.naver.com/PostView.naver?blogId=tmrlahxhdbal&amp;logNo=223895092070&amp;redirect=Dlog&amp;widgetTypeCall=true&amp;directAccess=false</t>
  </si>
  <si>
    <t>쑥프림</t>
  </si>
  <si>
    <t>돼단하다 그게나야 🤭🐷</t>
  </si>
  <si>
    <t>https://blog.naver.com/PostView.naver?blogId=sookpreme&amp;logNo=223895036071&amp;redirect=Dlog&amp;widgetTypeCall=true&amp;directAccess=false</t>
  </si>
  <si>
    <t>kingkong 독서 일상</t>
  </si>
  <si>
    <t>남지도서관, 지역인문학센터-맥주로 떠나는 인문학 참가자 모집</t>
  </si>
  <si>
    <t>https://blog.naver.com/PostView.naver?blogId=king77jung&amp;logNo=223895021929&amp;redirect=Dlog&amp;widgetTypeCall=true&amp;directAccess=false</t>
  </si>
  <si>
    <t>홍익</t>
  </si>
  <si>
    <t>인사가 만사라지만</t>
  </si>
  <si>
    <t>https://blog.naver.com/PostView.naver?blogId=hongworld&amp;logNo=223895015796&amp;redirect=Dlog&amp;widgetTypeCall=true&amp;directAccess=false</t>
  </si>
  <si>
    <t>유미</t>
  </si>
  <si>
    <t>미세스 다웃파이어 | 연기는 건조한 핫도그처럼</t>
  </si>
  <si>
    <t>https://blog.naver.com/PostView.naver?blogId=realyouress&amp;logNo=223894997289&amp;redirect=Dlog&amp;widgetTypeCall=true&amp;directAccess=false</t>
  </si>
  <si>
    <t>Ra</t>
  </si>
  <si>
    <t>수색역에서 상암동 갈 때? 수색 지하보도를 통해 땡볕 탈출! (보플 상암절)</t>
  </si>
  <si>
    <t>https://blog.naver.com/PostView.naver?blogId=kimraaaaaaa&amp;logNo=223894976510&amp;redirect=Dlog&amp;widgetTypeCall=true&amp;directAccess=false</t>
  </si>
  <si>
    <t>윤반</t>
  </si>
  <si>
    <t>충주 치킨 맛집 중앙탑면막국수 비빔막국수 메밀치킨 후기</t>
  </si>
  <si>
    <t>https://blog.naver.com/PostView.naver?blogId=charming323&amp;logNo=223894976306&amp;redirect=Dlog&amp;widgetTypeCall=true&amp;directAccess=false</t>
  </si>
  <si>
    <t>럭키지소로</t>
  </si>
  <si>
    <t>이진숙 방통위원장의 카드사랑</t>
  </si>
  <si>
    <t>https://blog.naver.com/PostView.naver?blogId=zeesoro&amp;logNo=223894947150&amp;redirect=Dlog&amp;widgetTypeCall=true&amp;directAccess=false</t>
  </si>
  <si>
    <t>은경</t>
  </si>
  <si>
    <t>넷플릭스, 티빙, 웨이브 드라마 - 미지의 서울, 굿보이, 노무사 노무진</t>
  </si>
  <si>
    <t>https://blog.naver.com/PostView.naver?blogId=gengssi&amp;logNo=223894929188&amp;redirect=Dlog&amp;widgetTypeCall=true&amp;directAccess=false</t>
  </si>
  <si>
    <t>함영민</t>
  </si>
  <si>
    <t>유플러스티비 프리미엄 환승구독2 U+TV로 8개 방송사 VOD 마음껏시청하기</t>
  </si>
  <si>
    <t>https://blog.naver.com/PostView.naver?blogId=dicagallery&amp;logNo=223894913760&amp;redirect=Dlog&amp;widgetTypeCall=true&amp;directAccess=false</t>
  </si>
  <si>
    <t>&lt;국내 정치/경제&gt; 이재명 정부, 용산 청와대 복귀 계획 논의… 지하 벙커 복구와 관저 이사 쟁점</t>
  </si>
  <si>
    <t>https://blog.naver.com/PostView.naver?blogId=nicodemus4620&amp;logNo=223894886892&amp;redirect=Dlog&amp;widgetTypeCall=true&amp;directAccess=false</t>
  </si>
  <si>
    <t>태양을 삼킨 여자 2회, 이루다와 박서연의 대결</t>
  </si>
  <si>
    <t>https://blog.naver.com/PostView.naver?blogId=gktkrk&amp;logNo=223894880103&amp;redirect=Dlog&amp;widgetTypeCall=true&amp;directAccess=false</t>
  </si>
  <si>
    <t>슬시</t>
  </si>
  <si>
    <t>2025년 6월 첫째 주 평일 일기 | 비슷하지만 완전히 같지는 않은 날들</t>
  </si>
  <si>
    <t>https://blog.naver.com/PostView.naver?blogId=kim__winter&amp;logNo=223894869000&amp;redirect=Dlog&amp;widgetTypeCall=true&amp;directAccess=false</t>
  </si>
  <si>
    <t>&lt;국내 정치/경제&gt; 대장동 재판 무기한 연기… 이재명 대통령 불소추특권 논란 격화</t>
  </si>
  <si>
    <t>https://blog.naver.com/PostView.naver?blogId=nicodemus4620&amp;logNo=223894866290&amp;redirect=Dlog&amp;widgetTypeCall=true&amp;directAccess=false</t>
  </si>
  <si>
    <t>안나 카레먹나</t>
  </si>
  <si>
    <t>쿠웨이트전 경기시간과 중계 보는곳, 선발 명단 라인업 누구?</t>
  </si>
  <si>
    <t>https://blog.naver.com/PostView.naver?blogId=rusk7&amp;logNo=223894832771&amp;redirect=Dlog&amp;widgetTypeCall=true&amp;directAccess=false</t>
  </si>
  <si>
    <t>yunseulmoroll</t>
  </si>
  <si>
    <t>1일차 - 10월 11일</t>
  </si>
  <si>
    <t>https://blog.naver.com/PostView.naver?blogId=yunseulmoroll&amp;logNo=223894823177&amp;redirect=Dlog&amp;widgetTypeCall=true&amp;directAccess=false</t>
  </si>
  <si>
    <t>2025년 06월 10일 대한민국 쿠웨이트 한국 축구 명단 중계 시간 라인업</t>
  </si>
  <si>
    <t>https://blog.naver.com/PostView.naver?blogId=richman_v&amp;logNo=223894810889&amp;redirect=Dlog&amp;widgetTypeCall=true&amp;directAccess=false</t>
  </si>
  <si>
    <t>MBC 히든아이' 보살님들과 상상 성관계 임신시키려 "박하선 경악"</t>
  </si>
  <si>
    <t>https://blog.naver.com/PostView.naver?blogId=joayozzang&amp;logNo=223894799190&amp;redirect=Dlog&amp;widgetTypeCall=true&amp;directAccess=false</t>
  </si>
  <si>
    <t>오늘N 김치공장, 포장김치, 포기김치 주문</t>
  </si>
  <si>
    <t>https://blog.naver.com/PostView.naver?blogId=naza123&amp;logNo=223894731161&amp;redirect=Dlog&amp;widgetTypeCall=true&amp;directAccess=false</t>
  </si>
  <si>
    <t>Michael Che</t>
  </si>
  <si>
    <t>김병기 의원 아들 인사청탁??? 역차별(부당한 불합격)에 대한 항의 !!</t>
  </si>
  <si>
    <t>https://blog.naver.com/PostView.naver?blogId=michael-che&amp;logNo=223894762436&amp;redirect=Dlog&amp;widgetTypeCall=true&amp;directAccess=false</t>
  </si>
  <si>
    <t>기록의 틈</t>
  </si>
  <si>
    <t>[책리뷰] "이진우의 다시 만난 경제" - 경제를 다시 이해하게 되는 시간</t>
  </si>
  <si>
    <t>https://blog.naver.com/PostView.naver?blogId=younjee6&amp;logNo=223894760783&amp;redirect=Dlog&amp;widgetTypeCall=true&amp;directAccess=false</t>
  </si>
  <si>
    <t>결혼지옥 알코올 중독 아빠 아기가 술 마시는데도 몰라</t>
  </si>
  <si>
    <t>https://blog.naver.com/PostView.naver?blogId=odmwd2&amp;logNo=223894714363&amp;redirect=Dlog&amp;widgetTypeCall=true&amp;directAccess=false</t>
  </si>
  <si>
    <t>김덮밥</t>
  </si>
  <si>
    <t>이희재 다이어트' 주역, 모델계 대모 '이희재'씨 향년 73세로 별세</t>
  </si>
  <si>
    <t>https://blog.naver.com/PostView.naver?blogId=koolap&amp;logNo=223894700759&amp;redirect=Dlog&amp;widgetTypeCall=true&amp;directAccess=false</t>
  </si>
  <si>
    <t>edunalist</t>
  </si>
  <si>
    <t>jtbc는 윤석열 정부와 전쟁을 치르고 민주당에도 비판적이다</t>
  </si>
  <si>
    <t>https://blog.naver.com/PostView.naver?blogId=qkrgydud123&amp;logNo=223894689101&amp;redirect=Dlog&amp;widgetTypeCall=true&amp;directAccess=false</t>
  </si>
  <si>
    <t>김민석 국무총리 후보자, 일본 고노다로 통화! 이기림 기자 미국 입국?</t>
  </si>
  <si>
    <t>https://blog.naver.com/PostView.naver?blogId=kimtaku999&amp;logNo=223894680414&amp;redirect=Dlog&amp;widgetTypeCall=true&amp;directAccess=false</t>
  </si>
  <si>
    <t>1세대 패션모델'·'이희재 다이어트' 신드롬…이희재씨 별세</t>
  </si>
  <si>
    <t>https://blog.naver.com/PostView.naver?blogId=yfish66&amp;logNo=223894674568&amp;redirect=Dlog&amp;widgetTypeCall=true&amp;directAccess=false</t>
  </si>
  <si>
    <t>새터 부동산</t>
  </si>
  <si>
    <t>김병기 국정원 부인 아들 취업청탁 녹취록 공개, 여당 원내대표 가능할까</t>
  </si>
  <si>
    <t>https://blog.naver.com/PostView.naver?blogId=inos2002&amp;logNo=223894663712&amp;redirect=Dlog&amp;widgetTypeCall=true&amp;directAccess=false</t>
  </si>
  <si>
    <t>[오늘 이 뉴스] 국정원 전화한 '김병기 부인', "제 아들이.." 공개된 녹취 (2025.06.10/MBC뉴스)</t>
  </si>
  <si>
    <t>https://blog.naver.com/PostView.naver?blogId=finch1234&amp;logNo=223894646026&amp;redirect=Dlog&amp;widgetTypeCall=true&amp;directAccess=false</t>
  </si>
  <si>
    <t>춘천사는 서비</t>
  </si>
  <si>
    <t>춘천의 겨울 풍경</t>
  </si>
  <si>
    <t>https://blog.naver.com/PostView.naver?blogId=cc4zin&amp;logNo=223894636317&amp;redirect=Dlog&amp;widgetTypeCall=true&amp;directAccess=false</t>
  </si>
  <si>
    <t>“우리 공주 축하해” 김희선 생일파티, 티아라 쓴 여왕의 귀환</t>
  </si>
  <si>
    <t>https://blog.naver.com/PostView.naver?blogId=apahghfej&amp;logNo=223894623355&amp;redirect=Dlog&amp;widgetTypeCall=true&amp;directAccess=false</t>
  </si>
  <si>
    <t>이재명 대통령, 내란·김건희·채상병 ‘3대 특검법’ 국무회의 의결[2025년 6월 10일] - 제주 MBC NEWS</t>
  </si>
  <si>
    <t>https://blog.naver.com/PostView.naver?blogId=testdirt&amp;logNo=223894606143&amp;redirect=Dlog&amp;widgetTypeCall=true&amp;directAccess=false</t>
  </si>
  <si>
    <t>jude1403</t>
  </si>
  <si>
    <t>남궁민이 배우가 된 진짜 이유? 뜻밖의 순간, 故 최진실이 있었다</t>
  </si>
  <si>
    <t>https://blog.naver.com/PostView.naver?blogId=jude1403&amp;logNo=223894602666&amp;redirect=Dlog&amp;widgetTypeCall=true&amp;directAccess=false</t>
  </si>
  <si>
    <t>박나래의 슬픈 비보와 가족의 사랑</t>
  </si>
  <si>
    <t>https://blog.naver.com/PostView.naver?blogId=jins81c&amp;logNo=223894584870&amp;redirect=Dlog&amp;widgetTypeCall=true&amp;directAccess=false</t>
  </si>
  <si>
    <t>손해사정사무소 가온</t>
  </si>
  <si>
    <t>문체부, 국제공조 통해 K-콘텐츠 저작권 침해 대응 강화</t>
  </si>
  <si>
    <t>https://blog.naver.com/PostView.naver?blogId=haesongsonsa&amp;logNo=223894573543&amp;redirect=Dlog&amp;widgetTypeCall=true&amp;directAccess=false</t>
  </si>
  <si>
    <t>6월 10일 뽀너스7</t>
  </si>
  <si>
    <t>https://blog.naver.com/PostView.naver?blogId=wonogi&amp;logNo=223893660344&amp;redirect=Dlog&amp;widgetTypeCall=true&amp;directAccess=false</t>
  </si>
  <si>
    <t>대도서관</t>
  </si>
  <si>
    <t>컵투컵프</t>
  </si>
  <si>
    <t>콕스뉴스</t>
  </si>
  <si>
    <t>공정위, 티빙-웨이브 기업결합 조건부 승인</t>
  </si>
  <si>
    <t>https://blog.naver.com/PostView.naver?blogId=coxnews&amp;logNo=223894482568&amp;redirect=Dlog&amp;widgetTypeCall=true&amp;directAccess=false</t>
  </si>
  <si>
    <t>2025년  6월 1주차 주말 드라마 시청률 1위는 역시 귀궁</t>
  </si>
  <si>
    <t>https://blog.naver.com/PostView.naver?blogId=jeje-_-&amp;logNo=223894460461&amp;redirect=Dlog&amp;widgetTypeCall=true&amp;directAccess=false</t>
  </si>
  <si>
    <t>몽크</t>
  </si>
  <si>
    <t>(김병기 그리고) 목록에서  제외</t>
  </si>
  <si>
    <t>https://blog.naver.com/PostView.naver?blogId=lead2r&amp;logNo=223894444935&amp;redirect=Dlog&amp;widgetTypeCall=true&amp;directAccess=false</t>
  </si>
  <si>
    <t>nyongnyongi</t>
  </si>
  <si>
    <t>[2026 월드컵 예선 최종전] 대한민국 vs 쿠웨이트, 예선 무패 대장정의 마지막 90분</t>
  </si>
  <si>
    <t>https://blog.naver.com/PostView.naver?blogId=footballspirit&amp;logNo=223894429120&amp;redirect=Dlog&amp;widgetTypeCall=true&amp;directAccess=false</t>
  </si>
  <si>
    <t>결혼지옥 아기가 아빠 술 마셨다 제작진이 공개 우려 아무도 몰라</t>
  </si>
  <si>
    <t>https://blog.naver.com/PostView.naver?blogId=odmwd2&amp;logNo=223894393513&amp;redirect=Dlog&amp;widgetTypeCall=true&amp;directAccess=false</t>
  </si>
  <si>
    <t>아이돌</t>
  </si>
  <si>
    <t>2025 하나은행 K리그1, 신한 SOL뱅크 KBO리그 TV 경기 중계방송 일정.</t>
  </si>
  <si>
    <t>https://blog.naver.com/PostView.naver?blogId=yujinho0713&amp;logNo=223894361581&amp;redirect=Dlog&amp;widgetTypeCall=true&amp;directAccess=false</t>
  </si>
  <si>
    <t>Heestorian</t>
  </si>
  <si>
    <t>삼성라이온즈 이야기-1982년3월27일</t>
  </si>
  <si>
    <t>https://blog.naver.com/PostView.naver?blogId=heestoryeo&amp;logNo=223894355499&amp;redirect=Dlog&amp;widgetTypeCall=true&amp;directAccess=false</t>
  </si>
  <si>
    <t>배우 이주빈, 키이스트와 전속계약 체결…다채로운 연기 스펙트럼에 날개 달다</t>
  </si>
  <si>
    <t>https://blog.naver.com/PostView.naver?blogId=news1star&amp;logNo=223894302520&amp;redirect=Dlog&amp;widgetTypeCall=true&amp;directAccess=false</t>
  </si>
  <si>
    <t>꿈꾸는 마도로스</t>
  </si>
  <si>
    <t>희극인의 안타까운 사연</t>
  </si>
  <si>
    <t>https://blog.naver.com/PostView.naver?blogId=smhong8746&amp;logNo=223894270842&amp;redirect=Dlog&amp;widgetTypeCall=true&amp;directAccess=false</t>
  </si>
  <si>
    <t>김문정, '팬텀'의 비밀을 열다…두시의 데이트서 전한 뮤지컬의 진심</t>
  </si>
  <si>
    <t>https://blog.naver.com/PostView.naver?blogId=kstarfashion&amp;logNo=223894254400&amp;redirect=Dlog&amp;widgetTypeCall=true&amp;directAccess=false</t>
  </si>
  <si>
    <t>금보다 수익 좋다?…'300%폭등' 난리 난 이 제품</t>
  </si>
  <si>
    <t>https://blog.naver.com/PostView.naver?blogId=mamy75&amp;logNo=223894237031&amp;redirect=Dlog&amp;widgetTypeCall=true&amp;directAccess=false</t>
  </si>
  <si>
    <t>수제비</t>
  </si>
  <si>
    <t>★ 홍도야 우지 마라///김영춘</t>
  </si>
  <si>
    <t>https://blog.naver.com/PostView.naver?blogId=mbcswallow&amp;logNo=223893166692&amp;redirect=Dlog&amp;widgetTypeCall=true&amp;directAccess=false</t>
  </si>
  <si>
    <t>오은영 리포트 결혼지옥 아내… 그녀의 충격적인 두 얼굴! 반전 뒤에 숨겨진 소름 돋는 비밀 (+불륜, 가정폭력, 엇갈린 진실)</t>
  </si>
  <si>
    <t>https://blog.naver.com/PostView.naver?blogId=qoswlfdl-&amp;logNo=223894176144&amp;redirect=Dlog&amp;widgetTypeCall=true&amp;directAccess=false</t>
  </si>
  <si>
    <t>인사 검증' 원래대로‥'3대 특검법' 처리할 듯/추경에 ‘전국민 지원금’ 포함 안될 듯…지역화폐는 증액 전망/민생우선</t>
  </si>
  <si>
    <t>https://blog.naver.com/PostView.naver?blogId=sshong3&amp;logNo=223894172072&amp;redirect=Dlog&amp;widgetTypeCall=true&amp;directAccess=false</t>
  </si>
  <si>
    <t>오은영 리포트 결혼지옥 아내… 대체 왜? 충격 반전! 설마했던 비밀의 실체 (+불륜, 가정폭력, 이혼위기)</t>
  </si>
  <si>
    <t>https://blog.naver.com/PostView.naver?blogId=qoswlfdl-&amp;logNo=223894151089&amp;redirect=Dlog&amp;widgetTypeCall=true&amp;directAccess=false</t>
  </si>
  <si>
    <t>[사설]“韓 AI 9위, 반도체 5위”… 새 경제팀이 직시해야 할 냉엄한 현실동아일보</t>
  </si>
  <si>
    <t>https://blog.naver.com/PostView.naver?blogId=kys55-&amp;logNo=223894148897&amp;redirect=Dlog&amp;widgetTypeCall=true&amp;directAccess=false</t>
  </si>
  <si>
    <t>오은영 리포트 충격 아내의 두 얼굴…결혼지옥 반전 이유는 설마?! (+비밀, 과거, 진실)</t>
  </si>
  <si>
    <t>https://blog.naver.com/PostView.naver?blogId=qoswlfdl-&amp;logNo=223894118155&amp;redirect=Dlog&amp;widgetTypeCall=true&amp;directAccess=false</t>
  </si>
  <si>
    <t>서서S</t>
  </si>
  <si>
    <t>https://blog.naver.com/PostView.naver?blogId=sseoso90019&amp;logNo=223887346502&amp;redirect=Dlog&amp;widgetTypeCall=true&amp;directAccess=false</t>
  </si>
  <si>
    <t>오은영 리포트 결혼지옥, 아내가 감춰왔던 충격적 비밀… 대체 왜?! (+반전, 속사정, 눈물)</t>
  </si>
  <si>
    <t>https://blog.naver.com/PostView.naver?blogId=qoswlfdl-&amp;logNo=223894108343&amp;redirect=Dlog&amp;widgetTypeCall=true&amp;directAccess=false</t>
  </si>
  <si>
    <t>오은영 리포트 결혼지옥, 아내가 숨긴 충격적 비밀… 대체 왜?! (+불륜, 가정폭력, 이혼위기)</t>
  </si>
  <si>
    <t>https://blog.naver.com/PostView.naver?blogId=qoswlfdl-&amp;logNo=223894098424&amp;redirect=Dlog&amp;widgetTypeCall=true&amp;directAccess=false</t>
  </si>
  <si>
    <t>꺼지지않는등대</t>
  </si>
  <si>
    <t>AI가 바꿀 미래 모색…서울시, 130만 유튜버 '궤도'와 일반시민 대상 AI 교육</t>
  </si>
  <si>
    <t>https://blog.naver.com/PostView.naver?blogId=idmw21&amp;logNo=223894092267&amp;redirect=Dlog&amp;widgetTypeCall=true&amp;directAccess=false</t>
  </si>
  <si>
    <t>[내돈내산] 일산 맛집..경복궁 삼계탕, 오봉도시락, 보드람 치킨, 대한미역에 이어 풍년닭도리탕까지.</t>
  </si>
  <si>
    <t>https://blog.naver.com/PostView.naver?blogId=totanns&amp;logNo=223894090447&amp;redirect=Dlog&amp;widgetTypeCall=true&amp;directAccess=false</t>
  </si>
  <si>
    <t>fortenball</t>
  </si>
  <si>
    <t>문화...조선일보 2025년6월10일</t>
  </si>
  <si>
    <t>https://blog.naver.com/PostView.naver?blogId=c1c1b1b1&amp;logNo=223894052705&amp;redirect=Dlog&amp;widgetTypeCall=true&amp;directAccess=false</t>
  </si>
  <si>
    <t>정치...동아일보 2025년6월10일</t>
  </si>
  <si>
    <t>https://blog.naver.com/PostView.naver?blogId=c1c1b1b1&amp;logNo=223894049041&amp;redirect=Dlog&amp;widgetTypeCall=true&amp;directAccess=false</t>
  </si>
  <si>
    <t>김갑부</t>
  </si>
  <si>
    <t>내가 확증편향인가 했다</t>
  </si>
  <si>
    <t>https://blog.naver.com/PostView.naver?blogId=coolmelody25&amp;logNo=223894032819&amp;redirect=Dlog&amp;widgetTypeCall=true&amp;directAccess=false</t>
  </si>
  <si>
    <t>천주현 변호사</t>
  </si>
  <si>
    <t>위법증거와 파생증거 - 통신비밀보호법위반죄 아동학대죄 대구 형사 고소고발 전문변호사 _ 대구지법 형사 항소심 전문 법률사무소</t>
  </si>
  <si>
    <t>https://blog.naver.com/PostView.naver?blogId=sabup&amp;logNo=223894025911&amp;redirect=Dlog&amp;widgetTypeCall=true&amp;directAccess=false</t>
  </si>
  <si>
    <t>미우새·야구선수 출신 배우 윤현민 백진희 결별 후 첫 소개팅? 집  타운하우스·엄마</t>
  </si>
  <si>
    <t>https://blog.naver.com/PostView.naver?blogId=lilycole2006&amp;logNo=223893965664&amp;redirect=Dlog&amp;widgetTypeCall=true&amp;directAccess=false</t>
  </si>
  <si>
    <t>캉캉</t>
  </si>
  <si>
    <t>2025.06.09</t>
  </si>
  <si>
    <t>https://blog.naver.com/PostView.naver?blogId=thefan2&amp;logNo=223893950715&amp;redirect=Dlog&amp;widgetTypeCall=true&amp;directAccess=false</t>
  </si>
  <si>
    <t>나미</t>
  </si>
  <si>
    <t>5년만에 신혼여행</t>
  </si>
  <si>
    <t>https://blog.naver.com/PostView.naver?blogId=puhahanami&amp;logNo=223893858175&amp;redirect=Dlog&amp;widgetTypeCall=true&amp;directAccess=false</t>
  </si>
  <si>
    <t>뉴스토마토 ~ 울산MBC뉴스님의 오늘자 윤석열, 이재명 소식. 국힘 충격 상황..."할 수 있는게 없다" 김건희 특검 가동 윤석열 흔들린다! 지방소멸 진행중?</t>
  </si>
  <si>
    <t>https://blog.naver.com/PostView.naver?blogId=wishut3281&amp;logNo=223893834139&amp;redirect=Dlog&amp;widgetTypeCall=true&amp;directAccess=false</t>
  </si>
  <si>
    <t>Enzo</t>
  </si>
  <si>
    <t>대한민국/한국 쿠웨이트 축구 : 2026 월드컵 아시아 3차 예선 이모저모</t>
  </si>
  <si>
    <t>https://blog.naver.com/PostView.naver?blogId=ekzmbnb9&amp;logNo=223893815736&amp;redirect=Dlog&amp;widgetTypeCall=true&amp;directAccess=false</t>
  </si>
  <si>
    <t>토니상 6부문 싹쓸이한 K뮤지컬, "어쩌면? 어차피 해피엔딩!"</t>
  </si>
  <si>
    <t>https://blog.naver.com/PostView.naver?blogId=wnnbc&amp;logNo=223893812698&amp;redirect=Dlog&amp;widgetTypeCall=true&amp;directAccess=false</t>
  </si>
  <si>
    <t>결혼지옥 조교부부 2년동안 고민하다 출연한 아내, 오은영리포트 125회 요즘예능추천</t>
  </si>
  <si>
    <t>https://blog.naver.com/PostView.naver?blogId=chummilmil99&amp;logNo=223893812974&amp;redirect=Dlog&amp;widgetTypeCall=true&amp;directAccess=false</t>
  </si>
  <si>
    <t>LA 불법 이민자 폭동시위...언론의 편파 보도 논란</t>
  </si>
  <si>
    <t>https://blog.naver.com/PostView.naver?blogId=js00lee2&amp;logNo=223893801703&amp;redirect=Dlog&amp;widgetTypeCall=true&amp;directAccess=false</t>
  </si>
  <si>
    <t>MBC ‘태양을 삼킨 여자’, 오늘 첫 방송…“일일드라마의 새 지평 열 것”</t>
  </si>
  <si>
    <t>https://blog.naver.com/PostView.naver?blogId=withinnews&amp;logNo=223893776881&amp;redirect=Dlog&amp;widgetTypeCall=true&amp;directAccess=false</t>
  </si>
  <si>
    <t>개그우먼 박나래, 조모상…가족들과 목포서 빈소 지켜</t>
  </si>
  <si>
    <t>https://blog.naver.com/PostView.naver?blogId=koolap&amp;logNo=223893764634&amp;redirect=Dlog&amp;widgetTypeCall=true&amp;directAccess=false</t>
  </si>
  <si>
    <t>넷플릭스 광장 이준혁 찌른 그 사람 누군지 알아?</t>
  </si>
  <si>
    <t>https://blog.naver.com/PostView.naver?blogId=jeje-_-&amp;logNo=223893758278&amp;redirect=Dlog&amp;widgetTypeCall=true&amp;directAccess=false</t>
  </si>
  <si>
    <t>이경규 약물 양성 반응, 공황장애 약 때문…약물운전 경찰 입건 해프닝 (+예능대부, 차량도난, 공황장애 약 복용, 감기약, 인스타그램)</t>
  </si>
  <si>
    <t>https://blog.naver.com/PostView.naver?blogId=minsimnews&amp;logNo=223893725401&amp;redirect=Dlog&amp;widgetTypeCall=true&amp;directAccess=false</t>
  </si>
  <si>
    <t>[이진숙 새벽 4시 빵 구매][경찰 압수수색]'새벽 4시 빵 구매' 이진숙 방통위원장 법카 사적유용의혹 수사 속도…경찰, 세 번째 압수수색</t>
  </si>
  <si>
    <t>https://blog.naver.com/PostView.naver?blogId=eithty2&amp;logNo=223893724257&amp;redirect=Dlog&amp;widgetTypeCall=true&amp;directAccess=false</t>
  </si>
  <si>
    <t>cocosentimental</t>
  </si>
  <si>
    <t>책장을 넘기기 힘든 책</t>
  </si>
  <si>
    <t>https://blog.naver.com/PostView.naver?blogId=cocosentimental&amp;logNo=223893718331&amp;redirect=Dlog&amp;widgetTypeCall=true&amp;directAccess=false</t>
  </si>
  <si>
    <t>노무사 노무진 4화 4회 리뷰 : 태움·의료사고·산재 인정까지 현실 고발 드라마</t>
  </si>
  <si>
    <t>https://blog.naver.com/PostView.naver?blogId=cinemaitary&amp;logNo=223893717872&amp;redirect=Dlog&amp;widgetTypeCall=true&amp;directAccess=false</t>
  </si>
  <si>
    <t>태양을 삼킨 여자 1회, 장신영과 서하준의 만남</t>
  </si>
  <si>
    <t>https://blog.naver.com/PostView.naver?blogId=gktkrk&amp;logNo=223893648136&amp;redirect=Dlog&amp;widgetTypeCall=true&amp;directAccess=false</t>
  </si>
  <si>
    <t>[사설] 李 `선거법 파기환송심` 중단… 사법부 독립 포기 선언인가 + [참고적인 지적]</t>
  </si>
  <si>
    <t>https://blog.naver.com/PostView.naver?blogId=kominerba&amp;logNo=223893643821&amp;redirect=Dlog&amp;widgetTypeCall=true&amp;directAccess=false</t>
  </si>
  <si>
    <t>가을소풍</t>
  </si>
  <si>
    <t>통기타를 꺼내다.  7080 애창곡 '민들레 홀씨 되어"</t>
  </si>
  <si>
    <t>https://blog.naver.com/PostView.naver?blogId=ji2xiang&amp;logNo=223893642018&amp;redirect=Dlog&amp;widgetTypeCall=true&amp;directAccess=false</t>
  </si>
  <si>
    <t>모찌엄마</t>
  </si>
  <si>
    <t>대구여행 1(근대골목, 막창)</t>
  </si>
  <si>
    <t>https://blog.naver.com/PostView.naver?blogId=ysys_2015&amp;logNo=223893627482&amp;redirect=Dlog&amp;widgetTypeCall=true&amp;directAccess=false</t>
  </si>
  <si>
    <t>스케라맘</t>
  </si>
  <si>
    <t>옥천브런치카페 대장간 아기랑 스테이크 샐러드</t>
  </si>
  <si>
    <t>https://blog.naver.com/PostView.naver?blogId=pure1004girl&amp;logNo=223893617580&amp;redirect=Dlog&amp;widgetTypeCall=true&amp;directAccess=false</t>
  </si>
  <si>
    <t>사파이어</t>
  </si>
  <si>
    <t>yolohwan</t>
  </si>
  <si>
    <t>십잡스</t>
  </si>
  <si>
    <t>키티</t>
  </si>
  <si>
    <t>2025. 06.09.(월) 긴 연휴 끝 남은 것은 우울감과 카드값..</t>
  </si>
  <si>
    <t>https://blog.naver.com/PostView.naver?blogId=do_u1892&amp;logNo=223893580504&amp;redirect=Dlog&amp;widgetTypeCall=true&amp;directAccess=false</t>
  </si>
  <si>
    <t>김구이</t>
  </si>
  <si>
    <t>2025년 3월 일상</t>
  </si>
  <si>
    <t>https://blog.naver.com/PostView.naver?blogId=yeonhwa409&amp;logNo=223893561761&amp;redirect=Dlog&amp;widgetTypeCall=true&amp;directAccess=false</t>
  </si>
  <si>
    <t>박나래 조모상 나혼산 녹화 불참 빈소는 목포</t>
  </si>
  <si>
    <t>https://blog.naver.com/PostView.naver?blogId=merry_heehee&amp;logNo=223893552308&amp;redirect=Dlog&amp;widgetTypeCall=true&amp;directAccess=false</t>
  </si>
  <si>
    <t>법카 부정사용 의혹' 이진숙 수사속도…사용처 압수수색</t>
  </si>
  <si>
    <t>https://blog.naver.com/PostView.naver?blogId=lymcall&amp;logNo=223893550616&amp;redirect=Dlog&amp;widgetTypeCall=true&amp;directAccess=false</t>
  </si>
  <si>
    <t>비공개</t>
  </si>
  <si>
    <t>임은정 "李 정부 법무부, 여전히 尹의 것…검찰 인사 실패 말아야"</t>
  </si>
  <si>
    <t>https://blog.naver.com/PostView.naver?blogId=hansol4755&amp;logNo=223892975777&amp;redirect=Dlog&amp;widgetTypeCall=true&amp;directAccess=false</t>
  </si>
  <si>
    <t>포르체</t>
  </si>
  <si>
    <t>前 서울대 입학사정관의 초등부터 고등까지 입시 맞춤 공부법 『학종 시대, 서울대 가는 공부 로드맵』</t>
  </si>
  <si>
    <t>https://blog.naver.com/PostView.naver?blogId=porche_book&amp;logNo=223893546654&amp;redirect=Dlog&amp;widgetTypeCall=true&amp;directAccess=false</t>
  </si>
  <si>
    <t>MBC 일일드라마 태양을 삼킨 여자 인물관계도 등장인물 총정리</t>
  </si>
  <si>
    <t>https://blog.naver.com/PostView.naver?blogId=shushu9988&amp;logNo=223893539936&amp;redirect=Dlog&amp;widgetTypeCall=true&amp;directAccess=false</t>
  </si>
  <si>
    <t>사니야</t>
  </si>
  <si>
    <t>충북 옥천 가볼 만한 곳 부소담악 장계관광지 전통문화체험관 옥천성당 청산생선국수거리 옥천 여행</t>
  </si>
  <si>
    <t>https://blog.naver.com/PostView.naver?blogId=kso8888&amp;logNo=223893534734&amp;redirect=Dlog&amp;widgetTypeCall=true&amp;directAccess=false</t>
  </si>
  <si>
    <t>소예</t>
  </si>
  <si>
    <t>[강릉여행] 사천진 해수욕장 근처 펜션 "더퍼스트펜션" 내돈내산 후기</t>
  </si>
  <si>
    <t>https://blog.naver.com/PostView.naver?blogId=sodam_0909&amp;logNo=223893519615&amp;redirect=Dlog&amp;widgetTypeCall=true&amp;directAccess=false</t>
  </si>
  <si>
    <t>방송 44년 차 개그맨 이경규 남의 차 운전하고 약물운전 혐의 경찰 조사?⭐️이경규 프로필·소속사·가족·아내·와이프·자녀·이예림·사위 김영찬·유튜브 근황</t>
  </si>
  <si>
    <t>https://blog.naver.com/PostView.naver?blogId=lilycole2006&amp;logNo=223893505140&amp;redirect=Dlog&amp;widgetTypeCall=true&amp;directAccess=false</t>
  </si>
  <si>
    <t>난이</t>
  </si>
  <si>
    <t>자연사랑</t>
  </si>
  <si>
    <t>산골 소년의 사랑 이야기 - 노래 예민</t>
  </si>
  <si>
    <t>https://blog.naver.com/PostView.naver?blogId=audfbsrlf&amp;logNo=223892591804&amp;redirect=Dlog&amp;widgetTypeCall=true&amp;directAccess=false</t>
  </si>
  <si>
    <t>경찰, 이진숙 방통위원장 법인카드 사용처 압수수색</t>
  </si>
  <si>
    <t>https://blog.naver.com/PostView.naver?blogId=kyh070181&amp;logNo=223893435128&amp;redirect=Dlog&amp;widgetTypeCall=true&amp;directAccess=false</t>
  </si>
  <si>
    <t>주밥</t>
  </si>
  <si>
    <t>귀여운게 최고야!</t>
  </si>
  <si>
    <t>https://blog.naver.com/PostView.naver?blogId=qlsdms0809&amp;logNo=223893399711&amp;redirect=Dlog&amp;widgetTypeCall=true&amp;directAccess=false</t>
  </si>
  <si>
    <t>이휘향 남편, 조폭 두목 김두조…“결혼 후 조직 끊고 외조 전념” 재조명</t>
  </si>
  <si>
    <t>https://blog.naver.com/PostView.naver?blogId=picklenews&amp;logNo=223893387708&amp;redirect=Dlog&amp;widgetTypeCall=true&amp;directAccess=false</t>
  </si>
  <si>
    <t>베테르기우스</t>
  </si>
  <si>
    <t>속초 순두부 맛집 - 속초 아침식사 맛집 진솔할머니순두부</t>
  </si>
  <si>
    <t>https://blog.naver.com/PostView.naver?blogId=lineac&amp;logNo=223893371450&amp;redirect=Dlog&amp;widgetTypeCall=true&amp;directAccess=false</t>
  </si>
  <si>
    <t>아이브 동생 키키 | 지유 키야 하음 이솔 수이 프로필</t>
  </si>
  <si>
    <t>https://blog.naver.com/PostView.naver?blogId=lue-it&amp;logNo=223893345652&amp;redirect=Dlog&amp;widgetTypeCall=true&amp;directAccess=false</t>
  </si>
  <si>
    <t>해삐</t>
  </si>
  <si>
    <t>25.06_First week</t>
  </si>
  <si>
    <t>https://blog.naver.com/PostView.naver?blogId=ghyu333&amp;logNo=223893325153&amp;redirect=Dlog&amp;widgetTypeCall=true&amp;directAccess=false</t>
  </si>
  <si>
    <t>은빛귤빛쌤</t>
  </si>
  <si>
    <t>MBC  선거방송 카운트 다운 영상 활용 - 3학년 사회수업</t>
  </si>
  <si>
    <t>https://blog.naver.com/PostView.naver?blogId=shine7475&amp;logNo=223893316265&amp;redirect=Dlog&amp;widgetTypeCall=true&amp;directAccess=false</t>
  </si>
  <si>
    <t>이경규 (Lee Kyung‑gyu, 1960~ ), 대한민국 예능 대부</t>
  </si>
  <si>
    <t>https://blog.naver.com/PostView.naver?blogId=365nhealth&amp;logNo=223893287251&amp;redirect=Dlog&amp;widgetTypeCall=true&amp;directAccess=false</t>
  </si>
  <si>
    <t>히하이</t>
  </si>
  <si>
    <t>투표도 하고~ 놀러도 가고~</t>
  </si>
  <si>
    <t>https://blog.naver.com/PostView.naver?blogId=hhiii_&amp;logNo=223893268552&amp;redirect=Dlog&amp;widgetTypeCall=true&amp;directAccess=false</t>
  </si>
  <si>
    <t>글벗</t>
  </si>
  <si>
    <t>💡 성공, 그 이름의 진짜 의미</t>
  </si>
  <si>
    <t>https://blog.naver.com/PostView.naver?blogId=jss13210&amp;logNo=223893267974&amp;redirect=Dlog&amp;widgetTypeCall=true&amp;directAccess=false</t>
  </si>
  <si>
    <t>힐스송파</t>
  </si>
  <si>
    <t>뜻이 있는 곳에 길이 있다. 소년 공돌이 '이재명', 대통령 되다</t>
  </si>
  <si>
    <t>https://blog.naver.com/PostView.naver?blogId=jswon4359&amp;logNo=223893264304&amp;redirect=Dlog&amp;widgetTypeCall=true&amp;directAccess=false</t>
  </si>
  <si>
    <t>요사니</t>
  </si>
  <si>
    <t>네팔 먹방 306-323</t>
  </si>
  <si>
    <t>https://blog.naver.com/PostView.naver?blogId=bi-ndle&amp;logNo=223893247289&amp;redirect=Dlog&amp;widgetTypeCall=true&amp;directAccess=false</t>
  </si>
  <si>
    <t>은원</t>
  </si>
  <si>
    <t>6월 드라마 시청률 시청자들의 픽은!</t>
  </si>
  <si>
    <t>https://blog.naver.com/PostView.naver?blogId=eunwon_&amp;logNo=223893200405&amp;redirect=Dlog&amp;widgetTypeCall=true&amp;directAccess=false</t>
  </si>
  <si>
    <t>이경규 “약물운전 아냐…감기약 때문, 이미 소명 완료” (+ 공황장애, 약물 혐의, 처방약, 몸살감기, 인스타그램)</t>
  </si>
  <si>
    <t>https://blog.naver.com/PostView.naver?blogId=minsimnews&amp;logNo=223893194848&amp;redirect=Dlog&amp;widgetTypeCall=true&amp;directAccess=false</t>
  </si>
  <si>
    <t>‘서초동’ 이종석·문가영→강유석까지…어쏘 변호사 변신</t>
  </si>
  <si>
    <t>https://blog.naver.com/PostView.naver?blogId=wonogi&amp;logNo=223890950707&amp;redirect=Dlog&amp;widgetTypeCall=true&amp;directAccess=false</t>
  </si>
  <si>
    <t>李대통령 국정 기대감 58.2%…민주 48.0%·국힘 34.8% [리얼미터]국정수행 기대감, 2주 연속 상승세…여당 지지율은 정체</t>
  </si>
  <si>
    <t>https://blog.naver.com/PostView.naver?blogId=adtree21&amp;logNo=223893142955&amp;redirect=Dlog&amp;widgetTypeCall=true&amp;directAccess=false</t>
  </si>
  <si>
    <t>beautifullife24</t>
  </si>
  <si>
    <t>남자 거시기에 점이 있으면, 대통령 된다고?</t>
  </si>
  <si>
    <t>https://blog.naver.com/PostView.naver?blogId=beautifullife24&amp;logNo=223893137428&amp;redirect=Dlog&amp;widgetTypeCall=true&amp;directAccess=false</t>
  </si>
  <si>
    <t>남궁민, 대체 왜 연기를 시작했을까… 故 최진실과의 숨겨진 인연! (+눈물, 과거, 비화)</t>
  </si>
  <si>
    <t>https://blog.naver.com/PostView.naver?blogId=qoswlfdl-&amp;logNo=223893123233&amp;redirect=Dlog&amp;widgetTypeCall=true&amp;directAccess=false</t>
  </si>
  <si>
    <t>SmileYuRan</t>
  </si>
  <si>
    <t>찾기 어렵게 만들었네!! 국회청원~ 양두구육 개장수 젓가락 펨코준천지</t>
  </si>
  <si>
    <t>https://blog.naver.com/PostView.naver?blogId=smileyuran&amp;logNo=223893113567&amp;redirect=Dlog&amp;widgetTypeCall=true&amp;directAccess=false</t>
  </si>
  <si>
    <t>동네삼촌</t>
  </si>
  <si>
    <t>김경호 - [1집] 마지막 기도 (1995)</t>
  </si>
  <si>
    <t>https://blog.naver.com/PostView.naver?blogId=mrprez&amp;logNo=223893067726&amp;redirect=Dlog&amp;widgetTypeCall=true&amp;directAccess=false</t>
  </si>
  <si>
    <t>배우 김명민, 스타하우스엔터와 전속 계약…품격 있는 행보에 새 동력</t>
  </si>
  <si>
    <t>https://blog.naver.com/PostView.naver?blogId=news1star&amp;logNo=223893063790&amp;redirect=Dlog&amp;widgetTypeCall=true&amp;directAccess=false</t>
  </si>
  <si>
    <t>shinhoepark</t>
  </si>
  <si>
    <t>1. 국민의 힘을 말아 먹은 극우 유튜버(사기꾼. 수전노.망국노9적 )　</t>
  </si>
  <si>
    <t>https://blog.naver.com/PostView.naver?blogId=shinhoepark&amp;logNo=223893052674&amp;redirect=Dlog&amp;widgetTypeCall=true&amp;directAccess=false</t>
  </si>
  <si>
    <t>당비선생</t>
  </si>
  <si>
    <t>지드래곤의 팔근육 공개 - "팔운동"</t>
  </si>
  <si>
    <t>https://blog.naver.com/PostView.naver?blogId=dckim7071&amp;logNo=223892991043&amp;redirect=Dlog&amp;widgetTypeCall=true&amp;directAccess=false</t>
  </si>
  <si>
    <t>까미즈</t>
  </si>
  <si>
    <t>이경규 약물 운전 혐의, 감기약이라고?! 과거 공황장애 고백 + 프로필</t>
  </si>
  <si>
    <t>https://blog.naver.com/PostView.naver?blogId=mellowid2&amp;logNo=223893006973&amp;redirect=Dlog&amp;widgetTypeCall=true&amp;directAccess=false</t>
  </si>
  <si>
    <t>윤석열 전 대통령 한남동 관저 ‘개 수영장’ 의혹 제기</t>
  </si>
  <si>
    <t>https://blog.naver.com/PostView.naver?blogId=chikorita_&amp;logNo=223892688396&amp;redirect=Dlog&amp;widgetTypeCall=true&amp;directAccess=false</t>
  </si>
  <si>
    <t>&lt;핫뉴스*좋은 뉴스 골라읽기&gt;□2025.06.09□</t>
  </si>
  <si>
    <t>https://blog.naver.com/PostView.naver?blogId=ssyoung56&amp;logNo=223892998494&amp;redirect=Dlog&amp;widgetTypeCall=true&amp;directAccess=false</t>
  </si>
  <si>
    <t>김소연</t>
  </si>
  <si>
    <t>GTR 파크골프 "내 인생 나이스 샷"을  날리다.유레카tv  진혜진 가수와 김선우 회장님</t>
  </si>
  <si>
    <t>https://blog.naver.com/PostView.naver?blogId=k017728&amp;logNo=223892981014&amp;redirect=Dlog&amp;widgetTypeCall=true&amp;directAccess=false</t>
  </si>
  <si>
    <t>죽선 ponciano</t>
  </si>
  <si>
    <t>이재명과 민주당만을 위한 개정법 졸속처리?</t>
  </si>
  <si>
    <t>https://blog.naver.com/PostView.naver?blogId=ponciano&amp;logNo=223892929126&amp;redirect=Dlog&amp;widgetTypeCall=true&amp;directAccess=false</t>
  </si>
  <si>
    <t>윤석열 김건희 한남동 관저 반려견 개 수영장 설치의혹 온수시설 불법 '일주일 물 228t'</t>
  </si>
  <si>
    <t>https://blog.naver.com/PostView.naver?blogId=psepeter&amp;logNo=223892910504&amp;redirect=Dlog&amp;widgetTypeCall=true&amp;directAccess=false</t>
  </si>
  <si>
    <t>연예숨러</t>
  </si>
  <si>
    <t>[노무사 노무진] 여기자 누구? 특별출연 강혜원에 관심 쏠리네</t>
  </si>
  <si>
    <t>https://blog.naver.com/PostView.naver?blogId=tongil9603298&amp;logNo=223892105052&amp;redirect=Dlog&amp;widgetTypeCall=true&amp;directAccess=false</t>
  </si>
  <si>
    <t>사회심리학자 진승범</t>
  </si>
  <si>
    <t>최고의 정치선전, Propaganda는 내가 보기에 음악이다. 인간의 희노애락을 담은 나의 이상과 현실,  심정의 예술적 커뮤니케선의 극치: 그 베스트셀러와 스테디셀러의 법칙 연구</t>
  </si>
  <si>
    <t>https://blog.naver.com/PostView.naver?blogId=jeanseungbum&amp;logNo=223892870643&amp;redirect=Dlog&amp;widgetTypeCall=true&amp;directAccess=false</t>
  </si>
  <si>
    <t>한국 쿠웨이트 일정 중계는? 대한민국 축구 국가대표 월드컵 예선 순위 명단</t>
  </si>
  <si>
    <t>https://blog.naver.com/PostView.naver?blogId=baekhw1&amp;logNo=223891756370&amp;redirect=Dlog&amp;widgetTypeCall=true&amp;directAccess=false</t>
  </si>
  <si>
    <t>국내) 물 '일주일 228t' 여기에 썼나···윤석열 머물던 한남동 관저 '개 수영장' 설치 의혹</t>
  </si>
  <si>
    <t>https://blog.naver.com/PostView.naver?blogId=vitamin_333&amp;logNo=223892854101&amp;redirect=Dlog&amp;widgetTypeCall=true&amp;directAccess=false</t>
  </si>
  <si>
    <t>루빵루나</t>
  </si>
  <si>
    <t>현숙한 여인</t>
  </si>
  <si>
    <t>[오늘의 음악] 베토벤이 작곡한 음악 중 &lt;안경&gt;이라는 곡이 있다?</t>
  </si>
  <si>
    <t>https://blog.naver.com/PostView.naver?blogId=gogy0214&amp;logNo=223892742053&amp;redirect=Dlog&amp;widgetTypeCall=true&amp;directAccess=false</t>
  </si>
  <si>
    <t>아마데우스' 한 줄 평</t>
  </si>
  <si>
    <t>https://blog.naver.com/PostView.naver?blogId=lyc7248&amp;logNo=223892730135&amp;redirect=Dlog&amp;widgetTypeCall=true&amp;directAccess=false</t>
  </si>
  <si>
    <t>청년의 미래와 희망</t>
  </si>
  <si>
    <t>더불어민주당, 재판중지법 · 상법 개정안 12일 본회의 처리 방침</t>
  </si>
  <si>
    <t>https://blog.naver.com/PostView.naver?blogId=kallista77&amp;logNo=223892630179&amp;redirect=Dlog&amp;widgetTypeCall=true&amp;directAccess=false</t>
  </si>
  <si>
    <t>양혁진</t>
  </si>
  <si>
    <t>24.5살 일상</t>
  </si>
  <si>
    <t>https://blog.naver.com/PostView.naver?blogId=ss004403&amp;logNo=223892713512&amp;redirect=Dlog&amp;widgetTypeCall=true&amp;directAccess=false</t>
  </si>
  <si>
    <t>🍺 2025 대구 수제맥주 페스티벌 안내</t>
  </si>
  <si>
    <t>https://blog.naver.com/PostView.naver?blogId=aq0-0&amp;logNo=223891620667&amp;redirect=Dlog&amp;widgetTypeCall=true&amp;directAccess=false</t>
  </si>
  <si>
    <t>둘이 먹는 밥</t>
  </si>
  <si>
    <t>https://blog.naver.com/PostView.naver?blogId=don3123&amp;logNo=223892705168&amp;redirect=Dlog&amp;widgetTypeCall=true&amp;directAccess=false</t>
  </si>
  <si>
    <t>강혜원, 여친짤의 정석…차분한 셀카 한 장에 담긴 분위기</t>
  </si>
  <si>
    <t>https://blog.naver.com/PostView.naver?blogId=jericho0220&amp;logNo=223892697429&amp;redirect=Dlog&amp;widgetTypeCall=true&amp;directAccess=false</t>
  </si>
  <si>
    <t>물소리</t>
  </si>
  <si>
    <t>의심의 눈초리로 시소 타기</t>
  </si>
  <si>
    <t>https://blog.naver.com/PostView.naver?blogId=kmulsori&amp;logNo=223892676081&amp;redirect=Dlog&amp;widgetTypeCall=true&amp;directAccess=false</t>
  </si>
  <si>
    <t>[요즘내픽] 드라마 순위, 6월 첫 주</t>
  </si>
  <si>
    <t>https://blog.naver.com/PostView.naver?blogId=tvone&amp;logNo=223892619731&amp;redirect=Dlog&amp;widgetTypeCall=true&amp;directAccess=false</t>
  </si>
  <si>
    <t>만나면좋은친구엠비씨</t>
  </si>
  <si>
    <t>도형</t>
  </si>
  <si>
    <t>윤석열 정부 때 삭감한 예산이 이재명이 정권을 잡으니 추경이 필요한가?</t>
  </si>
  <si>
    <t>https://blog.naver.com/PostView.naver?blogId=msk1117-&amp;logNo=223892597344&amp;redirect=Dlog&amp;widgetTypeCall=true&amp;directAccess=false</t>
  </si>
  <si>
    <t>샤랄라</t>
  </si>
  <si>
    <t>[2025-14]느껴주면 풀려난다</t>
  </si>
  <si>
    <t>https://blog.naver.com/PostView.naver?blogId=grace4791&amp;logNo=223892597546&amp;redirect=Dlog&amp;widgetTypeCall=true&amp;directAccess=false</t>
  </si>
  <si>
    <t>이격</t>
  </si>
  <si>
    <t>별</t>
  </si>
  <si>
    <t>드뎌 쓴다</t>
  </si>
  <si>
    <t>https://blog.naver.com/PostView.naver?blogId=akongzz&amp;logNo=223892567325&amp;redirect=Dlog&amp;widgetTypeCall=true&amp;directAccess=false</t>
  </si>
  <si>
    <t>앵콜요청금지</t>
  </si>
  <si>
    <t>https://blog.naver.com/PostView.naver?blogId=zero-sook&amp;logNo=223892560515&amp;redirect=Dlog&amp;widgetTypeCall=true&amp;directAccess=false</t>
  </si>
  <si>
    <t>띵굴뗑굴</t>
  </si>
  <si>
    <t>#15 🇬🇧 영국 런던 | 아스날 vs AT 마드리드</t>
  </si>
  <si>
    <t>https://blog.naver.com/PostView.naver?blogId=dgdgtravel&amp;logNo=223892541585&amp;redirect=Dlog&amp;widgetTypeCall=true&amp;directAccess=false</t>
  </si>
  <si>
    <t>진지리자</t>
  </si>
  <si>
    <t>5월) 세상은 내가 생각한 것보다 훨씬 아름답다.</t>
  </si>
  <si>
    <t>https://blog.naver.com/PostView.naver?blogId=jinjaekim04&amp;logNo=223892523622&amp;redirect=Dlog&amp;widgetTypeCall=true&amp;directAccess=false</t>
  </si>
  <si>
    <t>당근여왕</t>
  </si>
  <si>
    <t>[별3개] 영화 승부(The Match)</t>
  </si>
  <si>
    <t>https://blog.naver.com/PostView.naver?blogId=doubtqueen&amp;logNo=223892515653&amp;redirect=Dlog&amp;widgetTypeCall=true&amp;directAccess=false</t>
  </si>
  <si>
    <t>예능 리얼리티</t>
  </si>
  <si>
    <t>복면가왕 247대 가왕 - 8인 도전</t>
  </si>
  <si>
    <t>https://blog.naver.com/PostView.naver?blogId=meritz_2019&amp;logNo=223892506451&amp;redirect=Dlog&amp;widgetTypeCall=true&amp;directAccess=false</t>
  </si>
  <si>
    <t>세이</t>
  </si>
  <si>
    <t>[주간일기] 6-1 Best Part 1</t>
  </si>
  <si>
    <t>https://blog.naver.com/PostView.naver?blogId=suindaisy0117&amp;logNo=223892499823&amp;redirect=Dlog&amp;widgetTypeCall=true&amp;directAccess=false</t>
  </si>
  <si>
    <t>이파운드</t>
  </si>
  <si>
    <t>옥상에 세운 FM 안테나</t>
  </si>
  <si>
    <t>https://blog.naver.com/PostView.naver?blogId=soho94&amp;logNo=223892498459&amp;redirect=Dlog&amp;widgetTypeCall=true&amp;directAccess=false</t>
  </si>
  <si>
    <t>이승엽 변호사: 헌법재판관 후보 논란과 그의 법조 경력</t>
  </si>
  <si>
    <t>https://blog.naver.com/PostView.naver?blogId=creta22&amp;logNo=223892493702&amp;redirect=Dlog&amp;widgetTypeCall=true&amp;directAccess=false</t>
  </si>
  <si>
    <t>분당최고얼짱쌍둥맘</t>
  </si>
  <si>
    <t>춘천나들이-소양강댐 ,청평사, 의암호 출렁다리</t>
  </si>
  <si>
    <t>https://blog.naver.com/PostView.naver?blogId=minha99&amp;logNo=223892456354&amp;redirect=Dlog&amp;widgetTypeCall=true&amp;directAccess=false</t>
  </si>
  <si>
    <t>iinny</t>
  </si>
  <si>
    <t>대전_광천식당 두부두루치기 ,보쌈 리뷰</t>
  </si>
  <si>
    <t>https://blog.naver.com/PostView.naver?blogId=wldls3111&amp;logNo=223892449774&amp;redirect=Dlog&amp;widgetTypeCall=true&amp;directAccess=false</t>
  </si>
  <si>
    <t>Breakfast at Tiffany's: Music from the Motion Picture</t>
  </si>
  <si>
    <t>https://blog.naver.com/PostView.naver?blogId=hgryu1948&amp;logNo=223892417613&amp;redirect=Dlog&amp;widgetTypeCall=true&amp;directAccess=false</t>
  </si>
  <si>
    <t>바다홈케어</t>
  </si>
  <si>
    <t>펜타닐 중독'으로 사망한 22개월 아기… 범인은 어린이집 원장님?</t>
  </si>
  <si>
    <t>https://blog.naver.com/PostView.naver?blogId=yfish66&amp;logNo=223892372244&amp;redirect=Dlog&amp;widgetTypeCall=true&amp;directAccess=false</t>
  </si>
  <si>
    <t>2025년 6월 8일, 서영교 의원 국회 기자 회견. X 반응.</t>
  </si>
  <si>
    <t>https://blog.naver.com/PostView.naver?blogId=shinswoong75&amp;logNo=223892365122&amp;redirect=Dlog&amp;widgetTypeCall=true&amp;directAccess=false</t>
  </si>
  <si>
    <t>다꾸미</t>
  </si>
  <si>
    <t>[책] 내 인생의 컬러 팔레트/김희연 에세이 - 경단녀에서 창업자로</t>
  </si>
  <si>
    <t>https://blog.naver.com/PostView.naver?blogId=daggumy&amp;logNo=223892361859&amp;redirect=Dlog&amp;widgetTypeCall=true&amp;directAccess=false</t>
  </si>
  <si>
    <t>아임미앤맘</t>
  </si>
  <si>
    <t>유유자적 Daisy</t>
  </si>
  <si>
    <t>노무사 노무진 4화 리뷰: 노무사노무진 옥자연</t>
  </si>
  <si>
    <t>https://blog.naver.com/PostView.naver?blogId=iiiseeuuuiii&amp;logNo=223892339403&amp;redirect=Dlog&amp;widgetTypeCall=true&amp;directAccess=false</t>
  </si>
  <si>
    <t>꽃비나무</t>
  </si>
  <si>
    <t>[공유] 푸하하~기레기들이여</t>
  </si>
  <si>
    <t>https://blog.naver.com/PostView.naver?blogId=sstnvldkss&amp;logNo=223892337366&amp;redirect=Dlog&amp;widgetTypeCall=true&amp;directAccess=false</t>
  </si>
  <si>
    <t>여수 뉴스와이드</t>
  </si>
  <si>
    <t>여수 ‘6월 민주항쟁 기념식·강연회’ 개최</t>
  </si>
  <si>
    <t>https://blog.naver.com/PostView.naver?blogId=105khk&amp;logNo=223892336147&amp;redirect=Dlog&amp;widgetTypeCall=true&amp;directAccess=false</t>
  </si>
  <si>
    <t>【속보】이 대통령, 민정수석 오광수 정무수석 우상호 홍보수석 이규연 임명</t>
  </si>
  <si>
    <t>https://blog.naver.com/PostView.naver?blogId=esejong1&amp;logNo=223892294598&amp;redirect=Dlog&amp;widgetTypeCall=true&amp;directAccess=false</t>
  </si>
  <si>
    <t>250608 태어난 김에 세계일주 4 5회 예고 / 덱스, 형들 위한 통 큰 플렉스…네팔 풀빌라서 힐링 만끽 (태계일주4)</t>
  </si>
  <si>
    <t>https://blog.naver.com/PostView.naver?blogId=kbmbc_8919&amp;logNo=223892283790&amp;redirect=Dlog&amp;widgetTypeCall=true&amp;directAccess=false</t>
  </si>
  <si>
    <t>치비꼬</t>
  </si>
  <si>
    <t>2025.6.8.</t>
  </si>
  <si>
    <t>https://blog.naver.com/PostView.naver?blogId=rainyday00&amp;logNo=223892253757&amp;redirect=Dlog&amp;widgetTypeCall=true&amp;directAccess=false</t>
  </si>
  <si>
    <t>지드래곤 윙 친분 러브샷도 했어요</t>
  </si>
  <si>
    <t>https://blog.naver.com/PostView.naver?blogId=wwioa__&amp;logNo=223892217768&amp;redirect=Dlog&amp;widgetTypeCall=true&amp;directAccess=false</t>
  </si>
  <si>
    <t>은격</t>
  </si>
  <si>
    <t>한성대입구역 고기집 찾으면 방목에 가보시길.</t>
  </si>
  <si>
    <t>https://blog.naver.com/PostView.naver?blogId=xarasi&amp;logNo=223892205874&amp;redirect=Dlog&amp;widgetTypeCall=true&amp;directAccess=false</t>
  </si>
  <si>
    <t>폭싹' 제니 엄마 김금순, 도플갱어 만난다…'개그콘서트' 깜짝 출격</t>
  </si>
  <si>
    <t>https://blog.naver.com/PostView.naver?blogId=wonogi&amp;logNo=223890400044&amp;redirect=Dlog&amp;widgetTypeCall=true&amp;directAccess=false</t>
  </si>
  <si>
    <t>MBC PD한테 찍힌, 백종원이 제대로 참교육 당한 장면</t>
  </si>
  <si>
    <t>https://blog.naver.com/PostView.naver?blogId=jaoom63&amp;logNo=223892158314&amp;redirect=Dlog&amp;widgetTypeCall=true&amp;directAccess=false</t>
  </si>
  <si>
    <t>백의</t>
  </si>
  <si>
    <t>노무사 노무진 보러가기, 다시보기, 재방송, 방송시간, OTT, 넷플릭스 업로드 시간</t>
  </si>
  <si>
    <t>https://blog.naver.com/PostView.naver?blogId=smbr626&amp;logNo=223892142264&amp;redirect=Dlog&amp;widgetTypeCall=true&amp;directAccess=false</t>
  </si>
  <si>
    <t>다른세상</t>
  </si>
  <si>
    <t>나를 돌아봄</t>
  </si>
  <si>
    <t>https://blog.naver.com/PostView.naver?blogId=soyyo1120&amp;logNo=223892141352&amp;redirect=Dlog&amp;widgetTypeCall=true&amp;directAccess=false</t>
  </si>
  <si>
    <t>“MBC 퇴사 후 백화점 CEO로” 김소영, 첫 팝업스토어 성황리 오픈</t>
  </si>
  <si>
    <t>https://blog.naver.com/PostView.naver?blogId=apahghfej&amp;logNo=223900338166&amp;redirect=Dlog&amp;widgetTypeCall=true&amp;directAccess=false</t>
  </si>
  <si>
    <t>책과 커피 사이</t>
  </si>
  <si>
    <t>월급 절반을 재테크 하라.</t>
  </si>
  <si>
    <t>https://blog.naver.com/PostView.naver?blogId=sso081215&amp;logNo=223900260694&amp;redirect=Dlog&amp;widgetTypeCall=true&amp;directAccess=false</t>
  </si>
  <si>
    <t>김정은과 비슷</t>
  </si>
  <si>
    <t>https://blog.naver.com/PostView.naver?blogId=sunmen77&amp;logNo=223900259432&amp;redirect=Dlog&amp;widgetTypeCall=true&amp;directAccess=false</t>
  </si>
  <si>
    <t>물냉군</t>
  </si>
  <si>
    <t>5. 커피프린스 1호점 촬영지 투어 [1탄]</t>
  </si>
  <si>
    <t>https://blog.naver.com/PostView.naver?blogId=earlysummerdays&amp;logNo=223900241092&amp;redirect=Dlog&amp;widgetTypeCall=true&amp;directAccess=false</t>
  </si>
  <si>
    <t>향기품은J</t>
  </si>
  <si>
    <t>눈물꽃 소년/비밀한 그해 여름(필사23)</t>
  </si>
  <si>
    <t>https://blog.naver.com/PostView.naver?blogId=hjm232618&amp;logNo=223900239189&amp;redirect=Dlog&amp;widgetTypeCall=true&amp;directAccess=false</t>
  </si>
  <si>
    <t>무주가MUJUGA</t>
  </si>
  <si>
    <t>한국술생산자협회 창립총회</t>
  </si>
  <si>
    <t>https://blog.naver.com/PostView.naver?blogId=shin2340&amp;logNo=223900224912&amp;redirect=Dlog&amp;widgetTypeCall=true&amp;directAccess=false</t>
  </si>
  <si>
    <t>조다다온</t>
  </si>
  <si>
    <t>5.18 민주화운동의 전개</t>
  </si>
  <si>
    <t>https://blog.naver.com/PostView.naver?blogId=cho84_157&amp;logNo=223900212289&amp;redirect=Dlog&amp;widgetTypeCall=true&amp;directAccess=false</t>
  </si>
  <si>
    <t>하치</t>
  </si>
  <si>
    <t>삶의낙이없어요</t>
  </si>
  <si>
    <t>https://blog.naver.com/PostView.naver?blogId=hxchx_&amp;logNo=223900170371&amp;redirect=Dlog&amp;widgetTypeCall=true&amp;directAccess=false</t>
  </si>
  <si>
    <t>지구별여행자 장금</t>
  </si>
  <si>
    <t>영화 &lt;헤어질 결심&gt; 마지막 장면 촬영지, 부남해변</t>
  </si>
  <si>
    <t>https://blog.naver.com/PostView.naver?blogId=janggumi11&amp;logNo=223900164697&amp;redirect=Dlog&amp;widgetTypeCall=true&amp;directAccess=false</t>
  </si>
  <si>
    <t>주저리</t>
  </si>
  <si>
    <t>수안보 온천 맛집 수안보 명화식당 꿩요리 미용에 좋은 웰빙음식 말해뭐해요</t>
  </si>
  <si>
    <t>https://blog.naver.com/PostView.naver?blogId=hj1002002&amp;logNo=223900163590&amp;redirect=Dlog&amp;widgetTypeCall=true&amp;directAccess=false</t>
  </si>
  <si>
    <t>MBC 앵커 김수지, 임신 중 선거방송 소화 “토 안 한 게 다행” 출산 앞둔 휴가 예고</t>
  </si>
  <si>
    <t>https://blog.naver.com/PostView.naver?blogId=apahghfej&amp;logNo=223900148074&amp;redirect=Dlog&amp;widgetTypeCall=true&amp;directAccess=false</t>
  </si>
  <si>
    <t>당부쌤</t>
  </si>
  <si>
    <t>[팩트체크] CBDC 우려가 극우 음모론이라는 병아리 친구에게</t>
  </si>
  <si>
    <t>https://blog.naver.com/PostView.naver?blogId=dangbussam&amp;logNo=223900133081&amp;redirect=Dlog&amp;widgetTypeCall=true&amp;directAccess=false</t>
  </si>
  <si>
    <t>아직도 고프다</t>
  </si>
  <si>
    <t>🎵 제이홉 콘서트, BTS 진·정국 깜짝 등장</t>
  </si>
  <si>
    <t>https://blog.naver.com/PostView.naver?blogId=crowngenelab&amp;logNo=223900110760&amp;redirect=Dlog&amp;widgetTypeCall=true&amp;directAccess=false</t>
  </si>
  <si>
    <t>소소한지식 창고지기</t>
  </si>
  <si>
    <t>핵협상중에 왜 선제공격? 전면전?‥꼬이는 트럼프 외교</t>
  </si>
  <si>
    <t>https://blog.naver.com/PostView.naver?blogId=ormaverh-m&amp;logNo=223900073797&amp;redirect=Dlog&amp;widgetTypeCall=true&amp;directAccess=false</t>
  </si>
  <si>
    <t>"출산 앞둔 앵커의 진심" 김수지, 남편 한기주와의 일상 공개…전참시에서 임신 소식 최초 고백</t>
  </si>
  <si>
    <t>https://blog.naver.com/PostView.naver?blogId=apahghfej&amp;logNo=223900069749&amp;redirect=Dlog&amp;widgetTypeCall=true&amp;directAccess=false</t>
  </si>
  <si>
    <t>로케이션MAN</t>
  </si>
  <si>
    <t>비가 와도 촬영은 진행된다</t>
  </si>
  <si>
    <t>https://blog.naver.com/PostView.naver?blogId=bmbm3140&amp;logNo=223900067724&amp;redirect=Dlog&amp;widgetTypeCall=true&amp;directAccess=false</t>
  </si>
  <si>
    <t>지귀연은 왜 그럴까?(4-14)</t>
  </si>
  <si>
    <t>https://blog.naver.com/PostView.naver?blogId=pressbisang2024&amp;logNo=223900063099&amp;redirect=Dlog&amp;widgetTypeCall=true&amp;directAccess=false</t>
  </si>
  <si>
    <t>이란, '탄도 미사일' 150발 보복‥IAEA "핵시설 방사능 오염"</t>
  </si>
  <si>
    <t>https://blog.naver.com/PostView.naver?blogId=ormaverh-m&amp;logNo=223900051944&amp;redirect=Dlog&amp;widgetTypeCall=true&amp;directAccess=false</t>
  </si>
  <si>
    <t>주거의 하이엔드, 이제는 영품아… 대구광역시 `어나드 범어` 견본주택 개관</t>
  </si>
  <si>
    <t>https://blog.naver.com/PostView.naver?blogId=gst3000&amp;logNo=223900044151&amp;redirect=Dlog&amp;widgetTypeCall=true&amp;directAccess=false</t>
  </si>
  <si>
    <t>라오꽁</t>
  </si>
  <si>
    <t>제주에서 언제든지 플로깅을</t>
  </si>
  <si>
    <t>https://blog.naver.com/PostView.naver?blogId=waho98&amp;logNo=223900009229&amp;redirect=Dlog&amp;widgetTypeCall=true&amp;directAccess=false</t>
  </si>
  <si>
    <t>캐서린</t>
  </si>
  <si>
    <t>효창공원역 백범김구기념관</t>
  </si>
  <si>
    <t>https://blog.naver.com/PostView.naver?blogId=seohoo_w0w&amp;logNo=223899992793&amp;redirect=Dlog&amp;widgetTypeCall=true&amp;directAccess=false</t>
  </si>
  <si>
    <t>잇슈 언니</t>
  </si>
  <si>
    <t>구혜선, 새 출발..</t>
  </si>
  <si>
    <t>https://blog.naver.com/PostView.naver?blogId=smartincome12&amp;logNo=223894658169&amp;redirect=Dlog&amp;widgetTypeCall=true&amp;directAccess=false</t>
  </si>
  <si>
    <t>아기자기</t>
  </si>
  <si>
    <t>금강산 화암사 - 강원도 고성 가볼만한 곳</t>
  </si>
  <si>
    <t>https://blog.naver.com/PostView.naver?blogId=mjj2746&amp;logNo=223899930592&amp;redirect=Dlog&amp;widgetTypeCall=true&amp;directAccess=false</t>
  </si>
  <si>
    <t>세븐틴, ‘THUNDER’로 음악방송 7관왕…정규 5집 돌풍 지속</t>
  </si>
  <si>
    <t>https://blog.naver.com/PostView.naver?blogId=news1star&amp;logNo=223899928898&amp;redirect=Dlog&amp;widgetTypeCall=true&amp;directAccess=false</t>
  </si>
  <si>
    <t>신성은아</t>
  </si>
  <si>
    <t>대형 평형' 프리미엄 주거단지... 포스코이앤씨 '어나드 범어' 604가구 분양일정 공개</t>
  </si>
  <si>
    <t>https://blog.naver.com/PostView.naver?blogId=fi43811&amp;logNo=223898288156&amp;redirect=Dlog&amp;widgetTypeCall=true&amp;directAccess=false</t>
  </si>
  <si>
    <t>드라마 &lt;노무사 노무진&gt;이 크게 두 갈래로 화제다. 김형민</t>
  </si>
  <si>
    <t>https://blog.naver.com/PostView.naver?blogId=kimdaisuke&amp;logNo=223899846106&amp;redirect=Dlog&amp;widgetTypeCall=true&amp;directAccess=false</t>
  </si>
  <si>
    <t>오지라퍼</t>
  </si>
  <si>
    <t>신애라, 사망설에 분노하며 직접 해명</t>
  </si>
  <si>
    <t>https://blog.naver.com/PostView.naver?blogId=nimy07&amp;logNo=223899813648&amp;redirect=Dlog&amp;widgetTypeCall=true&amp;directAccess=false</t>
  </si>
  <si>
    <t>국민의힘 국회의원 배준영 프로필 나이 고향 학력 경력 재산 "김민석 청문회 이틀은 부족"</t>
  </si>
  <si>
    <t>https://blog.naver.com/PostView.naver?blogId=happyair4&amp;logNo=223899800474&amp;redirect=Dlog&amp;widgetTypeCall=true&amp;directAccess=false</t>
  </si>
  <si>
    <t>하하, 심각한 눈 상태…결국 수술 결정? 보안경 쓰고 나타난 충격적 이유 (+눈 건강, 건강 악화, 무한도전)</t>
  </si>
  <si>
    <t>https://blog.naver.com/PostView.naver?blogId=qoswlfdl-&amp;logNo=223899776413&amp;redirect=Dlog&amp;widgetTypeCall=true&amp;directAccess=false</t>
  </si>
  <si>
    <t>제이홉 전참시 싹 다 털었다 향수부터 잠옷 석청꿀 립밤…(방콕 호텔 파자마 정체?) 대체 뭔데? (+패션, 뷰티, 라이프)</t>
  </si>
  <si>
    <t>https://blog.naver.com/PostView.naver?blogId=qoswlfdl-&amp;logNo=223899749203&amp;redirect=Dlog&amp;widgetTypeCall=true&amp;directAccess=false</t>
  </si>
  <si>
    <t>박정희대통령(1917년 11월 14일~1979년 10월 26일) (2)</t>
  </si>
  <si>
    <t>https://blog.naver.com/PostView.naver?blogId=om3000&amp;logNo=223899740584&amp;redirect=Dlog&amp;widgetTypeCall=true&amp;directAccess=false</t>
  </si>
  <si>
    <t>에이진</t>
  </si>
  <si>
    <t>11월인데 덕질로 시작하고 끝나는 포스팅+12월1일</t>
  </si>
  <si>
    <t>https://blog.naver.com/PostView.naver?blogId=laj9581&amp;logNo=223899717743&amp;redirect=Dlog&amp;widgetTypeCall=true&amp;directAccess=false</t>
  </si>
  <si>
    <t>성폭행 혐의 셰프 운영 일식집, 휴무 돌입 및 논란 확산</t>
  </si>
  <si>
    <t>https://blog.naver.com/PostView.naver?blogId=chikorita_&amp;logNo=223899447455&amp;redirect=Dlog&amp;widgetTypeCall=true&amp;directAccess=false</t>
  </si>
  <si>
    <t>검찰개혁 사법개혁…이번엔 진짜 될까? 목숨보다 빵이 우선? 그 공장 안에선 대체 무슨 일이 (+검찰, 사법, 노동)</t>
  </si>
  <si>
    <t>https://blog.naver.com/PostView.naver?blogId=qoswlfdl-&amp;logNo=223899635476&amp;redirect=Dlog&amp;widgetTypeCall=true&amp;directAccess=false</t>
  </si>
  <si>
    <t>한씨네 아재</t>
  </si>
  <si>
    <t>[이스라엘 이란 분쟁] 이스라엘-이란 끝없는 그림자 분쟁</t>
  </si>
  <si>
    <t>https://blog.naver.com/PostView.naver?blogId=wnnbc&amp;logNo=223899613211&amp;redirect=Dlog&amp;widgetTypeCall=true&amp;directAccess=false</t>
  </si>
  <si>
    <t>상암동고기집, 상암동한우: 상암고깃집 상암본점</t>
  </si>
  <si>
    <t>https://blog.naver.com/PostView.naver?blogId=cloudywood9&amp;logNo=223899609614&amp;redirect=Dlog&amp;widgetTypeCall=true&amp;directAccess=false</t>
  </si>
  <si>
    <t>죽음으로 알린 집단 괴롭힘 거리에 흩뿌려진 유서</t>
  </si>
  <si>
    <t>https://blog.naver.com/PostView.naver?blogId=yuriin13&amp;logNo=223899541464&amp;redirect=Dlog&amp;widgetTypeCall=true&amp;directAccess=false</t>
  </si>
  <si>
    <t>에스파, 세번째 월드투어 8월 서울서 글로벌 스포츠 중계방송 스트리밍 라이브 독점 생중계.</t>
  </si>
  <si>
    <t>https://blog.naver.com/PostView.naver?blogId=yujinho0713&amp;logNo=223899533198&amp;redirect=Dlog&amp;widgetTypeCall=true&amp;directAccess=false</t>
  </si>
  <si>
    <t>‘태계일주4’ 덱스, 아쉬운 하차…기안84·이시언의 절친 새 게스트는 누구?</t>
  </si>
  <si>
    <t>https://blog.naver.com/PostView.naver?blogId=apahghfej&amp;logNo=223899517487&amp;redirect=Dlog&amp;widgetTypeCall=true&amp;directAccess=false</t>
  </si>
  <si>
    <t>에이드</t>
  </si>
  <si>
    <t>우리는 모두 고귀하고 소중한 존재</t>
  </si>
  <si>
    <t>https://blog.naver.com/PostView.naver?blogId=yuae27&amp;logNo=223899490782&amp;redirect=Dlog&amp;widgetTypeCall=true&amp;directAccess=false</t>
  </si>
  <si>
    <t>allaboutball</t>
  </si>
  <si>
    <t>lux_____</t>
  </si>
  <si>
    <t>학생의 눈으로 다시 쓴 5·18 민주화운동</t>
  </si>
  <si>
    <t>https://blog.naver.com/PostView.naver?blogId=lux_____&amp;logNo=223899467715&amp;redirect=Dlog&amp;widgetTypeCall=true&amp;directAccess=false</t>
  </si>
  <si>
    <t>검찰개혁 사법개혁, 이번엔 진짜? …빵 공장 잔혹사, 목숨보다 빵이 먼저? (+검찰개혁, 사법개혁, 노동환경)</t>
  </si>
  <si>
    <t>https://blog.naver.com/PostView.naver?blogId=ovonews&amp;logNo=223899460496&amp;redirect=Dlog&amp;widgetTypeCall=true&amp;directAccess=false</t>
  </si>
  <si>
    <t>박견</t>
  </si>
  <si>
    <t>2025 제주 올레길 백패킹(3): 12코스, 13코스</t>
  </si>
  <si>
    <t>https://blog.naver.com/PostView.naver?blogId=giyeon_park&amp;logNo=223899443891&amp;redirect=Dlog&amp;widgetTypeCall=true&amp;directAccess=false</t>
  </si>
  <si>
    <t>노무사 노무진 6화 대학교 부당해고 갑질 편의점 알바생 허윤재 사망? 6회 리뷰(+7화)</t>
  </si>
  <si>
    <t>https://blog.naver.com/PostView.naver?blogId=hyebright&amp;logNo=223899428890&amp;redirect=Dlog&amp;widgetTypeCall=true&amp;directAccess=false</t>
  </si>
  <si>
    <t>수하</t>
  </si>
  <si>
    <t>5月</t>
  </si>
  <si>
    <t>https://blog.naver.com/PostView.naver?blogId=tomatomat0o&amp;logNo=223899415254&amp;redirect=Dlog&amp;widgetTypeCall=true&amp;directAccess=false</t>
  </si>
  <si>
    <t>브이씨</t>
  </si>
  <si>
    <t>그냥 살았다.</t>
  </si>
  <si>
    <t>https://blog.naver.com/PostView.naver?blogId=na1bi0102&amp;logNo=223899403482&amp;redirect=Dlog&amp;widgetTypeCall=true&amp;directAccess=false</t>
  </si>
  <si>
    <t>전참시 제이홉 월드투어 입대 전부터 세운 3년치 계획</t>
  </si>
  <si>
    <t>https://blog.naver.com/PostView.naver?blogId=richman_v&amp;logNo=223899386167&amp;redirect=Dlog&amp;widgetTypeCall=true&amp;directAccess=false</t>
  </si>
  <si>
    <t>미라클모닝</t>
  </si>
  <si>
    <t>[부동산 뉴스]06.15(일)“노원마저 2배 올랐다” 서울 전역 오름세 확산</t>
  </si>
  <si>
    <t>https://blog.naver.com/PostView.naver?blogId=miraclemoring_&amp;logNo=223899385027&amp;redirect=Dlog&amp;widgetTypeCall=true&amp;directAccess=false</t>
  </si>
  <si>
    <t>안동댁</t>
  </si>
  <si>
    <t>안동맛집, 소문난 메밀 막국수</t>
  </si>
  <si>
    <t>https://blog.naver.com/PostView.naver?blogId=minjin2370&amp;logNo=223899385382&amp;redirect=Dlog&amp;widgetTypeCall=true&amp;directAccess=false</t>
  </si>
  <si>
    <t>탤런트임채무</t>
  </si>
  <si>
    <t>https://blog.naver.com/PostView.naver?blogId=yang83529&amp;logNo=223899380920&amp;redirect=Dlog&amp;widgetTypeCall=true&amp;directAccess=false</t>
  </si>
  <si>
    <t>탤런트故김기일</t>
  </si>
  <si>
    <t>https://blog.naver.com/PostView.naver?blogId=yang83529&amp;logNo=223899380054&amp;redirect=Dlog&amp;widgetTypeCall=true&amp;directAccess=false</t>
  </si>
  <si>
    <t>아사돌</t>
  </si>
  <si>
    <t>내 안에 숨은 끼</t>
  </si>
  <si>
    <t>https://blog.naver.com/PostView.naver?blogId=dolse6&amp;logNo=223899360627&amp;redirect=Dlog&amp;widgetTypeCall=true&amp;directAccess=false</t>
  </si>
  <si>
    <t>토끼마멜</t>
  </si>
  <si>
    <t>1176회 로또 결과, 이번 조합, 완전 예상 밖이었다</t>
  </si>
  <si>
    <t>https://blog.naver.com/PostView.naver?blogId=akflf1224&amp;logNo=223899360422&amp;redirect=Dlog&amp;widgetTypeCall=true&amp;directAccess=false</t>
  </si>
  <si>
    <t>flower 길</t>
  </si>
  <si>
    <t>주말 노래 산책, Playground in My Mind (내 마음속의 놀이터). 번안곡, 어린 시절</t>
  </si>
  <si>
    <t>https://blog.naver.com/PostView.naver?blogId=kdisnm&amp;logNo=223899332835&amp;redirect=Dlog&amp;widgetTypeCall=true&amp;directAccess=false</t>
  </si>
  <si>
    <t>김수지 아나운서, 전참시 N잡러 일상 최초 공개…대체 무슨 일?! (+프로필, 인스타, 나무위키)</t>
  </si>
  <si>
    <t>https://blog.naver.com/PostView.naver?blogId=qoswlfdl-&amp;logNo=223899328614&amp;redirect=Dlog&amp;widgetTypeCall=true&amp;directAccess=false</t>
  </si>
  <si>
    <t>어제보다 The나은 나</t>
  </si>
  <si>
    <t>영화로 만나는 우리들의 슈퍼스타</t>
  </si>
  <si>
    <t>https://blog.naver.com/PostView.naver?blogId=yoojinpooh&amp;logNo=223899321077&amp;redirect=Dlog&amp;widgetTypeCall=true&amp;directAccess=false</t>
  </si>
  <si>
    <t>방화죄. 구속영장 발부 운용 기준은 - 대구 형사소송 전문변호사</t>
  </si>
  <si>
    <t>https://blog.naver.com/PostView.naver?blogId=advocation&amp;logNo=223899318389&amp;redirect=Dlog&amp;widgetTypeCall=true&amp;directAccess=false</t>
  </si>
  <si>
    <t>Sunny Yoon</t>
  </si>
  <si>
    <t>노무사 노무진6화6회예고"우리가 아니라"MBC 금토밤9시50분/정경호 설인아 차학연</t>
  </si>
  <si>
    <t>https://blog.naver.com/PostView.naver?blogId=sunny_yoon29&amp;logNo=223899312346&amp;redirect=Dlog&amp;widgetTypeCall=true&amp;directAccess=false</t>
  </si>
  <si>
    <t>네오</t>
  </si>
  <si>
    <t>상암MBC에서 본 걸그룹 ITZY 있지</t>
  </si>
  <si>
    <t>https://blog.naver.com/PostView.naver?blogId=taeny1&amp;logNo=223899302468&amp;redirect=Dlog&amp;widgetTypeCall=true&amp;directAccess=false</t>
  </si>
  <si>
    <t>동연</t>
  </si>
  <si>
    <t>2025 프로야구 시청률 순위 (6/14)</t>
  </si>
  <si>
    <t>https://blog.naver.com/PostView.naver?blogId=dream_127&amp;logNo=223899291331&amp;redirect=Dlog&amp;widgetTypeCall=true&amp;directAccess=false</t>
  </si>
  <si>
    <t>SungA</t>
  </si>
  <si>
    <t>[앨범리뷰] RIIZE의 Odyssey</t>
  </si>
  <si>
    <t>https://blog.naver.com/PostView.naver?blogId=dennis26&amp;logNo=223899273150&amp;redirect=Dlog&amp;widgetTypeCall=true&amp;directAccess=false</t>
  </si>
  <si>
    <t>PEP47</t>
  </si>
  <si>
    <t>정인덕 4주·양홍석 8주' 안도의 한숨 내쉰 LG, 전성현은 어떻게?</t>
  </si>
  <si>
    <t>https://blog.naver.com/PostView.naver?blogId=sports_complex&amp;logNo=223899255322&amp;redirect=Dlog&amp;widgetTypeCall=true&amp;directAccess=false</t>
  </si>
  <si>
    <t>거누아범</t>
  </si>
  <si>
    <t>랄랄 부캐 율 90년대 감성으로 컴백하다</t>
  </si>
  <si>
    <t>https://blog.naver.com/PostView.naver?blogId=geonupapa&amp;logNo=223899225869&amp;redirect=Dlog&amp;widgetTypeCall=true&amp;directAccess=false</t>
  </si>
  <si>
    <t>이든케</t>
  </si>
  <si>
    <t>[7월 4, 5주] Don't you know how sweet it tastes 🍬</t>
  </si>
  <si>
    <t>https://blog.naver.com/PostView.naver?blogId=cadenyooo&amp;logNo=223899218288&amp;redirect=Dlog&amp;widgetTypeCall=true&amp;directAccess=false</t>
  </si>
  <si>
    <t>미뇽몬</t>
  </si>
  <si>
    <t>좋아하는 사람이 생겼다.</t>
  </si>
  <si>
    <t>https://blog.naver.com/PostView.naver?blogId=smy6547&amp;logNo=223899215680&amp;redirect=Dlog&amp;widgetTypeCall=true&amp;directAccess=false</t>
  </si>
  <si>
    <t>심야괴담회4 18회 패밀리 레스토랑 유니폼의 저주 괴담 무서운 귀신 이야기 다시보기 재방송 레전드</t>
  </si>
  <si>
    <t>https://blog.naver.com/PostView.naver?blogId=tobao0318&amp;logNo=223899200096&amp;redirect=Dlog&amp;widgetTypeCall=true&amp;directAccess=false</t>
  </si>
  <si>
    <t>단순 기술이 아니라 예술의 경지!!</t>
  </si>
  <si>
    <t>https://blog.naver.com/PostView.naver?blogId=wongoklaw&amp;logNo=223899185293&amp;redirect=Dlog&amp;widgetTypeCall=true&amp;directAccess=false</t>
  </si>
  <si>
    <t>1994년 한국프로야구게임</t>
  </si>
  <si>
    <t>https://blog.naver.com/PostView.naver?blogId=bluenix37&amp;logNo=223899119788&amp;redirect=Dlog&amp;widgetTypeCall=true&amp;directAccess=false</t>
  </si>
  <si>
    <t>순둥이 짐승</t>
  </si>
  <si>
    <t>신입 사원 고강용의 허겁지겁 아침, 나 혼자 산다</t>
  </si>
  <si>
    <t>https://blog.naver.com/PostView.naver?blogId=jskalex&amp;logNo=223899119637&amp;redirect=Dlog&amp;widgetTypeCall=true&amp;directAccess=false</t>
  </si>
  <si>
    <t>17분전</t>
  </si>
  <si>
    <t>박영규 와이프 아내(25세연하) (Feat. 4번째 결혼, 그동안의 부인들은 누구일까 정리)</t>
  </si>
  <si>
    <t>https://blog.naver.com/PostView.naver?blogId=17m_ago&amp;logNo=223899115529&amp;redirect=Dlog&amp;widgetTypeCall=true&amp;directAccess=false</t>
  </si>
  <si>
    <t>나 혼자 산다·배우 구성환 겨드랑이 미인 등극? 프로필·집 천호동 복층집·매니저</t>
  </si>
  <si>
    <t>https://blog.naver.com/PostView.naver?blogId=lilycole2006&amp;logNo=223899034182&amp;redirect=Dlog&amp;widgetTypeCall=true&amp;directAccess=false</t>
  </si>
  <si>
    <t>zkimsonet</t>
  </si>
  <si>
    <t>가수 유니 ‘딱좋아’로 왕성한 활동 보여</t>
  </si>
  <si>
    <t>https://blog.naver.com/PostView.naver?blogId=zkimsonet&amp;logNo=223899022277&amp;redirect=Dlog&amp;widgetTypeCall=true&amp;directAccess=false</t>
  </si>
  <si>
    <t>백종원, 지역축제 식자재 유통기한 논란</t>
  </si>
  <si>
    <t>https://blog.naver.com/PostView.naver?blogId=fortenball&amp;logNo=223899009735&amp;redirect=Dlog&amp;widgetTypeCall=true&amp;directAccess=false</t>
  </si>
  <si>
    <t>lovelypori99</t>
  </si>
  <si>
    <t>오광수 민정수석 사퇴... 새정부 첫 고위직 낙마</t>
  </si>
  <si>
    <t>https://blog.naver.com/PostView.naver?blogId=lovelypori99&amp;logNo=223899009240&amp;redirect=Dlog&amp;widgetTypeCall=true&amp;directAccess=false</t>
  </si>
  <si>
    <t>일소일소</t>
  </si>
  <si>
    <t>음성)가섭산 봉수대, 가섭사,채석장</t>
  </si>
  <si>
    <t>https://blog.naver.com/PostView.naver?blogId=yoonhj21&amp;logNo=223899008171&amp;redirect=Dlog&amp;widgetTypeCall=true&amp;directAccess=false</t>
  </si>
  <si>
    <t>중부내륙고속도로 상주나들목 인근, 25톤 화물차와 승용차 4대 추돌 사고 발생</t>
  </si>
  <si>
    <t>https://blog.naver.com/PostView.naver?blogId=krsongc2&amp;logNo=223899005663&amp;redirect=Dlog&amp;widgetTypeCall=true&amp;directAccess=false</t>
  </si>
  <si>
    <t>김대호, 옥자연과 좁은 주방 밀착 “오늘 약간 설레서…” 나혼산 설렘 기류 폭발</t>
  </si>
  <si>
    <t>https://blog.naver.com/PostView.naver?blogId=picklenews&amp;logNo=223898945602&amp;redirect=Dlog&amp;widgetTypeCall=true&amp;directAccess=false</t>
  </si>
  <si>
    <t>정치를 위해 만든 분쟁, 그 끝은?</t>
  </si>
  <si>
    <t>https://blog.naver.com/PostView.naver?blogId=sunmen77&amp;logNo=223898928130&amp;redirect=Dlog&amp;widgetTypeCall=true&amp;directAccess=false</t>
  </si>
  <si>
    <t>백수엄마</t>
  </si>
  <si>
    <t>노무사 노무진 정보 등장인물 인물관계도 모티브 실화 회차 몇부작 사전촬영 특별출연 에피소드 OST 등 정경호 설인아차학연 외</t>
  </si>
  <si>
    <t>https://blog.naver.com/PostView.naver?blogId=v20208&amp;logNo=223898924892&amp;redirect=Dlog&amp;widgetTypeCall=true&amp;directAccess=false</t>
  </si>
  <si>
    <t>Retroactive</t>
  </si>
  <si>
    <t>옛날 드라마 시리즈 3.한국 수사극의 원형, 《수사반장》</t>
  </si>
  <si>
    <t>https://blog.naver.com/PostView.naver?blogId=hsj6807_&amp;logNo=223898919016&amp;redirect=Dlog&amp;widgetTypeCall=true&amp;directAccess=false</t>
  </si>
  <si>
    <t>경찰, 마약 투약 신남성연대 간부 검찰 송치..‘조커’ 분장, ‘캡틴’ 복장 난동 부리다..마약 ‘철컹’그들의 최후</t>
  </si>
  <si>
    <t>https://blog.naver.com/PostView.naver?blogId=primakyh1225&amp;logNo=223898912570&amp;redirect=Dlog&amp;widgetTypeCall=true&amp;directAccess=false</t>
  </si>
  <si>
    <t>김건희 삼킨 ‘신명’ 김규리 “‘빨리 뱉으라’고 많은 분들 그러더라”</t>
  </si>
  <si>
    <t>https://blog.naver.com/PostView.naver?blogId=atraxia123&amp;logNo=223898440468&amp;redirect=Dlog&amp;widgetTypeCall=true&amp;directAccess=false</t>
  </si>
  <si>
    <t>🍽️ 백종원 ‘지역 축제 식자재’ 논란… 유통기한 지난 제품 사용 의혹 제기</t>
  </si>
  <si>
    <t>https://blog.naver.com/PostView.naver?blogId=reviewangel&amp;logNo=223898874086&amp;redirect=Dlog&amp;widgetTypeCall=true&amp;directAccess=false</t>
  </si>
  <si>
    <t>Philolingua</t>
  </si>
  <si>
    <t>지금(the present), 감사일기</t>
  </si>
  <si>
    <t>https://blog.naver.com/PostView.naver?blogId=popping_up&amp;logNo=223898873681&amp;redirect=Dlog&amp;widgetTypeCall=true&amp;directAccess=false</t>
  </si>
  <si>
    <t>지기자</t>
  </si>
  <si>
    <t>경제발전 위해 비상계엄 선포?...초등노조 "정치적 목적·의도 없어"</t>
  </si>
  <si>
    <t>https://blog.naver.com/PostView.naver?blogId=casaji7715&amp;logNo=223898863845&amp;redirect=Dlog&amp;widgetTypeCall=true&amp;directAccess=false</t>
  </si>
  <si>
    <t>김학의 수사 외압 의혹' 이성윤도 무죄‥"가장 부끄러운 사건" (2025.06.12/뉴스데스크/MBC)</t>
  </si>
  <si>
    <t>https://blog.naver.com/PostView.naver?blogId=hansol4755&amp;logNo=223898857215&amp;redirect=Dlog&amp;widgetTypeCall=true&amp;directAccess=false</t>
  </si>
  <si>
    <t>은평구 불광동 주방 환풍기 렌지 후드 교체 청소 했어여 ~</t>
  </si>
  <si>
    <t>https://blog.naver.com/PostView.naver?blogId=vvbb5000&amp;logNo=223897398358&amp;redirect=Dlog&amp;widgetTypeCall=true&amp;directAccess=false</t>
  </si>
  <si>
    <t>또영차영차</t>
  </si>
  <si>
    <t>5월 마지막 일상💛 (5월 26일~6월 1일)</t>
  </si>
  <si>
    <t>https://blog.naver.com/PostView.naver?blogId=ssolog_0&amp;logNo=223898589795&amp;redirect=Dlog&amp;widgetTypeCall=true&amp;directAccess=false</t>
  </si>
  <si>
    <t>노무사 노무진 청소 노동자 교양 시험 거부할 권리 5화 × 6화 노동 조합 창설</t>
  </si>
  <si>
    <t>https://blog.naver.com/PostView.naver?blogId=naamoo65&amp;logNo=223898838356&amp;redirect=Dlog&amp;widgetTypeCall=true&amp;directAccess=false</t>
  </si>
  <si>
    <t>김대호·옥자연, 자연 속 교감…공통 관심사로 가까워진 두 사람 (‘나혼산’)</t>
  </si>
  <si>
    <t>https://blog.naver.com/PostView.naver?blogId=reviewjoa&amp;logNo=223898833116&amp;redirect=Dlog&amp;widgetTypeCall=true&amp;directAccess=false</t>
  </si>
  <si>
    <t>한결채움</t>
  </si>
  <si>
    <t>김재환PD의 폭로, 백종원 지역축제 식자재 논란의 본질은?</t>
  </si>
  <si>
    <t>https://blog.naver.com/PostView.naver?blogId=thinkhigh1&amp;logNo=223898829474&amp;redirect=Dlog&amp;widgetTypeCall=true&amp;directAccess=false</t>
  </si>
  <si>
    <t>유기농 별이네귤</t>
  </si>
  <si>
    <t>보이는 게 전부 진실은 아니다.</t>
  </si>
  <si>
    <t>https://blog.naver.com/PostView.naver?blogId=angela5077&amp;logNo=223898815773&amp;redirect=Dlog&amp;widgetTypeCall=true&amp;directAccess=false</t>
  </si>
  <si>
    <t>백살공주ㅡ백공</t>
  </si>
  <si>
    <t>스트레스) 비 내리는 섬강보며</t>
  </si>
  <si>
    <t>https://blog.naver.com/PostView.naver?blogId=cockokmam&amp;logNo=223898811221&amp;redirect=Dlog&amp;widgetTypeCall=true&amp;directAccess=false</t>
  </si>
  <si>
    <t>김영태</t>
  </si>
  <si>
    <t>MBC방송촬영!!!</t>
  </si>
  <si>
    <t>https://blog.naver.com/PostView.naver?blogId=aaronk95&amp;logNo=223898805656&amp;redirect=Dlog&amp;widgetTypeCall=true&amp;directAccess=false</t>
  </si>
  <si>
    <t>으나씨</t>
  </si>
  <si>
    <t>텃밭 같은 하루, 그 끝에 닿은 자랑스러움</t>
  </si>
  <si>
    <t>https://blog.naver.com/PostView.naver?blogId=dldmsdk52&amp;logNo=223898804303&amp;redirect=Dlog&amp;widgetTypeCall=true&amp;directAccess=false</t>
  </si>
  <si>
    <t>하마</t>
  </si>
  <si>
    <t>goldsea59</t>
  </si>
  <si>
    <t>{ 알고듣는 추억노래} 216화  🍒그대 먼 곳에🍒         2025.6.14</t>
  </si>
  <si>
    <t>https://blog.naver.com/PostView.naver?blogId=goldsea59&amp;logNo=223898787519&amp;redirect=Dlog&amp;widgetTypeCall=true&amp;directAccess=false</t>
  </si>
  <si>
    <t>퍼니처마켓</t>
  </si>
  <si>
    <t>2025년 7월 전국 입주 예정 아파트 단지 현황</t>
  </si>
  <si>
    <t>https://blog.naver.com/PostView.naver?blogId=fmkshop&amp;logNo=223898516396&amp;redirect=Dlog&amp;widgetTypeCall=true&amp;directAccess=false</t>
  </si>
  <si>
    <t>v이슈토리v</t>
  </si>
  <si>
    <t>한창 잘 나갔던 배우 김인순.. 갑자기 사라졌던 이유가 이거였다니.. 너무 안타깝다..</t>
  </si>
  <si>
    <t>https://blog.naver.com/PostView.naver?blogId=happycatom&amp;logNo=223898187107&amp;redirect=Dlog&amp;widgetTypeCall=true&amp;directAccess=false</t>
  </si>
  <si>
    <t>뷰티인사이트v</t>
  </si>
  <si>
    <t>18년만에 이혼한 것도 충격인데 이혼후 온 가족이 함께 여행을 다시 다닌다는 윤민수 김민지 가족.. 오.. 뭘까? 이 가족.. 궁금하다..!!</t>
  </si>
  <si>
    <t>https://blog.naver.com/PostView.naver?blogId=celebinsight&amp;logNo=223898607906&amp;redirect=Dlog&amp;widgetTypeCall=true&amp;directAccess=false</t>
  </si>
  <si>
    <t>이재명 정부 첫 여당 원내대표 '김병기' 프로필과 논란</t>
  </si>
  <si>
    <t>https://blog.naver.com/PostView.naver?blogId=outofpress&amp;logNo=223898665144&amp;redirect=Dlog&amp;widgetTypeCall=true&amp;directAccess=false</t>
  </si>
  <si>
    <t>nacho</t>
  </si>
  <si>
    <t>치열한 이 세상에서 살아남는 법 ~~ㅋㅋ</t>
  </si>
  <si>
    <t>https://blog.naver.com/PostView.naver?blogId=ann1458&amp;logNo=223898659573&amp;redirect=Dlog&amp;widgetTypeCall=true&amp;directAccess=false</t>
  </si>
  <si>
    <t>‘감성 항해’ 나선 HYNN, 단독 콘서트 앞두고 진심 담은 고백</t>
  </si>
  <si>
    <t>https://blog.naver.com/PostView.naver?blogId=kstarfashion&amp;logNo=223898615929&amp;redirect=Dlog&amp;widgetTypeCall=true&amp;directAccess=false</t>
  </si>
  <si>
    <t>?? 지금 나혼자산다 나오는 MBC 신입아나운서 무려 대학농구리그 캐스터 출신?? 에에에에엥?</t>
  </si>
  <si>
    <t>https://blog.naver.com/PostView.naver?blogId=starring___&amp;logNo=223898612020&amp;redirect=Dlog&amp;widgetTypeCall=true&amp;directAccess=false</t>
  </si>
  <si>
    <t>날아라</t>
  </si>
  <si>
    <t>영이</t>
  </si>
  <si>
    <t>수(Sue) 1집 - Various</t>
  </si>
  <si>
    <t>https://blog.naver.com/PostView.naver?blogId=dooemr222&amp;logNo=223898590699&amp;redirect=Dlog&amp;widgetTypeCall=true&amp;directAccess=false</t>
  </si>
  <si>
    <t>서천 양계장 자연 방사 달걀 유정란 나 혼자 산다 양계장</t>
  </si>
  <si>
    <t>https://blog.naver.com/PostView.naver?blogId=jmjm3060&amp;logNo=223898565298&amp;redirect=Dlog&amp;widgetTypeCall=true&amp;directAccess=false</t>
  </si>
  <si>
    <t>실버린</t>
  </si>
  <si>
    <t>정지소 &amp; 차학연 주연 음악 영화 태양의 노래 후기(음악 감독 이찬혁)</t>
  </si>
  <si>
    <t>https://blog.naver.com/PostView.naver?blogId=silver1ne&amp;logNo=223898552384&amp;redirect=Dlog&amp;widgetTypeCall=true&amp;directAccess=false</t>
  </si>
  <si>
    <t>"병원에 좀비 출몰!" MBC 주말드라마 나는살아있다 줄거리 작가 시청률 웨이브 한국 의학 범죄 스릴러 액션 막장 공포 일요일 웹 드라마 추천</t>
  </si>
  <si>
    <t>https://blog.naver.com/PostView.naver?blogId=kws3128pdm&amp;logNo=223898544306&amp;redirect=Dlog&amp;widgetTypeCall=true&amp;directAccess=false</t>
  </si>
  <si>
    <t>"위안부는 자발적 매춘" 류석춘 전 연세대 교수 패소‥'5백만 원 배상'. 너무 적다.</t>
  </si>
  <si>
    <t>https://blog.naver.com/PostView.naver?blogId=lkl7383&amp;logNo=223898531297&amp;redirect=Dlog&amp;widgetTypeCall=true&amp;directAccess=false</t>
  </si>
  <si>
    <t>티빙+웨이브 합병임박: CJ ENM, SK스퀘어 주가는?승자는 어디?</t>
  </si>
  <si>
    <t>https://blog.naver.com/PostView.naver?blogId=marchwave87&amp;logNo=223898527000&amp;redirect=Dlog&amp;widgetTypeCall=true&amp;directAccess=false</t>
  </si>
  <si>
    <t>코인캐는 피크민</t>
  </si>
  <si>
    <t>리박스쿨 뜻, 늘봄학교 논란과 학교 리스트까지 정리</t>
  </si>
  <si>
    <t>https://blog.naver.com/PostView.naver?blogId=searomin&amp;logNo=223898521556&amp;redirect=Dlog&amp;widgetTypeCall=true&amp;directAccess=false</t>
  </si>
  <si>
    <t>권똘똘</t>
  </si>
  <si>
    <t>청산</t>
  </si>
  <si>
    <t>동 신천 조합 총회 참석</t>
  </si>
  <si>
    <t>https://blog.naver.com/PostView.naver?blogId=choitj42&amp;logNo=223898495148&amp;redirect=Dlog&amp;widgetTypeCall=true&amp;directAccess=false</t>
  </si>
  <si>
    <t>궁금한 이야기 Y 736화 첫번째 이야기 - 신종 보이스피싱? 유명 방송사와 연예인을 사칭한 노쇼사태에 관하여</t>
  </si>
  <si>
    <t>https://blog.naver.com/PostView.naver?blogId=ham6870&amp;logNo=223898484326&amp;redirect=Dlog&amp;widgetTypeCall=true&amp;directAccess=false</t>
  </si>
  <si>
    <t>KNN NEWS ~ [공식]새날님의 오늘자 윤석열, 이재명 소식. 여당 향해 경고장 내민 전한길. 이재명 대통령이 일처리하는 모습! 나라가 뒤집어질 제보, 검찰 해체가 확실한 이유</t>
  </si>
  <si>
    <t>https://blog.naver.com/PostView.naver?blogId=wishut3281&amp;logNo=223898479811&amp;redirect=Dlog&amp;widgetTypeCall=true&amp;directAccess=false</t>
  </si>
  <si>
    <t>김병기 민주당 새 원내대표, 이재명의 블랙요원 그리고 민주당의 최종병기라 불리는 이유와 프로필</t>
  </si>
  <si>
    <t>https://blog.naver.com/PostView.naver?blogId=moonlife_kr&amp;logNo=223898435716&amp;redirect=Dlog&amp;widgetTypeCall=true&amp;directAccess=false</t>
  </si>
  <si>
    <t>"후추 브라더스 분열 위기?" 전현무·구성환, 논밭에서 터진 진심 (나혼산)</t>
  </si>
  <si>
    <t>https://blog.naver.com/PostView.naver?blogId=apahghfej&amp;logNo=223898419297&amp;redirect=Dlog&amp;widgetTypeCall=true&amp;directAccess=false</t>
  </si>
  <si>
    <t>노무사 노무진 청소노동자 김영숙 강애심 전국향 엄마 양은자 대학교에서 무슨 일? 5회 MBC 금토드라마</t>
  </si>
  <si>
    <t>https://blog.naver.com/PostView.naver?blogId=chummilmil99&amp;logNo=223898392574&amp;redirect=Dlog&amp;widgetTypeCall=true&amp;directAccess=false</t>
  </si>
  <si>
    <t>신동엽 "이민정♥이병헌 집서 뒤풀이" 깜짝 폭로 무슨 일?[가오정]</t>
  </si>
  <si>
    <t>https://blog.naver.com/PostView.naver?blogId=wonogi&amp;logNo=223896605278&amp;redirect=Dlog&amp;widgetTypeCall=true&amp;directAccess=false</t>
  </si>
  <si>
    <t>요술램프 지니</t>
  </si>
  <si>
    <t>K-저작권 지킴이 발대식</t>
  </si>
  <si>
    <t>https://blog.naver.com/PostView.naver?blogId=choijin9536&amp;logNo=223898375442&amp;redirect=Dlog&amp;widgetTypeCall=true&amp;directAccess=false</t>
  </si>
  <si>
    <t>태양을 삼킨 여자 5회, 이루다 폭행 가해자가 바뀌었다</t>
  </si>
  <si>
    <t>https://blog.naver.com/PostView.naver?blogId=gktkrk&amp;logNo=223898368246&amp;redirect=Dlog&amp;widgetTypeCall=true&amp;directAccess=false</t>
  </si>
  <si>
    <t>[공유] [오늘 이 뉴스] "못 오실 줄 알았는데" 글썽 李 시간 쪼개 찾아간 곳은.. (2025.06.13/MBC뉴스)</t>
  </si>
  <si>
    <t>https://blog.naver.com/PostView.naver?blogId=yjhyjhy&amp;logNo=223898337235&amp;redirect=Dlog&amp;widgetTypeCall=true&amp;directAccess=false</t>
  </si>
  <si>
    <t>굄</t>
  </si>
  <si>
    <t>일상블로그:: 80. 태어나서 본 것 중에 제일 커다란 꽃</t>
  </si>
  <si>
    <t>https://blog.naver.com/PostView.naver?blogId=gorgsy&amp;logNo=223898334325&amp;redirect=Dlog&amp;widgetTypeCall=true&amp;directAccess=false</t>
  </si>
  <si>
    <t>MBC HRD Center</t>
  </si>
  <si>
    <t>[3과정]언리얼5를 이용한 미디어 엔터테이먼트 콘텐츠 전문가 양성과정 9기 1차 프로젝트 발표! - MBC HRD 센터</t>
  </si>
  <si>
    <t>https://blog.naver.com/PostView.naver?blogId=mbchrd_official&amp;logNo=223898316693&amp;redirect=Dlog&amp;widgetTypeCall=true&amp;directAccess=false</t>
  </si>
  <si>
    <t>“우리 집이 휴양지”…브라이언, 300평 대저택 근황 공개</t>
  </si>
  <si>
    <t>https://blog.naver.com/PostView.naver?blogId=news1star&amp;logNo=223898288675&amp;redirect=Dlog&amp;widgetTypeCall=true&amp;directAccess=false</t>
  </si>
  <si>
    <t>갑자기 빵 터진 LG 회장</t>
  </si>
  <si>
    <t>https://blog.naver.com/PostView.naver?blogId=ahading&amp;logNo=223898263996&amp;redirect=Dlog&amp;widgetTypeCall=true&amp;directAccess=false</t>
  </si>
  <si>
    <t>포스코이앤씨, 대구서 ‘어나드 범어’본격 분양                                       견본주택 개관···전용면적 136~244㎡, 604가구 분양</t>
  </si>
  <si>
    <t>https://blog.naver.com/PostView.naver?blogId=newsnanumy&amp;logNo=223898244763&amp;redirect=Dlog&amp;widgetTypeCall=true&amp;directAccess=false</t>
  </si>
  <si>
    <t>소율</t>
  </si>
  <si>
    <t>장마 전, 아들산...보은 금적산</t>
  </si>
  <si>
    <t>https://blog.naver.com/PostView.naver?blogId=pjmng&amp;logNo=223898230079&amp;redirect=Dlog&amp;widgetTypeCall=true&amp;directAccess=false</t>
  </si>
  <si>
    <t>유명 일식집 셰프, 여직원 성폭행 혐의로 수사 중…'상습 폭언·폭행' 주장도 제기돼</t>
  </si>
  <si>
    <t>https://blog.naver.com/PostView.naver?blogId=lsb3002&amp;logNo=223898224924&amp;redirect=Dlog&amp;widgetTypeCall=true&amp;directAccess=false</t>
  </si>
  <si>
    <t>윤석열 부부 소재 영화 ‘신명’ 46만 관객 돌파</t>
  </si>
  <si>
    <t>https://blog.naver.com/PostView.naver?blogId=joayo21&amp;logNo=223898222383&amp;redirect=Dlog&amp;widgetTypeCall=true&amp;directAccess=false</t>
  </si>
  <si>
    <t>실화탐사대 315회 아산 택시기사 사망 사고 범인은 무면허 미성년자 렌트카 중앙분리대 파편</t>
  </si>
  <si>
    <t>https://blog.naver.com/PostView.naver?blogId=tobao0318&amp;logNo=223898200491&amp;redirect=Dlog&amp;widgetTypeCall=true&amp;directAccess=false</t>
  </si>
  <si>
    <t>은사자</t>
  </si>
  <si>
    <t>[영화] 감독과 페르소나 5편 _ 봉준호 감독 &amp; 변희봉 배우 작품 추천작 소개</t>
  </si>
  <si>
    <t>https://blog.naver.com/PostView.naver?blogId=just_do_it2023&amp;logNo=223897562464&amp;redirect=Dlog&amp;widgetTypeCall=true&amp;directAccess=false</t>
  </si>
  <si>
    <t>"우리 결혼했어요 리부트?" 변요한·차주영, 육수 광고로 폭소 유발</t>
  </si>
  <si>
    <t>https://blog.naver.com/PostView.naver?blogId=apahghfej&amp;logNo=223898150529&amp;redirect=Dlog&amp;widgetTypeCall=true&amp;directAccess=false</t>
  </si>
  <si>
    <t>실화탐사대 315회 교회에서 생활 한 엄마 죽음의 비밀 계부와 목사 정 씨의 가스라이팅</t>
  </si>
  <si>
    <t>https://blog.naver.com/PostView.naver?blogId=tobao0318&amp;logNo=223898133285&amp;redirect=Dlog&amp;widgetTypeCall=true&amp;directAccess=false</t>
  </si>
  <si>
    <t>권민찬</t>
  </si>
  <si>
    <t>첫 단추 끼워놓기</t>
  </si>
  <si>
    <t>https://blog.naver.com/PostView.naver?blogId=mc0527123&amp;logNo=223898119918&amp;redirect=Dlog&amp;widgetTypeCall=true&amp;directAccess=false</t>
  </si>
  <si>
    <t>250613 나 혼자 산다 600회 예고 / “나 죽겠어요” 구성환, 극한 노동에 식욕까지 저하(나혼산)</t>
  </si>
  <si>
    <t>https://blog.naver.com/PostView.naver?blogId=kbmbc_8919&amp;logNo=223898119884&amp;redirect=Dlog&amp;widgetTypeCall=true&amp;directAccess=false</t>
  </si>
  <si>
    <t>"엄현경♥︎" 차서원, 득남 2년 만에 감동의 겹경사…보건복지부 장관 표창 수상까지</t>
  </si>
  <si>
    <t>https://blog.naver.com/PostView.naver?blogId=apahghfej&amp;logNo=223898116881&amp;redirect=Dlog&amp;widgetTypeCall=true&amp;directAccess=false</t>
  </si>
  <si>
    <t>[우리집 가는 길] 대구 수성구 범어동 '어나드 범어'</t>
  </si>
  <si>
    <t>https://blog.naver.com/PostView.naver?blogId=wlvtimes&amp;logNo=223898096064&amp;redirect=Dlog&amp;widgetTypeCall=true&amp;directAccess=false</t>
  </si>
  <si>
    <t>경남탑뉴스</t>
  </si>
  <si>
    <t>합천군 합천읍 안계마을 이영수 이장의 아들 이경진·사위 이기우, 고향사랑기부금 기탁</t>
  </si>
  <si>
    <t>https://blog.naver.com/PostView.naver?blogId=jbkjbk2002&amp;logNo=223898066611&amp;redirect=Dlog&amp;widgetTypeCall=true&amp;directAccess=false</t>
  </si>
  <si>
    <t>뉴스락</t>
  </si>
  <si>
    <t>[뉴스락] 포스코이앤씨 ‘어나드 범어’ 견본주택 13일 개관… 대구 하이엔드 주거 새 기준 제시</t>
  </si>
  <si>
    <t>https://blog.naver.com/PostView.naver?blogId=newslock_7820710&amp;logNo=223898060048&amp;redirect=Dlog&amp;widgetTypeCall=true&amp;directAccess=false</t>
  </si>
  <si>
    <t>상희</t>
  </si>
  <si>
    <t>5월은 어른이날🌷</t>
  </si>
  <si>
    <t>https://blog.naver.com/PostView.naver?blogId=hansh011&amp;logNo=223898035086&amp;redirect=Dlog&amp;widgetTypeCall=true&amp;directAccess=false</t>
  </si>
  <si>
    <t>이재명 대통령 고향마을 안동 도촌리 지통마 축하잔치 보수층 반대로 취소 '부친 마음 착한 이장'</t>
  </si>
  <si>
    <t>https://blog.naver.com/PostView.naver?blogId=psepeter&amp;logNo=223898001055&amp;redirect=Dlog&amp;widgetTypeCall=true&amp;directAccess=false</t>
  </si>
  <si>
    <t>차명재산' 오광수 사표 수리.. 이재명 대통령의 첫 번째 인사 실책</t>
  </si>
  <si>
    <t>https://blog.naver.com/PostView.naver?blogId=wnnbc&amp;logNo=223897994603&amp;redirect=Dlog&amp;widgetTypeCall=true&amp;directAccess=false</t>
  </si>
  <si>
    <t>나혼자산다 600회 신입 아나운서 고강용 자취 9년차 일상 공개</t>
  </si>
  <si>
    <t>https://blog.naver.com/PostView.naver?blogId=sentence_0423&amp;logNo=223897991642&amp;redirect=Dlog&amp;widgetTypeCall=true&amp;directAccess=false</t>
  </si>
  <si>
    <t>pveivbj15</t>
  </si>
  <si>
    <t>공포물인데 설렘 - MBC 납량특집 미니시리즈 'M'</t>
  </si>
  <si>
    <t>https://blog.naver.com/PostView.naver?blogId=pveivbj15&amp;logNo=223897979748&amp;redirect=Dlog&amp;widgetTypeCall=true&amp;directAccess=false</t>
  </si>
  <si>
    <t>푸라민</t>
  </si>
  <si>
    <t>드라마 일당백집사 (May I Help You? 2022)</t>
  </si>
  <si>
    <t>https://blog.naver.com/PostView.naver?blogId=komorebi_sky&amp;logNo=223897960998&amp;redirect=Dlog&amp;widgetTypeCall=true&amp;directAccess=false</t>
  </si>
  <si>
    <t>2021.9.10 유인나, '다큐멘터리 3일' 내레이션 참여...12일 방송</t>
  </si>
  <si>
    <t>https://blog.naver.com/PostView.naver?blogId=ruthkim88&amp;logNo=223897837765&amp;redirect=Dlog&amp;widgetTypeCall=true&amp;directAccess=false</t>
  </si>
  <si>
    <t>mommylion34</t>
  </si>
  <si>
    <t>2025/06/13/금 신문 스크랩(매일경제)</t>
  </si>
  <si>
    <t>https://blog.naver.com/PostView.naver?blogId=mommylion_34&amp;logNo=223897829679&amp;redirect=Dlog&amp;widgetTypeCall=true&amp;directAccess=false</t>
  </si>
  <si>
    <t>군산 해양경찰서, 19톤급 선박 침수 사고 발생</t>
  </si>
  <si>
    <t>https://blog.naver.com/PostView.naver?blogId=krsongc2&amp;logNo=223897800777&amp;redirect=Dlog&amp;widgetTypeCall=true&amp;directAccess=false</t>
  </si>
  <si>
    <t>solnamu99</t>
  </si>
  <si>
    <t>배우 덕질의 즐거움</t>
  </si>
  <si>
    <t>https://blog.naver.com/PostView.naver?blogId=solnamu99&amp;logNo=223897793626&amp;redirect=Dlog&amp;widgetTypeCall=true&amp;directAccess=false</t>
  </si>
  <si>
    <t>식물원 주인의 쉼터</t>
  </si>
  <si>
    <t>작정</t>
  </si>
  <si>
    <t>https://blog.naver.com/PostView.naver?blogId=nalza320&amp;logNo=223897753005&amp;redirect=Dlog&amp;widgetTypeCall=true&amp;directAccess=false</t>
  </si>
  <si>
    <t>차명 재산 의혹' 오광수 민정수석 사의 - MBC뉴스</t>
  </si>
  <si>
    <t>https://blog.naver.com/PostView.naver?blogId=testdirt&amp;logNo=223897752855&amp;redirect=Dlog&amp;widgetTypeCall=true&amp;directAccess=false</t>
  </si>
  <si>
    <t>katocar</t>
  </si>
  <si>
    <t>강남 유명 일식 셰프, 女종업원 성폭행 혐의로 경찰 조사, "끔찍한 일을 당했다"</t>
  </si>
  <si>
    <t>https://blog.naver.com/PostView.naver?blogId=katocar&amp;logNo=223897713230&amp;redirect=Dlog&amp;widgetTypeCall=true&amp;directAccess=false</t>
  </si>
  <si>
    <t>아트허브</t>
  </si>
  <si>
    <t>나는 진경을 걷고 있다. :: 김명진展 :: Painting (2025-06-13 ~ 2025-06-18)</t>
  </si>
  <si>
    <t>https://blog.naver.com/PostView.naver?blogId=venice87&amp;logNo=223897695079&amp;redirect=Dlog&amp;widgetTypeCall=true&amp;directAccess=false</t>
  </si>
  <si>
    <t>포항시 12층 아파트 화재 발생, 재산 피해 970만 원</t>
  </si>
  <si>
    <t>https://blog.naver.com/PostView.naver?blogId=krsongc2&amp;logNo=223897685547&amp;redirect=Dlog&amp;widgetTypeCall=true&amp;directAccess=false</t>
  </si>
  <si>
    <t>타이거양</t>
  </si>
  <si>
    <t>[애니] 시대별 한국 만화영화의 추억</t>
  </si>
  <si>
    <t>https://blog.naver.com/PostView.naver?blogId=graceysh&amp;logNo=223897208793&amp;redirect=Dlog&amp;widgetTypeCall=true&amp;directAccess=false</t>
  </si>
  <si>
    <t>강남 일식 오마카세 유명 셰프 여직원 성폭행 직원 폭언 폭행 혐의</t>
  </si>
  <si>
    <t>https://blog.naver.com/PostView.naver?blogId=psepeter&amp;logNo=223897654657&amp;redirect=Dlog&amp;widgetTypeCall=true&amp;directAccess=false</t>
  </si>
  <si>
    <t>데이그로잉</t>
  </si>
  <si>
    <t>[돈독] 나의 두 번째 교과서 X 이진우의 다시 만난 경제</t>
  </si>
  <si>
    <t>https://blog.naver.com/PostView.naver?blogId=mihye_2&amp;logNo=223897653432&amp;redirect=Dlog&amp;widgetTypeCall=true&amp;directAccess=false</t>
  </si>
  <si>
    <t>찬스맨</t>
  </si>
  <si>
    <t>장의수 김원우, 악의도시 촬영 비하인드와 캐릭터 집중 해설</t>
  </si>
  <si>
    <t>https://blog.naver.com/PostView.naver?blogId=chans_man&amp;logNo=223897650496&amp;redirect=Dlog&amp;widgetTypeCall=true&amp;directAccess=false</t>
  </si>
  <si>
    <t>CROWN MAJESTA</t>
  </si>
  <si>
    <t>MBC 중징계한 선방위원이 썼던 댓글  "차기 대통령은 한동훈"</t>
  </si>
  <si>
    <t>https://blog.naver.com/PostView.naver?blogId=crdi16v&amp;logNo=223897630368&amp;redirect=Dlog&amp;widgetTypeCall=true&amp;directAccess=false</t>
  </si>
  <si>
    <t>250612 배우이루다 출연 MBC드라마 &lt;태양을 삼킨여자&gt; 4화 본방사수 &amp; 루다 버블 들으면서 새 런닝화로 학교 운동장 걷고뛰기</t>
  </si>
  <si>
    <t>https://blog.naver.com/PostView.naver?blogId=ujungoldtree&amp;logNo=223897619357&amp;redirect=Dlog&amp;widgetTypeCall=true&amp;directAccess=false</t>
  </si>
  <si>
    <t>우파가 저들과 같아지면 우파의 미래는 없다.</t>
  </si>
  <si>
    <t>https://blog.naver.com/PostView.naver?blogId=dangbussam&amp;logNo=223897582460&amp;redirect=Dlog&amp;widgetTypeCall=true&amp;directAccess=false</t>
  </si>
  <si>
    <t>hornet2025</t>
  </si>
  <si>
    <t>왕사마귀를 사냥하는 장수말벌</t>
  </si>
  <si>
    <t>https://blog.naver.com/PostView.naver?blogId=hornet2025&amp;logNo=223897529751&amp;redirect=Dlog&amp;widgetTypeCall=true&amp;directAccess=false</t>
  </si>
  <si>
    <t>흥보석</t>
  </si>
  <si>
    <t>늦은후회 보보 가사 듣기</t>
  </si>
  <si>
    <t>https://blog.naver.com/PostView.naver?blogId=banana686&amp;logNo=223897527940&amp;redirect=Dlog&amp;widgetTypeCall=true&amp;directAccess=false</t>
  </si>
  <si>
    <t>특종세상 이의정 9살 연하 남친 최초 공개 러브스토리 "오히려 더 오빠 같아요"</t>
  </si>
  <si>
    <t>https://blog.naver.com/PostView.naver?blogId=v20208&amp;logNo=223897505799&amp;redirect=Dlog&amp;widgetTypeCall=true&amp;directAccess=false</t>
  </si>
  <si>
    <t>MJ</t>
  </si>
  <si>
    <t>엄부자모</t>
  </si>
  <si>
    <t>안성 / 박두진 문학관</t>
  </si>
  <si>
    <t>https://blog.naver.com/PostView.naver?blogId=adahouse&amp;logNo=223897424855&amp;redirect=Dlog&amp;widgetTypeCall=true&amp;directAccess=false</t>
  </si>
  <si>
    <t>청주 대낮 야구방망이 납치 고액알바 대부업체 의뢰 받아</t>
  </si>
  <si>
    <t>https://blog.naver.com/PostView.naver?blogId=modelaa77&amp;logNo=223897411191&amp;redirect=Dlog&amp;widgetTypeCall=true&amp;directAccess=false</t>
  </si>
  <si>
    <t>https://blog.naver.com/PostView.naver?blogId=yang83529&amp;logNo=223897408942&amp;redirect=Dlog&amp;widgetTypeCall=true&amp;directAccess=false</t>
  </si>
  <si>
    <t>사자후</t>
  </si>
  <si>
    <t>[농구 U-리그] ‘오늘도 더블더블’ 한양대 신지원 “경기력 기복 줄이겠다”</t>
  </si>
  <si>
    <t>https://blog.naver.com/PostView.naver?blogId=hy_sajahoo&amp;logNo=223897394411&amp;redirect=Dlog&amp;widgetTypeCall=true&amp;directAccess=false</t>
  </si>
  <si>
    <t>촛불행동 "국정원이 김병기 배우자 녹취 유출"…경찰에 고발</t>
  </si>
  <si>
    <t>https://blog.naver.com/PostView.naver?blogId=solarplane&amp;logNo=223897185971&amp;redirect=Dlog&amp;widgetTypeCall=true&amp;directAccess=false</t>
  </si>
  <si>
    <t>라임오렌지</t>
  </si>
  <si>
    <t>상암동 실내 가볼만한 곳) 한국영화박물관</t>
  </si>
  <si>
    <t>https://blog.naver.com/PostView.naver?blogId=koo9953&amp;logNo=223897377807&amp;redirect=Dlog&amp;widgetTypeCall=true&amp;directAccess=false</t>
  </si>
  <si>
    <t>김학의 수사 외압 의혹' 이성윤도 무죄 확정 - "가장 부끄러운 사건"</t>
  </si>
  <si>
    <t>https://blog.naver.com/PostView.naver?blogId=wnnbc&amp;logNo=223897351217&amp;redirect=Dlog&amp;widgetTypeCall=true&amp;directAccess=false</t>
  </si>
  <si>
    <t>윤석열 경찰이 통일교 봐줬다... 2년 전카지노 포착하고도 수사 중단... 국힘 윤핵관이 중간 역할...</t>
  </si>
  <si>
    <t>https://blog.naver.com/PostView.naver?blogId=sabbaton&amp;logNo=223897349149&amp;redirect=Dlog&amp;widgetTypeCall=true&amp;directAccess=false</t>
  </si>
  <si>
    <t>동산 몽천</t>
  </si>
  <si>
    <t>네이버가  방송을 잡았다.</t>
  </si>
  <si>
    <t>https://blog.naver.com/PostView.naver?blogId=sunonthetree&amp;logNo=223897298087&amp;redirect=Dlog&amp;widgetTypeCall=true&amp;directAccess=false</t>
  </si>
  <si>
    <t>상길사랑 화이팅</t>
  </si>
  <si>
    <t>공지천 조각공원</t>
  </si>
  <si>
    <t>https://blog.naver.com/PostView.naver?blogId=psk22246&amp;logNo=223897289171&amp;redirect=Dlog&amp;widgetTypeCall=true&amp;directAccess=false</t>
  </si>
  <si>
    <t>김병기를 '떡상'시킨 MBC의 '오보'</t>
  </si>
  <si>
    <t>https://blog.naver.com/PostView.naver?blogId=amos_amos&amp;logNo=223897275128&amp;redirect=Dlog&amp;widgetTypeCall=true&amp;directAccess=false</t>
  </si>
  <si>
    <t>여왕의 집'만 상승하고 월드컵 예선 시청률마저 하락⋯ SBS는 '0%' 시청률도 6월 9일·10일  [시청률 TOP 80]</t>
  </si>
  <si>
    <t>https://blog.naver.com/PostView.naver?blogId=dream_127&amp;logNo=223897224517&amp;redirect=Dlog&amp;widgetTypeCall=true&amp;directAccess=false</t>
  </si>
  <si>
    <t>메이드바이</t>
  </si>
  <si>
    <t>태양을 삼킨 여자 4회, 장신영 딸 폭행 복수하려나</t>
  </si>
  <si>
    <t>https://blog.naver.com/PostView.naver?blogId=gktkrk&amp;logNo=223897209879&amp;redirect=Dlog&amp;widgetTypeCall=true&amp;directAccess=false</t>
  </si>
  <si>
    <t>OK공인중개사</t>
  </si>
  <si>
    <t>힐스테이트 동대구 센트럴 – 뉴센트럴 라이프의 중심</t>
  </si>
  <si>
    <t>https://blog.naver.com/PostView.naver?blogId=jeun719&amp;logNo=223897190524&amp;redirect=Dlog&amp;widgetTypeCall=true&amp;directAccess=false</t>
  </si>
  <si>
    <t>박주민 “국민참여형 의료개혁 공론화위원회, 7월 중 출범 전망”</t>
  </si>
  <si>
    <t>https://blog.naver.com/PostView.naver?blogId=factinnews777&amp;logNo=223897175037&amp;redirect=Dlog&amp;widgetTypeCall=true&amp;directAccess=false</t>
  </si>
  <si>
    <t>나는 솔로 26기 정숙, 영자의 상철 쟁탈전:</t>
  </si>
  <si>
    <t>https://blog.naver.com/PostView.naver?blogId=newyorkmanhattan&amp;logNo=223897153874&amp;redirect=Dlog&amp;widgetTypeCall=true&amp;directAccess=false</t>
  </si>
  <si>
    <t>instant design</t>
  </si>
  <si>
    <t>ai...알고싶다.</t>
  </si>
  <si>
    <t>https://blog.naver.com/PostView.naver?blogId=antice94&amp;logNo=223897146429&amp;redirect=Dlog&amp;widgetTypeCall=true&amp;directAccess=false</t>
  </si>
  <si>
    <t>이의정, 뇌종양 극복 후에도 하루 18알 약 복용…"살기 위해 먹는다" 투병 근황 고백</t>
  </si>
  <si>
    <t>https://blog.naver.com/PostView.naver?blogId=lsb3002&amp;logNo=223897125145&amp;redirect=Dlog&amp;widgetTypeCall=true&amp;directAccess=false</t>
  </si>
  <si>
    <t>TV방송드라마 6월 브랜드순위 1위 귀궁,2위 천국보다 아름다운,3위 독수리5형제를 부탁해</t>
  </si>
  <si>
    <t>https://blog.naver.com/PostView.naver?blogId=wjdwlrtjd&amp;logNo=223897124387&amp;redirect=Dlog&amp;widgetTypeCall=true&amp;directAccess=false</t>
  </si>
  <si>
    <t>안선영의 11kg 감량 운동 - "러닝머신"</t>
  </si>
  <si>
    <t>https://blog.naver.com/PostView.naver?blogId=dckim7071&amp;logNo=223896523874&amp;redirect=Dlog&amp;widgetTypeCall=true&amp;directAccess=false</t>
  </si>
  <si>
    <t>"전주MBC News"스테이블코인 도입 본격화.. 은행도 준비태세 나섰다.</t>
  </si>
  <si>
    <t>https://blog.naver.com/PostView.naver?blogId=steelyeyed&amp;logNo=223897110374&amp;redirect=Dlog&amp;widgetTypeCall=true&amp;directAccess=false</t>
  </si>
  <si>
    <t>리얼서던맨0푸선생</t>
  </si>
  <si>
    <t>21대 대통령 선거 총평</t>
  </si>
  <si>
    <t>https://blog.naver.com/PostView.naver?blogId=sisawaltz&amp;logNo=223897107717&amp;redirect=Dlog&amp;widgetTypeCall=true&amp;directAccess=false</t>
  </si>
  <si>
    <t>64yjpark</t>
  </si>
  <si>
    <t>동해 해물요리 맛집 온다.</t>
  </si>
  <si>
    <t>https://blog.naver.com/PostView.naver?blogId=64yjpark&amp;logNo=223897070727&amp;redirect=Dlog&amp;widgetTypeCall=true&amp;directAccess=false</t>
  </si>
  <si>
    <t>『반일 종족주의』 비판: 자기 확증 편향과 일본 극우파의 논리 답습</t>
  </si>
  <si>
    <t>https://blog.naver.com/PostView.naver?blogId=beri510&amp;logNo=223897054790&amp;redirect=Dlog&amp;widgetTypeCall=true&amp;directAccess=false</t>
  </si>
  <si>
    <t>마케터 김선생</t>
  </si>
  <si>
    <t>2025-06-12, 김병기 의원 아들 취업에 대하여..</t>
  </si>
  <si>
    <t>https://blog.naver.com/PostView.naver?blogId=aboutpc&amp;logNo=223897028196&amp;redirect=Dlog&amp;widgetTypeCall=true&amp;directAccess=false</t>
  </si>
  <si>
    <t>Jeff</t>
  </si>
  <si>
    <t>김병기 의원 아들 청탁 뉴스, 뭔가 냄새가 많이 나~</t>
  </si>
  <si>
    <t>https://blog.naver.com/PostView.naver?blogId=thandra&amp;logNo=223897003502&amp;redirect=Dlog&amp;widgetTypeCall=true&amp;directAccess=false</t>
  </si>
  <si>
    <t>Kaeser</t>
  </si>
  <si>
    <t>오너의 특별한 취향 듬뿍 담은 ‘홍카’ 계보… 마티즈부터 엘레트라까지 ‘눈길’</t>
  </si>
  <si>
    <t>https://blog.naver.com/PostView.naver?blogId=son76153&amp;logNo=223897001599&amp;redirect=Dlog&amp;widgetTypeCall=true&amp;directAccess=false</t>
  </si>
  <si>
    <t>북한도 확성기 껐다.. 접경지역 1년 만에 '꿀잠' [뉴스.zip/MBC뉴스]</t>
  </si>
  <si>
    <t>https://blog.naver.com/PostView.naver?blogId=croaton6219&amp;logNo=223896951181&amp;redirect=Dlog&amp;widgetTypeCall=true&amp;directAccess=false</t>
  </si>
  <si>
    <t>7월 Wavve 드라마_ S라인_ 이수혁 X 이다희 X 아린</t>
  </si>
  <si>
    <t>https://blog.naver.com/PostView.naver?blogId=today_midnight&amp;logNo=223896950244&amp;redirect=Dlog&amp;widgetTypeCall=true&amp;directAccess=false</t>
  </si>
  <si>
    <t>제이홉이 왜… 갑자기 '전참시'에? 본인이 직접 출연 제안한 소름 돋는 이유 (+전참시, 비하인드, 제이홉인맥)</t>
  </si>
  <si>
    <t>https://blog.naver.com/PostView.naver?blogId=qoswlfdl-&amp;logNo=223896912125&amp;redirect=Dlog&amp;widgetTypeCall=true&amp;directAccess=false</t>
  </si>
  <si>
    <t>적토마</t>
  </si>
  <si>
    <t>무작정,닥치고,매일 글쓰기</t>
  </si>
  <si>
    <t>https://blog.naver.com/PostView.naver?blogId=cbby112&amp;logNo=223896897190&amp;redirect=Dlog&amp;widgetTypeCall=true&amp;directAccess=false</t>
  </si>
  <si>
    <t>찐돌</t>
  </si>
  <si>
    <t>청와대 복귀</t>
  </si>
  <si>
    <t>https://blog.naver.com/PostView.naver?blogId=banghak2000&amp;logNo=223896892860&amp;redirect=Dlog&amp;widgetTypeCall=true&amp;directAccess=false</t>
  </si>
  <si>
    <t>글로벌오토뉴스</t>
  </si>
  <si>
    <t>방송인 노홍철, ‘홍카’로 본 자동차 취향의 진화…경차부터 하이퍼 EV까지</t>
  </si>
  <si>
    <t>https://blog.naver.com/PostView.naver?blogId=global_auto_news&amp;logNo=223896880327&amp;redirect=Dlog&amp;widgetTypeCall=true&amp;directAccess=false</t>
  </si>
  <si>
    <t>[칼럼] 김병기 더불어민주당 의원 아들 국정원 채용 의혹이 7년 만에 다시 불거졌다.박상조</t>
  </si>
  <si>
    <t>https://blog.naver.com/PostView.naver?blogId=kimdaisuke&amp;logNo=223896865870&amp;redirect=Dlog&amp;widgetTypeCall=true&amp;directAccess=false</t>
  </si>
  <si>
    <t>정용화X이준X광희, '무한도전' 웨딩보이즈 뭉쳤다...2025년 버전 축가 라이브</t>
  </si>
  <si>
    <t>https://blog.naver.com/PostView.naver?blogId=gyment&amp;logNo=223896661553&amp;redirect=Dlog&amp;widgetTypeCall=true&amp;directAccess=false</t>
  </si>
  <si>
    <t>김학래, Kim Hak Rai - 지구 전속 1집, 1985 (지구레코드 LP)</t>
  </si>
  <si>
    <t>https://blog.naver.com/PostView.naver?blogId=puffik&amp;logNo=223896828005&amp;redirect=Dlog&amp;widgetTypeCall=true&amp;directAccess=false</t>
  </si>
  <si>
    <t>맛집여행</t>
  </si>
  <si>
    <t>종로 익선동 맛집 갈매기살 골목 고창집 갈매기 맛있는 야장고기집 소주한잔</t>
  </si>
  <si>
    <t>https://blog.naver.com/PostView.naver?blogId=baksakim77&amp;logNo=223896780882&amp;redirect=Dlog&amp;widgetTypeCall=true&amp;directAccess=false</t>
  </si>
  <si>
    <t>특종세상 번개머리 이의정 근황 뇌종양 투병 완치 혈액암 시한부 리즈 남자친구 나이 직업 인스타 남친 남편 결혼 미혼 홈쇼핑 쇼호스트</t>
  </si>
  <si>
    <t>https://blog.naver.com/PostView.naver?blogId=xxx2266_&amp;logNo=223896777515&amp;redirect=Dlog&amp;widgetTypeCall=true&amp;directAccess=false</t>
  </si>
  <si>
    <t>찌</t>
  </si>
  <si>
    <t>윤아, 무대 위에서 빛나는 진짜 이름</t>
  </si>
  <si>
    <t>https://blog.naver.com/PostView.naver?blogId=whiteunji&amp;logNo=223896729546&amp;redirect=Dlog&amp;widgetTypeCall=true&amp;directAccess=false</t>
  </si>
  <si>
    <t>[공유] 요구 듣자 "그건 지금 처리하죠".. '행정가 면모' 뚫고 나온 순간 [뉴스.zip/MBC뉴스]</t>
  </si>
  <si>
    <t>https://blog.naver.com/PostView.naver?blogId=yjhyjhy&amp;logNo=223896686405&amp;redirect=Dlog&amp;widgetTypeCall=true&amp;directAccess=false</t>
  </si>
  <si>
    <t>원일병삼촌</t>
  </si>
  <si>
    <t>[230611]17사단 원일병 사건, 원주MBC 취재. 공상 병사 치료 거부한 국군수도병원 규탄 및 담당 군의관의 횡포, 군의료체계의 실태와 현실에 대해 토로하다...</t>
  </si>
  <si>
    <t>https://blog.naver.com/PostView.naver?blogId=hi2mu6ra&amp;logNo=223896683500&amp;redirect=Dlog&amp;widgetTypeCall=true&amp;directAccess=false</t>
  </si>
  <si>
    <t>민들레</t>
  </si>
  <si>
    <t>전북 고군산군도 / 변산반도 ('25.5.29~30) - 1</t>
  </si>
  <si>
    <t>https://blog.naver.com/PostView.naver?blogId=kysarmy&amp;logNo=223896674516&amp;redirect=Dlog&amp;widgetTypeCall=true&amp;directAccess=false</t>
  </si>
  <si>
    <t>62세 맞아? 황신혜, 나이 믿기지 않는 몸매 ‘파격 비키니’</t>
  </si>
  <si>
    <t>https://blog.naver.com/PostView.naver?blogId=seoulshinmun_1904&amp;logNo=223896659175&amp;redirect=Dlog&amp;widgetTypeCall=true&amp;directAccess=false</t>
  </si>
  <si>
    <t>어쮸꾸링</t>
  </si>
  <si>
    <t>처절한 복수극 드라마 태양을 삼킨여자</t>
  </si>
  <si>
    <t>https://blog.naver.com/PostView.naver?blogId=mkj9480&amp;logNo=223896636703&amp;redirect=Dlog&amp;widgetTypeCall=true&amp;directAccess=false</t>
  </si>
  <si>
    <t>마틴이야기</t>
  </si>
  <si>
    <t>◆MBC 김정우, 김상훈 기자-김병기 인사청탁단독-조태용 이슈, 김병기로 덮다.</t>
  </si>
  <si>
    <t>https://blog.naver.com/PostView.naver?blogId=martinlife&amp;logNo=223896613316&amp;redirect=Dlog&amp;widgetTypeCall=true&amp;directAccess=false</t>
  </si>
  <si>
    <t>kekoe</t>
  </si>
  <si>
    <t>MBC, 김연경 ' 감독 ' 의 배구 예능 [배구선수 모집 공고]</t>
  </si>
  <si>
    <t>https://blog.naver.com/PostView.naver?blogId=quando_quando_&amp;logNo=223896594813&amp;redirect=Dlog&amp;widgetTypeCall=true&amp;directAccess=false</t>
  </si>
  <si>
    <t>이재명 외환죄로 고발당함</t>
  </si>
  <si>
    <t>https://blog.naver.com/PostView.naver?blogId=inbible-ark&amp;logNo=223896594302&amp;redirect=Dlog&amp;widgetTypeCall=true&amp;directAccess=false</t>
  </si>
  <si>
    <t>hsy3665</t>
  </si>
  <si>
    <t>정준희 진행, 이재성·김주혜·알파고와 함께 ‘국경 넘은 연대’ 이야기 나눈다(ACN아시아콘텐츠뉴스)</t>
  </si>
  <si>
    <t>https://blog.naver.com/PostView.naver?blogId=hsy3665&amp;logNo=223896592651&amp;redirect=Dlog&amp;widgetTypeCall=true&amp;directAccess=false</t>
  </si>
  <si>
    <t>에픽하이 타블로, 타진요 가담자 중 동료 연예인도 있었다 충격 (+ 폭행·폭언한 선배 폭로)</t>
  </si>
  <si>
    <t>https://blog.naver.com/PostView.naver?blogId=qmffndis777&amp;logNo=223896589316&amp;redirect=Dlog&amp;widgetTypeCall=true&amp;directAccess=false</t>
  </si>
  <si>
    <t>이상한 나라의 유투버들</t>
  </si>
  <si>
    <t>https://blog.naver.com/PostView.naver?blogId=sunmen77&amp;logNo=223896582399&amp;redirect=Dlog&amp;widgetTypeCall=true&amp;directAccess=false</t>
  </si>
  <si>
    <t>차청화, 유재석 용돈 일화 해명…“두 번 받은 걸로 오해 커져, 선배도 놀라셨을 듯”</t>
  </si>
  <si>
    <t>https://blog.naver.com/PostView.naver?blogId=news1star&amp;logNo=223896574655&amp;redirect=Dlog&amp;widgetTypeCall=true&amp;directAccess=false</t>
  </si>
  <si>
    <t>골라먹자</t>
  </si>
  <si>
    <t>민주당 자식 vs 국힘당 자식. 이중 잣대. 그리고 검찰.</t>
  </si>
  <si>
    <t>https://blog.naver.com/PostView.naver?blogId=brill99&amp;logNo=223896201933&amp;redirect=Dlog&amp;widgetTypeCall=true&amp;directAccess=false</t>
  </si>
  <si>
    <t>날휘</t>
  </si>
  <si>
    <t>저속노화 정희원 교수 MBC 라디오 DJ된다 편성시간 사연모집</t>
  </si>
  <si>
    <t>https://blog.naver.com/PostView.naver?blogId=shoutbanana&amp;logNo=223896539676&amp;redirect=Dlog&amp;widgetTypeCall=true&amp;directAccess=false</t>
  </si>
  <si>
    <t>★ 잘했군 잘했어///하춘화 &amp; 고봉산</t>
  </si>
  <si>
    <t>https://blog.naver.com/PostView.naver?blogId=mbcswallow&amp;logNo=223895801100&amp;redirect=Dlog&amp;widgetTypeCall=true&amp;directAccess=false</t>
  </si>
  <si>
    <t>pes0301-01</t>
  </si>
  <si>
    <t>[ 탄도항 ]</t>
  </si>
  <si>
    <t>https://blog.naver.com/PostView.naver?blogId=pes0301-01&amp;logNo=223896539283&amp;redirect=Dlog&amp;widgetTypeCall=true&amp;directAccess=false</t>
  </si>
  <si>
    <t>황신혜, 60대의 나이에도 군살 없는 몸매…마요르카에서 전한 ‘시간을 거스른 아름다움’</t>
  </si>
  <si>
    <t>https://blog.naver.com/PostView.naver?blogId=news1star&amp;logNo=223896533576&amp;redirect=Dlog&amp;widgetTypeCall=true&amp;directAccess=false</t>
  </si>
  <si>
    <t>썸데이뷰</t>
  </si>
  <si>
    <t>서울회사원</t>
  </si>
  <si>
    <t>20250612, 목, 만능 예능트롯돌 버스를 보다.</t>
  </si>
  <si>
    <t>https://blog.naver.com/PostView.naver?blogId=wcaesar&amp;logNo=223896513263&amp;redirect=Dlog&amp;widgetTypeCall=true&amp;directAccess=false</t>
  </si>
  <si>
    <t>[민주] 민주당 원내대표 경선에 나선 김병기 후보, 아들 국정원 취업 청탁으로 비판하는 MBC와 좌파언론들들?... 대선 후 민주당의 내부전쟁, 국회에서도 벌어지나?</t>
  </si>
  <si>
    <t>https://blog.naver.com/PostView.naver?blogId=nadiche&amp;logNo=223896495315&amp;redirect=Dlog&amp;widgetTypeCall=true&amp;directAccess=false</t>
  </si>
  <si>
    <t>왕초</t>
  </si>
  <si>
    <t>KBS, MBC 등이 1983년 당시의 양곤 참사 관련 추모 특집으로 인한 방송 채널 소개 관련 내용</t>
  </si>
  <si>
    <t>https://blog.naver.com/PostView.naver?blogId=giant2002&amp;logNo=223896490155&amp;redirect=Dlog&amp;widgetTypeCall=true&amp;directAccess=false</t>
  </si>
  <si>
    <t>트롯챔피언 64회 출연진 전격 공개 누가…(대박 라인업)?! (+숨겨진 이야기, 역대급 무대, 실시간 투표)</t>
  </si>
  <si>
    <t>https://blog.naver.com/PostView.naver?blogId=qoswlfdl-&amp;logNo=223896474214&amp;redirect=Dlog&amp;widgetTypeCall=true&amp;directAccess=false</t>
  </si>
  <si>
    <t>워킹맨</t>
  </si>
  <si>
    <t>맛나면 좋은 친구, 한솥밥</t>
  </si>
  <si>
    <t>https://blog.naver.com/PostView.naver?blogId=nkts5903&amp;logNo=223896472285&amp;redirect=Dlog&amp;widgetTypeCall=true&amp;directAccess=false</t>
  </si>
  <si>
    <t>잠깐일루좀</t>
  </si>
  <si>
    <t>[2025 KBO 미리보기] 6월 12일 KIA 타이거즈 vs 삼성 라이온즈</t>
  </si>
  <si>
    <t>https://blog.naver.com/PostView.naver?blogId=tndms863&amp;logNo=223896457770&amp;redirect=Dlog&amp;widgetTypeCall=true&amp;directAccess=false</t>
  </si>
  <si>
    <t>아스날의 루케</t>
  </si>
  <si>
    <t>솔로 나라 26기 슈퍼데이트권 쟁탈전 영자 영숙 광수 영식 획득</t>
  </si>
  <si>
    <t>https://blog.naver.com/PostView.naver?blogId=potoi&amp;logNo=223896420684&amp;redirect=Dlog&amp;widgetTypeCall=true&amp;directAccess=false</t>
  </si>
  <si>
    <t>서석고2회 사무총장</t>
  </si>
  <si>
    <t>첨단 아미 둘레길 산책</t>
  </si>
  <si>
    <t>https://blog.naver.com/PostView.naver?blogId=suckjinoh2&amp;logNo=223896409517&amp;redirect=Dlog&amp;widgetTypeCall=true&amp;directAccess=false</t>
  </si>
  <si>
    <t>남다람쥐</t>
  </si>
  <si>
    <t>한식 디저트가 맛있는 강남 청담 빙수 맛집, 강정이 넘치는 집 청담점</t>
  </si>
  <si>
    <t>https://blog.naver.com/PostView.naver?blogId=waikiki_200&amp;logNo=223896384375&amp;redirect=Dlog&amp;widgetTypeCall=true&amp;directAccess=false</t>
  </si>
  <si>
    <t>[단독] "대선 전에 죽여야‥총 보내줘라" '이재명 테러' 유튜버의 실토 (2025.06.11/뉴스데스크/MBC)</t>
  </si>
  <si>
    <t>https://blog.naver.com/PostView.naver?blogId=yjhyjhy&amp;logNo=223896356955&amp;redirect=Dlog&amp;widgetTypeCall=true&amp;directAccess=false</t>
  </si>
  <si>
    <t>비투비 성재, 1집 미니앨범 'All About Blue' 콘셉트 포토 추가 공개</t>
  </si>
  <si>
    <t>https://blog.naver.com/PostView.naver?blogId=tmrlahxhdbal&amp;logNo=223896339927&amp;redirect=Dlog&amp;widgetTypeCall=true&amp;directAccess=false</t>
  </si>
  <si>
    <t>심야괴담회3 3회 이키닌교 일본귀신 살아있는 인형 괴담 귀신이야기 레전드 다시보기 재방송</t>
  </si>
  <si>
    <t>https://blog.naver.com/PostView.naver?blogId=tobao0318&amp;logNo=223895962221&amp;redirect=Dlog&amp;widgetTypeCall=true&amp;directAccess=false</t>
  </si>
  <si>
    <t>한동훈딸졸업까지?6년간 출국금지당한 정천수 피디/강징구일당이 열린공감정천수피디를 공격한시점이,연루된판검사국회의원자식들 입시비리얼마나 심각한지,왜 부패검찰이나섰나?</t>
  </si>
  <si>
    <t>https://blog.naver.com/PostView.naver?blogId=goodpowerj&amp;logNo=223896323263&amp;redirect=Dlog&amp;widgetTypeCall=true&amp;directAccess=false</t>
  </si>
  <si>
    <t>푸른하늘</t>
  </si>
  <si>
    <t>시원한 모밀이 맛있는 &lt;용암모밀&gt;</t>
  </si>
  <si>
    <t>https://blog.naver.com/PostView.naver?blogId=yes_286&amp;logNo=223896313815&amp;redirect=Dlog&amp;widgetTypeCall=true&amp;directAccess=false</t>
  </si>
  <si>
    <t>크리스토퍼, 대체 무슨 일? 1년 만의 한국 방문…9월 6일 케이스포돔 콘서트에서 밝혀질 충격적인 사실 (+내한, 케이스포돔, 콘서트)</t>
  </si>
  <si>
    <t>https://blog.naver.com/PostView.naver?blogId=qoswlfdl-&amp;logNo=223904024716&amp;redirect=Dlog&amp;widgetTypeCall=true&amp;directAccess=false</t>
  </si>
  <si>
    <t>[서울대 총동창신문 567호 2025년 6월] 오피니언 &gt; 느티나무광장 | 미국 대륙횡단 한 번 하실래요? 느티나무 광장-강명일(사법90) MBC 심의위원, 본지 논설위원</t>
  </si>
  <si>
    <t>https://blog.naver.com/PostView.naver?blogId=chasky409&amp;logNo=223903904254&amp;redirect=Dlog&amp;widgetTypeCall=true&amp;directAccess=false</t>
  </si>
  <si>
    <t>지지나라</t>
  </si>
  <si>
    <t>국내 맛집 여행 여수 게장 여수게장백반 무한리필</t>
  </si>
  <si>
    <t>https://blog.naver.com/PostView.naver?blogId=zizinara1004&amp;logNo=223903895911&amp;redirect=Dlog&amp;widgetTypeCall=true&amp;directAccess=false</t>
  </si>
  <si>
    <t>고우림♥김연아 DM 첫 연락 군 부대 면회</t>
  </si>
  <si>
    <t>https://blog.naver.com/PostView.naver?blogId=odmwd2&amp;logNo=223903884911&amp;redirect=Dlog&amp;widgetTypeCall=true&amp;directAccess=false</t>
  </si>
  <si>
    <t>고우림, 제대 후 첫 예능 '라스' 출격! 김연아 사로잡은 '유니콘 보이스'와 반전 매력 대방출</t>
  </si>
  <si>
    <t>https://blog.naver.com/PostView.naver?blogId=lsb3002&amp;logNo=223903846400&amp;redirect=Dlog&amp;widgetTypeCall=true&amp;directAccess=false</t>
  </si>
  <si>
    <t>봄이누나</t>
  </si>
  <si>
    <t>W.0결혼 준비 시작</t>
  </si>
  <si>
    <t>https://blog.naver.com/PostView.naver?blogId=sck05069&amp;logNo=223903818392&amp;redirect=Dlog&amp;widgetTypeCall=true&amp;directAccess=false</t>
  </si>
  <si>
    <t>[공유] '계엄 말고 그것도 해산 사유지'.. #Shorts (MBC뉴스)</t>
  </si>
  <si>
    <t>https://blog.naver.com/PostView.naver?blogId=yjhyjhy&amp;logNo=223903809024&amp;redirect=Dlog&amp;widgetTypeCall=true&amp;directAccess=false</t>
  </si>
  <si>
    <t>고우림♥김연아, 4년간 비밀연애, 아내의 부대 면회로 부대 전체가 술렁</t>
  </si>
  <si>
    <t>https://blog.naver.com/PostView.naver?blogId=newswa_official&amp;logNo=223903763186&amp;redirect=Dlog&amp;widgetTypeCall=true&amp;directAccess=false</t>
  </si>
  <si>
    <t>6월 18일 뽀너스7</t>
  </si>
  <si>
    <t>https://blog.naver.com/PostView.naver?blogId=wonogi&amp;logNo=223902685178&amp;redirect=Dlog&amp;widgetTypeCall=true&amp;directAccess=false</t>
  </si>
  <si>
    <t>kimhs2769</t>
  </si>
  <si>
    <t>대통령은 ‘챙기고’, MBC는 ‘띄워준다.’</t>
  </si>
  <si>
    <t>https://blog.naver.com/PostView.naver?blogId=kimhs2769&amp;logNo=223903778960&amp;redirect=Dlog&amp;widgetTypeCall=true&amp;directAccess=false</t>
  </si>
  <si>
    <t>태양을 삼킨 여자 8회, 가진 자들의 횡포</t>
  </si>
  <si>
    <t>https://blog.naver.com/PostView.naver?blogId=gktkrk&amp;logNo=223903761158&amp;redirect=Dlog&amp;widgetTypeCall=true&amp;directAccess=false</t>
  </si>
  <si>
    <t>유리</t>
  </si>
  <si>
    <t>카페 도장깨기❕️</t>
  </si>
  <si>
    <t>https://blog.naver.com/PostView.naver?blogId=yu1hee&amp;logNo=223903754326&amp;redirect=Dlog&amp;widgetTypeCall=true&amp;directAccess=false</t>
  </si>
  <si>
    <t>2025년 6월 18일 뉴스 정리, 이제 시간이 너무 없다.</t>
  </si>
  <si>
    <t>https://blog.naver.com/PostView.naver?blogId=neosea_com&amp;logNo=223903750591&amp;redirect=Dlog&amp;widgetTypeCall=true&amp;directAccess=false</t>
  </si>
  <si>
    <t>모모찌찌</t>
  </si>
  <si>
    <t>조형우 결혼 발표! 신부는 '무도' 막춤 작가 김윤의? …대체 무슨 인연이지? (+깜짝 놀랄 반전, 결혼 비하인드 스토리, 특급 인맥)</t>
  </si>
  <si>
    <t>https://blog.naver.com/PostView.naver?blogId=min5591ha&amp;logNo=223903720290&amp;redirect=Dlog&amp;widgetTypeCall=true&amp;directAccess=false</t>
  </si>
  <si>
    <t>말이 되는 소리냐고. Jeol-dae No.</t>
  </si>
  <si>
    <t>https://blog.naver.com/PostView.naver?blogId=sseun98&amp;logNo=223903712818&amp;redirect=Dlog&amp;widgetTypeCall=true&amp;directAccess=false</t>
  </si>
  <si>
    <t>똥 돼지</t>
  </si>
  <si>
    <t>mbc 두시만세. 전화연결</t>
  </si>
  <si>
    <t>https://blog.naver.com/PostView.naver?blogId=godoam123&amp;logNo=223903705393&amp;redirect=Dlog&amp;widgetTypeCall=true&amp;directAccess=false</t>
  </si>
  <si>
    <t>jujakka</t>
  </si>
  <si>
    <t>나는 사실 용사가 아니야</t>
  </si>
  <si>
    <t>https://blog.naver.com/PostView.naver?blogId=wnsl128&amp;logNo=223903700674&amp;redirect=Dlog&amp;widgetTypeCall=true&amp;directAccess=false</t>
  </si>
  <si>
    <t>자방</t>
  </si>
  <si>
    <t>SY팀 재회</t>
  </si>
  <si>
    <t>https://blog.naver.com/PostView.naver?blogId=yjs2675&amp;logNo=223903692971&amp;redirect=Dlog&amp;widgetTypeCall=true&amp;directAccess=false</t>
  </si>
  <si>
    <t>형석</t>
  </si>
  <si>
    <t>나의 애창곡</t>
  </si>
  <si>
    <t>https://blog.naver.com/PostView.naver?blogId=1998_c&amp;logNo=223903685018&amp;redirect=Dlog&amp;widgetTypeCall=true&amp;directAccess=false</t>
  </si>
  <si>
    <t>소소</t>
  </si>
  <si>
    <t>[6학년 사회] 대한민국 경제성장 주식레이스</t>
  </si>
  <si>
    <t>https://blog.naver.com/PostView.naver?blogId=thxjx&amp;logNo=223903671489&amp;redirect=Dlog&amp;widgetTypeCall=true&amp;directAccess=false</t>
  </si>
  <si>
    <t>조감도</t>
  </si>
  <si>
    <t>MBC로 보는 국힘의 어려움</t>
  </si>
  <si>
    <t>https://blog.naver.com/PostView.naver?blogId=welcome1000&amp;logNo=223903617794&amp;redirect=Dlog&amp;widgetTypeCall=true&amp;directAccess=false</t>
  </si>
  <si>
    <t>파즈</t>
  </si>
  <si>
    <t>[오늘 이 뉴스] 숨 돌릴 틈도 없다..공항 오니 '한밤', 캐나다 떠나 귀국길 (2025.06.18/MBC뉴스)</t>
  </si>
  <si>
    <t>https://blog.naver.com/PostView.naver?blogId=nausicaa93&amp;logNo=223903576403&amp;redirect=Dlog&amp;widgetTypeCall=true&amp;directAccess=false</t>
  </si>
  <si>
    <t>https://blog.naver.com/PostView.naver?blogId=jang0355&amp;logNo=223903565381&amp;redirect=Dlog&amp;widgetTypeCall=true&amp;directAccess=false</t>
  </si>
  <si>
    <t>또치</t>
  </si>
  <si>
    <t>건대양꼬치맛집으로 '생방송 오늘저녁'나온 건대입구맛집 &lt;연길왕꼬치&gt; 다녀오다.</t>
  </si>
  <si>
    <t>https://blog.naver.com/PostView.naver?blogId=kkong_sun_ratulation&amp;logNo=223903528585&amp;redirect=Dlog&amp;widgetTypeCall=true&amp;directAccess=false</t>
  </si>
  <si>
    <t>김재원 기자</t>
  </si>
  <si>
    <t>김정재 의원, 8년간 7억 재산증가는?... "국힘 의원 재산증식 의혹도 규명돼야"</t>
  </si>
  <si>
    <t>https://blog.naver.com/PostView.naver?blogId=jwkim2916&amp;logNo=223903527481&amp;redirect=Dlog&amp;widgetTypeCall=true&amp;directAccess=false</t>
  </si>
  <si>
    <t>조형우, ‘무한도전’ 김윤의 작가와 3년 열애 결실…22일 결혼</t>
  </si>
  <si>
    <t>https://blog.naver.com/PostView.naver?blogId=news1star&amp;logNo=223903526187&amp;redirect=Dlog&amp;widgetTypeCall=true&amp;directAccess=false</t>
  </si>
  <si>
    <t>250617 라디오스타 919회 예고 / 고우림 "'♥김연아'가 'DM'으로 먼저 플러팅"..'4년간 비밀 연애' 스토리 공개(라스)</t>
  </si>
  <si>
    <t>https://blog.naver.com/PostView.naver?blogId=kbmbc_8919&amp;logNo=223903513766&amp;redirect=Dlog&amp;widgetTypeCall=true&amp;directAccess=false</t>
  </si>
  <si>
    <t>케네스김</t>
  </si>
  <si>
    <t>[외교안보통일] 찢의 G7 韓日 회담을 계기로, 이제 우리 모두는 좌우익 불문, 토착왜구임을 인정하자.</t>
  </si>
  <si>
    <t>https://blog.naver.com/PostView.naver?blogId=kenneth_kim68&amp;logNo=223903510462&amp;redirect=Dlog&amp;widgetTypeCall=true&amp;directAccess=false</t>
  </si>
  <si>
    <t>&lt;윤 대통령 임기초부터 내내 가족을 상대로 온갖 잔학한 선전선동질로 마녀사낭한 무능,무책임 좌경용공 민주팔이의 내로남불..기사무관&gt;전용기 "김민석 아들 유학비 캐려 전 부인 부르겠</t>
  </si>
  <si>
    <t>https://blog.naver.com/PostView.naver?blogId=yesktj&amp;logNo=223903495032&amp;redirect=Dlog&amp;widgetTypeCall=true&amp;directAccess=false</t>
  </si>
  <si>
    <t>행복누리</t>
  </si>
  <si>
    <t>긍정의 힘을 길러주는 웃음치료 / 오행자 강사/ 안성시보건소/주민건강지도자 ( 2025.6.17)</t>
  </si>
  <si>
    <t>https://blog.naver.com/PostView.naver?blogId=happynuri35&amp;logNo=223903441332&amp;redirect=Dlog&amp;widgetTypeCall=true&amp;directAccess=false</t>
  </si>
  <si>
    <t>아이유, 제주 전시회 방문하며 따뜻한 의리 실천 "약속을 지키러 왔주게"</t>
  </si>
  <si>
    <t>https://blog.naver.com/PostView.naver?blogId=museonair2025&amp;logNo=223903211045&amp;redirect=Dlog&amp;widgetTypeCall=true&amp;directAccess=false</t>
  </si>
  <si>
    <t>케이대장</t>
  </si>
  <si>
    <t>2025년 6월 17일 뉴스데스크</t>
  </si>
  <si>
    <t>https://blog.naver.com/PostView.naver?blogId=k-daejang&amp;logNo=223903389926&amp;redirect=Dlog&amp;widgetTypeCall=true&amp;directAccess=false</t>
  </si>
  <si>
    <t>박정호 교수 '2025 대구경북 부동산 머니쇼' 강연</t>
  </si>
  <si>
    <t>https://blog.naver.com/PostView.naver?blogId=bilsabu&amp;logNo=223903356354&amp;redirect=Dlog&amp;widgetTypeCall=true&amp;directAccess=false</t>
  </si>
  <si>
    <t>오승원 기자</t>
  </si>
  <si>
    <t>사동이</t>
  </si>
  <si>
    <t>위대한 가이드 2 _ 10화 요르단 (Jordan) 으로 고고</t>
  </si>
  <si>
    <t>https://blog.naver.com/PostView.naver?blogId=needsgood&amp;logNo=223903338190&amp;redirect=Dlog&amp;widgetTypeCall=true&amp;directAccess=false</t>
  </si>
  <si>
    <t>KAPTAiN</t>
  </si>
  <si>
    <t>홍경한</t>
  </si>
  <si>
    <t>탁월한 예술노동으로 일군 노동예술</t>
  </si>
  <si>
    <t>https://blog.naver.com/PostView.naver?blogId=pieta999&amp;logNo=223903284556&amp;redirect=Dlog&amp;widgetTypeCall=true&amp;directAccess=false</t>
  </si>
  <si>
    <t>비즈한국</t>
  </si>
  <si>
    <t>[정수진의 계정공유] '노무사 노무진' 죽은 자의 원혼보다 무서운 건, 산 자의 무관심</t>
  </si>
  <si>
    <t>https://blog.naver.com/PostView.naver?blogId=bizhk&amp;logNo=223903279510&amp;redirect=Dlog&amp;widgetTypeCall=true&amp;directAccess=false</t>
  </si>
  <si>
    <t>chosw013</t>
  </si>
  <si>
    <t>집으로</t>
  </si>
  <si>
    <t>https://blog.naver.com/PostView.naver?blogId=chosw013&amp;logNo=223819124333&amp;redirect=Dlog&amp;widgetTypeCall=true&amp;directAccess=false</t>
  </si>
  <si>
    <t>곰탱</t>
  </si>
  <si>
    <t>김준호 소속사 대표 불륜 의혹</t>
  </si>
  <si>
    <t>https://blog.naver.com/PostView.naver?blogId=alsgidz_pooh&amp;logNo=223903255726&amp;redirect=Dlog&amp;widgetTypeCall=true&amp;directAccess=false</t>
  </si>
  <si>
    <t>2013.3.21 '직장의 신’ 김혜수 살사댄서 변신, 밤-낮 다른 이중생활</t>
  </si>
  <si>
    <t>https://blog.naver.com/PostView.naver?blogId=ruthkim88&amp;logNo=223903248138&amp;redirect=Dlog&amp;widgetTypeCall=true&amp;directAccess=false</t>
  </si>
  <si>
    <t>대통령실 "전 정부서 부당하게 등록 취소한 언론사 출입 자격 회복"</t>
  </si>
  <si>
    <t>https://blog.naver.com/PostView.naver?blogId=jang0355&amp;logNo=223903242179&amp;redirect=Dlog&amp;widgetTypeCall=true&amp;directAccess=false</t>
  </si>
  <si>
    <t>empty heart</t>
  </si>
  <si>
    <t>드라마 리뷰 | 궁S (2007)</t>
  </si>
  <si>
    <t>https://blog.naver.com/PostView.naver?blogId=always_empty_heart&amp;logNo=223903206201&amp;redirect=Dlog&amp;widgetTypeCall=true&amp;directAccess=false</t>
  </si>
  <si>
    <t>[외교안보통일] 찢도 토착왜구였어?</t>
  </si>
  <si>
    <t>https://blog.naver.com/PostView.naver?blogId=kenneth_kim68&amp;logNo=223903199455&amp;redirect=Dlog&amp;widgetTypeCall=true&amp;directAccess=false</t>
  </si>
  <si>
    <t>트럼프의 이란 전쟁 개입을 경고한 미 상원의원 - 버니_샌더스</t>
  </si>
  <si>
    <t>https://blog.naver.com/PostView.naver?blogId=search_truth&amp;logNo=223903197976&amp;redirect=Dlog&amp;widgetTypeCall=true&amp;directAccess=false</t>
  </si>
  <si>
    <t>1호 걸그룹 불륜설, JDB엔터 초토화…EFG뮤직 폐업 위기 "이호테우 해체 수순"</t>
  </si>
  <si>
    <t>https://blog.naver.com/PostView.naver?blogId=picklenews&amp;logNo=223903187337&amp;redirect=Dlog&amp;widgetTypeCall=true&amp;directAccess=false</t>
  </si>
  <si>
    <t>임양춘</t>
  </si>
  <si>
    <t>[구미뉴스] 대한민국시장군수구청장협의회, "새 정부에 바란다. 공동건의문" 채택</t>
  </si>
  <si>
    <t>https://blog.naver.com/PostView.naver?blogId=lyc8769&amp;logNo=223903185257&amp;redirect=Dlog&amp;widgetTypeCall=true&amp;directAccess=false</t>
  </si>
  <si>
    <t>드라마 리뷰 | 겨울새 (2007)</t>
  </si>
  <si>
    <t>https://blog.naver.com/PostView.naver?blogId=always_empty_heart&amp;logNo=223903186229&amp;redirect=Dlog&amp;widgetTypeCall=true&amp;directAccess=false</t>
  </si>
  <si>
    <t>양쏘</t>
  </si>
  <si>
    <t>경기도에서 마산으로 이사온20대 여성의 일상</t>
  </si>
  <si>
    <t>https://blog.naver.com/PostView.naver?blogId=a4436918&amp;logNo=223903184904&amp;redirect=Dlog&amp;widgetTypeCall=true&amp;directAccess=false</t>
  </si>
  <si>
    <t>‘김준호 소속사’ JDB엔터 대표, 걸그룹 멤버와 불륜설…폭로 사진 뭐길래</t>
  </si>
  <si>
    <t>https://blog.naver.com/PostView.naver?blogId=newswa_official&amp;logNo=223903171771&amp;redirect=Dlog&amp;widgetTypeCall=true&amp;directAccess=false</t>
  </si>
  <si>
    <t>꿍미니</t>
  </si>
  <si>
    <t>요즘 보고 있는 드라마 추천 | 미지의 서울, 노무사 노무진</t>
  </si>
  <si>
    <t>https://blog.naver.com/PostView.naver?blogId=mhsup&amp;logNo=223901895543&amp;redirect=Dlog&amp;widgetTypeCall=true&amp;directAccess=false</t>
  </si>
  <si>
    <t>호랑이 아줌마</t>
  </si>
  <si>
    <t>only</t>
  </si>
  <si>
    <t>‘대세’ 데이식스 영화 나온다…8월 글로벌 개봉 확정 [공식]</t>
  </si>
  <si>
    <t>https://blog.naver.com/PostView.naver?blogId=gksdk3756&amp;logNo=223903119668&amp;redirect=Dlog&amp;widgetTypeCall=true&amp;directAccess=false</t>
  </si>
  <si>
    <t>조형우 결혼, 무도 ‘막춤’ 김윤의 작가와 백년가약… 팬들 “의외 커플” 화제</t>
  </si>
  <si>
    <t>https://blog.naver.com/PostView.naver?blogId=picklenews&amp;logNo=223903117027&amp;redirect=Dlog&amp;widgetTypeCall=true&amp;directAccess=false</t>
  </si>
  <si>
    <t>심체리</t>
  </si>
  <si>
    <t>일산마사지 일산스포츠마사지 장항동 정발산역 근처 지방에서도 올라오는 찐맛집 '김동준 수기 전문 센터' 수기통증관리 받고왔어요</t>
  </si>
  <si>
    <t>https://blog.naver.com/PostView.naver?blogId=pthyeaseong&amp;logNo=223903087729&amp;redirect=Dlog&amp;widgetTypeCall=true&amp;directAccess=false</t>
  </si>
  <si>
    <t>taejjjang</t>
  </si>
  <si>
    <t>🔸 김준호 소속사 JDB엔터 대표, 걸그룹 멤버와 불륜 의혹…대표직 사임</t>
  </si>
  <si>
    <t>https://blog.naver.com/PostView.naver?blogId=taejjjang&amp;logNo=223903065536&amp;redirect=Dlog&amp;widgetTypeCall=true&amp;directAccess=false</t>
  </si>
  <si>
    <t>뉴스브리핑 : 정치 관련 6월 18일 뉴스</t>
  </si>
  <si>
    <t>https://blog.naver.com/PostView.naver?blogId=josao&amp;logNo=223903060423&amp;redirect=Dlog&amp;widgetTypeCall=true&amp;directAccess=false</t>
  </si>
  <si>
    <t>가수 조형우 결혼 신부는 무한도전 방콕특집 막춤 작가 김윤의</t>
  </si>
  <si>
    <t>https://blog.naver.com/PostView.naver?blogId=psepeter&amp;logNo=223903050105&amp;redirect=Dlog&amp;widgetTypeCall=true&amp;directAccess=false</t>
  </si>
  <si>
    <t>에르미스</t>
  </si>
  <si>
    <t>광명시, 시민주권도시 실현을 위한 ‘자치분권 아리랑’ 포럼 개최</t>
  </si>
  <si>
    <t>https://blog.naver.com/PostView.naver?blogId=metrotimes&amp;logNo=223903036065&amp;redirect=Dlog&amp;widgetTypeCall=true&amp;directAccess=false</t>
  </si>
  <si>
    <t>3가지</t>
  </si>
  <si>
    <t>김준호·김대희 소속사 JDB엔터테인먼트 이강희 대표는 누구? 이호테우 미나는 누구? 총 정리</t>
  </si>
  <si>
    <t>https://blog.naver.com/PostView.naver?blogId=nworker_kimroy&amp;logNo=223903030076&amp;redirect=Dlog&amp;widgetTypeCall=true&amp;directAccess=false</t>
  </si>
  <si>
    <t>김승진</t>
  </si>
  <si>
    <t>[안동시=경북온뉴스] 권기창 안동시장, 산불피해 복구 위한 서울 ‘희망장터’ 방문해 관심 당부- 6월 17일부터 서울 상암 MBC 문화광장서 ‘희망장터’ 개최</t>
  </si>
  <si>
    <t>https://blog.naver.com/PostView.naver?blogId=sjgim57&amp;logNo=223903022315&amp;redirect=Dlog&amp;widgetTypeCall=true&amp;directAccess=false</t>
  </si>
  <si>
    <t>지구별뚜벅이</t>
  </si>
  <si>
    <t>태안 안면도 물회 맛집 시원하게 즐기는 꽃지해수욕장 안면가</t>
  </si>
  <si>
    <t>https://blog.naver.com/PostView.naver?blogId=cea8828&amp;logNo=223903014464&amp;redirect=Dlog&amp;widgetTypeCall=true&amp;directAccess=false</t>
  </si>
  <si>
    <t>이효리 2세 주변에 58세 첫아이낳더라,자연스런삶</t>
  </si>
  <si>
    <t>https://blog.naver.com/PostView.naver?blogId=reny5&amp;logNo=223902958372&amp;redirect=Dlog&amp;widgetTypeCall=true&amp;directAccess=false</t>
  </si>
  <si>
    <t>아랑가(ArangGA)-1142. 고향의 강</t>
  </si>
  <si>
    <t>https://blog.naver.com/PostView.naver?blogId=ycy519444&amp;logNo=223902863406&amp;redirect=Dlog&amp;widgetTypeCall=true&amp;directAccess=false</t>
  </si>
  <si>
    <t>김준호 소속사 JDB엔터 대표 불륜 의혹? 사진·영상은 이미…</t>
  </si>
  <si>
    <t>https://blog.naver.com/PostView.naver?blogId=hoa_nomics&amp;logNo=223902856662&amp;redirect=Dlog&amp;widgetTypeCall=true&amp;directAccess=false</t>
  </si>
  <si>
    <t>JDB 대표 사임과 걸그룹 계약 해지 불륜설 여파</t>
  </si>
  <si>
    <t>https://blog.naver.com/PostView.naver?blogId=odmwd2&amp;logNo=223902843417&amp;redirect=Dlog&amp;widgetTypeCall=true&amp;directAccess=false</t>
  </si>
  <si>
    <t>하루가 새로운 설렘</t>
  </si>
  <si>
    <t>이런 날 이런 음악</t>
  </si>
  <si>
    <t>https://blog.naver.com/PostView.naver?blogId=sel020204&amp;logNo=223902836007&amp;redirect=Dlog&amp;widgetTypeCall=true&amp;directAccess=false</t>
  </si>
  <si>
    <t>신재성</t>
  </si>
  <si>
    <t>이 골목, 알고 가면 다르다! 홍콩 미식가들의 단골 로컬 맛집</t>
  </si>
  <si>
    <t>https://blog.naver.com/PostView.naver?blogId=sjsskypa&amp;logNo=223902674947&amp;redirect=Dlog&amp;widgetTypeCall=true&amp;directAccess=false</t>
  </si>
  <si>
    <t>헵</t>
  </si>
  <si>
    <t>250617 세바시X유네스코 토크 특집 강연회 짧후기</t>
  </si>
  <si>
    <t>https://blog.naver.com/PostView.naver?blogId=ysl12340&amp;logNo=223902798106&amp;redirect=Dlog&amp;widgetTypeCall=true&amp;directAccess=false</t>
  </si>
  <si>
    <t>글자가 다툰다. 글자가 비슷한게아니라 똑같은데도, 같은 글자를 다르다말한다. 무엇이 같은 글자를 다르다하게 만들고, 다르다 말하도록 하고있는가?. 글자인가?, 사람인가?.</t>
  </si>
  <si>
    <t>https://blog.naver.com/PostView.naver?blogId=yjsjhs&amp;logNo=223902765605&amp;redirect=Dlog&amp;widgetTypeCall=true&amp;directAccess=false</t>
  </si>
  <si>
    <t>덕빛</t>
  </si>
  <si>
    <t>틈만나면, 제 26화(시즌 3 6화) 이설, 전여빈 남궁민과 함께하는 여의도 섬 탐방기 편 리뷰</t>
  </si>
  <si>
    <t>https://blog.naver.com/PostView.naver?blogId=ham6870&amp;logNo=223902731687&amp;redirect=Dlog&amp;widgetTypeCall=true&amp;directAccess=false</t>
  </si>
  <si>
    <t>MBC 뉴스, 3년 연속 ‘신뢰도 1위’…옥스퍼드 글로벌 조사 결과</t>
  </si>
  <si>
    <t>https://blog.naver.com/PostView.naver?blogId=26feb&amp;logNo=223902731006&amp;redirect=Dlog&amp;widgetTypeCall=true&amp;directAccess=false</t>
  </si>
  <si>
    <t>942</t>
  </si>
  <si>
    <t>판사 이한영 정보 지성 박희순 원진아 회귀 판타지 드라마</t>
  </si>
  <si>
    <t>https://blog.naver.com/PostView.naver?blogId=7284991&amp;logNo=223902725628&amp;redirect=Dlog&amp;widgetTypeCall=true&amp;directAccess=false</t>
  </si>
  <si>
    <t>킴이삭</t>
  </si>
  <si>
    <t>인플레이션이 체감될 때마다 느끼는 투자 중요성</t>
  </si>
  <si>
    <t>https://blog.naver.com/PostView.naver?blogId=kim_isak&amp;logNo=223902061818&amp;redirect=Dlog&amp;widgetTypeCall=true&amp;directAccess=false</t>
  </si>
  <si>
    <t>6/14 MBC 쇼음악중심 이즈나 사전녹화 + ARTMS 사전녹화 + 미니팬미팅 + 본방송 갔다왔다.</t>
  </si>
  <si>
    <t>https://blog.naver.com/PostView.naver?blogId=conix&amp;logNo=223902600608&amp;redirect=Dlog&amp;widgetTypeCall=true&amp;directAccess=false</t>
  </si>
  <si>
    <t>윤석열 ‘처가’로 방향 튼 고속도로, 뭔가 잡았다..강제수사 전환 [뉴스.zip/MBC뉴스]</t>
  </si>
  <si>
    <t>https://blog.naver.com/PostView.naver?blogId=eremoval&amp;logNo=223902597406&amp;redirect=Dlog&amp;widgetTypeCall=true&amp;directAccess=false</t>
  </si>
  <si>
    <t>전참시 나온 대표 소속 걸그룹 멤버와 부적절 관계  불륜</t>
  </si>
  <si>
    <t>https://blog.naver.com/PostView.naver?blogId=wjdgusx43&amp;logNo=223902524393&amp;redirect=Dlog&amp;widgetTypeCall=true&amp;directAccess=false</t>
  </si>
  <si>
    <t>송도맘 현영, 학비 12억 아들 라이딩 인스타 공개</t>
  </si>
  <si>
    <t>https://blog.naver.com/PostView.naver?blogId=goodlife_me&amp;logNo=223902568924&amp;redirect=Dlog&amp;widgetTypeCall=true&amp;directAccess=false</t>
  </si>
  <si>
    <t>기그리지</t>
  </si>
  <si>
    <t>락커에서 발라드로, 그리고 목회자로 변신한 가수 조하문</t>
  </si>
  <si>
    <t>https://blog.naver.com/PostView.naver?blogId=kdbcall1&amp;logNo=223902562017&amp;redirect=Dlog&amp;widgetTypeCall=true&amp;directAccess=false</t>
  </si>
  <si>
    <t>카페로와</t>
  </si>
  <si>
    <t>mbc 드라마 판사 이한영 지성등판 출연진 정보 줄거리(ft.박희순 원진아)</t>
  </si>
  <si>
    <t>https://blog.naver.com/PostView.naver?blogId=lalabandlala&amp;logNo=223902560534&amp;redirect=Dlog&amp;widgetTypeCall=true&amp;directAccess=false</t>
  </si>
  <si>
    <t>솔로 나라 26기, 삼각관계 속 치열한 슈퍼 데이트권 쟁탈전! 누가 최후의 선택을 받을까?</t>
  </si>
  <si>
    <t>https://blog.naver.com/PostView.naver?blogId=macshorts&amp;logNo=223899376517&amp;redirect=Dlog&amp;widgetTypeCall=true&amp;directAccess=false</t>
  </si>
  <si>
    <t>JDB엔터 대표 걸그룹 멤버와 불륜설에 대표 사임, 이호테우 미나와 계약 해지</t>
  </si>
  <si>
    <t>https://blog.naver.com/PostView.naver?blogId=koolap&amp;logNo=223902543134&amp;redirect=Dlog&amp;widgetTypeCall=true&amp;directAccess=false</t>
  </si>
  <si>
    <t>★★★ MBC를 날리면 (박성제, 창비)</t>
  </si>
  <si>
    <t>https://blog.naver.com/PostView.naver?blogId=yskimeng&amp;logNo=223897833506&amp;redirect=Dlog&amp;widgetTypeCall=true&amp;directAccess=false</t>
  </si>
  <si>
    <t>태양을 삼킨 여자 7회, 장신영 버리고 떠난 오창석 만나다</t>
  </si>
  <si>
    <t>https://blog.naver.com/PostView.naver?blogId=gktkrk&amp;logNo=223902537871&amp;redirect=Dlog&amp;widgetTypeCall=true&amp;directAccess=false</t>
  </si>
  <si>
    <t>"충격 확산" JDB엔터 대표 불륜설…걸그룹 멤버와 부적절한 관계 의혹</t>
  </si>
  <si>
    <t>https://blog.naver.com/PostView.naver?blogId=apahghfej&amp;logNo=223902518283&amp;redirect=Dlog&amp;widgetTypeCall=true&amp;directAccess=false</t>
  </si>
  <si>
    <t>꼰대희 김준호 유민상의 JDB엔터 '가스라이팅 부하 여직원이랑 불륜 대표' 걸그룹 멤버 스킨십 영상</t>
  </si>
  <si>
    <t>https://blog.naver.com/PostView.naver?blogId=psepeter&amp;logNo=223902507141&amp;redirect=Dlog&amp;widgetTypeCall=true&amp;directAccess=false</t>
  </si>
  <si>
    <t>삼포 가는 길 (1975년 개봉)</t>
  </si>
  <si>
    <t>https://blog.naver.com/PostView.naver?blogId=huansu2000&amp;logNo=223902497731&amp;redirect=Dlog&amp;widgetTypeCall=true&amp;directAccess=false</t>
  </si>
  <si>
    <t>JDB엔터테인먼트 대표 A씨, 걸그룹 멤버와의 불륜 의혹 제기 후 대표직 사임</t>
  </si>
  <si>
    <t>https://blog.naver.com/PostView.naver?blogId=news1star&amp;logNo=223902489235&amp;redirect=Dlog&amp;widgetTypeCall=true&amp;directAccess=false</t>
  </si>
  <si>
    <t>일산아재</t>
  </si>
  <si>
    <t>오늘 퇴근 후 먹자마자 기립박수? 충무로 이모카세 선술집 "원두막"</t>
  </si>
  <si>
    <t>https://blog.naver.com/PostView.naver?blogId=ndsibs&amp;logNo=223902213478&amp;redirect=Dlog&amp;widgetTypeCall=true&amp;directAccess=false</t>
  </si>
  <si>
    <t>[농구 U-리그] ‘넘지 못한 산’ 한양대, 고려대에 53-74로 패배하며 전반기 마무리</t>
  </si>
  <si>
    <t>https://blog.naver.com/PostView.naver?blogId=hy_sajahoo&amp;logNo=223902476322&amp;redirect=Dlog&amp;widgetTypeCall=true&amp;directAccess=false</t>
  </si>
  <si>
    <t>쏭쏭</t>
  </si>
  <si>
    <t>https://blog.naver.com/PostView.naver?blogId=thdthd80&amp;logNo=223902467874&amp;redirect=Dlog&amp;widgetTypeCall=true&amp;directAccess=false</t>
  </si>
  <si>
    <t>배우 지성 mbc 드라마 판사 이한영 출연 연기차력쇼 예약 ft. 박희순 원진아</t>
  </si>
  <si>
    <t>https://blog.naver.com/PostView.naver?blogId=polianna825&amp;logNo=223902470506&amp;redirect=Dlog&amp;widgetTypeCall=true&amp;directAccess=false</t>
  </si>
  <si>
    <t>엔프제</t>
  </si>
  <si>
    <t>수서역 갈비 맛집 가원 궁마을에서 특별한 맛을 즐기다</t>
  </si>
  <si>
    <t>https://blog.naver.com/PostView.naver?blogId=domesesangcom&amp;logNo=223902470773&amp;redirect=Dlog&amp;widgetTypeCall=true&amp;directAccess=false</t>
  </si>
  <si>
    <t>「미국 전역 '반 트럼프' 시위‥총격에 1명 사망」</t>
  </si>
  <si>
    <t>https://blog.naver.com/PostView.naver?blogId=ormaverh-m&amp;logNo=223902469525&amp;redirect=Dlog&amp;widgetTypeCall=true&amp;directAccess=false</t>
  </si>
  <si>
    <t>진주시, 전국 시장·군수·구청장 공동회장단 회의 유치···지방분권 목소리 모아</t>
  </si>
  <si>
    <t>https://blog.naver.com/PostView.naver?blogId=jbkjbk2002&amp;logNo=223902469492&amp;redirect=Dlog&amp;widgetTypeCall=true&amp;directAccess=false</t>
  </si>
  <si>
    <t>usang0110</t>
  </si>
  <si>
    <t>2025. 05. 12 _애니메이션의 유통 구조 및 마케팅 전략 (임도영 강사님)</t>
  </si>
  <si>
    <t>https://blog.naver.com/PostView.naver?blogId=usang0110&amp;logNo=223902462894&amp;redirect=Dlog&amp;widgetTypeCall=true&amp;directAccess=false</t>
  </si>
  <si>
    <t>일상</t>
  </si>
  <si>
    <t>언제나 정겨울</t>
  </si>
  <si>
    <t>시장ᐧ군수ᐧ구청장협의회, 진주서 공동건의문 채택</t>
  </si>
  <si>
    <t>https://blog.naver.com/PostView.naver?blogId=winter___j&amp;logNo=223902436222&amp;redirect=Dlog&amp;widgetTypeCall=true&amp;directAccess=false</t>
  </si>
  <si>
    <t>김준호 소속사 JDB엔터 대표, 걸그룹 멤버 B씨와 불륜…결국 사임</t>
  </si>
  <si>
    <t>https://blog.naver.com/PostView.naver?blogId=yunys4303&amp;logNo=223902420145&amp;redirect=Dlog&amp;widgetTypeCall=true&amp;directAccess=false</t>
  </si>
  <si>
    <t>2025. 05. 08 _애니메이션의 정부 정책 이해 (이천우 강사님)</t>
  </si>
  <si>
    <t>https://blog.naver.com/PostView.naver?blogId=usang0110&amp;logNo=223902418241&amp;redirect=Dlog&amp;widgetTypeCall=true&amp;directAccess=false</t>
  </si>
  <si>
    <t>오늘N 퇴근후N 서울 충무로 이모카세 식당 위치 가격 영업시간 6월 17일 방송</t>
  </si>
  <si>
    <t>https://blog.naver.com/PostView.naver?blogId=lucky_lala&amp;logNo=223902418896&amp;redirect=Dlog&amp;widgetTypeCall=true&amp;directAccess=false</t>
  </si>
  <si>
    <t>박선아 방문진 이사가 국정기획위원회가 되었다고 사퇴를 하라는데 할까?</t>
  </si>
  <si>
    <t>https://blog.naver.com/PostView.naver?blogId=msk1117-&amp;logNo=223902399983&amp;redirect=Dlog&amp;widgetTypeCall=true&amp;directAccess=false</t>
  </si>
  <si>
    <t>웹플러스뉴스</t>
  </si>
  <si>
    <t>대한민국 시장·군수·구청장협의회, 새 정부에 21개 과제 국정 반영 요청</t>
  </si>
  <si>
    <t>https://blog.naver.com/PostView.naver?blogId=kbcd2008&amp;logNo=223902374156&amp;redirect=Dlog&amp;widgetTypeCall=true&amp;directAccess=false</t>
  </si>
  <si>
    <t>살아보자고</t>
  </si>
  <si>
    <t>올여름 가기 좋은 ‘나혼자산다’의 구성환 부산 맛집 코스</t>
  </si>
  <si>
    <t>https://blog.naver.com/PostView.naver?blogId=cheeky_chicken&amp;logNo=223902342264&amp;redirect=Dlog&amp;widgetTypeCall=true&amp;directAccess=false</t>
  </si>
  <si>
    <t>다바뉴스</t>
  </si>
  <si>
    <t>[다바뉴스] 시장·군수·구청장협, ‘새정부에 바란다’ 공동건의</t>
  </si>
  <si>
    <t>https://blog.naver.com/PostView.naver?blogId=daba0001&amp;logNo=223902340492&amp;redirect=Dlog&amp;widgetTypeCall=true&amp;directAccess=false</t>
  </si>
  <si>
    <t>JDB 대표 이강희 불륜 사임 이호테우 미나 탈퇴 계약해지</t>
  </si>
  <si>
    <t>https://blog.naver.com/PostView.naver?blogId=psepeter&amp;logNo=223902329530&amp;redirect=Dlog&amp;widgetTypeCall=true&amp;directAccess=false</t>
  </si>
  <si>
    <t>JDB엔터 대표 불륜 의혹과 퇴사</t>
  </si>
  <si>
    <t>https://blog.naver.com/PostView.naver?blogId=creta22&amp;logNo=223902291901&amp;redirect=Dlog&amp;widgetTypeCall=true&amp;directAccess=false</t>
  </si>
  <si>
    <t>메주덩어리</t>
  </si>
  <si>
    <t>왕산 안테나</t>
  </si>
  <si>
    <t>https://blog.naver.com/PostView.naver?blogId=jyhylove1051&amp;logNo=223902286761&amp;redirect=Dlog&amp;widgetTypeCall=true&amp;directAccess=false</t>
  </si>
  <si>
    <t>소피</t>
  </si>
  <si>
    <t>한국 드라마는 왜 세계로 진출할 수 있었나? '네 멋대로 해라'의 작가 박성수가 지적한 스트리밍 서비스의 '문제점'</t>
  </si>
  <si>
    <t>https://blog.naver.com/PostView.naver?blogId=cheesetabbycat&amp;logNo=223902119114&amp;redirect=Dlog&amp;widgetTypeCall=true&amp;directAccess=false</t>
  </si>
  <si>
    <t>이승화 산청군수, “산불로 지친 군민에게 위로를”</t>
  </si>
  <si>
    <t>https://blog.naver.com/PostView.naver?blogId=jbkjbk2002&amp;logNo=223902230856&amp;redirect=Dlog&amp;widgetTypeCall=true&amp;directAccess=false</t>
  </si>
  <si>
    <t>JDB 대표, 걸그룹 멤버와 불륜 의혹…“사실 확인 중” 논란 확산</t>
  </si>
  <si>
    <t>https://blog.naver.com/PostView.naver?blogId=picklenews&amp;logNo=223902205934&amp;redirect=Dlog&amp;widgetTypeCall=true&amp;directAccess=false</t>
  </si>
  <si>
    <t>#오피셜_ #2025년 #방영예정_ #판사이한영_ #MBC</t>
  </si>
  <si>
    <t>https://blog.naver.com/PostView.naver?blogId=today_midnight&amp;logNo=223902172569&amp;redirect=Dlog&amp;widgetTypeCall=true&amp;directAccess=false</t>
  </si>
  <si>
    <t>muko</t>
  </si>
  <si>
    <t>합병을 위한 초석? 티빙-웨이브 더블 요금제 출시(6/17)</t>
  </si>
  <si>
    <t>https://blog.naver.com/PostView.naver?blogId=tenzworks&amp;logNo=223902161452&amp;redirect=Dlog&amp;widgetTypeCall=true&amp;directAccess=false</t>
  </si>
  <si>
    <t>김건희 '방탄 입원' 해도 특검 소환 못 피한다</t>
  </si>
  <si>
    <t>https://blog.naver.com/PostView.naver?blogId=jang0355&amp;logNo=223902132699&amp;redirect=Dlog&amp;widgetTypeCall=true&amp;directAccess=false</t>
  </si>
  <si>
    <t>생각이 많은 곰탱이</t>
  </si>
  <si>
    <t>&lt;생각 많은 곰탱이의 성찰 일기 NO.271 : 너의 존재에 대해 감사할 때&gt;</t>
  </si>
  <si>
    <t>https://blog.naver.com/PostView.naver?blogId=rlagh8891&amp;logNo=223902087595&amp;redirect=Dlog&amp;widgetTypeCall=true&amp;directAccess=false</t>
  </si>
  <si>
    <t>영채</t>
  </si>
  <si>
    <t>「공주 무령왕릉과 왕릉원」 2호분 주인은 15세에 죽은 삼근왕(개로왕 손자)</t>
  </si>
  <si>
    <t>https://blog.naver.com/PostView.naver?blogId=ryt1658&amp;logNo=223902073714&amp;redirect=Dlog&amp;widgetTypeCall=true&amp;directAccess=false</t>
  </si>
  <si>
    <t>쭈엉이</t>
  </si>
  <si>
    <t>그리워하면 언젠가 만나게 되는 어느 영화와 같은 일들이</t>
  </si>
  <si>
    <t>https://blog.naver.com/PostView.naver?blogId=smskeejj&amp;logNo=223902055005&amp;redirect=Dlog&amp;widgetTypeCall=true&amp;directAccess=false</t>
  </si>
  <si>
    <t>남궁민 진아름 자녀/드라마/프로필/전여빈 우리영화/틈만나면</t>
  </si>
  <si>
    <t>https://blog.naver.com/PostView.naver?blogId=0miyoung&amp;logNo=223902053319&amp;redirect=Dlog&amp;widgetTypeCall=true&amp;directAccess=false</t>
  </si>
  <si>
    <t>집코드ZIPCODE</t>
  </si>
  <si>
    <t>서울에 모이는 글로벌 팬 2만 명… ‘마이케이 페스타’로 본 한류의 확장성</t>
  </si>
  <si>
    <t>https://blog.naver.com/PostView.naver?blogId=emma0-&amp;logNo=223902021408&amp;redirect=Dlog&amp;widgetTypeCall=true&amp;directAccess=false</t>
  </si>
  <si>
    <t>yeon23</t>
  </si>
  <si>
    <t>일년 반만에 쓰는 블로그니까 읽어</t>
  </si>
  <si>
    <t>https://blog.naver.com/PostView.naver?blogId=snfl_blog&amp;logNo=223901954705&amp;redirect=Dlog&amp;widgetTypeCall=true&amp;directAccess=false</t>
  </si>
  <si>
    <t>AI가 정리한 6월 17일 국내외 주요 뉴스</t>
  </si>
  <si>
    <t>https://blog.naver.com/PostView.naver?blogId=ksahn1960&amp;logNo=223901952805&amp;redirect=Dlog&amp;widgetTypeCall=true&amp;directAccess=false</t>
  </si>
  <si>
    <t>오디세이아</t>
  </si>
  <si>
    <t>프랑스 파리 13구 이탈리아 광장Place d’Italie에서 베트남 문화 찾기</t>
  </si>
  <si>
    <t>https://blog.naver.com/PostView.naver?blogId=angella0828&amp;logNo=223901935643&amp;redirect=Dlog&amp;widgetTypeCall=true&amp;directAccess=false</t>
  </si>
  <si>
    <t>첫 번째 VHS 비디오 플레이어 - '시간'의 고찰</t>
  </si>
  <si>
    <t>https://blog.naver.com/PostView.naver?blogId=wjdtnsehfdl&amp;logNo=223901930113&amp;redirect=Dlog&amp;widgetTypeCall=true&amp;directAccess=false</t>
  </si>
  <si>
    <t>[요즘내픽]드라마 순위 - 6월 3주</t>
  </si>
  <si>
    <t>https://blog.naver.com/PostView.naver?blogId=tvone&amp;logNo=223901899346&amp;redirect=Dlog&amp;widgetTypeCall=true&amp;directAccess=false</t>
  </si>
  <si>
    <t>이시언, “2년 동안 사과” 3년만 죄책감 씻어냈다..기안84와 무슨 일? [태계일주4]</t>
  </si>
  <si>
    <t>https://blog.naver.com/PostView.naver?blogId=plug_and_play_life&amp;logNo=223901883785&amp;redirect=Dlog&amp;widgetTypeCall=true&amp;directAccess=false</t>
  </si>
  <si>
    <t>나주인</t>
  </si>
  <si>
    <t>김덕수 기자의 '마을과 사람'(57)</t>
  </si>
  <si>
    <t>https://blog.naver.com/PostView.naver?blogId=najubold&amp;logNo=223901869804&amp;redirect=Dlog&amp;widgetTypeCall=true&amp;directAccess=false</t>
  </si>
  <si>
    <t>박현뎡</t>
  </si>
  <si>
    <t>2025년 6월✍️#23 아이폰일상기록</t>
  </si>
  <si>
    <t>https://blog.naver.com/PostView.naver?blogId=ozoz1128&amp;logNo=223888009339&amp;redirect=Dlog&amp;widgetTypeCall=true&amp;directAccess=false</t>
  </si>
  <si>
    <t>지혜운</t>
  </si>
  <si>
    <t>북극항로에 대해서 공부</t>
  </si>
  <si>
    <t>https://blog.naver.com/PostView.naver?blogId=4216267&amp;logNo=223901165184&amp;redirect=Dlog&amp;widgetTypeCall=true&amp;directAccess=false</t>
  </si>
  <si>
    <t>★ 왔다가 그냥 갑니다///윤중식</t>
  </si>
  <si>
    <t>https://blog.naver.com/PostView.naver?blogId=mbcswallow&amp;logNo=223900995110&amp;redirect=Dlog&amp;widgetTypeCall=true&amp;directAccess=false</t>
  </si>
  <si>
    <t>클로저</t>
  </si>
  <si>
    <t>지상파 방송사들이 KOBA2025에 들고나온 해답, 'AI'였다</t>
  </si>
  <si>
    <t>https://blog.naver.com/PostView.naver?blogId=eng_story&amp;logNo=223897084299&amp;redirect=Dlog&amp;widgetTypeCall=true&amp;directAccess=false</t>
  </si>
  <si>
    <t>스즈메각코voca6000</t>
  </si>
  <si>
    <t>[종합] '힐링 장인' 박보영, 화제성도 뜨겁다..'미지의 서울' 콘텐츠 통합 랭킹 1위</t>
  </si>
  <si>
    <t>https://blog.naver.com/PostView.naver?blogId=aodaisyou1&amp;logNo=223901819065&amp;redirect=Dlog&amp;widgetTypeCall=true&amp;directAccess=false</t>
  </si>
  <si>
    <t>나는 김어준을 좋아하지만 늘상 낄낄거리는 게 너무 보기도 싫고 듣기도 싫어서 잘 안 본다.고일석</t>
  </si>
  <si>
    <t>https://blog.naver.com/PostView.naver?blogId=kimdaisuke&amp;logNo=223901783438&amp;redirect=Dlog&amp;widgetTypeCall=true&amp;directAccess=false</t>
  </si>
  <si>
    <t>solarfarmer</t>
  </si>
  <si>
    <t>진짜 무서운건 화웨이다.</t>
  </si>
  <si>
    <t>https://blog.naver.com/PostView.naver?blogId=solarfarmer&amp;logNo=223901767056&amp;redirect=Dlog&amp;widgetTypeCall=true&amp;directAccess=false</t>
  </si>
  <si>
    <t>책일상 소소혜</t>
  </si>
  <si>
    <t>우리말 나들이 문해력 편 - MBC아나운서국 / 글쓰기 자기계발도서</t>
  </si>
  <si>
    <t>https://blog.naver.com/PostView.naver?blogId=lemontree17&amp;logNo=223901765549&amp;redirect=Dlog&amp;widgetTypeCall=true&amp;directAccess=false</t>
  </si>
  <si>
    <t>큰일났다 나 일본어 너무 잘해 1</t>
  </si>
  <si>
    <t>https://blog.naver.com/PostView.naver?blogId=tjd91221&amp;logNo=223901661993&amp;redirect=Dlog&amp;widgetTypeCall=true&amp;directAccess=false</t>
  </si>
  <si>
    <t>어나더범어 분양가, 평당 3,700만원대의 도전… 과연 시장은 수용할까?</t>
  </si>
  <si>
    <t>https://blog.naver.com/PostView.naver?blogId=speed-developer&amp;logNo=223901656116&amp;redirect=Dlog&amp;widgetTypeCall=true&amp;directAccess=false</t>
  </si>
  <si>
    <t>KBO 30대 이하 타자 TOP5… ‘부상 김도영’이 1위라고요?</t>
  </si>
  <si>
    <t>https://blog.naver.com/PostView.naver?blogId=allaboutball&amp;logNo=223901589666&amp;redirect=Dlog&amp;widgetTypeCall=true&amp;directAccess=false</t>
  </si>
  <si>
    <t>작가 빛나다</t>
  </si>
  <si>
    <t>P형 엄마의 J형 호소 육아  with 하루 5분 아침 일기</t>
  </si>
  <si>
    <t>https://blog.naver.com/PostView.naver?blogId=aa79&amp;logNo=223901569433&amp;redirect=Dlog&amp;widgetTypeCall=true&amp;directAccess=false</t>
  </si>
  <si>
    <t>2025년 6월에 구입한 드라마 DVD</t>
  </si>
  <si>
    <t>https://blog.naver.com/PostView.naver?blogId=lyc7248&amp;logNo=223901565349&amp;redirect=Dlog&amp;widgetTypeCall=true&amp;directAccess=false</t>
  </si>
  <si>
    <t>추억 소환ㅡ라디오 드라마를 듣다</t>
  </si>
  <si>
    <t>https://blog.naver.com/PostView.naver?blogId=syshbo&amp;logNo=223901497257&amp;redirect=Dlog&amp;widgetTypeCall=true&amp;directAccess=false</t>
  </si>
  <si>
    <t>김재욱 최여진, 억 소리 나는 초호화 크루즈 결혼식… 대체 어디길래? (+장소, 가격, 하객)</t>
  </si>
  <si>
    <t>https://blog.naver.com/PostView.naver?blogId=qoswlfdl-&amp;logNo=223901496368&amp;redirect=Dlog&amp;widgetTypeCall=true&amp;directAccess=false</t>
  </si>
  <si>
    <t>리뷰하는 Danny</t>
  </si>
  <si>
    <t>티빙 x 웨이브, 합병 전 공동 요금제 더블 이용권 출시 정보</t>
  </si>
  <si>
    <t>https://blog.naver.com/PostView.naver?blogId=dannykim89&amp;logNo=223901471578&amp;redirect=Dlog&amp;widgetTypeCall=true&amp;directAccess=false</t>
  </si>
  <si>
    <t>mooo</t>
  </si>
  <si>
    <t>티빙 웨이브 합병 요금제 정리</t>
  </si>
  <si>
    <t>https://blog.naver.com/PostView.naver?blogId=f0revery0ung12&amp;logNo=223901446984&amp;redirect=Dlog&amp;widgetTypeCall=true&amp;directAccess=false</t>
  </si>
  <si>
    <t>박나래, 다이어트 성공 후 새 프로필 공개…"4년 만의 변신, 역대급 미모 화제"</t>
  </si>
  <si>
    <t>https://blog.naver.com/PostView.naver?blogId=glowrite&amp;logNo=223901442966&amp;redirect=Dlog&amp;widgetTypeCall=true&amp;directAccess=false</t>
  </si>
  <si>
    <t>로터스</t>
  </si>
  <si>
    <t>[우리금융캐피탈 LPBA 챔피언십 2025] 32강 대진표</t>
  </si>
  <si>
    <t>https://blog.naver.com/PostView.naver?blogId=kpromath&amp;logNo=223901433901&amp;redirect=Dlog&amp;widgetTypeCall=true&amp;directAccess=false</t>
  </si>
  <si>
    <t>우리 이제 그만하자...단물 다 빠졌는데 억지로 계속하고 있는 장수 예능프로그램 5선</t>
  </si>
  <si>
    <t>https://blog.naver.com/PostView.naver?blogId=spmark93&amp;logNo=223901433252&amp;redirect=Dlog&amp;widgetTypeCall=true&amp;directAccess=false</t>
  </si>
  <si>
    <t>Sigmale</t>
  </si>
  <si>
    <t>SPC그룹의 반복되는 노동자 사망 (시흥 SPC 삼립 사고)</t>
  </si>
  <si>
    <t>https://blog.naver.com/PostView.naver?blogId=knowbase&amp;logNo=223901413563&amp;redirect=Dlog&amp;widgetTypeCall=true&amp;directAccess=false</t>
  </si>
  <si>
    <t>요가강사 진아</t>
  </si>
  <si>
    <t>감사일기 효과, 스트레스를 줄이는 뇌과학적 습관</t>
  </si>
  <si>
    <t>https://blog.naver.com/PostView.naver?blogId=ondoyoga&amp;logNo=223901410891&amp;redirect=Dlog&amp;widgetTypeCall=true&amp;directAccess=false</t>
  </si>
  <si>
    <t>찡뉴</t>
  </si>
  <si>
    <t>[부산공연정보] 살롱 드 바이올린 - KoN(콘)</t>
  </si>
  <si>
    <t>https://blog.naver.com/PostView.naver?blogId=jjyun612&amp;logNo=223901408141&amp;redirect=Dlog&amp;widgetTypeCall=true&amp;directAccess=false</t>
  </si>
  <si>
    <t>결혼지옥 화성인 부부, 아내 선의로 데려와 결혼해 준 거라는 남편? 126회</t>
  </si>
  <si>
    <t>https://blog.naver.com/PostView.naver?blogId=shushu9988&amp;logNo=223900926287&amp;redirect=Dlog&amp;widgetTypeCall=true&amp;directAccess=false</t>
  </si>
  <si>
    <t>당산전담</t>
  </si>
  <si>
    <t>코미디언 박나래 4년만의 업로드 한 새로운 프로필 사진 공개!</t>
  </si>
  <si>
    <t>https://blog.naver.com/PostView.naver?blogId=man1004t&amp;logNo=223901374457&amp;redirect=Dlog&amp;widgetTypeCall=true&amp;directAccess=false</t>
  </si>
  <si>
    <t>🌟[화제] 박나래, 4년 만에 공개된 새 프로필 사진… 다이어트 성공 후 물오른 비주얼!  ✨</t>
  </si>
  <si>
    <t>https://blog.naver.com/PostView.naver?blogId=gyjeon1&amp;logNo=223901374473&amp;redirect=Dlog&amp;widgetTypeCall=true&amp;directAccess=false</t>
  </si>
  <si>
    <t>친절한 지민씨</t>
  </si>
  <si>
    <t>딛는 곳이 모두 길이던 나의 숲에서</t>
  </si>
  <si>
    <t>https://blog.naver.com/PostView.naver?blogId=hayani91&amp;logNo=223901372502&amp;redirect=Dlog&amp;widgetTypeCall=true&amp;directAccess=false</t>
  </si>
  <si>
    <t>아랑가(ArangGA)-1140. 배신자</t>
  </si>
  <si>
    <t>https://blog.naver.com/PostView.naver?blogId=ycy519444&amp;logNo=223901357350&amp;redirect=Dlog&amp;widgetTypeCall=true&amp;directAccess=false</t>
  </si>
  <si>
    <t>newsmonster</t>
  </si>
  <si>
    <t>포항 시민을 위한 초여름 선율… ‘철길숲 하모니’ 클래식 연주회 성료</t>
  </si>
  <si>
    <t>https://blog.naver.com/PostView.naver?blogId=newsmonster&amp;logNo=223901352094&amp;redirect=Dlog&amp;widgetTypeCall=true&amp;directAccess=false</t>
  </si>
  <si>
    <t>느티그늘</t>
  </si>
  <si>
    <t>콩국수가 맛있는 상암맛집 콩면당 상암본점</t>
  </si>
  <si>
    <t>https://blog.naver.com/PostView.naver?blogId=jjungw79&amp;logNo=223901338583&amp;redirect=Dlog&amp;widgetTypeCall=true&amp;directAccess=false</t>
  </si>
  <si>
    <t>현역가왕1 별사랑 "깜짝 방송 도중 결혼 발표" 날 잡았다.</t>
  </si>
  <si>
    <t>https://blog.naver.com/PostView.naver?blogId=ksm9663&amp;logNo=223901322694&amp;redirect=Dlog&amp;widgetTypeCall=true&amp;directAccess=false</t>
  </si>
  <si>
    <t>다이어트 성공 박나래, 4년 만 새 프로필 공개…배우 같은 아우라</t>
  </si>
  <si>
    <t>https://blog.naver.com/PostView.naver?blogId=picklenews&amp;logNo=223901302599&amp;redirect=Dlog&amp;widgetTypeCall=true&amp;directAccess=false</t>
  </si>
  <si>
    <t>서현 vs 남궁민, 6월 신작 드라마 첫방 성적표 ‘희비교차’</t>
  </si>
  <si>
    <t>https://blog.naver.com/PostView.naver?blogId=apahghfej&amp;logNo=223901286464&amp;redirect=Dlog&amp;widgetTypeCall=true&amp;directAccess=false</t>
  </si>
  <si>
    <t>이시언 눈물, 덱스 하차에 뜨거운 우정…‘태계일주4’ 진한 이별의 순간</t>
  </si>
  <si>
    <t>https://blog.naver.com/PostView.naver?blogId=apahghfej&amp;logNo=223901280629&amp;redirect=Dlog&amp;widgetTypeCall=true&amp;directAccess=false</t>
  </si>
  <si>
    <t>choi_gwangbock</t>
  </si>
  <si>
    <t>尹정권 정치공작 드러나</t>
  </si>
  <si>
    <t>https://blog.naver.com/PostView.naver?blogId=choi_gwangbock&amp;logNo=223901275775&amp;redirect=Dlog&amp;widgetTypeCall=true&amp;directAccess=false</t>
  </si>
  <si>
    <t>‘MBC의 아들’ 장하오, 예능부터 드라마까지 섭렵…‘아임써니땡큐’로 색다른 매력 발산</t>
  </si>
  <si>
    <t>https://blog.naver.com/PostView.naver?blogId=apahghfej&amp;logNo=223901271065&amp;redirect=Dlog&amp;widgetTypeCall=true&amp;directAccess=false</t>
  </si>
  <si>
    <t>태양을 삼킨 여자 6회, 장신영의 진실찾기</t>
  </si>
  <si>
    <t>https://blog.naver.com/PostView.naver?blogId=gktkrk&amp;logNo=223901268249&amp;redirect=Dlog&amp;widgetTypeCall=true&amp;directAccess=false</t>
  </si>
  <si>
    <t>유튜버 일주어터, 故 오요안나 유족에 재차 사과</t>
  </si>
  <si>
    <t>https://blog.naver.com/PostView.naver?blogId=creta22&amp;logNo=223901260687&amp;redirect=Dlog&amp;widgetTypeCall=true&amp;directAccess=false</t>
  </si>
  <si>
    <t>김대호 아나운서, 드디어 입 열다 프리 선언 후 … 상상 초월하는 수입 최초 공개 (+퇴사 이유, 연봉, 재산)</t>
  </si>
  <si>
    <t>https://blog.naver.com/PostView.naver?blogId=qoswlfdl-&amp;logNo=223901250238&amp;redirect=Dlog&amp;widgetTypeCall=true&amp;directAccess=false</t>
  </si>
  <si>
    <t>25살 연하 아내 공개! 박영규의 놀라운 러브스토리와 재산 이야기</t>
  </si>
  <si>
    <t>https://blog.naver.com/PostView.naver?blogId=macshorts&amp;logNo=223899721889&amp;redirect=Dlog&amp;widgetTypeCall=true&amp;directAccess=false</t>
  </si>
  <si>
    <t>단돈 7900원으로 티빙과 웨이브까지! 티빙-웨이브 '더블이용권' 출시</t>
  </si>
  <si>
    <t>https://blog.naver.com/PostView.naver?blogId=tearhunter&amp;logNo=223901162971&amp;redirect=Dlog&amp;widgetTypeCall=true&amp;directAccess=false</t>
  </si>
  <si>
    <t>이진숙 방통위원장</t>
  </si>
  <si>
    <t>https://blog.naver.com/PostView.naver?blogId=dada747&amp;logNo=223901143173&amp;redirect=Dlog&amp;widgetTypeCall=true&amp;directAccess=false</t>
  </si>
  <si>
    <t>주말 드라마 시청률 순위 2025년  6월 2주 차 미지의 서울 역시 1위</t>
  </si>
  <si>
    <t>https://blog.naver.com/PostView.naver?blogId=jeje-_-&amp;logNo=223901097773&amp;redirect=Dlog&amp;widgetTypeCall=true&amp;directAccess=false</t>
  </si>
  <si>
    <t>또히</t>
  </si>
  <si>
    <t>대구 수성구 축제 '대구 수제 맥주 페스티벌'</t>
  </si>
  <si>
    <t>https://blog.naver.com/PostView.naver?blogId=kimoo2674&amp;logNo=223900974118&amp;redirect=Dlog&amp;widgetTypeCall=true&amp;directAccess=false</t>
  </si>
  <si>
    <t>ho2994</t>
  </si>
  <si>
    <t>공룡선생 1993</t>
  </si>
  <si>
    <t>https://blog.naver.com/PostView.naver?blogId=ho2994&amp;logNo=223900964770&amp;redirect=Dlog&amp;widgetTypeCall=true&amp;directAccess=false</t>
  </si>
  <si>
    <t>DaVinci</t>
  </si>
  <si>
    <t>프리 선언 후 출연료 100배? 김대호 아나운서 1회 출연료 얼마?</t>
  </si>
  <si>
    <t>https://blog.naver.com/PostView.naver?blogId=thinkgrow119&amp;logNo=223900953713&amp;redirect=Dlog&amp;widgetTypeCall=true&amp;directAccess=false</t>
  </si>
  <si>
    <t>윤가이, 새로운 프로필 사진 공개…성숙미와 생기 넘나드는 다채로운 매력</t>
  </si>
  <si>
    <t>https://blog.naver.com/PostView.naver?blogId=news1star&amp;logNo=223900928211&amp;redirect=Dlog&amp;widgetTypeCall=true&amp;directAccess=false</t>
  </si>
  <si>
    <t>행복안내자</t>
  </si>
  <si>
    <t>최불암 사망했나요? 부고 아내 논란 이유</t>
  </si>
  <si>
    <t>https://blog.naver.com/PostView.naver?blogId=kjd110802&amp;logNo=223900925971&amp;redirect=Dlog&amp;widgetTypeCall=true&amp;directAccess=false</t>
  </si>
  <si>
    <t>김소영 CEO 근황｜강남 신세계 팝업스토어 직접 운영한 이유</t>
  </si>
  <si>
    <t>https://blog.naver.com/PostView.naver?blogId=88labstory&amp;logNo=223900219056&amp;redirect=Dlog&amp;widgetTypeCall=true&amp;directAccess=false</t>
  </si>
  <si>
    <t>제주나그네</t>
  </si>
  <si>
    <t>강원도 춘천 가볼만한곳 의암호 전망 춘천사이로248 출렁다리</t>
  </si>
  <si>
    <t>https://blog.naver.com/PostView.naver?blogId=jejusilencer&amp;logNo=223900915492&amp;redirect=Dlog&amp;widgetTypeCall=true&amp;directAccess=false</t>
  </si>
  <si>
    <t>[술방 논란 폭발] 연예인 음주 방송, 10대에게 미치는 충격적인 영향!</t>
  </si>
  <si>
    <t>https://blog.naver.com/PostView.naver?blogId=dew2by_&amp;logNo=223900901630&amp;redirect=Dlog&amp;widgetTypeCall=true&amp;directAccess=false</t>
  </si>
  <si>
    <t>ChatGPT와 함께 보는 『토지』 요약 - 박경리</t>
  </si>
  <si>
    <t>https://blog.naver.com/PostView.naver?blogId=doodle02&amp;logNo=223900900366&amp;redirect=Dlog&amp;widgetTypeCall=true&amp;directAccess=false</t>
  </si>
  <si>
    <t>사랑하는 사람들</t>
  </si>
  <si>
    <t>여수시 묘도동 재개발 1차 LNG 사업 2027 년말경 완공,그리고 2029 년 말까지 3 조 9,000억원 투자하여 암모니아, 수소생산,  묘도 복합 산업단지 , 완공 한다 함</t>
  </si>
  <si>
    <t>https://blog.naver.com/PostView.naver?blogId=kekejsw2&amp;logNo=223900865793&amp;redirect=Dlog&amp;widgetTypeCall=true&amp;directAccess=false</t>
  </si>
  <si>
    <t>바보상자바라기</t>
  </si>
  <si>
    <t>백종원 예능 남극의 셰프 첫방송</t>
  </si>
  <si>
    <t>https://blog.naver.com/PostView.naver?blogId=baboboxlover&amp;logNo=223900840552&amp;redirect=Dlog&amp;widgetTypeCall=true&amp;directAccess=false</t>
  </si>
  <si>
    <t>다산북스</t>
  </si>
  <si>
    <t>동식물을 '님'으로 높이면 일어나는 일</t>
  </si>
  <si>
    <t>https://blog.naver.com/PostView.naver?blogId=dasan_books&amp;logNo=223900701840&amp;redirect=Dlog&amp;widgetTypeCall=true&amp;directAccess=false</t>
  </si>
  <si>
    <t>미로</t>
  </si>
  <si>
    <t>음악으로 읽는 두 번째 책: 셰익스피어 인 러브_250620</t>
  </si>
  <si>
    <t>https://blog.naver.com/PostView.naver?blogId=onmilo&amp;logNo=223900837692&amp;redirect=Dlog&amp;widgetTypeCall=true&amp;directAccess=false</t>
  </si>
  <si>
    <t>[공유] '와..미친 것 아니냐' 발칵, "No King" 폭발한 시위대 [뉴스.zip/MBC뉴스]</t>
  </si>
  <si>
    <t>https://blog.naver.com/PostView.naver?blogId=yjhyjhy&amp;logNo=223900829516&amp;redirect=Dlog&amp;widgetTypeCall=true&amp;directAccess=false</t>
  </si>
  <si>
    <t>전북 고군산군도 / 변산반도 ('25.5.29~30) - 2</t>
  </si>
  <si>
    <t>https://blog.naver.com/PostView.naver?blogId=kysarmy&amp;logNo=223900823805&amp;redirect=Dlog&amp;widgetTypeCall=true&amp;directAccess=false</t>
  </si>
  <si>
    <t>"덱스 떠나고 한혜진 합류…기안84에 ‘사우나 제안’까지, 분위기 반전! (‘태계일주4’)"</t>
  </si>
  <si>
    <t>https://blog.naver.com/PostView.naver?blogId=reviewangel&amp;logNo=223900806222&amp;redirect=Dlog&amp;widgetTypeCall=true&amp;directAccess=false</t>
  </si>
  <si>
    <t>김대호, 프리 선언 후 출연료 100배 뛰어... "저를 한동안 갈아버릴 생각으로 퇴사했다"</t>
  </si>
  <si>
    <t>https://blog.naver.com/PostView.naver?blogId=wookiecinebox&amp;logNo=223900805295&amp;redirect=Dlog&amp;widgetTypeCall=true&amp;directAccess=false</t>
  </si>
  <si>
    <t>심우정 프로필, 나이 고향 학력 재산 가족 경력 검찰총장</t>
  </si>
  <si>
    <t>https://blog.naver.com/PostView.naver?blogId=rwg008&amp;logNo=223900804177&amp;redirect=Dlog&amp;widgetTypeCall=true&amp;directAccess=false</t>
  </si>
  <si>
    <t>2008.4.8 "엔터테인먼트 사업에 관해"(일부)</t>
  </si>
  <si>
    <t>https://blog.naver.com/PostView.naver?blogId=ruthkim88&amp;logNo=223900772853&amp;redirect=Dlog&amp;widgetTypeCall=true&amp;directAccess=false</t>
  </si>
  <si>
    <t>MBC 기상캐스터 김가영 옹호했던 유튜버 일주어터 고 오요안나 유족에 재차 사과</t>
  </si>
  <si>
    <t>https://blog.naver.com/PostView.naver?blogId=psepeter&amp;logNo=223900748043&amp;redirect=Dlog&amp;widgetTypeCall=true&amp;directAccess=false</t>
  </si>
  <si>
    <t>95.12.29 "대전 프로축구팀 유치"</t>
  </si>
  <si>
    <t>https://blog.naver.com/PostView.naver?blogId=ruthkim88&amp;logNo=223900744388&amp;redirect=Dlog&amp;widgetTypeCall=true&amp;directAccess=false</t>
  </si>
  <si>
    <t>죽음의 SPC 공장'에 직접 잠입 근무한 노무사의 충격적 증언</t>
  </si>
  <si>
    <t>https://blog.naver.com/PostView.naver?blogId=theenews&amp;logNo=223900706836&amp;redirect=Dlog&amp;widgetTypeCall=true&amp;directAccess=false</t>
  </si>
  <si>
    <t>모데르노</t>
  </si>
  <si>
    <t>June 2025</t>
  </si>
  <si>
    <t>https://blog.naver.com/PostView.naver?blogId=modernofr&amp;logNo=223900699376&amp;redirect=Dlog&amp;widgetTypeCall=true&amp;directAccess=false</t>
  </si>
  <si>
    <t>lizzy 양</t>
  </si>
  <si>
    <t>하반기 분양시장 주목할 만한 단지는?</t>
  </si>
  <si>
    <t>https://blog.naver.com/PostView.naver?blogId=lizzyyang&amp;logNo=223900689753&amp;redirect=Dlog&amp;widgetTypeCall=true&amp;directAccess=false</t>
  </si>
  <si>
    <t>최강욱 프로필, 나이 고향 학력 재산 정치경력 변호사</t>
  </si>
  <si>
    <t>https://blog.naver.com/PostView.naver?blogId=rwg008&amp;logNo=223900678446&amp;redirect=Dlog&amp;widgetTypeCall=true&amp;directAccess=false</t>
  </si>
  <si>
    <t>시사주간</t>
  </si>
  <si>
    <t>대통령실 기자들 '얼굴 공개', 결국 그들이 자초했다</t>
  </si>
  <si>
    <t>https://blog.naver.com/PostView.naver?blogId=law2010&amp;logNo=223900654653&amp;redirect=Dlog&amp;widgetTypeCall=true&amp;directAccess=false</t>
  </si>
  <si>
    <t>[문린이] 살롱 드 바이올린 - KoN(콘)</t>
  </si>
  <si>
    <t>https://blog.naver.com/PostView.naver?blogId=gammanboo&amp;logNo=223900642310&amp;redirect=Dlog&amp;widgetTypeCall=true&amp;directAccess=false</t>
  </si>
  <si>
    <t>윤석열때는 야당공격하던 기레기여론 이젠 정부여당 고격에만 몰두 스스로 기레기를 자처</t>
  </si>
  <si>
    <t>https://blog.naver.com/PostView.naver?blogId=hun4339&amp;logNo=223900622784&amp;redirect=Dlog&amp;widgetTypeCall=true&amp;directAccess=false</t>
  </si>
  <si>
    <t>사람보다 빵/MBC 스트레이트 301회 SPC 세 번째 사망</t>
  </si>
  <si>
    <t>https://blog.naver.com/PostView.naver?blogId=ulsanhj&amp;logNo=223900621171&amp;redirect=Dlog&amp;widgetTypeCall=true&amp;directAccess=false</t>
  </si>
  <si>
    <t>지금 춘천에서_호수에 별이 뜬다.</t>
  </si>
  <si>
    <t>https://blog.naver.com/PostView.naver?blogId=cc4zin&amp;logNo=223900614953&amp;redirect=Dlog&amp;widgetTypeCall=true&amp;directAccess=false</t>
  </si>
  <si>
    <t>석탄공사 사라진다...</t>
  </si>
  <si>
    <t>https://blog.naver.com/PostView.naver?blogId=sabbaton&amp;logNo=223900600562&amp;redirect=Dlog&amp;widgetTypeCall=true&amp;directAccess=false</t>
  </si>
  <si>
    <t>요금제 하나로 '티빙+웨이브' 동시 시청</t>
  </si>
  <si>
    <t>https://blog.naver.com/PostView.naver?blogId=coxnews&amp;logNo=223900589800&amp;redirect=Dlog&amp;widgetTypeCall=true&amp;directAccess=false</t>
  </si>
  <si>
    <t>감블리</t>
  </si>
  <si>
    <t>[디귿올봄]  '목소리로 돌아보는 오월의 봄'</t>
  </si>
  <si>
    <t>https://blog.naver.com/PostView.naver?blogId=wwwpl&amp;logNo=223900574551&amp;redirect=Dlog&amp;widgetTypeCall=true&amp;directAccess=false</t>
  </si>
  <si>
    <t>티빙, 웨이브와 ‘더블 이용권’ 출시! 최대 39% 파격적 할인!</t>
  </si>
  <si>
    <t>https://blog.naver.com/PostView.naver?blogId=withinnews&amp;logNo=223900567291&amp;redirect=Dlog&amp;widgetTypeCall=true&amp;directAccess=false</t>
  </si>
  <si>
    <t>tsshy</t>
  </si>
  <si>
    <t>청란교회</t>
  </si>
  <si>
    <t>https://blog.naver.com/PostView.naver?blogId=tsshy&amp;logNo=223900558962&amp;redirect=Dlog&amp;widgetTypeCall=true&amp;directAccess=false</t>
  </si>
  <si>
    <t>송송1123</t>
  </si>
  <si>
    <t>프로들이 운영하는 여주 골프용품 할인매장 디케이골프</t>
  </si>
  <si>
    <t>https://blog.naver.com/PostView.naver?blogId=dream_die&amp;logNo=223900554787&amp;redirect=Dlog&amp;widgetTypeCall=true&amp;directAccess=false</t>
  </si>
  <si>
    <t>아이티 씬</t>
  </si>
  <si>
    <t>하반기 청약 예정 단지 시세 전망, 잠실르엘 아크로드서초 오티에르포레 분양가</t>
  </si>
  <si>
    <t>https://blog.naver.com/PostView.naver?blogId=crash205&amp;logNo=223900552495&amp;redirect=Dlog&amp;widgetTypeCall=true&amp;directAccess=false</t>
  </si>
  <si>
    <t>책해설</t>
  </si>
  <si>
    <t>음악이 주는 위로</t>
  </si>
  <si>
    <t>https://blog.naver.com/PostView.naver?blogId=inside2525&amp;logNo=223900543167&amp;redirect=Dlog&amp;widgetTypeCall=true&amp;directAccess=false</t>
  </si>
  <si>
    <t>🩷0616 월07 연예엔터 🟧제목으로 간추린 아침 연예계 엔터테인먼트 뉴스</t>
  </si>
  <si>
    <t>https://blog.naver.com/PostView.naver?blogId=gusteam&amp;logNo=223900531103&amp;redirect=Dlog&amp;widgetTypeCall=true&amp;directAccess=false</t>
  </si>
  <si>
    <t>담덕공자</t>
  </si>
  <si>
    <t>나는 삼성 라이온즈 팬 이다.</t>
  </si>
  <si>
    <t>https://blog.naver.com/PostView.naver?blogId=king700203&amp;logNo=223900528270&amp;redirect=Dlog&amp;widgetTypeCall=true&amp;directAccess=false</t>
  </si>
  <si>
    <t>알뜰그녀</t>
  </si>
  <si>
    <t>대구경북 가볼만한곳 군위 화본마을 화본역 리틀포레스트 촬영지</t>
  </si>
  <si>
    <t>https://blog.naver.com/PostView.naver?blogId=sunnyssam73&amp;logNo=223900428256&amp;redirect=Dlog&amp;widgetTypeCall=true&amp;directAccess=false</t>
  </si>
  <si>
    <t>전주MBC News ~ 정치 돋보기님의 오늘자 이재명, 윤석열 소식. 주말 전국 비소식에 한강홍수통제소 찾은 이재명 대통령.. 무슨말 했나 들어보니..</t>
  </si>
  <si>
    <t>https://blog.naver.com/PostView.naver?blogId=wishut3281&amp;logNo=223900496157&amp;redirect=Dlog&amp;widgetTypeCall=true&amp;directAccess=false</t>
  </si>
  <si>
    <t>김대호, 프리 선언 후 수입 공개 "아나운서 월급, 프로그램마다 받는다"…전현무 냉철 조언 '폭소'</t>
  </si>
  <si>
    <t>https://blog.naver.com/PostView.naver?blogId=lsb3002&amp;logNo=223900474345&amp;redirect=Dlog&amp;widgetTypeCall=true&amp;directAccess=false</t>
  </si>
  <si>
    <t>김종식</t>
  </si>
  <si>
    <t>존경스런 TK</t>
  </si>
  <si>
    <t>https://blog.naver.com/PostView.naver?blogId=bohakdang123&amp;logNo=223900418418&amp;redirect=Dlog&amp;widgetTypeCall=true&amp;directAccess=false</t>
  </si>
  <si>
    <t>성폭행 의혹' 강남 오마카세 가 보니…온라인서 '추정' 셰프 신상 털려</t>
  </si>
  <si>
    <t>https://blog.naver.com/PostView.naver?blogId=dictator-&amp;logNo=223900405024&amp;redirect=Dlog&amp;widgetTypeCall=true&amp;directAccess=false</t>
  </si>
  <si>
    <t>이재명 정부에 ‘가족 여성부’를 제안드린다. 여가부 폐지냐, 성평등가족부 확대개편이냐. "미래 우리 자녀들을 먼저 생각해야"</t>
  </si>
  <si>
    <t>https://blog.naver.com/PostView.naver?blogId=peacemaker2027&amp;logNo=223900365248&amp;redirect=Dlog&amp;widgetTypeCall=true&amp;directAccess=false</t>
  </si>
  <si>
    <t>roofang</t>
  </si>
  <si>
    <t>블루캡</t>
  </si>
  <si>
    <t>노무사 뜻, 노무사는 무슨 일을 하는 사람일까?</t>
  </si>
  <si>
    <t>https://blog.naver.com/PostView.naver?blogId=bluecap_81&amp;logNo=223900361557&amp;redirect=Dlog&amp;widgetTypeCall=true&amp;directAccess=false</t>
  </si>
  <si>
    <t>젤라</t>
  </si>
  <si>
    <t>25.5.31 Mega concert</t>
  </si>
  <si>
    <t>https://blog.naver.com/PostView.naver?blogId=1214ojy&amp;logNo=223900352482&amp;redirect=Dlog&amp;widgetTypeCall=true&amp;directAccess=false</t>
  </si>
  <si>
    <t>미국의 이란 핵시설 폭격 - 트럼프 원맨 쇼의 숨은 뜻은?</t>
  </si>
  <si>
    <t>https://blog.naver.com/PostView.naver?blogId=search_truth&amp;logNo=223908076058&amp;redirect=Dlog&amp;widgetTypeCall=true&amp;directAccess=false</t>
  </si>
  <si>
    <t>"승리요정 웬디, 이순철" 롯데 윤성빈 2462일만 승리 이끌다</t>
  </si>
  <si>
    <t>https://blog.naver.com/PostView.naver?blogId=allaboutball&amp;logNo=223908060731&amp;redirect=Dlog&amp;widgetTypeCall=true&amp;directAccess=false</t>
  </si>
  <si>
    <t>2025 우리금융캐피탈 LPBA챔피언십 우승자 우승상금 결승전 64강전 32강전 16강전 8강전 4강전 준결승 결승전 승패현황</t>
  </si>
  <si>
    <t>https://blog.naver.com/PostView.naver?blogId=neo2538&amp;logNo=223908059473&amp;redirect=Dlog&amp;widgetTypeCall=true&amp;directAccess=false</t>
  </si>
  <si>
    <t>“연애 안 해요”라더니…빠니보틀, 결국 방송에서 여자친구 존재 ‘실토’</t>
  </si>
  <si>
    <t>https://blog.naver.com/PostView.naver?blogId=chaeeeewon&amp;logNo=223908050701&amp;redirect=Dlog&amp;widgetTypeCall=true&amp;directAccess=false</t>
  </si>
  <si>
    <t>president</t>
  </si>
  <si>
    <t>싲싲</t>
  </si>
  <si>
    <t>삼성라이온즈는 사망했다</t>
  </si>
  <si>
    <t>https://blog.naver.com/PostView.naver?blogId=lvo7989&amp;logNo=223908006713&amp;redirect=Dlog&amp;widgetTypeCall=true&amp;directAccess=false</t>
  </si>
  <si>
    <t>원앤온리</t>
  </si>
  <si>
    <t>[나만의 일기] 2025년 6월 둘째주(6/16~6/22)</t>
  </si>
  <si>
    <t>https://blog.naver.com/PostView.naver?blogId=talkativejh96&amp;logNo=223907995875&amp;redirect=Dlog&amp;widgetTypeCall=true&amp;directAccess=false</t>
  </si>
  <si>
    <t>시간여행자</t>
  </si>
  <si>
    <t>장또방</t>
  </si>
  <si>
    <t>차분함을 유지하기 위해 애쓰는 6월</t>
  </si>
  <si>
    <t>https://blog.naver.com/PostView.naver?blogId=ggttggtt11&amp;logNo=223907966949&amp;redirect=Dlog&amp;widgetTypeCall=true&amp;directAccess=false</t>
  </si>
  <si>
    <t>넷플릭스 영화 감옥의 공주님 추천~!</t>
  </si>
  <si>
    <t>https://blog.naver.com/PostView.naver?blogId=anygura&amp;logNo=223907954730&amp;redirect=Dlog&amp;widgetTypeCall=true&amp;directAccess=false</t>
  </si>
  <si>
    <t>Storyholic</t>
  </si>
  <si>
    <t>[MBC 금토 드라마] 노무사 노무진 1~8화 후기</t>
  </si>
  <si>
    <t>https://blog.naver.com/PostView.naver?blogId=momopenguin&amp;logNo=223907951531&amp;redirect=Dlog&amp;widgetTypeCall=true&amp;directAccess=false</t>
  </si>
  <si>
    <t>최수호</t>
  </si>
  <si>
    <t>기록.</t>
  </si>
  <si>
    <t>https://blog.naver.com/PostView.naver?blogId=defend_choi&amp;logNo=223907925814&amp;redirect=Dlog&amp;widgetTypeCall=true&amp;directAccess=false</t>
  </si>
  <si>
    <t>그레이그레이스</t>
  </si>
  <si>
    <t>멕시코, 남미음식 맛집_홍대입구역 “연남동 베르데”_멕시코로 순간이동한 듯한 행복한 하루</t>
  </si>
  <si>
    <t>https://blog.naver.com/PostView.naver?blogId=gracesuh&amp;logNo=223907912708&amp;redirect=Dlog&amp;widgetTypeCall=true&amp;directAccess=false</t>
  </si>
  <si>
    <t>이란, 이스라엘에 미사일 공격으로 반격_이란 핵시설 폭격이 세계 경제에 미치는 영향은?</t>
  </si>
  <si>
    <t>https://blog.naver.com/PostView.naver?blogId=cscg6472&amp;logNo=223907882936&amp;redirect=Dlog&amp;widgetTypeCall=true&amp;directAccess=false</t>
  </si>
  <si>
    <t>Joey</t>
  </si>
  <si>
    <t>과거가 현재를 도울 수 있는가, 죽은 자가 산 자를 구할 수 있는가</t>
  </si>
  <si>
    <t>https://blog.naver.com/PostView.naver?blogId=imjoeyu&amp;logNo=223907863778&amp;redirect=Dlog&amp;widgetTypeCall=true&amp;directAccess=false</t>
  </si>
  <si>
    <t>imalisha</t>
  </si>
  <si>
    <t>단국대 맛집 🍜 KBS·SBS 방영된 홍춘에서 주말외식 성공~</t>
  </si>
  <si>
    <t>https://blog.naver.com/PostView.naver?blogId=imalisha&amp;logNo=223907855822&amp;redirect=Dlog&amp;widgetTypeCall=true&amp;directAccess=false</t>
  </si>
  <si>
    <t>글그림 진</t>
  </si>
  <si>
    <t>250622일_지불되지 않는 사회, 어빙 고프만의 연극 이론을 생각하며.</t>
  </si>
  <si>
    <t>https://blog.naver.com/PostView.naver?blogId=kim_hyeonjin&amp;logNo=223907855457&amp;redirect=Dlog&amp;widgetTypeCall=true&amp;directAccess=false</t>
  </si>
  <si>
    <t>롯데 자이언츠 2025 시즌 좌완 파이어볼러 등번호 38 투수 홍민기 선수 나무위키 인스타그램</t>
  </si>
  <si>
    <t>https://blog.naver.com/PostView.naver?blogId=holedays&amp;logNo=223907841773&amp;redirect=Dlog&amp;widgetTypeCall=true&amp;directAccess=false</t>
  </si>
  <si>
    <t>senso</t>
  </si>
  <si>
    <t>세 달 동안의 외식 저녁 정리</t>
  </si>
  <si>
    <t>https://blog.naver.com/PostView.naver?blogId=rodstew5&amp;logNo=223907836342&amp;redirect=Dlog&amp;widgetTypeCall=true&amp;directAccess=false</t>
  </si>
  <si>
    <t>피끄</t>
  </si>
  <si>
    <t>안재현 아파트 위치 어디? 성수동에서 벌어진 ‘지옥의 계단’ 일상</t>
  </si>
  <si>
    <t>https://blog.naver.com/PostView.naver?blogId=alcmskfl17&amp;logNo=223907780538&amp;redirect=Dlog&amp;widgetTypeCall=true&amp;directAccess=false</t>
  </si>
  <si>
    <t>수잔</t>
  </si>
  <si>
    <t>책-김별아의 ‘채홍‘</t>
  </si>
  <si>
    <t>https://blog.naver.com/PostView.naver?blogId=ssoy5502&amp;logNo=223907789333&amp;redirect=Dlog&amp;widgetTypeCall=true&amp;directAccess=false</t>
  </si>
  <si>
    <t>블루플라워</t>
  </si>
  <si>
    <t>우리말 나들이 문해력 편 - MBC 아나운서국</t>
  </si>
  <si>
    <t>https://blog.naver.com/PostView.naver?blogId=hglim69&amp;logNo=223907766653&amp;redirect=Dlog&amp;widgetTypeCall=true&amp;directAccess=false</t>
  </si>
  <si>
    <t>영화평론가 이서진</t>
  </si>
  <si>
    <t>2025년 6월 22일 KBO 프로야구 예측</t>
  </si>
  <si>
    <t>https://blog.naver.com/PostView.naver?blogId=multiwest&amp;logNo=223907762333&amp;redirect=Dlog&amp;widgetTypeCall=true&amp;directAccess=false</t>
  </si>
  <si>
    <t>[스트레이트] 20대 남성의 극우화, 나는 이렇게 생각한다</t>
  </si>
  <si>
    <t>https://blog.naver.com/PostView.naver?blogId=davidrheejk&amp;logNo=223907761640&amp;redirect=Dlog&amp;widgetTypeCall=true&amp;directAccess=false</t>
  </si>
  <si>
    <t>촛불시사 ~ 정치 돋보기님의 오늘자 이재명, 윤석열 소식. 도망자 부부 윤석열 김건희 끝까지 간다? 김건희 입원쇼, 윤석열 체포 시계 째깍째깍! 3대 특검, 칼 빼들었다!</t>
  </si>
  <si>
    <t>https://blog.naver.com/PostView.naver?blogId=wishut3281&amp;logNo=223907735662&amp;redirect=Dlog&amp;widgetTypeCall=true&amp;directAccess=false</t>
  </si>
  <si>
    <t>잊잊</t>
  </si>
  <si>
    <t>초여름이 왔어요☀️</t>
  </si>
  <si>
    <t>https://blog.naver.com/PostView.naver?blogId=lyeon_jj&amp;logNo=223907716288&amp;redirect=Dlog&amp;widgetTypeCall=true&amp;directAccess=false</t>
  </si>
  <si>
    <t>leewoony</t>
  </si>
  <si>
    <t>조선왕조실록에서 보는 대장금</t>
  </si>
  <si>
    <t>https://blog.naver.com/PostView.naver?blogId=leewoony&amp;logNo=223907705143&amp;redirect=Dlog&amp;widgetTypeCall=true&amp;directAccess=false</t>
  </si>
  <si>
    <t>강승윤 소향 로이킴 김연우…복면가왕 500회 10주년 특집 역대급 라인업 실화냐? 스페셜 게스트 정체는 대체 누구 (+김필 유회승 황민호)</t>
  </si>
  <si>
    <t>https://blog.naver.com/PostView.naver?blogId=ovonews&amp;logNo=223907664808&amp;redirect=Dlog&amp;widgetTypeCall=true&amp;directAccess=false</t>
  </si>
  <si>
    <t>팡당팡다</t>
  </si>
  <si>
    <t>[ABC 트레킹 #6] 히말라야 ABC 트레킹 5일차 (데우랄리,MBC,ABC 안나푸르나베이스캠프)</t>
  </si>
  <si>
    <t>https://blog.naver.com/PostView.naver?blogId=jmongi&amp;logNo=223907640753&amp;redirect=Dlog&amp;widgetTypeCall=true&amp;directAccess=false</t>
  </si>
  <si>
    <t>미우새·야구선수 출신 배우 윤현민 집 타운하우스·프로필·집안·가족·어머니·엄마·가족·아빠⭐️윤현민 백진희 결별·울릉도 썬플라워 클루즈 숙소 가격?</t>
  </si>
  <si>
    <t>https://blog.naver.com/PostView.naver?blogId=rachelwood6&amp;logNo=223907636259&amp;redirect=Dlog&amp;widgetTypeCall=true&amp;directAccess=false</t>
  </si>
  <si>
    <t>6월 22일 뽀너스7</t>
  </si>
  <si>
    <t>https://blog.naver.com/PostView.naver?blogId=wonogi&amp;logNo=223907107461&amp;redirect=Dlog&amp;widgetTypeCall=true&amp;directAccess=false</t>
  </si>
  <si>
    <t>드라마 '노무사 노무진', 시즌 몇 부작일까?</t>
  </si>
  <si>
    <t>https://blog.naver.com/PostView.naver?blogId=dbghwns2&amp;logNo=223907622584&amp;redirect=Dlog&amp;widgetTypeCall=true&amp;directAccess=false</t>
  </si>
  <si>
    <t>발품 보다 손품</t>
  </si>
  <si>
    <t>우리나라 드라마 시청률 역대 TOP 30 한국 드라마 순위</t>
  </si>
  <si>
    <t>https://blog.naver.com/PostView.naver?blogId=djigj7908&amp;logNo=223906785592&amp;redirect=Dlog&amp;widgetTypeCall=true&amp;directAccess=false</t>
  </si>
  <si>
    <t>NO WAR</t>
  </si>
  <si>
    <t>https://blog.naver.com/PostView.naver?blogId=sunmen77&amp;logNo=223907619440&amp;redirect=Dlog&amp;widgetTypeCall=true&amp;directAccess=false</t>
  </si>
  <si>
    <t>제이홉 군대 동기 MT 비용 전액 지원</t>
  </si>
  <si>
    <t>https://blog.naver.com/PostView.naver?blogId=pkeunyoo&amp;logNo=223907600295&amp;redirect=Dlog&amp;widgetTypeCall=true&amp;directAccess=false</t>
  </si>
  <si>
    <t>학생의사M</t>
  </si>
  <si>
    <t>4주차: 흔들리되 무너지지 않기 위해</t>
  </si>
  <si>
    <t>https://blog.naver.com/PostView.naver?blogId=cmkang118&amp;logNo=223907590297&amp;redirect=Dlog&amp;widgetTypeCall=true&amp;directAccess=false</t>
  </si>
  <si>
    <t>yoyo</t>
  </si>
  <si>
    <t>MBC 오늘저녁 나온 수지 맛집, ‘화경’ 중식 코스요리 솔직 후기</t>
  </si>
  <si>
    <t>https://blog.naver.com/PostView.naver?blogId=lajessica_&amp;logNo=223907572230&amp;redirect=Dlog&amp;widgetTypeCall=true&amp;directAccess=false</t>
  </si>
  <si>
    <t>매브</t>
  </si>
  <si>
    <t>+ 술품질인증제도와 함께하는 우리 술 인문학강의 후기 / 주락이월드 조승원 기자</t>
  </si>
  <si>
    <t>https://blog.naver.com/PostView.naver?blogId=mainolove&amp;logNo=223907538495&amp;redirect=Dlog&amp;widgetTypeCall=true&amp;directAccess=false</t>
  </si>
  <si>
    <t>야무진언니</t>
  </si>
  <si>
    <t>꼭지74</t>
  </si>
  <si>
    <t>스타필드 영풍문고</t>
  </si>
  <si>
    <t>https://blog.naver.com/PostView.naver?blogId=volcanon717&amp;logNo=223907484485&amp;redirect=Dlog&amp;widgetTypeCall=true&amp;directAccess=false</t>
  </si>
  <si>
    <t>배우 박하나, 김태술 감독과 신혼 일상 최초 공개</t>
  </si>
  <si>
    <t>https://blog.naver.com/PostView.naver?blogId=88labstory&amp;logNo=223907482198&amp;redirect=Dlog&amp;widgetTypeCall=true&amp;directAccess=false</t>
  </si>
  <si>
    <t>아이앤</t>
  </si>
  <si>
    <t>🇰🇷계몽자료👁️👁️👣</t>
  </si>
  <si>
    <t>https://blog.naver.com/PostView.naver?blogId=goodi55&amp;logNo=223907470084&amp;redirect=Dlog&amp;widgetTypeCall=true&amp;directAccess=false</t>
  </si>
  <si>
    <t>한국레저신문</t>
  </si>
  <si>
    <t>배우 이장우 11월 결혼..8세 연하 배우 조혜원</t>
  </si>
  <si>
    <t>https://blog.naver.com/PostView.naver?blogId=leisurenews1&amp;logNo=223907463415&amp;redirect=Dlog&amp;widgetTypeCall=true&amp;directAccess=false</t>
  </si>
  <si>
    <t>우하하푸하하</t>
  </si>
  <si>
    <t>다른 사람들 브이로그를 보고 놀란점...</t>
  </si>
  <si>
    <t>https://blog.naver.com/PostView.naver?blogId=cjstkspt5118&amp;logNo=223907458395&amp;redirect=Dlog&amp;widgetTypeCall=true&amp;directAccess=false</t>
  </si>
  <si>
    <t>멜로디</t>
  </si>
  <si>
    <t>이주명 김지석이 반한 여배우 그녀에 대해 알아보자</t>
  </si>
  <si>
    <t>https://blog.naver.com/PostView.naver?blogId=onelife_selection&amp;logNo=223907455440&amp;redirect=Dlog&amp;widgetTypeCall=true&amp;directAccess=false</t>
  </si>
  <si>
    <t>강남, 지하철에서 만난 11년지기 절친 결혼 선물로 다이아 반지 통큰 선물 감동받은 승리 울컥</t>
  </si>
  <si>
    <t>https://blog.naver.com/PostView.naver?blogId=qmffndis777&amp;logNo=223907444867&amp;redirect=Dlog&amp;widgetTypeCall=true&amp;directAccess=false</t>
  </si>
  <si>
    <t>따옴표</t>
  </si>
  <si>
    <t>생활이 뉴스다</t>
  </si>
  <si>
    <t>의성군, 서울 산불피해지역 희망장터 참여</t>
  </si>
  <si>
    <t>https://blog.naver.com/PostView.naver?blogId=newslife9366&amp;logNo=223907435152&amp;redirect=Dlog&amp;widgetTypeCall=true&amp;directAccess=false</t>
  </si>
  <si>
    <t>아랑가(ArangGA)-1156. 길</t>
  </si>
  <si>
    <t>https://blog.naver.com/PostView.naver?blogId=ycy519444&amp;logNo=223907417923&amp;redirect=Dlog&amp;widgetTypeCall=true&amp;directAccess=false</t>
  </si>
  <si>
    <t>https://blog.naver.com/PostView.naver?blogId=monggle2017&amp;logNo=223907405135&amp;redirect=Dlog&amp;widgetTypeCall=true&amp;directAccess=false</t>
  </si>
  <si>
    <t>NCT 도영 공중파 음악방송 최초!'뮤직뱅크' 1위에 눈물 "감사한 마음 가득"</t>
  </si>
  <si>
    <t>https://blog.naver.com/PostView.naver?blogId=tmrlahxhdbal&amp;logNo=223907404882&amp;redirect=Dlog&amp;widgetTypeCall=true&amp;directAccess=false</t>
  </si>
  <si>
    <t>의정부 민락동 세탁기 분해 청소 통 세척 했어여 ~</t>
  </si>
  <si>
    <t>https://blog.naver.com/PostView.naver?blogId=vvbb5000&amp;logNo=223904206858&amp;redirect=Dlog&amp;widgetTypeCall=true&amp;directAccess=false</t>
  </si>
  <si>
    <t>yoonjung0216</t>
  </si>
  <si>
    <t>미스터리 음악쇼 복면가왕 500회~501회 10주년 특집 1부~2부</t>
  </si>
  <si>
    <t>https://blog.naver.com/PostView.naver?blogId=yoonjung0216&amp;logNo=223907388792&amp;redirect=Dlog&amp;widgetTypeCall=true&amp;directAccess=false</t>
  </si>
  <si>
    <t>멜론</t>
  </si>
  <si>
    <t>250622 눕지않기(6/21)미션 후기/우선순위3개 후기</t>
  </si>
  <si>
    <t>https://blog.naver.com/PostView.naver?blogId=june153_&amp;logNo=223907386251&amp;redirect=Dlog&amp;widgetTypeCall=true&amp;directAccess=false</t>
  </si>
  <si>
    <t>비 그치고 낮 기온 30도 내외...목이 마르지 않아도 물 마셔야 할 때는?</t>
  </si>
  <si>
    <t>https://blog.naver.com/PostView.naver?blogId=freezone114&amp;logNo=223907376351&amp;redirect=Dlog&amp;widgetTypeCall=true&amp;directAccess=false</t>
  </si>
  <si>
    <t>울산아줌마</t>
  </si>
  <si>
    <t>경력보유여성에서 강사로 활동하기까지[1]</t>
  </si>
  <si>
    <t>https://blog.naver.com/PostView.naver?blogId=sungjish&amp;logNo=223907368105&amp;redirect=Dlog&amp;widgetTypeCall=true&amp;directAccess=false</t>
  </si>
  <si>
    <t>1985년 6월 22일 스포츠서울 창간</t>
  </si>
  <si>
    <t>https://blog.naver.com/PostView.naver?blogId=saong50&amp;logNo=223907336976&amp;redirect=Dlog&amp;widgetTypeCall=true&amp;directAccess=false</t>
  </si>
  <si>
    <t>일상 포커스</t>
  </si>
  <si>
    <t>몰아보기</t>
  </si>
  <si>
    <t>https://blog.naver.com/PostView.naver?blogId=jskim178&amp;logNo=223907277630&amp;redirect=Dlog&amp;widgetTypeCall=true&amp;directAccess=false</t>
  </si>
  <si>
    <t>로로에몽</t>
  </si>
  <si>
    <t>노무사 노무진 노무진 형 진선규 정체?</t>
  </si>
  <si>
    <t>https://blog.naver.com/PostView.naver?blogId=srmrom&amp;logNo=223907274151&amp;redirect=Dlog&amp;widgetTypeCall=true&amp;directAccess=false</t>
  </si>
  <si>
    <t>이장우, 8살 연하 배우 조혜원과 11월 23일 결혼</t>
  </si>
  <si>
    <t>https://blog.naver.com/PostView.naver?blogId=tmrlahxhdbal&amp;logNo=223907231488&amp;redirect=Dlog&amp;widgetTypeCall=true&amp;directAccess=false</t>
  </si>
  <si>
    <t>노이즈 2025</t>
  </si>
  <si>
    <t>https://blog.naver.com/PostView.naver?blogId=chosw013&amp;logNo=223907218688&amp;redirect=Dlog&amp;widgetTypeCall=true&amp;directAccess=false</t>
  </si>
  <si>
    <t>아모레퍼시픽｜이사배｜makeon｜메이크온｜NH투자증권</t>
  </si>
  <si>
    <t>https://blog.naver.com/PostView.naver?blogId=gangchel&amp;logNo=223907163183&amp;redirect=Dlog&amp;widgetTypeCall=true&amp;directAccess=false</t>
  </si>
  <si>
    <t>[알고보니] 김건희, 입원하면 수사 파행? 과거 사례 보니‥ (2025.06.20/뉴스데스크/MBC)</t>
  </si>
  <si>
    <t>https://blog.naver.com/PostView.naver?blogId=testdirt&amp;logNo=223907139169&amp;redirect=Dlog&amp;widgetTypeCall=true&amp;directAccess=false</t>
  </si>
  <si>
    <t>1인분레시피</t>
  </si>
  <si>
    <t>[일상] 5월</t>
  </si>
  <si>
    <t>https://blog.naver.com/PostView.naver?blogId=ywlc313&amp;logNo=223907122238&amp;redirect=Dlog&amp;widgetTypeCall=true&amp;directAccess=false</t>
  </si>
  <si>
    <t>똑똑한 부엉이</t>
  </si>
  <si>
    <t>영화 28년 후,  흥행 이유</t>
  </si>
  <si>
    <t>https://blog.naver.com/PostView.naver?blogId=jan0206&amp;logNo=223907104057&amp;redirect=Dlog&amp;widgetTypeCall=true&amp;directAccess=false</t>
  </si>
  <si>
    <t>장흥 물 축제 역대급 꿀팁 대방출 2025 정남진에서… 상상 초월 시원한 즐거움이 (+물놀이, 여름휴가, 축제정보)</t>
  </si>
  <si>
    <t>https://blog.naver.com/PostView.naver?blogId=qoswlfdl-&amp;logNo=223907080492&amp;redirect=Dlog&amp;widgetTypeCall=true&amp;directAccess=false</t>
  </si>
  <si>
    <t>장흥 물벼락 축제?! 2025 정남진 장흥물축제에서 … 인생샷 무조건 보장! (+여름, 휴가, 바캉스)</t>
  </si>
  <si>
    <t>https://blog.naver.com/PostView.naver?blogId=qoswlfdl-&amp;logNo=223907072528&amp;redirect=Dlog&amp;widgetTypeCall=true&amp;directAccess=false</t>
  </si>
  <si>
    <t>보라미</t>
  </si>
  <si>
    <t>갑자기 쓰는 일기</t>
  </si>
  <si>
    <t>https://blog.naver.com/PostView.naver?blogId=qhfoal0205&amp;logNo=223907029782&amp;redirect=Dlog&amp;widgetTypeCall=true&amp;directAccess=false</t>
  </si>
  <si>
    <t>POE 포</t>
  </si>
  <si>
    <t>현재를 산다는 것</t>
  </si>
  <si>
    <t>https://blog.naver.com/PostView.naver?blogId=kangkang0422&amp;logNo=223907023830&amp;redirect=Dlog&amp;widgetTypeCall=true&amp;directAccess=false</t>
  </si>
  <si>
    <t>[휴게소맛집] 평택제천 천등산휴게소 천등산박달재공원과 이영자맛집 브라더꽈배기</t>
  </si>
  <si>
    <t>https://blog.naver.com/PostView.naver?blogId=ujin4ujin&amp;logNo=223907010252&amp;redirect=Dlog&amp;widgetTypeCall=true&amp;directAccess=false</t>
  </si>
  <si>
    <t>행복주는태양</t>
  </si>
  <si>
    <t>산골 소녀의 사랑 이야기 = 예민 [아이유, 박보검] (드라마 폭싹 쏙았수다 OST)</t>
  </si>
  <si>
    <t>https://blog.naver.com/PostView.naver?blogId=tae-baek&amp;logNo=223907006238&amp;redirect=Dlog&amp;widgetTypeCall=true&amp;directAccess=false</t>
  </si>
  <si>
    <t>구리구리</t>
  </si>
  <si>
    <t>요기스포</t>
  </si>
  <si>
    <t>조용히 사랑 키운 이장우,조혜원 커플, 11월 웨딩마치!! 무대 위 고백 진짜였다...결혼 확정</t>
  </si>
  <si>
    <t>https://blog.naver.com/PostView.naver?blogId=yogispo&amp;logNo=223906983051&amp;redirect=Dlog&amp;widgetTypeCall=true&amp;directAccess=false</t>
  </si>
  <si>
    <t>대전은하수</t>
  </si>
  <si>
    <t>이재명 정권의 부동산 정책에 대한 보고서</t>
  </si>
  <si>
    <t>https://blog.naver.com/PostView.naver?blogId=galaxy1401&amp;logNo=223906978541&amp;redirect=Dlog&amp;widgetTypeCall=true&amp;directAccess=false</t>
  </si>
  <si>
    <t>바다거북이</t>
  </si>
  <si>
    <t>🇵🇭 필리핀 비세부 어학원 2주차</t>
  </si>
  <si>
    <t>https://blog.naver.com/PostView.naver?blogId=bulkcoff22&amp;logNo=223906965302&amp;redirect=Dlog&amp;widgetTypeCall=true&amp;directAccess=false</t>
  </si>
  <si>
    <t>jjuny0121</t>
  </si>
  <si>
    <t>“실습생은 노동자가 아닙니까?” – 드라마 &lt;노무사 노무진&gt;이 던진 묵직한 질문</t>
  </si>
  <si>
    <t>https://blog.naver.com/PostView.naver?blogId=jjuny0121&amp;logNo=223906953470&amp;redirect=Dlog&amp;widgetTypeCall=true&amp;directAccess=false</t>
  </si>
  <si>
    <t>전현무 '정을영 PD♡'24년째 열애 박정수, 전현무에 "5년 안에 결혼" "우리 엄마, 결혼절대 포기 안해"</t>
  </si>
  <si>
    <t>https://blog.naver.com/PostView.naver?blogId=kimsm5101&amp;logNo=223906910040&amp;redirect=Dlog&amp;widgetTypeCall=true&amp;directAccess=false</t>
  </si>
  <si>
    <t>담담</t>
  </si>
  <si>
    <t>의암호 둘레길(9,000보)</t>
  </si>
  <si>
    <t>https://blog.naver.com/PostView.naver?blogId=lks2713&amp;logNo=223906902952&amp;redirect=Dlog&amp;widgetTypeCall=true&amp;directAccess=false</t>
  </si>
  <si>
    <t>노터치 최과장</t>
  </si>
  <si>
    <t>이효리(46세)자연임신 원한다.시험관은NO발언에 악플과 비난 쇄도...왜???</t>
  </si>
  <si>
    <t>https://blog.naver.com/PostView.naver?blogId=goldcjy&amp;logNo=223906900076&amp;redirect=Dlog&amp;widgetTypeCall=true&amp;directAccess=false</t>
  </si>
  <si>
    <t>김민철</t>
  </si>
  <si>
    <t>#최후의 카운트다운 #THE FINAL COUNTDWON  #커크 더글러스 #마틴 쉰 #캐서린 로스 #니미츠항모</t>
  </si>
  <si>
    <t>https://blog.naver.com/PostView.naver?blogId=spcjung77&amp;logNo=223906896938&amp;redirect=Dlog&amp;widgetTypeCall=true&amp;directAccess=false</t>
  </si>
  <si>
    <t>임금님귀는당나귀귀</t>
  </si>
  <si>
    <t>[MBC 노무사 노무진]노무사 노무진 방영시간 등장인물 모티브 노무현??</t>
  </si>
  <si>
    <t>https://blog.naver.com/PostView.naver?blogId=kimbanjuk&amp;logNo=223906865574&amp;redirect=Dlog&amp;widgetTypeCall=true&amp;directAccess=false</t>
  </si>
  <si>
    <t>허경영아바타</t>
  </si>
  <si>
    <t>국민의힘, 진영논리의 기생충</t>
  </si>
  <si>
    <t>https://blog.naver.com/PostView.naver?blogId=kkm1516kta&amp;logNo=223906861803&amp;redirect=Dlog&amp;widgetTypeCall=true&amp;directAccess=false</t>
  </si>
  <si>
    <t>김대호, 옥자연 차 안에서 ‘상상 연애’ 시작? 나 혼자 산다에서 벌어진 뜻밖의 케미!</t>
  </si>
  <si>
    <t>https://blog.naver.com/PostView.naver?blogId=dew2by_&amp;logNo=223906843210&amp;redirect=Dlog&amp;widgetTypeCall=true&amp;directAccess=false</t>
  </si>
  <si>
    <t>서울문화IN</t>
  </si>
  <si>
    <t>[문화유산] 백제 ‘공주 왕릉원’ 2호분, 15세에 죽은 삼근왕(개로왕 손자)으로 추정</t>
  </si>
  <si>
    <t>https://blog.naver.com/PostView.naver?blogId=ostw&amp;logNo=223906841368&amp;redirect=Dlog&amp;widgetTypeCall=true&amp;directAccess=false</t>
  </si>
  <si>
    <t>노트리 Note Tree</t>
  </si>
  <si>
    <t>‘노무사 노무진’ 7회 리뷰 — 청춘의 삶, 진심으로 마주하다.</t>
  </si>
  <si>
    <t>https://blog.naver.com/PostView.naver?blogId=dudthtls&amp;logNo=223906830483&amp;redirect=Dlog&amp;widgetTypeCall=true&amp;directAccess=false</t>
  </si>
  <si>
    <t>셀럽인플루언서 NEWS</t>
  </si>
  <si>
    <t>라디오스타 고우림, 김연아와의 결혼 스토리 첫 공개</t>
  </si>
  <si>
    <t>https://blog.naver.com/PostView.naver?blogId=kim___writer&amp;logNo=223906726044&amp;redirect=Dlog&amp;widgetTypeCall=true&amp;directAccess=false</t>
  </si>
  <si>
    <t>socerdjdj</t>
  </si>
  <si>
    <t>‘나 혼자 산다’ 김대호·옥자연, 자연 탐사 중 묘한 분위기…멤버들 “이거 ‘나는 솔로’야?”</t>
  </si>
  <si>
    <t>https://blog.naver.com/PostView.naver?blogId=reviewangel&amp;logNo=223906654543&amp;redirect=Dlog&amp;widgetTypeCall=true&amp;directAccess=false</t>
  </si>
  <si>
    <t>가요(9000)/늦은 후회 - 보보(강성연)</t>
  </si>
  <si>
    <t>https://blog.naver.com/PostView.naver?blogId=yessoopark&amp;logNo=223906642688&amp;redirect=Dlog&amp;widgetTypeCall=true&amp;directAccess=false</t>
  </si>
  <si>
    <t>전현무계획2 충남 태안 간장게장 게국지 우럭젓국 맛집 택배</t>
  </si>
  <si>
    <t>https://blog.naver.com/PostView.naver?blogId=yamoojins&amp;logNo=223906638588&amp;redirect=Dlog&amp;widgetTypeCall=true&amp;directAccess=false</t>
  </si>
  <si>
    <t>정경호 아버지 정을영 PD는 누구? (프로필) 배우 박정수와 24년째 사실혼</t>
  </si>
  <si>
    <t>https://blog.naver.com/PostView.naver?blogId=rozz0697&amp;logNo=223906624239&amp;redirect=Dlog&amp;widgetTypeCall=true&amp;directAccess=false</t>
  </si>
  <si>
    <t>전현무계획2 충남 당진 박정수와 함께 한 닭개장 쑥콩국수 맛집</t>
  </si>
  <si>
    <t>https://blog.naver.com/PostView.naver?blogId=yamoojins&amp;logNo=223906616665&amp;redirect=Dlog&amp;widgetTypeCall=true&amp;directAccess=false</t>
  </si>
  <si>
    <t>운전 중 라디오에서 나오는 내 목소리</t>
  </si>
  <si>
    <t>https://blog.naver.com/PostView.naver?blogId=min-swear&amp;logNo=223906614165&amp;redirect=Dlog&amp;widgetTypeCall=true&amp;directAccess=false</t>
  </si>
  <si>
    <t>★ 보약 같은 친구///진시몬</t>
  </si>
  <si>
    <t>https://blog.naver.com/PostView.naver?blogId=mbcswallow&amp;logNo=223905879272&amp;redirect=Dlog&amp;widgetTypeCall=true&amp;directAccess=false</t>
  </si>
  <si>
    <t>“이 실수, 대체 몇 번이야?” 킥플립, 주간아이돌서 ‘史상 최초’ 타이틀 획득</t>
  </si>
  <si>
    <t>https://blog.naver.com/PostView.naver?blogId=kstarfashion&amp;logNo=223906588807&amp;redirect=Dlog&amp;widgetTypeCall=true&amp;directAccess=false</t>
  </si>
  <si>
    <t>베가본드</t>
  </si>
  <si>
    <t>방송과 뉴스 그리고 SNS 사용패턴</t>
  </si>
  <si>
    <t>https://blog.naver.com/PostView.naver?blogId=ugali&amp;logNo=223906574713&amp;redirect=Dlog&amp;widgetTypeCall=true&amp;directAccess=false</t>
  </si>
  <si>
    <t>코스모폴리탄</t>
  </si>
  <si>
    <t>솔로지옥 출연하는 육상 카리나, 김민지 선수는 누구? SNS를 털어봤다</t>
  </si>
  <si>
    <t>https://blog.naver.com/PostView.naver?blogId=cosmo_korea&amp;logNo=223905978154&amp;redirect=Dlog&amp;widgetTypeCall=true&amp;directAccess=false</t>
  </si>
  <si>
    <t>SJ</t>
  </si>
  <si>
    <t>손에 잡히는 경제, 커피타임, 2025. 6. 21. 토</t>
  </si>
  <si>
    <t>https://blog.naver.com/PostView.naver?blogId=h3171459&amp;logNo=223906565279&amp;redirect=Dlog&amp;widgetTypeCall=true&amp;directAccess=false</t>
  </si>
  <si>
    <t>‘뽀미 언니’ 하지혜 결혼, 예비 신랑은 교육 플랫폼 이사</t>
  </si>
  <si>
    <t>https://blog.naver.com/PostView.naver?blogId=kstarfashion&amp;logNo=223906562021&amp;redirect=Dlog&amp;widgetTypeCall=true&amp;directAccess=false</t>
  </si>
  <si>
    <t>아이돌그룹 6월 브랜드순위 1위 방탄,2위 세븐틴,3위 블랙핑크,4위 아이브,5위 빅뱅</t>
  </si>
  <si>
    <t>https://blog.naver.com/PostView.naver?blogId=wjdwlrtjd&amp;logNo=223906561958&amp;redirect=Dlog&amp;widgetTypeCall=true&amp;directAccess=false</t>
  </si>
  <si>
    <t>“저 죽은 거에요?”… '노무사 노무진', 유선호, 유체이탈 청년으로 등장한 충격 엔딩</t>
  </si>
  <si>
    <t>https://blog.naver.com/PostView.naver?blogId=kstarfashion&amp;logNo=223906561311&amp;redirect=Dlog&amp;widgetTypeCall=true&amp;directAccess=false</t>
  </si>
  <si>
    <t>나 혼자 산다' 김대호·옥자연 핑크빛 무드?! '나는솔로' 찍는 줄?!</t>
  </si>
  <si>
    <t>https://blog.naver.com/PostView.naver?blogId=puleum14&amp;logNo=223906550216&amp;redirect=Dlog&amp;widgetTypeCall=true&amp;directAccess=false</t>
  </si>
  <si>
    <t>[Selling] 김재희 - 김재희 2집 &lt;중고LP&gt;</t>
  </si>
  <si>
    <t>https://blog.naver.com/PostView.naver?blogId=jgyloveyou&amp;logNo=223817428982&amp;redirect=Dlog&amp;widgetTypeCall=true&amp;directAccess=false</t>
  </si>
  <si>
    <t>에코엣지</t>
  </si>
  <si>
    <t>2025.06.21(토) 국내 뉴스(경제, AI·암호화폐, 환경·안전)</t>
  </si>
  <si>
    <t>https://blog.naver.com/PostView.naver?blogId=namjuny&amp;logNo=223906515127&amp;redirect=Dlog&amp;widgetTypeCall=true&amp;directAccess=false</t>
  </si>
  <si>
    <t>[씨름] '제79회 전국 씨름선수권대회" 22일 제천체육관에서 개최!</t>
  </si>
  <si>
    <t>https://blog.naver.com/PostView.naver?blogId=wthere&amp;logNo=223905992214&amp;redirect=Dlog&amp;widgetTypeCall=true&amp;directAccess=false</t>
  </si>
  <si>
    <t>오깡</t>
  </si>
  <si>
    <t>동방신기의 최강창민이 축가를 불러주다 ❤️</t>
  </si>
  <si>
    <t>https://blog.naver.com/PostView.naver?blogId=kangzv&amp;logNo=223906466913&amp;redirect=Dlog&amp;widgetTypeCall=true&amp;directAccess=false</t>
  </si>
  <si>
    <t>been</t>
  </si>
  <si>
    <t>[드라마 감상문] 우리영화</t>
  </si>
  <si>
    <t>https://blog.naver.com/PostView.naver?blogId=n99dbeen&amp;logNo=223906451047&amp;redirect=Dlog&amp;widgetTypeCall=true&amp;directAccess=false</t>
  </si>
  <si>
    <t>세븐틴, 타이틀곡 'THUNDER' 음악방송 8관왕 달성! 식지 않는 인기</t>
  </si>
  <si>
    <t>https://blog.naver.com/PostView.naver?blogId=tmrlahxhdbal&amp;logNo=223906441957&amp;redirect=Dlog&amp;widgetTypeCall=true&amp;directAccess=false</t>
  </si>
  <si>
    <t>내란외환 재판  생중계재판하라!!마약,군사내란,검찰내란,언론장악내란,여론조작 선거장악 내란,경찰세관 내란,구김당늘봄 교육내란,댓글조작 공교육파괴,노인성인댓글범죄조직 구김당 반역범죄</t>
  </si>
  <si>
    <t>https://blog.naver.com/PostView.naver?blogId=goodpowerj&amp;logNo=223906398397&amp;redirect=Dlog&amp;widgetTypeCall=true&amp;directAccess=false</t>
  </si>
  <si>
    <t>2025년 6, 7월 KBS 드라마 클래식 라인업</t>
  </si>
  <si>
    <t>https://blog.naver.com/PostView.naver?blogId=lyc7248&amp;logNo=223906395788&amp;redirect=Dlog&amp;widgetTypeCall=true&amp;directAccess=false</t>
  </si>
  <si>
    <t>[드라마] 다양한 사랑에피소드, 옴니버스형 드라마 &lt;러브씬넘버#&gt; 후기 (23, 29, 35, 42/웨이브 OTT)</t>
  </si>
  <si>
    <t>https://blog.naver.com/PostView.naver?blogId=tlcjdrlfhr0011&amp;logNo=223906389536&amp;redirect=Dlog&amp;widgetTypeCall=true&amp;directAccess=false</t>
  </si>
  <si>
    <t>한국신연구소</t>
  </si>
  <si>
    <t>&lt;한국信연구소 오늘, 25.06.04 수&gt;-제21대 대통령 이재명 대통령당선-</t>
  </si>
  <si>
    <t>https://blog.naver.com/PostView.naver?blogId=leeusjb&amp;logNo=223906370751&amp;redirect=Dlog&amp;widgetTypeCall=true&amp;directAccess=false</t>
  </si>
  <si>
    <t>쉼표아재</t>
  </si>
  <si>
    <t>노무사 노무진 보는데 나타난 냥이</t>
  </si>
  <si>
    <t>https://blog.naver.com/PostView.naver?blogId=duckcome&amp;logNo=223906322327&amp;redirect=Dlog&amp;widgetTypeCall=true&amp;directAccess=false</t>
  </si>
  <si>
    <t>손대범</t>
  </si>
  <si>
    <t>진천 (0620)</t>
  </si>
  <si>
    <t>https://blog.naver.com/PostView.naver?blogId=subradio&amp;logNo=223906322281&amp;redirect=Dlog&amp;widgetTypeCall=true&amp;directAccess=false</t>
  </si>
  <si>
    <t>곽상은 기자 화제 우크라이어 이스라엘까지</t>
  </si>
  <si>
    <t>https://blog.naver.com/PostView.naver?blogId=eucalyptus72&amp;logNo=223906321370&amp;redirect=Dlog&amp;widgetTypeCall=true&amp;directAccess=false</t>
  </si>
  <si>
    <t>탤런트황신혜</t>
  </si>
  <si>
    <t>https://blog.naver.com/PostView.naver?blogId=yang83529&amp;logNo=223906320816&amp;redirect=Dlog&amp;widgetTypeCall=true&amp;directAccess=false</t>
  </si>
  <si>
    <t>남리포트</t>
  </si>
  <si>
    <t>iMBC라는 작은 공기업의 딜레마</t>
  </si>
  <si>
    <t>https://blog.naver.com/PostView.naver?blogId=ndh0806&amp;logNo=223906312068&amp;redirect=Dlog&amp;widgetTypeCall=true&amp;directAccess=false</t>
  </si>
  <si>
    <t>듀니</t>
  </si>
  <si>
    <t>울산 2025 장생포 수국 페스티벌 여름 맞이 피크닉 출사 나들이.</t>
  </si>
  <si>
    <t>https://blog.naver.com/PostView.naver?blogId=due_ni_bb&amp;logNo=223906292347&amp;redirect=Dlog&amp;widgetTypeCall=true&amp;directAccess=false</t>
  </si>
  <si>
    <t>호에미초에미</t>
  </si>
  <si>
    <t>장마시작, 싱숭생숭, FOMO, 투자의길</t>
  </si>
  <si>
    <t>https://blog.naver.com/PostView.naver?blogId=bybydaum&amp;logNo=223906290796&amp;redirect=Dlog&amp;widgetTypeCall=true&amp;directAccess=false</t>
  </si>
  <si>
    <t>가으닝</t>
  </si>
  <si>
    <t>📺 현실에서 가장 듣고 싶은 드라마 대사 1위.zip</t>
  </si>
  <si>
    <t>https://blog.naver.com/PostView.naver?blogId=xldkfkrkdms&amp;logNo=223906288133&amp;redirect=Dlog&amp;widgetTypeCall=true&amp;directAccess=false</t>
  </si>
  <si>
    <t>유재석 드디어 입 열다 딸에게…미안했던 이유는? 공항 노동 현장 포착 (+나경은, 아들, 가족)</t>
  </si>
  <si>
    <t>https://blog.naver.com/PostView.naver?blogId=qoswlfdl-&amp;logNo=223906225225&amp;redirect=Dlog&amp;widgetTypeCall=true&amp;directAccess=false</t>
  </si>
  <si>
    <t>알리사</t>
  </si>
  <si>
    <t>[상트 근교] 증기 기관차와 까렐리야 숲, 루스케알라 공원(Горный Парк Рускеала)</t>
  </si>
  <si>
    <t>https://blog.naver.com/PostView.naver?blogId=thepretend&amp;logNo=223906128839&amp;redirect=Dlog&amp;widgetTypeCall=true&amp;directAccess=false</t>
  </si>
  <si>
    <t>Michael Park</t>
  </si>
  <si>
    <t>靑松박명윤칼럼 (1018)... 祝賀합니다! Congratulations!</t>
  </si>
  <si>
    <t>https://blog.naver.com/PostView.naver?blogId=myungyunpark&amp;logNo=223906126460&amp;redirect=Dlog&amp;widgetTypeCall=true&amp;directAccess=false</t>
  </si>
  <si>
    <t>kosmos</t>
  </si>
  <si>
    <t>내 친구, 강남에서 프러포즈…상상 초월 통 큰 결혼 선물?! (+결혼, 프러포즈, 강남)</t>
  </si>
  <si>
    <t>https://blog.naver.com/PostView.naver?blogId=qoswlfdl-&amp;logNo=223906075805&amp;redirect=Dlog&amp;widgetTypeCall=true&amp;directAccess=false</t>
  </si>
  <si>
    <t>josephine</t>
  </si>
  <si>
    <t>[광고 X / 신림지점] PART.9 - MBC 아카데미 컴퓨터 교육센터 시설 사진 및 상담받은 후기</t>
  </si>
  <si>
    <t>https://blog.naver.com/PostView.naver?blogId=j_j_2016&amp;logNo=223906067449&amp;redirect=Dlog&amp;widgetTypeCall=true&amp;directAccess=false</t>
  </si>
  <si>
    <t>개입과 관찰 _ 개입이 바꾸어 내는 효과</t>
  </si>
  <si>
    <t>https://blog.naver.com/PostView.naver?blogId=yjhyjhy&amp;logNo=223906062761&amp;redirect=Dlog&amp;widgetTypeCall=true&amp;directAccess=false</t>
  </si>
  <si>
    <t>‘나 혼자 산다’ 김대호X옥자연X코드쿤스트, 신기한 생물 탐험하며 ‘대자연’을 만나다</t>
  </si>
  <si>
    <t>https://blog.naver.com/PostView.naver?blogId=withinnews&amp;logNo=223906042439&amp;redirect=Dlog&amp;widgetTypeCall=true&amp;directAccess=false</t>
  </si>
  <si>
    <t>"천록담으로 돌아온 이정, '미트3'로 부친과의 감동 재회"</t>
  </si>
  <si>
    <t>https://blog.naver.com/PostView.naver?blogId=apahghfej&amp;logNo=223906022069&amp;redirect=Dlog&amp;widgetTypeCall=true&amp;directAccess=false</t>
  </si>
  <si>
    <t>완두콩</t>
  </si>
  <si>
    <t>10일 남았는데..</t>
  </si>
  <si>
    <t>https://blog.naver.com/PostView.naver?blogId=picolove1004&amp;logNo=223906003092&amp;redirect=Dlog&amp;widgetTypeCall=true&amp;directAccess=false</t>
  </si>
  <si>
    <t>제이블랙(J-Black) - 대한민국 대표 스트릿 댄서</t>
  </si>
  <si>
    <t>https://blog.naver.com/PostView.naver?blogId=whatsthemattertoyou&amp;logNo=223905995263&amp;redirect=Dlog&amp;widgetTypeCall=true&amp;directAccess=false</t>
  </si>
  <si>
    <t>DANI</t>
  </si>
  <si>
    <t>[청량리 맛집]47년 전통으로 2대째 영업하는 족발 맛집_회식 장소로 추천하는 홍능 족발 솔직 후기🐷🦶</t>
  </si>
  <si>
    <t>https://blog.naver.com/PostView.naver?blogId=radiant_s2&amp;logNo=223905978460&amp;redirect=Dlog&amp;widgetTypeCall=true&amp;directAccess=false</t>
  </si>
  <si>
    <t>고우림, 김연아와의 러브 스토리 공개! 결혼 결심의 뒷이야기</t>
  </si>
  <si>
    <t>https://blog.naver.com/PostView.naver?blogId=dbghwns4&amp;logNo=223905956126&amp;redirect=Dlog&amp;widgetTypeCall=true&amp;directAccess=false</t>
  </si>
  <si>
    <t>코스피 장중 3000 돌파 배경 심층 분석</t>
  </si>
  <si>
    <t>https://blog.naver.com/PostView.naver?blogId=newyorkmanhattan&amp;logNo=223905938081&amp;redirect=Dlog&amp;widgetTypeCall=true&amp;directAccess=false</t>
  </si>
  <si>
    <t>방송3법 개정은 출발점이다</t>
  </si>
  <si>
    <t>https://blog.naver.com/PostView.naver?blogId=poongkyung1205&amp;logNo=223905937318&amp;redirect=Dlog&amp;widgetTypeCall=true&amp;directAccess=false</t>
  </si>
  <si>
    <t>이재명, 울산 AI데이터센터 찾아 "첨단산업, 지방에도 가능"</t>
  </si>
  <si>
    <t>https://blog.naver.com/PostView.naver?blogId=edongkyoo&amp;logNo=223905886286&amp;redirect=Dlog&amp;widgetTypeCall=true&amp;directAccess=false</t>
  </si>
  <si>
    <t>좋은땅출판사에서  박월복 시인의 일곱 번째 시집 ‘산유화’를 출간했다. ‘호밀밭’에 이어 활발한 활동을 이어온 박월복 시인은 이번 시집에서도 정감 있는 시적 언어로써 우리의 일생을</t>
  </si>
  <si>
    <t>https://blog.naver.com/PostView.naver?blogId=59misookpak&amp;logNo=223905873614&amp;redirect=Dlog&amp;widgetTypeCall=true&amp;directAccess=false</t>
  </si>
  <si>
    <t>이어가다</t>
  </si>
  <si>
    <t>퇴직금 중간 정산</t>
  </si>
  <si>
    <t>https://blog.naver.com/PostView.naver?blogId=shcorp143&amp;logNo=223905869114&amp;redirect=Dlog&amp;widgetTypeCall=true&amp;directAccess=false</t>
  </si>
  <si>
    <t>여름밤 책임질 7월 방영예정 OTT 신작 한국드라마 모두 모아봄</t>
  </si>
  <si>
    <t>https://blog.naver.com/PostView.naver?blogId=ddo-play&amp;logNo=223905844962&amp;redirect=Dlog&amp;widgetTypeCall=true&amp;directAccess=false</t>
  </si>
  <si>
    <t>타이어맨</t>
  </si>
  <si>
    <t>이재명 G7에서 당한 굴욕과 외교 참사! 대한민국 국격 참사!</t>
  </si>
  <si>
    <t>https://blog.naver.com/PostView.naver?blogId=tireman-&amp;logNo=223905845243&amp;redirect=Dlog&amp;widgetTypeCall=true&amp;directAccess=false</t>
  </si>
  <si>
    <t>❗“백종원이 인간 짬통이라고?” 예산군이 밝힌 충격적인 진실</t>
  </si>
  <si>
    <t>https://blog.naver.com/PostView.naver?blogId=dew2by_&amp;logNo=223905838382&amp;redirect=Dlog&amp;widgetTypeCall=true&amp;directAccess=false</t>
  </si>
  <si>
    <t>homeyy</t>
  </si>
  <si>
    <t>이효리 "시험관 NO" 시험관 발언 악플 쇄도(+ 댓글반응)</t>
  </si>
  <si>
    <t>https://blog.naver.com/PostView.naver?blogId=shxk29&amp;logNo=223905789872&amp;redirect=Dlog&amp;widgetTypeCall=true&amp;directAccess=false</t>
  </si>
  <si>
    <t>남자춘향</t>
  </si>
  <si>
    <t>[MBC]노무사 노무진</t>
  </si>
  <si>
    <t>https://blog.naver.com/PostView.naver?blogId=realgear&amp;logNo=223905776966&amp;redirect=Dlog&amp;widgetTypeCall=true&amp;directAccess=false</t>
  </si>
  <si>
    <t>나 혼자 산다·배우 안재현 구혜선 결혼 이혼 사유? 집·아파트 지옥의 계단 오가는 일상? 부모님·가족·고양이·MBTI·대학⭐️안재현 서현진 오연서</t>
  </si>
  <si>
    <t>https://blog.naver.com/PostView.naver?blogId=rachelwood6&amp;logNo=223905767210&amp;redirect=Dlog&amp;widgetTypeCall=true&amp;directAccess=false</t>
  </si>
  <si>
    <t>리사</t>
  </si>
  <si>
    <t>장미의 계절, 숲속 하이킹 ~</t>
  </si>
  <si>
    <t>https://blog.naver.com/PostView.naver?blogId=lisalisalee&amp;logNo=223905750388&amp;redirect=Dlog&amp;widgetTypeCall=true&amp;directAccess=false</t>
  </si>
  <si>
    <t>Ann</t>
  </si>
  <si>
    <t>이재명 대통령 사진 합성</t>
  </si>
  <si>
    <t>https://blog.naver.com/PostView.naver?blogId=kyh070181&amp;logNo=223905740190&amp;redirect=Dlog&amp;widgetTypeCall=true&amp;directAccess=false</t>
  </si>
  <si>
    <t>작은 나무</t>
  </si>
  <si>
    <t>6월 둘째 주(06.09 - 06.15) 일기 - 이벤트 당첨, 체험단, 심포고인물 모임</t>
  </si>
  <si>
    <t>https://blog.naver.com/PostView.naver?blogId=hysdino&amp;logNo=223900844063&amp;redirect=Dlog&amp;widgetTypeCall=true&amp;directAccess=false</t>
  </si>
  <si>
    <t>유재석, 이번엔 공항 직원?! ‘놀면 뭐하니’ 인천공항 출근 도전기</t>
  </si>
  <si>
    <t>https://blog.naver.com/PostView.naver?blogId=kstarfashion&amp;logNo=223905710804&amp;redirect=Dlog&amp;widgetTypeCall=true&amp;directAccess=false</t>
  </si>
  <si>
    <t>마린</t>
  </si>
  <si>
    <t>새 정부 30.5조 추경안 확정. .1인당 15~50만 원 지급 (0619목)</t>
  </si>
  <si>
    <t>https://blog.naver.com/PostView.naver?blogId=hoon7000&amp;logNo=223905663890&amp;redirect=Dlog&amp;widgetTypeCall=true&amp;directAccess=false</t>
  </si>
  <si>
    <t>이지연, Lee Jiyun - 3집, 1990 (한국 음반 LP)</t>
  </si>
  <si>
    <t>https://blog.naver.com/PostView.naver?blogId=puffik&amp;logNo=223905657781&amp;redirect=Dlog&amp;widgetTypeCall=true&amp;directAccess=false</t>
  </si>
  <si>
    <t>돌아 온 홍준표 전 대구시장의 뼈때리는 일침 ...</t>
  </si>
  <si>
    <t>https://blog.naver.com/PostView.naver?blogId=ilsangrace&amp;logNo=223905657828&amp;redirect=Dlog&amp;widgetTypeCall=true&amp;directAccess=false</t>
  </si>
  <si>
    <t>은퇴전략가 하부장</t>
  </si>
  <si>
    <t>[25.6.20] 오늘의 투자 - 세상이 너무 빠르게 변해간다.</t>
  </si>
  <si>
    <t>https://blog.naver.com/PostView.naver?blogId=dontech-man&amp;logNo=223905641834&amp;redirect=Dlog&amp;widgetTypeCall=true&amp;directAccess=false</t>
  </si>
  <si>
    <t>“엘리베이터 OUT!” 안재현, 20층 지옥계단에 멘붕… ‘나혼산’ 웃픈 대참사</t>
  </si>
  <si>
    <t>https://blog.naver.com/PostView.naver?blogId=kstarfashion&amp;logNo=223905619638&amp;redirect=Dlog&amp;widgetTypeCall=true&amp;directAccess=false</t>
  </si>
  <si>
    <t>문예춘추사</t>
  </si>
  <si>
    <t>[신간 안내] 우리가 사랑한 예술가들이 열어 둔 창문에 대하여, 예술 에세이  『창문 너머 예술』</t>
  </si>
  <si>
    <t>https://blog.naver.com/PostView.naver?blogId=moonchusa&amp;logNo=223905619441&amp;redirect=Dlog&amp;widgetTypeCall=true&amp;directAccess=false</t>
  </si>
  <si>
    <t>2000.7.28 iTV '개그 코미디쇼-마법의 성' 또 사과 명령 받아</t>
  </si>
  <si>
    <t>https://blog.naver.com/PostView.naver?blogId=ruthkim88&amp;logNo=223905583940&amp;redirect=Dlog&amp;widgetTypeCall=true&amp;directAccess=false</t>
  </si>
  <si>
    <t>VA 장덕 추모 앨범 - 예정된 시간을 위하여, 1990 (뉴서울 레코드 LP)</t>
  </si>
  <si>
    <t>https://blog.naver.com/PostView.naver?blogId=puffik&amp;logNo=223905577352&amp;redirect=Dlog&amp;widgetTypeCall=true&amp;directAccess=false</t>
  </si>
  <si>
    <t>destinyandluck</t>
  </si>
  <si>
    <t>기쿠지로의 여름</t>
  </si>
  <si>
    <t>https://blog.naver.com/PostView.naver?blogId=destinyandluck&amp;logNo=223905519651&amp;redirect=Dlog&amp;widgetTypeCall=true&amp;directAccess=false</t>
  </si>
  <si>
    <t>‘메리 킬즈 피플’ 이보영·이민기·강기영, 숨 막히는 몰입감 '구원자 티저'</t>
  </si>
  <si>
    <t>https://blog.naver.com/PostView.naver?blogId=mamy75&amp;logNo=223905515920&amp;redirect=Dlog&amp;widgetTypeCall=true&amp;directAccess=false</t>
  </si>
  <si>
    <t>고은희, 이정란, Go Eunhee, Lee Jungran - 대학가의 노래 시리즈 1, 1985 (지구 레코드 LP)</t>
  </si>
  <si>
    <t>https://blog.naver.com/PostView.naver?blogId=puffik&amp;logNo=223905505525&amp;redirect=Dlog&amp;widgetTypeCall=true&amp;directAccess=false</t>
  </si>
  <si>
    <t>6월 Wavve 드라마_ 남주서치_ 갈소원 X 이진우 X 차준호</t>
  </si>
  <si>
    <t>https://blog.naver.com/PostView.naver?blogId=today_midnight&amp;logNo=223905477582&amp;redirect=Dlog&amp;widgetTypeCall=true&amp;directAccess=false</t>
  </si>
  <si>
    <t>dlwngjsey</t>
  </si>
  <si>
    <t>대한민국 청년이 정신 차려야 해</t>
  </si>
  <si>
    <t>https://blog.naver.com/PostView.naver?blogId=practiceismystreet&amp;logNo=223905474647&amp;redirect=Dlog&amp;widgetTypeCall=true&amp;directAccess=false</t>
  </si>
  <si>
    <t>F종자 루삐</t>
  </si>
  <si>
    <t>대전 중구 미용학원 추천 - MBC아카데미뷰티학원 대전중구점에서 배워보실분 ^-^</t>
  </si>
  <si>
    <t>https://blog.naver.com/PostView.naver?blogId=fhwm0253d&amp;logNo=223905455409&amp;redirect=Dlog&amp;widgetTypeCall=true&amp;directAccess=false</t>
  </si>
  <si>
    <t>강남 지하철 옆자리 11년 지기 친구에게 결혼 C사 반지 선물</t>
  </si>
  <si>
    <t>https://blog.naver.com/PostView.naver?blogId=wjdgusx43&amp;logNo=223905451858&amp;redirect=Dlog&amp;widgetTypeCall=true&amp;directAccess=false</t>
  </si>
  <si>
    <t>★ 남행열차///김수희</t>
  </si>
  <si>
    <t>https://blog.naver.com/PostView.naver?blogId=mbcswallow&amp;logNo=223904769391&amp;redirect=Dlog&amp;widgetTypeCall=true&amp;directAccess=false</t>
  </si>
  <si>
    <t>세븐틴, 정규 5집 ‘HAPPY BURSTDAY’로 음악방송 8관왕…차트와 팬심 모두 사로잡았다</t>
  </si>
  <si>
    <t>https://blog.naver.com/PostView.naver?blogId=news1star&amp;logNo=223905441385&amp;redirect=Dlog&amp;widgetTypeCall=true&amp;directAccess=false</t>
  </si>
  <si>
    <t>가요(7080)/보낸 님, 당신은 너무 멀어요  - 남인숙</t>
  </si>
  <si>
    <t>https://blog.naver.com/PostView.naver?blogId=yessoopark&amp;logNo=223905438583&amp;redirect=Dlog&amp;widgetTypeCall=true&amp;directAccess=false</t>
  </si>
  <si>
    <t>더블밍스 밍이굥이</t>
  </si>
  <si>
    <t>거제도 가볼만한곳 추천 바람의언덕 주차장 주차 요금</t>
  </si>
  <si>
    <t>https://blog.naver.com/PostView.naver?blogId=mhjkmk&amp;logNo=223905420605&amp;redirect=Dlog&amp;widgetTypeCall=true&amp;directAccess=false</t>
  </si>
  <si>
    <t>250619 배우 이루다 첫 영화 &lt;디 아더 사이드&gt; 주연 발탁, 다음달부터 촬영 예정, &lt;태양을 삼킨 여자&gt; 9회 본방사수</t>
  </si>
  <si>
    <t>https://blog.naver.com/PostView.naver?blogId=ujungoldtree&amp;logNo=223905403091&amp;redirect=Dlog&amp;widgetTypeCall=true&amp;directAccess=false</t>
  </si>
  <si>
    <t>3번방똘</t>
  </si>
  <si>
    <t>고양호수공원건너편 MBC드림센터앞</t>
  </si>
  <si>
    <t>https://blog.naver.com/PostView.naver?blogId=2020_three&amp;logNo=223828563842&amp;redirect=Dlog&amp;widgetTypeCall=true&amp;directAccess=false</t>
  </si>
  <si>
    <t>성재모동충하초</t>
  </si>
  <si>
    <t>건배합시다. 여보당신멋져</t>
  </si>
  <si>
    <t>https://blog.naver.com/PostView.naver?blogId=cordyceps1&amp;logNo=223905336405&amp;redirect=Dlog&amp;widgetTypeCall=true&amp;directAccess=false</t>
  </si>
  <si>
    <t>전지적 참견 시점·원조 4차원 배우 최강희 고깃집 아르바이트 위치 하남 돼지집 근황? 집·리즈·소속사·라디오·대학·데뷔·매니저⭐️최강희 가족·엄마·오빠·리즈·기부</t>
  </si>
  <si>
    <t>https://blog.naver.com/PostView.naver?blogId=lilycole2006&amp;logNo=223905267266&amp;redirect=Dlog&amp;widgetTypeCall=true&amp;directAccess=false</t>
  </si>
  <si>
    <t>ESKAKA</t>
  </si>
  <si>
    <t>[2025 U-리그] 성균관대, 연세대와 시즌 맞대결 아쉽게 패배하며 상반기 리그 마무리</t>
  </si>
  <si>
    <t>https://blog.naver.com/PostView.naver?blogId=eskaka&amp;logNo=223905257228&amp;redirect=Dlog&amp;widgetTypeCall=true&amp;directAccess=false</t>
  </si>
  <si>
    <t>여행고양이 무카</t>
  </si>
  <si>
    <t>서울 서초 방배동떡집 개별포장 답례떡 필요할때 좋은 방배동떡마당</t>
  </si>
  <si>
    <t>https://blog.naver.com/PostView.naver?blogId=nineplus1th&amp;logNo=223905224775&amp;redirect=Dlog&amp;widgetTypeCall=true&amp;directAccess=false</t>
  </si>
  <si>
    <t>검은태양 등장인물 한지혁 결말 ott 보러가기</t>
  </si>
  <si>
    <t>https://blog.naver.com/PostView.naver?blogId=somedayview&amp;logNo=223905149170&amp;redirect=Dlog&amp;widgetTypeCall=true&amp;directAccess=false</t>
  </si>
  <si>
    <t>효정</t>
  </si>
  <si>
    <t>있지 Girls Will Be Girls 1주차 사녹 후기</t>
  </si>
  <si>
    <t>https://blog.naver.com/PostView.naver?blogId=hyo__0402&amp;logNo=223905173907&amp;redirect=Dlog&amp;widgetTypeCall=true&amp;directAccess=false</t>
  </si>
  <si>
    <t>[250619]원주MBC 17사단 원일병 사건 2차 보도</t>
  </si>
  <si>
    <t>https://blog.naver.com/PostView.naver?blogId=hi2mu6ra&amp;logNo=223905195492&amp;redirect=Dlog&amp;widgetTypeCall=true&amp;directAccess=false</t>
  </si>
  <si>
    <t>https://blog.naver.com/PostView.naver?blogId=yang83529&amp;logNo=223905193936&amp;redirect=Dlog&amp;widgetTypeCall=true&amp;directAccess=false</t>
  </si>
  <si>
    <t>우주최강</t>
  </si>
  <si>
    <t>ITZY, 무대로 증명한 K팝 대표 퍼포먼스 퀸…2주차도 빛낸다</t>
  </si>
  <si>
    <t>https://blog.naver.com/PostView.naver?blogId=gukppa&amp;logNo=223905185921&amp;redirect=Dlog&amp;widgetTypeCall=true&amp;directAccess=false</t>
  </si>
  <si>
    <t>이재명, 자영업자 / 소상공인 빚 탕감, 지역화폐도 확대</t>
  </si>
  <si>
    <t>https://blog.naver.com/PostView.naver?blogId=godloveyouforever&amp;logNo=223905180067&amp;redirect=Dlog&amp;widgetTypeCall=true&amp;directAccess=false</t>
  </si>
  <si>
    <t>미스밍키</t>
  </si>
  <si>
    <t>레트로한 분위기가 좋은 MBC예능 놀면뭐하니 카페 상향선</t>
  </si>
  <si>
    <t>https://blog.naver.com/PostView.naver?blogId=minky_1127&amp;logNo=223905177572&amp;redirect=Dlog&amp;widgetTypeCall=true&amp;directAccess=false</t>
  </si>
  <si>
    <t>하재상</t>
  </si>
  <si>
    <t>https://blog.naver.com/PostView.naver?blogId=djm05208&amp;logNo=223905167919&amp;redirect=Dlog&amp;widgetTypeCall=true&amp;directAccess=false</t>
  </si>
  <si>
    <t>taewoo_love</t>
  </si>
  <si>
    <t>습관</t>
  </si>
  <si>
    <t>https://blog.naver.com/PostView.naver?blogId=taewoo_love&amp;logNo=223905165109&amp;redirect=Dlog&amp;widgetTypeCall=true&amp;directAccess=false</t>
  </si>
  <si>
    <t>문방시회</t>
  </si>
  <si>
    <t>양승본 소설가의 문학과 인생</t>
  </si>
  <si>
    <t>https://blog.naver.com/PostView.naver?blogId=munhakbangsong&amp;logNo=223905105361&amp;redirect=Dlog&amp;widgetTypeCall=true&amp;directAccess=false</t>
  </si>
  <si>
    <t>와세채널</t>
  </si>
  <si>
    <t>연중마감, 오늘도 씁니다.(김현정)</t>
  </si>
  <si>
    <t>https://blog.naver.com/PostView.naver?blogId=wasechan&amp;logNo=223905056811&amp;redirect=Dlog&amp;widgetTypeCall=true&amp;directAccess=false</t>
  </si>
  <si>
    <t>달리는 사나이 최석태</t>
  </si>
  <si>
    <t>용비어천가인가?/최석태/</t>
  </si>
  <si>
    <t>https://blog.naver.com/PostView.naver?blogId=choisttt1&amp;logNo=223905026608&amp;redirect=Dlog&amp;widgetTypeCall=true&amp;directAccess=false</t>
  </si>
  <si>
    <t>태양을 삼킨 여자 9회, 장신영 전노민 회장 만나다</t>
  </si>
  <si>
    <t>https://blog.naver.com/PostView.naver?blogId=gktkrk&amp;logNo=223904996089&amp;redirect=Dlog&amp;widgetTypeCall=true&amp;directAccess=false</t>
  </si>
  <si>
    <t>kokkiri</t>
  </si>
  <si>
    <t>[서울] 참오리전문점 - 동작구 사당동 총신대입구역 이수역 참오리 오리 삼계탕 한방오리백숙 오리탕 우렁무침 보양식</t>
  </si>
  <si>
    <t>https://blog.naver.com/PostView.naver?blogId=firstkokkiri&amp;logNo=223904987888&amp;redirect=Dlog&amp;widgetTypeCall=true&amp;directAccess=false</t>
  </si>
  <si>
    <t>김용빈, 상금만 3억 받았다더니…비주얼까지 사수 "얼굴이 살아남았네" ('사랑의 콜센타')</t>
  </si>
  <si>
    <t>https://blog.naver.com/PostView.naver?blogId=wonogi&amp;logNo=223902598223&amp;redirect=Dlog&amp;widgetTypeCall=true&amp;directAccess=false</t>
  </si>
  <si>
    <t>SYSR</t>
  </si>
  <si>
    <t>황명선</t>
  </si>
  <si>
    <t>[국회의원 황명선] '제9회 지방자치대상’ 지방행정 부문 대상 수상</t>
  </si>
  <si>
    <t>https://blog.naver.com/PostView.naver?blogId=hms111best&amp;logNo=223904978247&amp;redirect=Dlog&amp;widgetTypeCall=true&amp;directAccess=false</t>
  </si>
  <si>
    <t>큰날개 윤태익</t>
  </si>
  <si>
    <t>《죽기 살기로 살아온 나, 이제는…》6장. ‘그날’ 화장실에서 나는 죽었다고 생각했다</t>
  </si>
  <si>
    <t>https://blog.naver.com/PostView.naver?blogId=taxiyoon1&amp;logNo=223904966917&amp;redirect=Dlog&amp;widgetTypeCall=true&amp;directAccess=false</t>
  </si>
  <si>
    <t>김연아, 고우림과 4년 비밀 연애…라디오스타에서 밝힌 소름 돋는 첫 만남 비화! (+풀스토리, 결혼, 재산)</t>
  </si>
  <si>
    <t>https://blog.naver.com/PostView.naver?blogId=ovonews&amp;logNo=223904946251&amp;redirect=Dlog&amp;widgetTypeCall=true&amp;directAccess=false</t>
  </si>
  <si>
    <t>달팽</t>
  </si>
  <si>
    <t>[넷플릭스 쿠팡플레이 드라마 영화 추천] 실컷 울게되는 : 사랑 후에 오는 것들, 옷소매 붉은 끝동, 여름날 우리, 난홍</t>
  </si>
  <si>
    <t>https://blog.naver.com/PostView.naver?blogId=chooh5_&amp;logNo=223904674042&amp;redirect=Dlog&amp;widgetTypeCall=true&amp;directAccess=false</t>
  </si>
  <si>
    <t>엘레크</t>
  </si>
  <si>
    <t>선방위, MBC ‘대선 예상 득표율 보도’에 “국민의사 왜곡 가능” 행정지도</t>
  </si>
  <si>
    <t>https://blog.naver.com/PostView.naver?blogId=remnant333_&amp;logNo=223904859649&amp;redirect=Dlog&amp;widgetTypeCall=true&amp;directAccess=false</t>
  </si>
  <si>
    <t>dawn</t>
  </si>
  <si>
    <t>[속초] 가성비 좋고, 좋은 사람들을 만나고 싶다면 &lt;쉼 게스트하우스&gt;</t>
  </si>
  <si>
    <t>https://blog.naver.com/PostView.naver?blogId=skssks9507&amp;logNo=223903625704&amp;redirect=Dlog&amp;widgetTypeCall=true&amp;directAccess=false</t>
  </si>
  <si>
    <t>몽클</t>
  </si>
  <si>
    <t>세븐틴, 빌보드 차트 강세 지속하며 데뷔 10주년 성과 빛내</t>
  </si>
  <si>
    <t>https://blog.naver.com/PostView.naver?blogId=jjisthex&amp;logNo=223904828426&amp;redirect=Dlog&amp;widgetTypeCall=true&amp;directAccess=false</t>
  </si>
  <si>
    <t>라온</t>
  </si>
  <si>
    <t>파주시 교하도서관, 「어른 김장하」 영화 김현지 감독과의 만남 운영</t>
  </si>
  <si>
    <t>https://blog.naver.com/PostView.naver?blogId=atpaju&amp;logNo=223904743786&amp;redirect=Dlog&amp;widgetTypeCall=true&amp;directAccess=false</t>
  </si>
  <si>
    <t>정청래 '왕수박' 공격 받은 이유</t>
  </si>
  <si>
    <t>https://blog.naver.com/PostView.naver?blogId=tamsaj&amp;logNo=223904729377&amp;redirect=Dlog&amp;widgetTypeCall=true&amp;directAccess=false</t>
  </si>
  <si>
    <t>국회의원 위성곤</t>
  </si>
  <si>
    <t>[보도자료]위성곤 의원, ’제주 성산 씨름대회 항일운동 재조명 토론회‘ 개최</t>
  </si>
  <si>
    <t>https://blog.naver.com/PostView.naver?blogId=wishjeju&amp;logNo=223904689878&amp;redirect=Dlog&amp;widgetTypeCall=true&amp;directAccess=false</t>
  </si>
  <si>
    <t>김연아 면회에 고우림 군부대 발칵 뒤집힌 진짜 이유… 상상 초월 (+비주얼 부부, 특급 내조, 럽스타그램)</t>
  </si>
  <si>
    <t>https://blog.naver.com/PostView.naver?blogId=ovonews&amp;logNo=223904672507&amp;redirect=Dlog&amp;widgetTypeCall=true&amp;directAccess=false</t>
  </si>
  <si>
    <t>도서관과책좋아하는집</t>
  </si>
  <si>
    <t>내가 보는(본)  프로그램 2025년</t>
  </si>
  <si>
    <t>https://blog.naver.com/PostView.naver?blogId=youthworld5&amp;logNo=223904666522&amp;redirect=Dlog&amp;widgetTypeCall=true&amp;directAccess=false</t>
  </si>
  <si>
    <t>연예‘쌍꺼풀 재수술’ 이후… 신지, 또 확 바뀐 외모 근황</t>
  </si>
  <si>
    <t>https://blog.naver.com/PostView.naver?blogId=seoulshinmun_1904&amp;logNo=223904664798&amp;redirect=Dlog&amp;widgetTypeCall=true&amp;directAccess=false</t>
  </si>
  <si>
    <t>어거스트</t>
  </si>
  <si>
    <t>용인 돌판 오리구이 전문점 한터장수오리골</t>
  </si>
  <si>
    <t>https://blog.naver.com/PostView.naver?blogId=august-first&amp;logNo=223904619731&amp;redirect=Dlog&amp;widgetTypeCall=true&amp;directAccess=false</t>
  </si>
  <si>
    <t>[노동 현장 속으로] ‘엄마의 밥상’ 급식 노동자의 하루</t>
  </si>
  <si>
    <t>https://blog.naver.com/PostView.naver?blogId=jejucwsc&amp;logNo=223904609781&amp;redirect=Dlog&amp;widgetTypeCall=true&amp;directAccess=false</t>
  </si>
  <si>
    <t>혜무늘보</t>
  </si>
  <si>
    <t>로또 인터넷 구매, 해보니 너무 간단해서 놀랐습니다</t>
  </si>
  <si>
    <t>https://blog.naver.com/PostView.naver?blogId=mellongi123&amp;logNo=223904583719&amp;redirect=Dlog&amp;widgetTypeCall=true&amp;directAccess=false</t>
  </si>
  <si>
    <t>라디오스타 고우림 김연아 5세 연하 남편? DM으로 먼저 연락한 아내와 결혼까지</t>
  </si>
  <si>
    <t>https://blog.naver.com/PostView.naver?blogId=chummilmil99&amp;logNo=223904554349&amp;redirect=Dlog&amp;widgetTypeCall=true&amp;directAccess=false</t>
  </si>
  <si>
    <t>강초록</t>
  </si>
  <si>
    <t>혲</t>
  </si>
  <si>
    <t>[영화 후기] 28년후(쿠키영상 X)</t>
  </si>
  <si>
    <t>https://blog.naver.com/PostView.naver?blogId=bbbu_buueeee&amp;logNo=223904535888&amp;redirect=Dlog&amp;widgetTypeCall=true&amp;directAccess=false</t>
  </si>
  <si>
    <t>김건희 주가조작' 뭉갠 검사들 "빼박 증거 덮어..김주현·심우정 특검 수사 받아야"</t>
  </si>
  <si>
    <t>https://blog.naver.com/PostView.naver?blogId=jang0355&amp;logNo=223904530719&amp;redirect=Dlog&amp;widgetTypeCall=true&amp;directAccess=false</t>
  </si>
  <si>
    <t>나 혼자 산다' 김대호·옥자연·코드쿤스트, 자연에 진심인 ‘대자연 삼총사’ 결성</t>
  </si>
  <si>
    <t>https://blog.naver.com/PostView.naver?blogId=kstarfashion&amp;logNo=223904510699&amp;redirect=Dlog&amp;widgetTypeCall=true&amp;directAccess=false</t>
  </si>
  <si>
    <t>고우림 김연아 웨딩사진공개 비하인드스토리</t>
  </si>
  <si>
    <t>https://blog.naver.com/PostView.naver?blogId=pkeunyoo&amp;logNo=223904493118&amp;redirect=Dlog&amp;widgetTypeCall=true&amp;directAccess=false</t>
  </si>
  <si>
    <t>taedose</t>
  </si>
  <si>
    <t>MBC 라디오와의 인연</t>
  </si>
  <si>
    <t>https://blog.naver.com/PostView.naver?blogId=taedose&amp;logNo=223904479195&amp;redirect=Dlog&amp;widgetTypeCall=true&amp;directAccess=false</t>
  </si>
  <si>
    <t>오플이</t>
  </si>
  <si>
    <t>인문 잡지 한편 유머</t>
  </si>
  <si>
    <t>https://blog.naver.com/PostView.naver?blogId=o_pl_e&amp;logNo=223904470942&amp;redirect=Dlog&amp;widgetTypeCall=true&amp;directAccess=false</t>
  </si>
  <si>
    <t>‘트롯챔피언’ 상반기 결산 투표 시작! 트로피는 누구 품에?</t>
  </si>
  <si>
    <t>https://blog.naver.com/PostView.naver?blogId=kstarfashion&amp;logNo=223904461711&amp;redirect=Dlog&amp;widgetTypeCall=true&amp;directAccess=false</t>
  </si>
  <si>
    <t>‘써니’ 칠공주 재결성! 강소라·김보미·김민영, 그리고 이은지까지 ‘찐친 여행’ 출발</t>
  </si>
  <si>
    <t>https://blog.naver.com/PostView.naver?blogId=kstarfashion&amp;logNo=223904444837&amp;redirect=Dlog&amp;widgetTypeCall=true&amp;directAccess=false</t>
  </si>
  <si>
    <t>김건희  ‘도이치모터스 주가조작’ 사건 무혐의, 그 결정을 내린 검사들은 누구였나?…이창수, 조상원,최재훈</t>
  </si>
  <si>
    <t>https://blog.naver.com/PostView.naver?blogId=yunys4303&amp;logNo=223904397810&amp;redirect=Dlog&amp;widgetTypeCall=true&amp;directAccess=false</t>
  </si>
  <si>
    <t>“소 엉덩이를 그냥 먹는다고?!”... '어서와 한국은 처음이지?' 덴마크 형제, 뭉티기에 홀딱 빠졌다</t>
  </si>
  <si>
    <t>https://blog.naver.com/PostView.naver?blogId=kstarfashion&amp;logNo=223904363311&amp;redirect=Dlog&amp;widgetTypeCall=true&amp;directAccess=false</t>
  </si>
  <si>
    <t>노분투</t>
  </si>
  <si>
    <t>서초역 진도 울돌목 가는길 능이전복영양솥밥 후기</t>
  </si>
  <si>
    <t>https://blog.naver.com/PostView.naver?blogId=nobuntu&amp;logNo=223904209755&amp;redirect=Dlog&amp;widgetTypeCall=true&amp;directAccess=false</t>
  </si>
  <si>
    <t>“정부 AI에 5년 간 16조원 이상 투자, 데이터센터도 반도체처럼 혜택 f. 삼프로TV 권순우 취재팀장 [뉴스3]” 의 영상 요약</t>
  </si>
  <si>
    <t>https://blog.naver.com/PostView.naver?blogId=lucidjun&amp;logNo=223904333153&amp;redirect=Dlog&amp;widgetTypeCall=true&amp;directAccess=false</t>
  </si>
  <si>
    <t>트럼프, 이란 공격 계획 승인...최종명령만 남았다.</t>
  </si>
  <si>
    <t>https://blog.naver.com/PostView.naver?blogId=finch1234&amp;logNo=223904324909&amp;redirect=Dlog&amp;widgetTypeCall=true&amp;directAccess=false</t>
  </si>
  <si>
    <t>산불 피해 농가 희망장터 한국영화배우협회 판촉 봉사</t>
  </si>
  <si>
    <t>https://blog.naver.com/PostView.naver?blogId=seoulnewsagency&amp;logNo=223904321640&amp;redirect=Dlog&amp;widgetTypeCall=true&amp;directAccess=false</t>
  </si>
  <si>
    <t>고우림♥김연아 4년 비밀 연애 프러포즈 2번</t>
  </si>
  <si>
    <t>https://blog.naver.com/PostView.naver?blogId=odmwd2&amp;logNo=223904320426&amp;redirect=Dlog&amp;widgetTypeCall=true&amp;directAccess=false</t>
  </si>
  <si>
    <t>amabella</t>
  </si>
  <si>
    <t>Naminara Republic (Nami Island) [나미나라 - 남이섬]</t>
  </si>
  <si>
    <t>https://blog.naver.com/PostView.naver?blogId=k-amabella&amp;logNo=223904312207&amp;redirect=Dlog&amp;widgetTypeCall=true&amp;directAccess=false</t>
  </si>
  <si>
    <t>윤시내, Yoon Sinae - 7집 사랑의 시, 이별의 길목, 1983 (지구레코드 LP)</t>
  </si>
  <si>
    <t>https://blog.naver.com/PostView.naver?blogId=puffik&amp;logNo=223904305286&amp;redirect=Dlog&amp;widgetTypeCall=true&amp;directAccess=false</t>
  </si>
  <si>
    <t>라디오스타 고우림: 라스 고우림 김연아 파리 신혼여행</t>
  </si>
  <si>
    <t>https://blog.naver.com/PostView.naver?blogId=iiiseeuuuiii&amp;logNo=223904254975&amp;redirect=Dlog&amp;widgetTypeCall=true&amp;directAccess=false</t>
  </si>
  <si>
    <t>[단독] '김건희 육성 녹음' 미래에셋‥검찰 이미 4년 전 압수수색했었다 - MBC뉴스</t>
  </si>
  <si>
    <t>https://blog.naver.com/PostView.naver?blogId=testdirt&amp;logNo=223904247694&amp;redirect=Dlog&amp;widgetTypeCall=true&amp;directAccess=false</t>
  </si>
  <si>
    <t>나또먹</t>
  </si>
  <si>
    <t>강릉 중앙시장 맛집 물회 강릉꼬막비빔밥 풍호맛뜨락 커플세트</t>
  </si>
  <si>
    <t>https://blog.naver.com/PostView.naver?blogId=navely914&amp;logNo=223901284035&amp;redirect=Dlog&amp;widgetTypeCall=true&amp;directAccess=false</t>
  </si>
  <si>
    <t>고우림, 결혼생활 언급 “김연아와 다툰 적 없어…아내가 더 단단하다고 해”</t>
  </si>
  <si>
    <t>https://blog.naver.com/PostView.naver?blogId=reviewjoa&amp;logNo=223904210771&amp;redirect=Dlog&amp;widgetTypeCall=true&amp;directAccess=false</t>
  </si>
  <si>
    <t>제주아빠</t>
  </si>
  <si>
    <t>김연아, 고우림과의 4년 비밀 연애 풀스토리 최초 공개…상상 초월 반전(+결혼 비하인드, 재벌설, 럽스타그램)</t>
  </si>
  <si>
    <t>https://blog.naver.com/PostView.naver?blogId=jeju0520-&amp;logNo=223904202845&amp;redirect=Dlog&amp;widgetTypeCall=true&amp;directAccess=false</t>
  </si>
  <si>
    <t>“이란이 무너지면 중국도 망한다?”_"버티면 유리한 이란 vs 벙커버스터 찾는 이스라엘" 미국의 선택과 세계의 향방은?_이란 터지던 날 중*전쟁지원 의심물자 떴다</t>
  </si>
  <si>
    <t>https://blog.naver.com/PostView.naver?blogId=cscg6472&amp;logNo=223904192903&amp;redirect=Dlog&amp;widgetTypeCall=true&amp;directAccess=false</t>
  </si>
  <si>
    <t>"김연아가 먼저 연락"...고우림이 밝힌 결혼 스토리</t>
  </si>
  <si>
    <t>https://blog.naver.com/PostView.naver?blogId=nsunday&amp;logNo=223904181111&amp;redirect=Dlog&amp;widgetTypeCall=true&amp;directAccess=false</t>
  </si>
  <si>
    <t>Helen</t>
  </si>
  <si>
    <t>송파구 잠실동 2주 살이(종합운동장 에어비엔비)</t>
  </si>
  <si>
    <t>https://blog.naver.com/PostView.naver?blogId=virgin135&amp;logNo=223904180553&amp;redirect=Dlog&amp;widgetTypeCall=true&amp;directAccess=false</t>
  </si>
  <si>
    <t>"21대 대선 보도, MBC가 독보적으로 불공정"...국회 토론회서 불공정 유형 공개</t>
  </si>
  <si>
    <t>https://blog.naver.com/PostView.naver?blogId=js00lee2&amp;logNo=223904148767&amp;redirect=Dlog&amp;widgetTypeCall=true&amp;directAccess=false</t>
  </si>
  <si>
    <t>기스99</t>
  </si>
  <si>
    <t>미뤄둔 것들을 시작하는 하루</t>
  </si>
  <si>
    <t>https://blog.naver.com/PostView.naver?blogId=web99&amp;logNo=223904080518&amp;redirect=Dlog&amp;widgetTypeCall=true&amp;directAccess=false</t>
  </si>
  <si>
    <t>리뷰노팅</t>
  </si>
  <si>
    <t>하늘 위 짜릿한 자유, ‘미래항공스포츠’ 양평 대표 레저 명소로 부상서울서 1시간 국가대표 강사진과 함께하는 865m 고공 비행 체험</t>
  </si>
  <si>
    <t>https://blog.naver.com/PostView.naver?blogId=espia815&amp;logNo=223904062985&amp;redirect=Dlog&amp;widgetTypeCall=true&amp;directAccess=false</t>
  </si>
  <si>
    <t>깨순이</t>
  </si>
  <si>
    <t>29년 전통 ‘미래항공스포츠’, 패러글라이딩 성지로 떠오르다국가대표 강사진 865m 활공장 보유 서울서 1시간 거리경기도 양평이 하늘을 나는 체험 관광지로 주목받고 있다.</t>
  </si>
  <si>
    <t>https://blog.naver.com/PostView.naver?blogId=espia430&amp;logNo=223904051120&amp;redirect=Dlog&amp;widgetTypeCall=true&amp;directAccess=false</t>
  </si>
  <si>
    <t>ddoligon</t>
  </si>
  <si>
    <t>하늘 위 짜릿한 체험, 양평 ‘미래항공스포츠’ 패러글라이딩 인기서울에서 불과 1시간 거리인 경기도 양평. 이곳에 국내 최고 높이 활공장을 보유한 패러글라이딩 명소!</t>
  </si>
  <si>
    <t>https://blog.naver.com/PostView.naver?blogId=ddoligon&amp;logNo=223904045605&amp;redirect=Dlog&amp;widgetTypeCall=true&amp;directAccess=false</t>
  </si>
  <si>
    <t>정치파랑새 ~ 춘천MBC뉴스님의 오늘자 이재명 소식. 대북송금에 검찰개혁 불붙었다, 당대표 잘 뽑아야 하는 이유. 대북송금 조작수사는 명실상부한 이재명죽이기</t>
  </si>
  <si>
    <t>https://blog.naver.com/PostView.naver?blogId=wishut3281&amp;logNo=223913037423&amp;redirect=Dlog&amp;widgetTypeCall=true&amp;directAccess=false</t>
  </si>
  <si>
    <t>변신괴물</t>
  </si>
  <si>
    <t>첫번째 인생계획</t>
  </si>
  <si>
    <t>https://blog.naver.com/PostView.naver?blogId=r2ana&amp;logNo=223913037167&amp;redirect=Dlog&amp;widgetTypeCall=true&amp;directAccess=false</t>
  </si>
  <si>
    <t>홍석천, 커밍아웃 25년만 "동의하에 공개연애...숨어 연애하기 싫어" (라스)[SC리뷰]</t>
  </si>
  <si>
    <t>https://blog.naver.com/PostView.naver?blogId=atraxia123&amp;logNo=223913018371&amp;redirect=Dlog&amp;widgetTypeCall=true&amp;directAccess=false</t>
  </si>
  <si>
    <t>잡덕진버스</t>
  </si>
  <si>
    <t>250626 아이돌라디오 공식트위터 이정현,문정현</t>
  </si>
  <si>
    <t>https://blog.naver.com/PostView.naver?blogId=tkqja90&amp;logNo=223912987557&amp;redirect=Dlog&amp;widgetTypeCall=true&amp;directAccess=false</t>
  </si>
  <si>
    <t>포사 이목원</t>
  </si>
  <si>
    <t>대다나다 (feat 조직문화 혁신)</t>
  </si>
  <si>
    <t>https://blog.naver.com/PostView.naver?blogId=treenew&amp;logNo=223912974834&amp;redirect=Dlog&amp;widgetTypeCall=true&amp;directAccess=false</t>
  </si>
  <si>
    <t>6/21 MBC 쇼음악중심 하츠투하츠 사전녹화 + 유스피어 사전녹화 + 본방송 방청 갔다왔다.</t>
  </si>
  <si>
    <t>https://blog.naver.com/PostView.naver?blogId=conix&amp;logNo=223912930476&amp;redirect=Dlog&amp;widgetTypeCall=true&amp;directAccess=false</t>
  </si>
  <si>
    <t>kinbong</t>
  </si>
  <si>
    <t>고급정치, 일타강사.  Jun 27, 2025.</t>
  </si>
  <si>
    <t>https://blog.naver.com/PostView.naver?blogId=kinbong&amp;logNo=223912920229&amp;redirect=Dlog&amp;widgetTypeCall=true&amp;directAccess=false</t>
  </si>
  <si>
    <t>나혼산 김대호와 핑크빛 기류 옥자연 프로필</t>
  </si>
  <si>
    <t>https://blog.naver.com/PostView.naver?blogId=88labstory&amp;logNo=223912625084&amp;redirect=Dlog&amp;widgetTypeCall=true&amp;directAccess=false</t>
  </si>
  <si>
    <t>털보 김어준의 고백-"저는 윤석열 총장을 신뢰해요 윤총장이 강직한 검사인 건 맞습니다"</t>
  </si>
  <si>
    <t>https://blog.naver.com/PostView.naver?blogId=kys55-&amp;logNo=223912821605&amp;redirect=Dlog&amp;widgetTypeCall=true&amp;directAccess=false</t>
  </si>
  <si>
    <t>240601 골든걸스 대구(경북대 대강당) 후기</t>
  </si>
  <si>
    <t>https://blog.naver.com/PostView.naver?blogId=mekgomasigo&amp;logNo=223912707082&amp;redirect=Dlog&amp;widgetTypeCall=true&amp;directAccess=false</t>
  </si>
  <si>
    <t>특검 "윤석열 지하 비공개 출입 불가"…출석 거부시 체포영장 재청구 시사</t>
  </si>
  <si>
    <t>https://blog.naver.com/PostView.naver?blogId=finch1234&amp;logNo=223912705341&amp;redirect=Dlog&amp;widgetTypeCall=true&amp;directAccess=false</t>
  </si>
  <si>
    <t>이다원</t>
  </si>
  <si>
    <t>KBS의 부당한 TV수신료 징수. 싸워봅시다. 1편</t>
  </si>
  <si>
    <t>https://blog.naver.com/PostView.naver?blogId=dawon_i&amp;logNo=223912694812&amp;redirect=Dlog&amp;widgetTypeCall=true&amp;directAccess=false</t>
  </si>
  <si>
    <t>2025년 6월 25일, "일본 은행 넘어간 조선 왕실의 사당‥100년 만에 씁쓸한 귀향"에 대한 X 반응</t>
  </si>
  <si>
    <t>https://blog.naver.com/PostView.naver?blogId=shinswoong75&amp;logNo=223912682997&amp;redirect=Dlog&amp;widgetTypeCall=true&amp;directAccess=false</t>
  </si>
  <si>
    <t>뽀리뽀리뽀</t>
  </si>
  <si>
    <t>동물권단체 카라와 임순례 감독, 노조 탄압의 민낯</t>
  </si>
  <si>
    <t>https://blog.naver.com/PostView.naver?blogId=iloveraining&amp;logNo=223912681437&amp;redirect=Dlog&amp;widgetTypeCall=true&amp;directAccess=false</t>
  </si>
  <si>
    <t>이경규 약물운전 혐의</t>
  </si>
  <si>
    <t>https://blog.naver.com/PostView.naver?blogId=0miyoung&amp;logNo=223912676702&amp;redirect=Dlog&amp;widgetTypeCall=true&amp;directAccess=false</t>
  </si>
  <si>
    <t>엔조이 덕</t>
  </si>
  <si>
    <t>북부시장 포항식 물회 맛집 전국 3대 물회 오대양 식당</t>
  </si>
  <si>
    <t>https://blog.naver.com/PostView.naver?blogId=sdukwon08&amp;logNo=223912670751&amp;redirect=Dlog&amp;widgetTypeCall=true&amp;directAccess=false</t>
  </si>
  <si>
    <t>지엔북</t>
  </si>
  <si>
    <t>원로 강남주 시인 별세</t>
  </si>
  <si>
    <t>https://blog.naver.com/PostView.naver?blogId=gnbook&amp;logNo=223912605386&amp;redirect=Dlog&amp;widgetTypeCall=true&amp;directAccess=false</t>
  </si>
  <si>
    <t>9년 전 우리의 기억 속에 빛나는 별 배우 김성민을 추억하며</t>
  </si>
  <si>
    <t>https://blog.naver.com/PostView.naver?blogId=ditco00&amp;logNo=223912587769&amp;redirect=Dlog&amp;widgetTypeCall=true&amp;directAccess=false</t>
  </si>
  <si>
    <t>김종배의 시선집중', 공영방송 시사 프로에서 반박 없이 일방 입장만 방송</t>
  </si>
  <si>
    <t>https://blog.naver.com/PostView.naver?blogId=truth-guardian&amp;logNo=223912583826&amp;redirect=Dlog&amp;widgetTypeCall=true&amp;directAccess=false</t>
  </si>
  <si>
    <t>나도웹</t>
  </si>
  <si>
    <t>정부지원금! 2025년 민생 추경, 무엇이 달라졌나? 서민·자영업자를 위한 정부의 해법 총정리</t>
  </si>
  <si>
    <t>https://blog.naver.com/PostView.naver?blogId=nadoweb2004&amp;logNo=223912547410&amp;redirect=Dlog&amp;widgetTypeCall=true&amp;directAccess=false</t>
  </si>
  <si>
    <t>현대건강신문</t>
  </si>
  <si>
    <t>자외선 차단제 38개 제품 중 4개, 유럽서 금지된 '4-MBC' 검출</t>
  </si>
  <si>
    <t>https://blog.naver.com/PostView.naver?blogId=hnewskr&amp;logNo=223912515281&amp;redirect=Dlog&amp;widgetTypeCall=true&amp;directAccess=false</t>
  </si>
  <si>
    <t>숲속으로</t>
  </si>
  <si>
    <t>짱뚱어 지키기</t>
  </si>
  <si>
    <t>https://blog.naver.com/PostView.naver?blogId=verdant-forest&amp;logNo=223912492135&amp;redirect=Dlog&amp;widgetTypeCall=true&amp;directAccess=false</t>
  </si>
  <si>
    <t>더블이용권 사용해 웨이브드라마 티빙예능 함께보자</t>
  </si>
  <si>
    <t>https://blog.naver.com/PostView.naver?blogId=euene1111&amp;logNo=223912438241&amp;redirect=Dlog&amp;widgetTypeCall=true&amp;directAccess=false</t>
  </si>
  <si>
    <t>라디오스타 홍석천, “like JENNIE? No, I'm GAY” 입담 폭발!</t>
  </si>
  <si>
    <t>https://blog.naver.com/PostView.naver?blogId=kstarfashion&amp;logNo=223912386841&amp;redirect=Dlog&amp;widgetTypeCall=true&amp;directAccess=false</t>
  </si>
  <si>
    <t>🩵간추린 오후뉴스 🍰250626목13오후 뉴스모음</t>
  </si>
  <si>
    <t>https://blog.naver.com/PostView.naver?blogId=gusteam&amp;logNo=223912377537&amp;redirect=Dlog&amp;widgetTypeCall=true&amp;directAccess=false</t>
  </si>
  <si>
    <t>책과자</t>
  </si>
  <si>
    <t>25년 6월 방영 중 드라마 중도 하차 리뷰 ㅋ</t>
  </si>
  <si>
    <t>https://blog.naver.com/PostView.naver?blogId=catmom&amp;logNo=223912327880&amp;redirect=Dlog&amp;widgetTypeCall=true&amp;directAccess=false</t>
  </si>
  <si>
    <t>남이Sum</t>
  </si>
  <si>
    <t>이은하, ‘밤차’</t>
  </si>
  <si>
    <t>https://blog.naver.com/PostView.naver?blogId=phil_writing&amp;logNo=223912320503&amp;redirect=Dlog&amp;widgetTypeCall=true&amp;directAccess=false</t>
  </si>
  <si>
    <t>심은경, 6년 만에 복귀작 tvN 새 드라마 ‘대한민국에서 건물주 되는 법’ 출연</t>
  </si>
  <si>
    <t>https://blog.naver.com/PostView.naver?blogId=spring_hmong&amp;logNo=223912287574&amp;redirect=Dlog&amp;widgetTypeCall=true&amp;directAccess=false</t>
  </si>
  <si>
    <t>"진상 규명" 무안공항 참사 유족에…李대통령 "제가 나선다고 더 될 것 같진 않아" (25.6.25)</t>
  </si>
  <si>
    <t>https://blog.naver.com/PostView.naver?blogId=godloveyouforever&amp;logNo=223912259332&amp;redirect=Dlog&amp;widgetTypeCall=true&amp;directAccess=false</t>
  </si>
  <si>
    <t>이천설봉신문</t>
  </si>
  <si>
    <t>(사)중소기업융합경기연합회 자문위원회, ‘용인 대장금파크’, ‘광교호수공원’에서 제7차 소통행사 개최</t>
  </si>
  <si>
    <t>https://blog.naver.com/PostView.naver?blogId=kimsook3434_&amp;logNo=223912220556&amp;redirect=Dlog&amp;widgetTypeCall=true&amp;directAccess=false</t>
  </si>
  <si>
    <t>“검사가 수사권 가진 나라 없다”?… MBC ‘김종배의 시선집중’, 명백한 거짓 유포</t>
  </si>
  <si>
    <t>https://blog.naver.com/PostView.naver?blogId=truth-guardian&amp;logNo=223912203364&amp;redirect=Dlog&amp;widgetTypeCall=true&amp;directAccess=false</t>
  </si>
  <si>
    <t>멜랑</t>
  </si>
  <si>
    <t>서울 실내 가볼만한곳 국립민속박물관 전시 오늘도기념 사진관 전성시대 굿즈</t>
  </si>
  <si>
    <t>https://blog.naver.com/PostView.naver?blogId=mellang_2&amp;logNo=223912200176&amp;redirect=Dlog&amp;widgetTypeCall=true&amp;directAccess=false</t>
  </si>
  <si>
    <t>2025년 6월 26일, "이재명 대통령 첫 국회 시정연설"에 대한 X 반응</t>
  </si>
  <si>
    <t>https://blog.naver.com/PostView.naver?blogId=shinswoong75&amp;logNo=223912183901&amp;redirect=Dlog&amp;widgetTypeCall=true&amp;directAccess=false</t>
  </si>
  <si>
    <t>사망 9주기… 장기기증하고 떠난 배우 김성민은 누구? (프로필)</t>
  </si>
  <si>
    <t>https://blog.naver.com/PostView.naver?blogId=rozz0697&amp;logNo=223912163881&amp;redirect=Dlog&amp;widgetTypeCall=true&amp;directAccess=false</t>
  </si>
  <si>
    <t>ho2jjaLEE</t>
  </si>
  <si>
    <t>[오늘 이 뉴스] '여객기 참사' 유족 호소 듣다..한 대목 번뜩 "국토부가?" (2025.06.25/MBC뉴스)</t>
  </si>
  <si>
    <t>https://blog.naver.com/PostView.naver?blogId=jang0355&amp;logNo=223912109523&amp;redirect=Dlog&amp;widgetTypeCall=true&amp;directAccess=false</t>
  </si>
  <si>
    <t>권영근</t>
  </si>
  <si>
    <t>2022년의 우크라이나전쟁과 마찬가지로 6.25전쟁을 일으킨 것은 미국!!!</t>
  </si>
  <si>
    <t>https://blog.naver.com/PostView.naver?blogId=ygk555&amp;logNo=223912107342&amp;redirect=Dlog&amp;widgetTypeCall=true&amp;directAccess=false</t>
  </si>
  <si>
    <t>요즘 인기 드라마 시청률 순위 원 포인트 정리</t>
  </si>
  <si>
    <t>https://blog.naver.com/PostView.naver?blogId=somedayview&amp;logNo=223912101580&amp;redirect=Dlog&amp;widgetTypeCall=true&amp;directAccess=false</t>
  </si>
  <si>
    <t>‘두유노집밥’ 이장우X뱀뱀, 태국서 전한 한식의 감동</t>
  </si>
  <si>
    <t>https://blog.naver.com/PostView.naver?blogId=kstarfashion&amp;logNo=223912086540&amp;redirect=Dlog&amp;widgetTypeCall=true&amp;directAccess=false</t>
  </si>
  <si>
    <t>나간다 해놓고 또 '침대축구'? 특검은 '침대를 빼버린다' [뉴스. zip/MBC 뉴스</t>
  </si>
  <si>
    <t>https://blog.naver.com/PostView.naver?blogId=redrose117&amp;logNo=223912081126&amp;redirect=Dlog&amp;widgetTypeCall=true&amp;directAccess=false</t>
  </si>
  <si>
    <t>마이스iN</t>
  </si>
  <si>
    <t>전 세계 한류팬 4만 6천여 명, ‘2025 마이케이 페스타’ 즐겨</t>
  </si>
  <si>
    <t>https://blog.naver.com/PostView.naver?blogId=mice-in&amp;logNo=223912078260&amp;redirect=Dlog&amp;widgetTypeCall=true&amp;directAccess=false</t>
  </si>
  <si>
    <t>‘나 혼자 산다’ 팜유 트리오, 이스탄불 미식 여정으로 귀환…이장우 마지막 세미나 감동 예고</t>
  </si>
  <si>
    <t>https://blog.naver.com/PostView.naver?blogId=news1star&amp;logNo=223912052402&amp;redirect=Dlog&amp;widgetTypeCall=true&amp;directAccess=false</t>
  </si>
  <si>
    <t>아산시, 6월 행복아산 시민아카데미 성료</t>
  </si>
  <si>
    <t>https://blog.naver.com/PostView.naver?blogId=asandailynew&amp;logNo=223912048020&amp;redirect=Dlog&amp;widgetTypeCall=true&amp;directAccess=false</t>
  </si>
  <si>
    <t>행복한복덕언니</t>
  </si>
  <si>
    <t>경주 황리단길에서 생긴일, 맛집 찾아 다녀 온 여행♡</t>
  </si>
  <si>
    <t>https://blog.naver.com/PostView.naver?blogId=mariahoho&amp;logNo=223912039975&amp;redirect=Dlog&amp;widgetTypeCall=true&amp;directAccess=false</t>
  </si>
  <si>
    <t>뿌삐</t>
  </si>
  <si>
    <t>드디어 받은 MBC 라디오 선물</t>
  </si>
  <si>
    <t>https://blog.naver.com/PostView.naver?blogId=siilverain9_9&amp;logNo=223912039573&amp;redirect=Dlog&amp;widgetTypeCall=true&amp;directAccess=false</t>
  </si>
  <si>
    <t>제주도 한 달 살이 23일차</t>
  </si>
  <si>
    <t>https://blog.naver.com/PostView.naver?blogId=fbworms&amp;logNo=223912034625&amp;redirect=Dlog&amp;widgetTypeCall=true&amp;directAccess=false</t>
  </si>
  <si>
    <t>나무와 바람</t>
  </si>
  <si>
    <t>휴대폰라디오,라디오앱</t>
  </si>
  <si>
    <t>https://blog.naver.com/PostView.naver?blogId=navy891106&amp;logNo=223912020751&amp;redirect=Dlog&amp;widgetTypeCall=true&amp;directAccess=false</t>
  </si>
  <si>
    <t>joymowig</t>
  </si>
  <si>
    <t>이별여행의 주인공 원미연, 깊이 있는 발라드의 향기를 기억하다.</t>
  </si>
  <si>
    <t>https://blog.naver.com/PostView.naver?blogId=joymowig&amp;logNo=223911081033&amp;redirect=Dlog&amp;widgetTypeCall=true&amp;directAccess=false</t>
  </si>
  <si>
    <t>제주MBC NEWS ~ 정치파랑새님의 오늘자 이재명, 윤석열 소식. 권성동 정치인생 최대위기, 생생 육성~ 대북송금 공범과 거래 발각, 잼프 무죄.. 이제 모든 게 개혁된다.</t>
  </si>
  <si>
    <t>https://blog.naver.com/PostView.naver?blogId=wishut3281&amp;logNo=223911988067&amp;redirect=Dlog&amp;widgetTypeCall=true&amp;directAccess=false</t>
  </si>
  <si>
    <t>샬랄라</t>
  </si>
  <si>
    <t>&lt;우리말 나들이 문해력 편 - MBC 아나운서국 엮음&gt; 단어 한 끗 차이로 글의 수준이 달라진다</t>
  </si>
  <si>
    <t>https://blog.naver.com/PostView.naver?blogId=buboek&amp;logNo=223911987449&amp;redirect=Dlog&amp;widgetTypeCall=true&amp;directAccess=false</t>
  </si>
  <si>
    <t>이봉원, 박미선 위해 기타 들었다…"38년 쉼 없이 일한 아내, 지금은 충전 중"</t>
  </si>
  <si>
    <t>https://blog.naver.com/PostView.naver?blogId=reviewangel&amp;logNo=223911959597&amp;redirect=Dlog&amp;widgetTypeCall=true&amp;directAccess=false</t>
  </si>
  <si>
    <t>민트베어</t>
  </si>
  <si>
    <t>박찬대 의원, 더불어민주당 당대표 도전 공식화</t>
  </si>
  <si>
    <t>https://blog.naver.com/PostView.naver?blogId=million017&amp;logNo=223908919725&amp;redirect=Dlog&amp;widgetTypeCall=true&amp;directAccess=false</t>
  </si>
  <si>
    <t>마포나루</t>
  </si>
  <si>
    <t>별이 빛나는 밤에’ 그리고 별들의 노래...</t>
  </si>
  <si>
    <t>https://blog.naver.com/PostView.naver?blogId=lllllhj1&amp;logNo=223901537505&amp;redirect=Dlog&amp;widgetTypeCall=true&amp;directAccess=false</t>
  </si>
  <si>
    <t>룰랄루</t>
  </si>
  <si>
    <t>4월 봄에 태어난 아이의 4월 일상</t>
  </si>
  <si>
    <t>https://blog.naver.com/PostView.naver?blogId=lullallu&amp;logNo=223911860251&amp;redirect=Dlog&amp;widgetTypeCall=true&amp;directAccess=false</t>
  </si>
  <si>
    <t>강지영 아나운서 실물보고 놀란 홍석천</t>
  </si>
  <si>
    <t>https://blog.naver.com/PostView.naver?blogId=pkeunyoo&amp;logNo=223911831275&amp;redirect=Dlog&amp;widgetTypeCall=true&amp;directAccess=false</t>
  </si>
  <si>
    <t>소백산 구름</t>
  </si>
  <si>
    <t>6월 24일</t>
  </si>
  <si>
    <t>https://blog.naver.com/PostView.naver?blogId=hkz2323&amp;logNo=223911768247&amp;redirect=Dlog&amp;widgetTypeCall=true&amp;directAccess=false</t>
  </si>
  <si>
    <t>젼</t>
  </si>
  <si>
    <t>돼지고기 특수부위 판교 맛집 판교돈</t>
  </si>
  <si>
    <t>https://blog.naver.com/PostView.naver?blogId=w__wo&amp;logNo=223911756391&amp;redirect=Dlog&amp;widgetTypeCall=true&amp;directAccess=false</t>
  </si>
  <si>
    <t>나무늘보</t>
  </si>
  <si>
    <t>3가지 채무 조정 정책(빚 소각, 지원 확대, 우대 금리)</t>
  </si>
  <si>
    <t>https://blog.naver.com/PostView.naver?blogId=rolling_527&amp;logNo=223911726771&amp;redirect=Dlog&amp;widgetTypeCall=true&amp;directAccess=false</t>
  </si>
  <si>
    <t>마이클 오웬</t>
  </si>
  <si>
    <t>서부지법 폭동 당시 소화기 이용해 시설 훼손한 70대 尹지지자 실형</t>
  </si>
  <si>
    <t>https://blog.naver.com/PostView.naver?blogId=chookk7&amp;logNo=223911614617&amp;redirect=Dlog&amp;widgetTypeCall=true&amp;directAccess=false</t>
  </si>
  <si>
    <t>손권중모</t>
  </si>
  <si>
    <t>소속사 대표가 걸그룹 불륜 논란</t>
  </si>
  <si>
    <t>https://blog.naver.com/PostView.naver?blogId=win03pro&amp;logNo=223911607533&amp;redirect=Dlog&amp;widgetTypeCall=true&amp;directAccess=false</t>
  </si>
  <si>
    <t>트롯 올스타전 수요일밤에 10회 정훈희 남편 김태화 프로필 강진 와이프 김효선 나이 성민 부인 김사은 인스타 안성훈 키 김희재 학력 정서주 아내 출연진 재방송 시청률 정보 방청</t>
  </si>
  <si>
    <t>https://blog.naver.com/PostView.naver?blogId=cwmylee&amp;logNo=223911245876&amp;redirect=Dlog&amp;widgetTypeCall=true&amp;directAccess=false</t>
  </si>
  <si>
    <t>라디오스타 강지영 아나운서 프리 소속사 없다? 잘가나는 김대호와 신입사원 동기</t>
  </si>
  <si>
    <t>https://blog.naver.com/PostView.naver?blogId=chummilmil99&amp;logNo=223911571831&amp;redirect=Dlog&amp;widgetTypeCall=true&amp;directAccess=false</t>
  </si>
  <si>
    <t>“쌍방울 대북송금 이재명 대통령 연루 안 됐다, 배상윤 폭로에 드러난 대북송금 공작의 실체" 황정아 의원 - 춘천MBC뉴스</t>
  </si>
  <si>
    <t>https://blog.naver.com/PostView.naver?blogId=testdirt&amp;logNo=223911559592&amp;redirect=Dlog&amp;widgetTypeCall=true&amp;directAccess=false</t>
  </si>
  <si>
    <t>CJ</t>
  </si>
  <si>
    <t>https://blog.naver.com/PostView.naver?blogId=cj087566&amp;logNo=223911550372&amp;redirect=Dlog&amp;widgetTypeCall=true&amp;directAccess=false</t>
  </si>
  <si>
    <t>태양을 삼킨 여자 13회, 장신영과 이칸희가 만나는가</t>
  </si>
  <si>
    <t>https://blog.naver.com/PostView.naver?blogId=gktkrk&amp;logNo=223911526929&amp;redirect=Dlog&amp;widgetTypeCall=true&amp;directAccess=false</t>
  </si>
  <si>
    <t>약물운전 혐의 이경규, 무혐의 가능</t>
  </si>
  <si>
    <t>https://blog.naver.com/PostView.naver?blogId=alsgidz_pooh&amp;logNo=223911513159&amp;redirect=Dlog&amp;widgetTypeCall=true&amp;directAccess=false</t>
  </si>
  <si>
    <t>May</t>
  </si>
  <si>
    <t>드라마무료보기 사이트 추천 : 파일보다.com</t>
  </si>
  <si>
    <t>https://blog.naver.com/PostView.naver?blogId=treeflower076&amp;logNo=223911507409&amp;redirect=Dlog&amp;widgetTypeCall=true&amp;directAccess=false</t>
  </si>
  <si>
    <t>레드썬</t>
  </si>
  <si>
    <t>약물 운전 이경규 경찰조사서 혐의 인정</t>
  </si>
  <si>
    <t>https://blog.naver.com/PostView.naver?blogId=redsun767&amp;logNo=223911440975&amp;redirect=Dlog&amp;widgetTypeCall=true&amp;directAccess=false</t>
  </si>
  <si>
    <t>스마일OK부동산</t>
  </si>
  <si>
    <t>지휘자 김현철의 에피소드</t>
  </si>
  <si>
    <t>https://blog.naver.com/PostView.naver?blogId=chochun888&amp;logNo=223911431567&amp;redirect=Dlog&amp;widgetTypeCall=true&amp;directAccess=false</t>
  </si>
  <si>
    <t>DAY MY DAY</t>
  </si>
  <si>
    <t>데이식스 영화 식스데이즈 포스터[ 🎬 6DAYS 🌟 SCREENX, 4DX 포스터 최초 공개  🎟  8월 국내 CGV 단독 개봉 &amp; 글로벌개봉]</t>
  </si>
  <si>
    <t>https://blog.naver.com/PostView.naver?blogId=dldjsfla&amp;logNo=223911410809&amp;redirect=Dlog&amp;widgetTypeCall=true&amp;directAccess=false</t>
  </si>
  <si>
    <t>토네이도</t>
  </si>
  <si>
    <t>막오른 전남교육감 선거…김대중 강세속 ‘1강 4약’</t>
  </si>
  <si>
    <t>https://blog.naver.com/PostView.naver?blogId=tangchos71&amp;logNo=223911405135&amp;redirect=Dlog&amp;widgetTypeCall=true&amp;directAccess=false</t>
  </si>
  <si>
    <t>250625 라디오스타 920회 예고 / ‘피겨 왕자’ 차준환, 금메달 확정순간 “아무 생각 안해” (라스)</t>
  </si>
  <si>
    <t>https://blog.naver.com/PostView.naver?blogId=kbmbc_8919&amp;logNo=223911366664&amp;redirect=Dlog&amp;widgetTypeCall=true&amp;directAccess=false</t>
  </si>
  <si>
    <t>everydayrulu</t>
  </si>
  <si>
    <t>나는 솔로 26기 광수 인스타 현숙 아버지 국정원</t>
  </si>
  <si>
    <t>https://blog.naver.com/PostView.naver?blogId=everydayrulu&amp;logNo=223911360462&amp;redirect=Dlog&amp;widgetTypeCall=true&amp;directAccess=false</t>
  </si>
  <si>
    <t>DANYI</t>
  </si>
  <si>
    <t>2025 - 6월</t>
  </si>
  <si>
    <t>https://blog.naver.com/PostView.naver?blogId=danyi0102&amp;logNo=223911348349&amp;redirect=Dlog&amp;widgetTypeCall=true&amp;directAccess=false</t>
  </si>
  <si>
    <t>낑깡</t>
  </si>
  <si>
    <t>[프리터 라이프] 2506-1핸들이 고장 난 8t 트럭, 야외 요가, 앗차차, DMZ 페스티벌, 무리 송</t>
  </si>
  <si>
    <t>https://blog.naver.com/PostView.naver?blogId=sunango&amp;logNo=223911305748&amp;redirect=Dlog&amp;widgetTypeCall=true&amp;directAccess=false</t>
  </si>
  <si>
    <t>회귀물로 돌아오는 MBC 금토 방영예정드라마 판사 이한영, 배우 지성 10년 만의 MBC 복귀</t>
  </si>
  <si>
    <t>https://blog.naver.com/PostView.naver?blogId=ektha0108&amp;logNo=223911288857&amp;redirect=Dlog&amp;widgetTypeCall=true&amp;directAccess=false</t>
  </si>
  <si>
    <t>하늘보기</t>
  </si>
  <si>
    <t>감사함에 대한 생각</t>
  </si>
  <si>
    <t>https://blog.naver.com/PostView.naver?blogId=happyjayu&amp;logNo=223911289966&amp;redirect=Dlog&amp;widgetTypeCall=true&amp;directAccess=false</t>
  </si>
  <si>
    <t>washingrain</t>
  </si>
  <si>
    <t>비 오는데 이상하게 전 안 땡기고, 라면 땡겨오네... 🌧️🌧️🌧️</t>
  </si>
  <si>
    <t>https://blog.naver.com/PostView.naver?blogId=washingrain&amp;logNo=223911274889&amp;redirect=Dlog&amp;widgetTypeCall=true&amp;directAccess=false</t>
  </si>
  <si>
    <t>7월 넷플릭스 시리즈 드라마 _ 트리거 _ 김남길 × 김영광</t>
  </si>
  <si>
    <t>https://blog.naver.com/PostView.naver?blogId=today_midnight&amp;logNo=223911267813&amp;redirect=Dlog&amp;widgetTypeCall=true&amp;directAccess=false</t>
  </si>
  <si>
    <t>김건희 특검 앞둔 병원입원 논란: 이슈와 여론 분위기 정리</t>
  </si>
  <si>
    <t>https://blog.naver.com/PostView.naver?blogId=zarzayo&amp;logNo=223911265578&amp;redirect=Dlog&amp;widgetTypeCall=true&amp;directAccess=false</t>
  </si>
  <si>
    <t>괴물과 싸우다 괴물이 된......</t>
  </si>
  <si>
    <t>https://blog.naver.com/PostView.naver?blogId=unheimlich1&amp;logNo=223911262898&amp;redirect=Dlog&amp;widgetTypeCall=true&amp;directAccess=false</t>
  </si>
  <si>
    <t>한국방송광고진흥공사(KOBACO)의 몰락</t>
  </si>
  <si>
    <t>https://blog.naver.com/PostView.naver?blogId=simula&amp;logNo=223911262095&amp;redirect=Dlog&amp;widgetTypeCall=true&amp;directAccess=false</t>
  </si>
  <si>
    <t>장계화</t>
  </si>
  <si>
    <t>한려해상 국립공원 오동도 전망대에서 바라본 여수 바다와 오동도 식물들♡</t>
  </si>
  <si>
    <t>https://blog.naver.com/PostView.naver?blogId=siniljang21&amp;logNo=223911196120&amp;redirect=Dlog&amp;widgetTypeCall=true&amp;directAccess=false</t>
  </si>
  <si>
    <t>드라마 베토벤 바이러스 (Beethoven Virus, 2008)</t>
  </si>
  <si>
    <t>https://blog.naver.com/PostView.naver?blogId=komorebi_sky&amp;logNo=223911188859&amp;redirect=Dlog&amp;widgetTypeCall=true&amp;directAccess=false</t>
  </si>
  <si>
    <t>소년 1994.4. 손뼉치기 - 아기 염소</t>
  </si>
  <si>
    <t>https://blog.naver.com/PostView.naver?blogId=noritv&amp;logNo=223911176286&amp;redirect=Dlog&amp;widgetTypeCall=true&amp;directAccess=false</t>
  </si>
  <si>
    <t>"여자친구도 봉사활동에서" 빠니보틀, 열애 공개와 안동 산불 복구 진심</t>
  </si>
  <si>
    <t>https://blog.naver.com/PostView.naver?blogId=apahghfej&amp;logNo=223911153974&amp;redirect=Dlog&amp;widgetTypeCall=true&amp;directAccess=false</t>
  </si>
  <si>
    <t>뚜띠suji의 일상</t>
  </si>
  <si>
    <t>엄청 오랜만에 쓰는 일기 ♬ 현대차 단타, 남친 배드민턴 승급 C조</t>
  </si>
  <si>
    <t>https://blog.naver.com/PostView.naver?blogId=kimsuji33333&amp;logNo=223911126440&amp;redirect=Dlog&amp;widgetTypeCall=true&amp;directAccess=false</t>
  </si>
  <si>
    <t>데일리</t>
  </si>
  <si>
    <t>노산이지만 건강하게 출산해 엄마가 된 연예인 10</t>
  </si>
  <si>
    <t>https://blog.naver.com/PostView.naver?blogId=hu_daily&amp;logNo=223908739168&amp;redirect=Dlog&amp;widgetTypeCall=true&amp;directAccess=false</t>
  </si>
  <si>
    <t>‘혼전 동거’했던 이 연예인 부부 “이젠 각방도 아닌 각집 생활”(수밤)</t>
  </si>
  <si>
    <t>https://blog.naver.com/PostView.naver?blogId=wonogi&amp;logNo=223908894808&amp;redirect=Dlog&amp;widgetTypeCall=true&amp;directAccess=false</t>
  </si>
  <si>
    <t>신지, 결혼발표와 동시에 웨딩촬영부터…예비남편 문원 누구길래 다들 놀람?(+문원 | 히든싱어 | 코요태 | 웨딩촬영)</t>
  </si>
  <si>
    <t>https://blog.naver.com/PostView.naver?blogId=hosunews&amp;logNo=223911006022&amp;redirect=Dlog&amp;widgetTypeCall=true&amp;directAccess=false</t>
  </si>
  <si>
    <t>늙은히피</t>
  </si>
  <si>
    <t>추억의 드라마 O.S.T - 걸어서 하늘까지 (1993)</t>
  </si>
  <si>
    <t>https://blog.naver.com/PostView.naver?blogId=mcnug&amp;logNo=223911003196&amp;redirect=Dlog&amp;widgetTypeCall=true&amp;directAccess=false</t>
  </si>
  <si>
    <t>멘션 정리</t>
  </si>
  <si>
    <t>https://blog.naver.com/PostView.naver?blogId=bubsa0701&amp;logNo=223910985261&amp;redirect=Dlog&amp;widgetTypeCall=true&amp;directAccess=false</t>
  </si>
  <si>
    <t>은수아빠</t>
  </si>
  <si>
    <t>신지 문원, 코요태 김종민 결혼에 이어 겹경사 맞았다.</t>
  </si>
  <si>
    <t>https://blog.naver.com/PostView.naver?blogId=eunsuapa&amp;logNo=223910967534&amp;redirect=Dlog&amp;widgetTypeCall=true&amp;directAccess=false</t>
  </si>
  <si>
    <t>문재인 자체가 간첩' 국립대 교수 행정학부 헌법 강의 중 극우 혐오 발언 수업 배제</t>
  </si>
  <si>
    <t>https://blog.naver.com/PostView.naver?blogId=psepeter&amp;logNo=223910959941&amp;redirect=Dlog&amp;widgetTypeCall=true&amp;directAccess=false</t>
  </si>
  <si>
    <t>Strikes on Iran did not destroy nuclear sites 이란 핵 프로그램 수개월 퇴보했을 뿐, 중요 시설 파괴 안 돼</t>
  </si>
  <si>
    <t>https://blog.naver.com/PostView.naver?blogId=misael&amp;logNo=223910957341&amp;redirect=Dlog&amp;widgetTypeCall=true&amp;directAccess=false</t>
  </si>
  <si>
    <t>여라이</t>
  </si>
  <si>
    <t>그것이 알고 싶다 1178회 고유정 편 Featuring 방송 “히든아이”, “스모킹건” “블랙:악마를보았다” 그리고 “알쓸범잡”</t>
  </si>
  <si>
    <t>https://blog.naver.com/PostView.naver?blogId=greatlilan&amp;logNo=223910957987&amp;redirect=Dlog&amp;widgetTypeCall=true&amp;directAccess=false</t>
  </si>
  <si>
    <t>걷다 보니 그곳,,, &lt;11&gt;</t>
  </si>
  <si>
    <t>https://blog.naver.com/PostView.naver?blogId=cha4831&amp;logNo=223910953015&amp;redirect=Dlog&amp;widgetTypeCall=true&amp;directAccess=false</t>
  </si>
  <si>
    <t>쌍둥이엄마</t>
  </si>
  <si>
    <t>도서관에서 예쁜 책갈피를 발견할 때</t>
  </si>
  <si>
    <t>https://blog.naver.com/PostView.naver?blogId=jys801020&amp;logNo=223910940080&amp;redirect=Dlog&amp;widgetTypeCall=true&amp;directAccess=false</t>
  </si>
  <si>
    <t>김세환, Kim Sae-hwan - 골든 앨범, 사랑하는 마음, 행복한 사람, 1980 (예음사 LP)</t>
  </si>
  <si>
    <t>https://blog.naver.com/PostView.naver?blogId=puffik&amp;logNo=223910937759&amp;redirect=Dlog&amp;widgetTypeCall=true&amp;directAccess=false</t>
  </si>
  <si>
    <t>강주은 "이상민 '이혼 기자회견' 동석한 최민수, 결혼 축하한다고…" ('돌싱포맨')[종합]</t>
  </si>
  <si>
    <t>https://blog.naver.com/PostView.naver?blogId=wonogi&amp;logNo=223910346798&amp;redirect=Dlog&amp;widgetTypeCall=true&amp;directAccess=false</t>
  </si>
  <si>
    <t>그랜스타</t>
  </si>
  <si>
    <t>아들과 야구</t>
  </si>
  <si>
    <t>https://blog.naver.com/PostView.naver?blogId=starrude&amp;logNo=223910846873&amp;redirect=Dlog&amp;widgetTypeCall=true&amp;directAccess=false</t>
  </si>
  <si>
    <t>하쥬</t>
  </si>
  <si>
    <t>2025년 서울국제도서전 참여 후기 | 부스 소개, 책소개, 즐길거리, 굿즈, 작가 사인회</t>
  </si>
  <si>
    <t>https://blog.naver.com/PostView.naver?blogId=hot_jju&amp;logNo=223909966236&amp;redirect=Dlog&amp;widgetTypeCall=true&amp;directAccess=false</t>
  </si>
  <si>
    <t>사주논리여행</t>
  </si>
  <si>
    <t>소유진 사주</t>
  </si>
  <si>
    <t>https://blog.naver.com/PostView.naver?blogId=nowonlsh&amp;logNo=223910836061&amp;redirect=Dlog&amp;widgetTypeCall=true&amp;directAccess=false</t>
  </si>
  <si>
    <t>아직너가있다</t>
  </si>
  <si>
    <t>태어난김에 세계일주4 빠니보틀 여자친구 안동 산불 봉사활동에서</t>
  </si>
  <si>
    <t>https://blog.naver.com/PostView.naver?blogId=heizin&amp;logNo=223910829529&amp;redirect=Dlog&amp;widgetTypeCall=true&amp;directAccess=false</t>
  </si>
  <si>
    <t>대구 달서구 일대 정전 발생, 전기 공급 50분 만에 복구</t>
  </si>
  <si>
    <t>https://blog.naver.com/PostView.naver?blogId=krsongc2&amp;logNo=223910812103&amp;redirect=Dlog&amp;widgetTypeCall=true&amp;directAccess=false</t>
  </si>
  <si>
    <t>윤석열 외환죄 법리검토 착수···‘외환유치·일반이적’/李대통령, 첫 기자회견서 '국민사서함' 직접 답하는 형식 검토/국정위 쎄다"검찰 다시해"국방부 장난해?윤석열 난리났다" 자금출</t>
  </si>
  <si>
    <t>https://blog.naver.com/PostView.naver?blogId=sshong3&amp;logNo=223910800692&amp;redirect=Dlog&amp;widgetTypeCall=true&amp;directAccess=false</t>
  </si>
  <si>
    <t>위더링유</t>
  </si>
  <si>
    <t>판사 이한영 원진아 백진희 숨겨진 비밀까지 밝히다</t>
  </si>
  <si>
    <t>https://blog.naver.com/PostView.naver?blogId=witheringu&amp;logNo=223910794624&amp;redirect=Dlog&amp;widgetTypeCall=true&amp;directAccess=false</t>
  </si>
  <si>
    <t>nina</t>
  </si>
  <si>
    <t>가수 문원은 누구?코요태 신지 내년에 결혼한다. 축하해요!</t>
  </si>
  <si>
    <t>https://blog.naver.com/PostView.naver?blogId=ohana314&amp;logNo=223910793629&amp;redirect=Dlog&amp;widgetTypeCall=true&amp;directAccess=false</t>
  </si>
  <si>
    <t>인물프로필사전</t>
  </si>
  <si>
    <t>정동영 나이 고향 학력 국회의원 경력 및 두번째 통일부 장관으로 남북한과 관계는?</t>
  </si>
  <si>
    <t>https://blog.naver.com/PostView.naver?blogId=person10000&amp;logNo=223910777087&amp;redirect=Dlog&amp;widgetTypeCall=true&amp;directAccess=false</t>
  </si>
  <si>
    <t>심취하다</t>
  </si>
  <si>
    <t>아산맛집 염치 한우거리 진짜 맛집 큰고개식당 아산본점 육개장도, 고기도, 반찬도 제대로! 30년 전통 아산정육식당</t>
  </si>
  <si>
    <t>https://blog.naver.com/PostView.naver?blogId=crewriter_shim&amp;logNo=223910766461&amp;redirect=Dlog&amp;widgetTypeCall=true&amp;directAccess=false</t>
  </si>
  <si>
    <t>또린이</t>
  </si>
  <si>
    <t>이찬원 트로트 신동에서 국민가수로 성장 스토리</t>
  </si>
  <si>
    <t>https://blog.naver.com/PostView.naver?blogId=zukero7&amp;logNo=223910759039&amp;redirect=Dlog&amp;widgetTypeCall=true&amp;directAccess=false</t>
  </si>
  <si>
    <t>KBS 9시뉴스와  MBC 뉴스데스크에서 국무총리 청문회 소식이 비중이 없는 뉴스로 간단하게 취급되는 것을 보고 든 생각</t>
  </si>
  <si>
    <t>https://blog.naver.com/PostView.naver?blogId=khhan21&amp;logNo=223910730769&amp;redirect=Dlog&amp;widgetTypeCall=true&amp;directAccess=false</t>
  </si>
  <si>
    <t>[대전두부요리] 두루치기 수육전문점 백종원3대천왕 방송맛집 "광천식당"</t>
  </si>
  <si>
    <t>https://blog.naver.com/PostView.naver?blogId=ujin4ujin&amp;logNo=223910730844&amp;redirect=Dlog&amp;widgetTypeCall=true&amp;directAccess=false</t>
  </si>
  <si>
    <t>신지 7살 연하 문원 히든싱어 출연｜코요태 신지 예비신랑 박상문 정체｜라디오 인연, 결혼 소식과 듀엣곡 공개까지</t>
  </si>
  <si>
    <t>https://blog.naver.com/PostView.naver?blogId=dojin1983&amp;logNo=223910722419&amp;redirect=Dlog&amp;widgetTypeCall=true&amp;directAccess=false</t>
  </si>
  <si>
    <t>(845) 방송인 ’김세원‘... ’나의 아버지 김순남‘</t>
  </si>
  <si>
    <t>https://blog.naver.com/PostView.naver?blogId=lllllhj1&amp;logNo=223901524750&amp;redirect=Dlog&amp;widgetTypeCall=true&amp;directAccess=false</t>
  </si>
  <si>
    <t>코요태 신지, 7살 연하 가수 문원과 내년 결혼</t>
  </si>
  <si>
    <t>https://blog.naver.com/PostView.naver?blogId=owen8591&amp;logNo=223910369816&amp;redirect=Dlog&amp;widgetTypeCall=true&amp;directAccess=false</t>
  </si>
  <si>
    <t>[예능 리뷰] 『무한도전』 (2005~2018) - 우리 모두가 함께했던 대한민국 전설의 레전드 예능</t>
  </si>
  <si>
    <t>https://blog.naver.com/PostView.naver?blogId=nesbox&amp;logNo=223910673253&amp;redirect=Dlog&amp;widgetTypeCall=true&amp;directAccess=false</t>
  </si>
  <si>
    <t>kisp1144</t>
  </si>
  <si>
    <t>소방 안전) 37초가 골든타임이 됐으려면 https://youtu.be/j-BGCMQrLRw?si=O8Y8y9GsAEtW9hdR</t>
  </si>
  <si>
    <t>https://blog.naver.com/PostView.naver?blogId=jyou153&amp;logNo=223910626569&amp;redirect=Dlog&amp;widgetTypeCall=true&amp;directAccess=false</t>
  </si>
  <si>
    <t>유 퀴즈·아역 배우 출신 배우 심은경 프로필·집안·가족·대학·데뷔·리즈·소속사⭐️서태지 인연·일본 진출 이유? 최초 일본 아카데미 시상식 여우주연상 수상</t>
  </si>
  <si>
    <t>https://blog.naver.com/PostView.naver?blogId=lilycole2006&amp;logNo=223910626278&amp;redirect=Dlog&amp;widgetTypeCall=true&amp;directAccess=false</t>
  </si>
  <si>
    <t>이봉원, 짬뽕집 대박에 제2의 전성기…박미선 위한 세레나데까지 감동 전한 ‘라디오스타’</t>
  </si>
  <si>
    <t>https://blog.naver.com/PostView.naver?blogId=apahghfej&amp;logNo=223910611204&amp;redirect=Dlog&amp;widgetTypeCall=true&amp;directAccess=false</t>
  </si>
  <si>
    <t>박나래, 14kg 빼고 날씬 허리 카리스마 넘치는 프로필 사진 공개</t>
  </si>
  <si>
    <t>https://blog.naver.com/PostView.naver?blogId=tmrlahxhdbal&amp;logNo=223910595738&amp;redirect=Dlog&amp;widgetTypeCall=true&amp;directAccess=false</t>
  </si>
  <si>
    <t>당당한그녀</t>
  </si>
  <si>
    <t>양평읍 맛집 양평3대맛집 파육칼</t>
  </si>
  <si>
    <t>https://blog.naver.com/PostView.naver?blogId=giodi227&amp;logNo=223910382689&amp;redirect=Dlog&amp;widgetTypeCall=true&amp;directAccess=false</t>
  </si>
  <si>
    <t>마구리</t>
  </si>
  <si>
    <t>이경규 약물사건</t>
  </si>
  <si>
    <t>https://blog.naver.com/PostView.naver?blogId=maguri66&amp;logNo=223910563386&amp;redirect=Dlog&amp;widgetTypeCall=true&amp;directAccess=false</t>
  </si>
  <si>
    <t>촌놈도시에사는쭈</t>
  </si>
  <si>
    <t>윤석열 가고 이재명 왔다 - 250624</t>
  </si>
  <si>
    <t>https://blog.naver.com/PostView.naver?blogId=kimjukyu&amp;logNo=223910523019&amp;redirect=Dlog&amp;widgetTypeCall=true&amp;directAccess=false</t>
  </si>
  <si>
    <t>메이제이</t>
  </si>
  <si>
    <t>사랑, 변하지 않았다... 불화설 직접 해명한 연예인 부부.jpg</t>
  </si>
  <si>
    <t>https://blog.naver.com/PostView.naver?blogId=tree242900&amp;logNo=223910500505&amp;redirect=Dlog&amp;widgetTypeCall=true&amp;directAccess=false</t>
  </si>
  <si>
    <t>HA2</t>
  </si>
  <si>
    <t>7번 국도 여행~</t>
  </si>
  <si>
    <t>https://blog.naver.com/PostView.naver?blogId=jongninja&amp;logNo=223910497907&amp;redirect=Dlog&amp;widgetTypeCall=true&amp;directAccess=false</t>
  </si>
  <si>
    <t>미쓰림</t>
  </si>
  <si>
    <t>👄스피치 컨설팅 진행 기록</t>
  </si>
  <si>
    <t>https://blog.naver.com/PostView.naver?blogId=mlle1im&amp;logNo=223910485572&amp;redirect=Dlog&amp;widgetTypeCall=true&amp;directAccess=false</t>
  </si>
  <si>
    <t>Habjak 다이룸</t>
  </si>
  <si>
    <t>노무사 노무진 드라마에 빠져서 허우적 포스팅과 독서 이어가기</t>
  </si>
  <si>
    <t>https://blog.naver.com/PostView.naver?blogId=eurolike&amp;logNo=223910479236&amp;redirect=Dlog&amp;widgetTypeCall=true&amp;directAccess=false</t>
  </si>
  <si>
    <t>혜본</t>
  </si>
  <si>
    <t>20250601-20250622 여름의 시작</t>
  </si>
  <si>
    <t>https://blog.naver.com/PostView.naver?blogId=love__wonie&amp;logNo=223910468123&amp;redirect=Dlog&amp;widgetTypeCall=true&amp;directAccess=false</t>
  </si>
  <si>
    <t>코요태 신지, 7세 연하 문원과 결혼 발표…내년 상반기 웨딩마치</t>
  </si>
  <si>
    <t>https://blog.naver.com/PostView.naver?blogId=museonair2025&amp;logNo=223910421103&amp;redirect=Dlog&amp;widgetTypeCall=true&amp;directAccess=false</t>
  </si>
  <si>
    <t>영이네</t>
  </si>
  <si>
    <t>mbc100분 토론 집값과열</t>
  </si>
  <si>
    <t>https://blog.naver.com/PostView.naver?blogId=sunnyhomes&amp;logNo=223910458597&amp;redirect=Dlog&amp;widgetTypeCall=true&amp;directAccess=false</t>
  </si>
  <si>
    <t>리나</t>
  </si>
  <si>
    <t>『우리말 나들이 문해력 편』 _단어 한끗 차이로 글의 수준이 달라지는 우리말 쓰기</t>
  </si>
  <si>
    <t>https://blog.naver.com/PostView.naver?blogId=animus98&amp;logNo=223910371772&amp;redirect=Dlog&amp;widgetTypeCall=true&amp;directAccess=false</t>
  </si>
  <si>
    <t>빠니보틀, 방송 중 열애 중 공개되어 스튜디오 초토화! 봉사 활동 中 만나 전해져</t>
  </si>
  <si>
    <t>https://blog.naver.com/PostView.naver?blogId=man1004t&amp;logNo=223910344154&amp;redirect=Dlog&amp;widgetTypeCall=true&amp;directAccess=false</t>
  </si>
  <si>
    <t>♥추신수 어쩌고…하원미 "헌팅 포차 다녀왔다" 고백 (돌싱포맨)</t>
  </si>
  <si>
    <t>https://blog.naver.com/PostView.naver?blogId=wonogi&amp;logNo=223908890457&amp;redirect=Dlog&amp;widgetTypeCall=true&amp;directAccess=false</t>
  </si>
  <si>
    <t># 청래 형 울긴 왜울어?"나는 친노도 비노도 아냐"..드루킹 "정청래는 반노" # 반노 정청래 노무현 전 대통령 참배하며 눈물? 진심일까?</t>
  </si>
  <si>
    <t>https://blog.naver.com/PostView.naver?blogId=kys55-&amp;logNo=223910309584&amp;redirect=Dlog&amp;widgetTypeCall=true&amp;directAccess=false</t>
  </si>
  <si>
    <t>내란특검, 윤석열 체포영장 청구.. "尹, 이후에도 소환 불응 명확"</t>
  </si>
  <si>
    <t>https://blog.naver.com/PostView.naver?blogId=wnnbc&amp;logNo=223910278740&amp;redirect=Dlog&amp;widgetTypeCall=true&amp;directAccess=false</t>
  </si>
  <si>
    <t>벼리 편집장</t>
  </si>
  <si>
    <t>여수일보 ysibtv</t>
  </si>
  <si>
    <t>제9회 지방선거 전남 여론조사 결과, 민주당 주도권 재편 조짐</t>
  </si>
  <si>
    <t>https://blog.naver.com/PostView.naver?blogId=tukung2&amp;logNo=223910238431&amp;redirect=Dlog&amp;widgetTypeCall=true&amp;directAccess=false</t>
  </si>
  <si>
    <t>purple_ho</t>
  </si>
  <si>
    <t>[김호중] 다시 빛날 그 이름..BUT 언론 폭력에 짓밟힌 그 이름...언론에  告한다. 김호중 사랑하는 사람들의 절규</t>
  </si>
  <si>
    <t>https://blog.naver.com/PostView.naver?blogId=purple_ho&amp;logNo=223910237299&amp;redirect=Dlog&amp;widgetTypeCall=true&amp;directAccess=false</t>
  </si>
  <si>
    <t>정동영 통일부 장관 프로필, 나이 고향 학력 재산 정치경력</t>
  </si>
  <si>
    <t>https://blog.naver.com/PostView.naver?blogId=asd63455&amp;logNo=223910202578&amp;redirect=Dlog&amp;widgetTypeCall=true&amp;directAccess=false</t>
  </si>
  <si>
    <t>"김건희 밀수 의혹? 김건희 특검에서 밝혀질 것"</t>
  </si>
  <si>
    <t>https://blog.naver.com/PostView.naver?blogId=wnnbc&amp;logNo=223910176529&amp;redirect=Dlog&amp;widgetTypeCall=true&amp;directAccess=false</t>
  </si>
  <si>
    <t>Elena</t>
  </si>
  <si>
    <t>자꾸 결단을 하지 말고 논의를 해야 한다</t>
  </si>
  <si>
    <t>https://blog.naver.com/PostView.naver?blogId=phsuk&amp;logNo=223910151469&amp;redirect=Dlog&amp;widgetTypeCall=true&amp;directAccess=false</t>
  </si>
  <si>
    <t>“신지의 예비신랑” 가수 문원, 데뷔부터 결혼까지…알고 보면 탄탄한 음악 이력</t>
  </si>
  <si>
    <t>https://blog.naver.com/PostView.naver?blogId=apahghfej&amp;logNo=223910140868&amp;redirect=Dlog&amp;widgetTypeCall=true&amp;directAccess=false</t>
  </si>
  <si>
    <t>#오피셜_ #2025년 #구원자예고_ #메리킬즈피플_ #MBC</t>
  </si>
  <si>
    <t>https://blog.naver.com/PostView.naver?blogId=today_midnight&amp;logNo=223910111055&amp;redirect=Dlog&amp;widgetTypeCall=true&amp;directAccess=false</t>
  </si>
  <si>
    <t>변우석, '강남순' 멤버들과 2년 만의 재회…현재와 과거가 만난 순간</t>
  </si>
  <si>
    <t>https://blog.naver.com/PostView.naver?blogId=apahghfej&amp;logNo=223910104435&amp;redirect=Dlog&amp;widgetTypeCall=true&amp;directAccess=false</t>
  </si>
  <si>
    <t>‘써니’ 그 후 15년…칠공주 다시 뭉쳤다! ‘아임써니땡큐’ 7월 5일 첫방</t>
  </si>
  <si>
    <t>https://blog.naver.com/PostView.naver?blogId=kstarfashion&amp;logNo=223910103012&amp;redirect=Dlog&amp;widgetTypeCall=true&amp;directAccess=false</t>
  </si>
  <si>
    <t>날</t>
  </si>
  <si>
    <t>일상 일기 8 (6/16 - 6/22)</t>
  </si>
  <si>
    <t>https://blog.naver.com/PostView.naver?blogId=nolgomukgomasigo&amp;logNo=223910092080&amp;redirect=Dlog&amp;widgetTypeCall=true&amp;directAccess=false</t>
  </si>
  <si>
    <t>OST 걸어서 하늘까지, Walking To Heaven, 최경식, 장현철, 1993 (한양 음반 LP)</t>
  </si>
  <si>
    <t>https://blog.naver.com/PostView.naver?blogId=puffik&amp;logNo=223910045792&amp;redirect=Dlog&amp;widgetTypeCall=true&amp;directAccess=false</t>
  </si>
  <si>
    <t>newssns</t>
  </si>
  <si>
    <t>[고양시] ‘고양시 콘텐츠사업 커머스 포럼’ 6월 26일 개최</t>
  </si>
  <si>
    <t>https://blog.naver.com/PostView.naver?blogId=newssns&amp;logNo=223910030552&amp;redirect=Dlog&amp;widgetTypeCall=true&amp;directAccess=false</t>
  </si>
  <si>
    <t>인생은 한번뿐</t>
  </si>
  <si>
    <t>꿈실천가SUNCHA</t>
  </si>
  <si>
    <t>[2025년 HOT뉴스/핫뉴스]  2025년 기준 35년 후 2060년 후 저출산으로 인한 현실화 대한민국 소멸 PD수첩</t>
  </si>
  <si>
    <t>https://blog.naver.com/PostView.naver?blogId=cswoogie&amp;logNo=223909975321&amp;redirect=Dlog&amp;widgetTypeCall=true&amp;directAccess=false</t>
  </si>
  <si>
    <t>해운대라이프신문</t>
  </si>
  <si>
    <t>제14회 BFAA국제아트페어 및 제45회 부산미술제 개최</t>
  </si>
  <si>
    <t>https://blog.naver.com/PostView.naver?blogId=hud-life&amp;logNo=223909953607&amp;redirect=Dlog&amp;widgetTypeCall=true&amp;directAccess=false</t>
  </si>
  <si>
    <t>지나우</t>
  </si>
  <si>
    <t>[안동 하회마을 맛집] 방송에 나온 안동 찜닭 맛집, 정성 가득했던 길풍</t>
  </si>
  <si>
    <t>https://blog.naver.com/PostView.naver?blogId=feelnowhere&amp;logNo=223909950083&amp;redirect=Dlog&amp;widgetTypeCall=true&amp;directAccess=false</t>
  </si>
  <si>
    <t>빠니보틀, 열애 고백 공개 산불 복구 봉사활동 하다 만나</t>
  </si>
  <si>
    <t>https://blog.naver.com/PostView.naver?blogId=odmwd2&amp;logNo=223909936848&amp;redirect=Dlog&amp;widgetTypeCall=true&amp;directAccess=false</t>
  </si>
  <si>
    <t>MBC 뉴스데스크, 尹 ‘대파’ 발언 맹폭하더니 李 ‘라면값’ 발언은 철통 방어</t>
  </si>
  <si>
    <t>https://blog.naver.com/PostView.naver?blogId=truth-guardian&amp;logNo=223909929826&amp;redirect=Dlog&amp;widgetTypeCall=true&amp;directAccess=false</t>
  </si>
  <si>
    <t>배재대학교</t>
  </si>
  <si>
    <t>[배재대/보도] 한국외국인부동산정책학회 초대 학회장에 최호택 배재대 행정학과 교수</t>
  </si>
  <si>
    <t>https://blog.naver.com/PostView.naver?blogId=paichaiuniv&amp;logNo=223909897472&amp;redirect=Dlog&amp;widgetTypeCall=true&amp;directAccess=false</t>
  </si>
  <si>
    <t>결혼지옥 스티커부부 남편 외도 의심에 속옷 검사한 아내 오은영 리포트 127회</t>
  </si>
  <si>
    <t>https://blog.naver.com/PostView.naver?blogId=kmlink&amp;logNo=223909861589&amp;redirect=Dlog&amp;widgetTypeCall=true&amp;directAccess=false</t>
  </si>
  <si>
    <t>사라후토</t>
  </si>
  <si>
    <t>무료 드라마 다시보기 사이트 괜찮은곳</t>
  </si>
  <si>
    <t>https://blog.naver.com/PostView.naver?blogId=tonkeysam&amp;logNo=223909845531&amp;redirect=Dlog&amp;widgetTypeCall=true&amp;directAccess=false</t>
  </si>
  <si>
    <t>취업버스</t>
  </si>
  <si>
    <t>[채용정보] 콘텐츠 기획·제작 직무 채용 활발...대전MBC·MJ플렉스·촌장엔터테인먼트 등 인재 모집</t>
  </si>
  <si>
    <t>https://blog.naver.com/PostView.naver?blogId=icanbee&amp;logNo=223909838480&amp;redirect=Dlog&amp;widgetTypeCall=true&amp;directAccess=false</t>
  </si>
  <si>
    <t>양성호작명소47년경륜</t>
  </si>
  <si>
    <t>신지, 예비신랑은 7세 연하 가수 문원..."결혼식은 내년 상반기"</t>
  </si>
  <si>
    <t>https://blog.naver.com/PostView.naver?blogId=yss0660&amp;logNo=223909827542&amp;redirect=Dlog&amp;widgetTypeCall=true&amp;directAccess=false</t>
  </si>
  <si>
    <t>이젤갤러리</t>
  </si>
  <si>
    <t>이민걸 개인전</t>
  </si>
  <si>
    <t>https://blog.naver.com/PostView.naver?blogId=easel2015&amp;logNo=223909827088&amp;redirect=Dlog&amp;widgetTypeCall=true&amp;directAccess=false</t>
  </si>
  <si>
    <t>이보영·이민기·강기영, 숨소리 마저도 호연..'메리 킬즈 피플' 대본 리딩</t>
  </si>
  <si>
    <t>https://blog.naver.com/PostView.naver?blogId=wonogi&amp;logNo=223909653027&amp;redirect=Dlog&amp;widgetTypeCall=true&amp;directAccess=false</t>
  </si>
  <si>
    <t>참 좋은사람</t>
  </si>
  <si>
    <t>"7월 일본 여행 가지 말까"…300번 흔들리자 '대지진' 공포·루머 확산</t>
  </si>
  <si>
    <t>https://blog.naver.com/PostView.naver?blogId=yuribada1&amp;logNo=223909795974&amp;redirect=Dlog&amp;widgetTypeCall=true&amp;directAccess=false</t>
  </si>
  <si>
    <t>민선8기 3주년, 김관영 지사 도민 200명과 직접 마주 앉았다</t>
  </si>
  <si>
    <t>https://blog.naver.com/PostView.naver?blogId=kormadangnews&amp;logNo=223909782060&amp;redirect=Dlog&amp;widgetTypeCall=true&amp;directAccess=false</t>
  </si>
  <si>
    <t>강준만의 언론관</t>
  </si>
  <si>
    <t>https://blog.naver.com/PostView.naver?blogId=unheimlich1&amp;logNo=223909733812&amp;redirect=Dlog&amp;widgetTypeCall=true&amp;directAccess=false</t>
  </si>
  <si>
    <t>코요태 신지, 7세 연하 문원과 내년 결혼 발표</t>
  </si>
  <si>
    <t>https://blog.naver.com/PostView.naver?blogId=nimy07&amp;logNo=223909712848&amp;redirect=Dlog&amp;widgetTypeCall=true&amp;directAccess=false</t>
  </si>
  <si>
    <t>“예전하고 많이 달라졌다”…이효리 얼굴에 유재석 ‘깜짝’</t>
  </si>
  <si>
    <t>https://blog.naver.com/PostView.naver?blogId=seoulshinmun_1904&amp;logNo=223909713608&amp;redirect=Dlog&amp;widgetTypeCall=true&amp;directAccess=false</t>
  </si>
  <si>
    <t>김겨울</t>
  </si>
  <si>
    <t>서울 종로 삼겹살 맛집 추천 종로3가 시민식당 본점 종로회식맛집</t>
  </si>
  <si>
    <t>https://blog.naver.com/PostView.naver?blogId=vv6_6vv&amp;logNo=223909712482&amp;redirect=Dlog&amp;widgetTypeCall=true&amp;directAccess=false</t>
  </si>
  <si>
    <t>신지♥문원, 내년 결혼 앞두고 웨딩촬영 서두른 속사정</t>
  </si>
  <si>
    <t>https://blog.naver.com/PostView.naver?blogId=odmwd2&amp;logNo=223909699936&amp;redirect=Dlog&amp;widgetTypeCall=true&amp;directAccess=false</t>
  </si>
  <si>
    <t>이란핵시설 완전파괴? 트럼프의 헛발질? 이란과의 딜인가...</t>
  </si>
  <si>
    <t>https://blog.naver.com/PostView.naver?blogId=haseliebe94&amp;logNo=223909653922&amp;redirect=Dlog&amp;widgetTypeCall=true&amp;directAccess=false</t>
  </si>
  <si>
    <t>라에이</t>
  </si>
  <si>
    <t>첫 사격 후기</t>
  </si>
  <si>
    <t>https://blog.naver.com/PostView.naver?blogId=rapindrum&amp;logNo=223909631209&amp;redirect=Dlog&amp;widgetTypeCall=true&amp;directAccess=false</t>
  </si>
  <si>
    <t>2022 한국시리즈 SSG - 키움</t>
  </si>
  <si>
    <t>https://blog.naver.com/PostView.naver?blogId=abundious&amp;logNo=223909609507&amp;redirect=Dlog&amp;widgetTypeCall=true&amp;directAccess=false</t>
  </si>
  <si>
    <t>독차지</t>
  </si>
  <si>
    <t>신지... 7세 연하 문원과 내년 결혼</t>
  </si>
  <si>
    <t>https://blog.naver.com/PostView.naver?blogId=seannysean&amp;logNo=223909603313&amp;redirect=Dlog&amp;widgetTypeCall=true&amp;directAccess=false</t>
  </si>
  <si>
    <t>코요태 신지, 7살 연하 예비신랑 공개</t>
  </si>
  <si>
    <t>https://blog.naver.com/PostView.naver?blogId=kimjaetech&amp;logNo=223909597182&amp;redirect=Dlog&amp;widgetTypeCall=true&amp;directAccess=false</t>
  </si>
  <si>
    <t>이솝</t>
  </si>
  <si>
    <t>李대통령, 11개 부처 장관 후보자 인선 단행… 민간·전문가 파격 발탁</t>
  </si>
  <si>
    <t>https://blog.naver.com/PostView.naver?blogId=isop0315&amp;logNo=223909596584&amp;redirect=Dlog&amp;widgetTypeCall=true&amp;directAccess=false</t>
  </si>
  <si>
    <t>신지, 7세 연하 가수 문원과 내년 결혼…조용히 준비한 웨딩 촬영 현장 포착</t>
  </si>
  <si>
    <t>https://blog.naver.com/PostView.naver?blogId=news1star&amp;logNo=223909580850&amp;redirect=Dlog&amp;widgetTypeCall=true&amp;directAccess=false</t>
  </si>
  <si>
    <t>토요저널</t>
  </si>
  <si>
    <t>살롱 드 홈즈' 강지우, 러블리 매력으로 활약…'미소 유발' 캐릭터 등극</t>
  </si>
  <si>
    <t>https://blog.naver.com/PostView.naver?blogId=jkc5603&amp;logNo=223909568434&amp;redirect=Dlog&amp;widgetTypeCall=true&amp;directAccess=false</t>
  </si>
  <si>
    <t>[세대공감 시대공존] "청년이 살고 싶은 세상, 문화 통해 만들어가요"…부산 밀락더마켓서 청년문화포럼</t>
  </si>
  <si>
    <t>https://blog.naver.com/PostView.naver?blogId=wlvtimes&amp;logNo=223909565417&amp;redirect=Dlog&amp;widgetTypeCall=true&amp;directAccess=false</t>
  </si>
  <si>
    <t>물빛 꿈</t>
  </si>
  <si>
    <t>단어 한 끗 차이로 글의 수준이 달라지는 우리말 나들이 문해력 편 - MBC아나운서국 (창비교육)</t>
  </si>
  <si>
    <t>https://blog.naver.com/PostView.naver?blogId=pjs0204kr&amp;logNo=223909515620&amp;redirect=Dlog&amp;widgetTypeCall=true&amp;directAccess=false</t>
  </si>
  <si>
    <t>코요태 신지, 내년 결혼… 예비 신랑은 7세 연하 가수 문원</t>
  </si>
  <si>
    <t>https://blog.naver.com/PostView.naver?blogId=nsunday&amp;logNo=223909494751&amp;redirect=Dlog&amp;widgetTypeCall=true&amp;directAccess=false</t>
  </si>
  <si>
    <t>신지, 7살 연하 문원과 결혼 코요태 신지 내년 결혼 소식 예비신랑 문원 누구?</t>
  </si>
  <si>
    <t>https://blog.naver.com/PostView.naver?blogId=luxblue83&amp;logNo=223909439768&amp;redirect=Dlog&amp;widgetTypeCall=true&amp;directAccess=false</t>
  </si>
  <si>
    <t>21년 만에 통일부장관 컴백 정동영 "20년 전보다 더 무거운 책임감 느껴"</t>
  </si>
  <si>
    <t>https://blog.naver.com/PostView.naver?blogId=3658290&amp;logNo=223909418354&amp;redirect=Dlog&amp;widgetTypeCall=true&amp;directAccess=false</t>
  </si>
  <si>
    <t>신지 드디어 결혼 7살 연하 가수 문원 ‘무대 위 인생 2막’ 시작</t>
  </si>
  <si>
    <t>https://blog.naver.com/PostView.naver?blogId=onelife_selection&amp;logNo=223909376540&amp;redirect=Dlog&amp;widgetTypeCall=true&amp;directAccess=false</t>
  </si>
  <si>
    <t>윤석열정부 때는 뭐하고? 주진우 국민의힘 의원은 개과천선? 위대한 정권교체의 힘, 현실화 되었나? 김민석 총리후보 겨냥한 ‘검은봉투법’ 발의 논란</t>
  </si>
  <si>
    <t>https://blog.naver.com/PostView.naver?blogId=yskim138&amp;logNo=223909365197&amp;redirect=Dlog&amp;widgetTypeCall=true&amp;directAccess=false</t>
  </si>
  <si>
    <t>니코데모</t>
  </si>
  <si>
    <t>거짓과의 휴전 없는 전쟁: 간첩 조작 사건의 기록들</t>
  </si>
  <si>
    <t>https://blog.naver.com/PostView.naver?blogId=orthodoxvios&amp;logNo=223909361612&amp;redirect=Dlog&amp;widgetTypeCall=true&amp;directAccess=false</t>
  </si>
  <si>
    <t>[공유] 이재명이 운이 좋은 이유와 역대급 세수펑크 사태</t>
  </si>
  <si>
    <t>https://blog.naver.com/PostView.naver?blogId=yjhyjhy&amp;logNo=223909349975&amp;redirect=Dlog&amp;widgetTypeCall=true&amp;directAccess=false</t>
  </si>
  <si>
    <t>공수처 '고발사주' 제보자 조성은 씨 조사‥'윤석열 기획' 다시 살핀다..이번엔 윤석열 부부 한동훈?</t>
  </si>
  <si>
    <t>https://blog.naver.com/PostView.naver?blogId=primakyh1225&amp;logNo=223909341229&amp;redirect=Dlog&amp;widgetTypeCall=true&amp;directAccess=false</t>
  </si>
  <si>
    <t>남궁민 프로필, 생년월일, 혈액형, 학력, MBTI 총정리</t>
  </si>
  <si>
    <t>https://blog.naver.com/PostView.naver?blogId=haing__&amp;logNo=223909280629&amp;redirect=Dlog&amp;widgetTypeCall=true&amp;directAccess=false</t>
  </si>
  <si>
    <t>스타워치</t>
  </si>
  <si>
    <t>코요태 신지, 7살 연하와 웨딩촬영까지 마쳤다. 예비남편은 누구?</t>
  </si>
  <si>
    <t>https://blog.naver.com/PostView.naver?blogId=happy-2875&amp;logNo=223909330700&amp;redirect=Dlog&amp;widgetTypeCall=true&amp;directAccess=false</t>
  </si>
  <si>
    <t>슈퍼마마</t>
  </si>
  <si>
    <t>[일상•생각] 네이버 메일함 한 번에 삭제하는 방법 / 디지털 탄소 중립 / 온실가스 줄이는 메일함 비우기 캠페인</t>
  </si>
  <si>
    <t>https://blog.naver.com/PostView.naver?blogId=scc57117&amp;logNo=223909321032&amp;redirect=Dlog&amp;widgetTypeCall=true&amp;directAccess=false</t>
  </si>
  <si>
    <t>Lil Chris</t>
  </si>
  <si>
    <t>[LP/언박싱] 이소라 베스트 앨범 및 입문기</t>
  </si>
  <si>
    <t>https://blog.naver.com/PostView.naver?blogId=lil-chris&amp;logNo=223909314980&amp;redirect=Dlog&amp;widgetTypeCall=true&amp;directAccess=false</t>
  </si>
  <si>
    <t>로즈버드</t>
  </si>
  <si>
    <t>6월 3주</t>
  </si>
  <si>
    <t>https://blog.naver.com/PostView.naver?blogId=rosebud864&amp;logNo=223909294632&amp;redirect=Dlog&amp;widgetTypeCall=true&amp;directAccess=false</t>
  </si>
  <si>
    <t>코요태 신지 결혼 예비신랑 남편 7살 연하 가수 문원 누구 ?</t>
  </si>
  <si>
    <t>https://blog.naver.com/PostView.naver?blogId=euene1111&amp;logNo=223909293728&amp;redirect=Dlog&amp;widgetTypeCall=true&amp;directAccess=false</t>
  </si>
  <si>
    <t>MBC &lt;탐사기획 스트레이트&gt;의 20대 남성 '극우' 멸칭 보도 분석</t>
  </si>
  <si>
    <t>https://blog.naver.com/PostView.naver?blogId=newyorkmanhattan&amp;logNo=223909289085&amp;redirect=Dlog&amp;widgetTypeCall=true&amp;directAccess=false</t>
  </si>
  <si>
    <t>신지 결혼한다 예비신랑 문원 벌써 관심 집중</t>
  </si>
  <si>
    <t>https://blog.naver.com/PostView.naver?blogId=pkeunyoo&amp;logNo=223909287172&amp;redirect=Dlog&amp;widgetTypeCall=true&amp;directAccess=false</t>
  </si>
  <si>
    <t>무직백수의삶</t>
  </si>
  <si>
    <t>https://blog.naver.com/PostView.naver?blogId=ss004403&amp;logNo=223909284089&amp;redirect=Dlog&amp;widgetTypeCall=true&amp;directAccess=false</t>
  </si>
  <si>
    <t>김종민, 물속에서 박태환 이겼다? (푹다행)</t>
  </si>
  <si>
    <t>https://blog.naver.com/PostView.naver?blogId=owen8591&amp;logNo=223908807297&amp;redirect=Dlog&amp;widgetTypeCall=true&amp;directAccess=false</t>
  </si>
  <si>
    <t>10살 이로운의 LG Twins 이야기</t>
  </si>
  <si>
    <t>https://blog.naver.com/PostView.naver?blogId=ggyaag&amp;logNo=223909269754&amp;redirect=Dlog&amp;widgetTypeCall=true&amp;directAccess=false</t>
  </si>
  <si>
    <t>신지 결혼식 예비신랑 가수 문원 누구길래? 프로필 나이 인스타</t>
  </si>
  <si>
    <t>https://blog.naver.com/PostView.naver?blogId=richman_v&amp;logNo=223909265171&amp;redirect=Dlog&amp;widgetTypeCall=true&amp;directAccess=false</t>
  </si>
  <si>
    <t>미생에서 완생이 되어가는 배우 임시완의 출연작품과 배역 정리</t>
  </si>
  <si>
    <t>https://blog.naver.com/PostView.naver?blogId=finding_dream&amp;logNo=223909257573&amp;redirect=Dlog&amp;widgetTypeCall=true&amp;directAccess=false</t>
  </si>
  <si>
    <t>가스왕</t>
  </si>
  <si>
    <t>[자기계발] 고전이 답했다 / 고명환</t>
  </si>
  <si>
    <t>https://blog.naver.com/PostView.naver?blogId=sjy4799&amp;logNo=223909234442&amp;redirect=Dlog&amp;widgetTypeCall=true&amp;directAccess=false</t>
  </si>
  <si>
    <t>Laylah</t>
  </si>
  <si>
    <t>결혼지옥 스티커부부 남편 팬티냄새도 맡는다는 아내, 오은영리포트 127회 (ft. 남양주 이삿짐센터)</t>
  </si>
  <si>
    <t>https://blog.naver.com/PostView.naver?blogId=chummilmil99&amp;logNo=223909192129&amp;redirect=Dlog&amp;widgetTypeCall=true&amp;directAccess=false</t>
  </si>
  <si>
    <t>탤런트이정훈</t>
  </si>
  <si>
    <t>https://blog.naver.com/PostView.naver?blogId=yang83529&amp;logNo=223909189499&amp;redirect=Dlog&amp;widgetTypeCall=true&amp;directAccess=false</t>
  </si>
  <si>
    <t>MBCNEWS ~ [팟빵]매불쇼님의 오늘자 이재명, 윤석열 소식. 진실 낱낱이 특검등판에 눈 감은 윤석열, 그런다고 내란죄가 사라지겠냐? 이재명 정부, 이대로 가면 큰일나!</t>
  </si>
  <si>
    <t>https://blog.naver.com/PostView.naver?blogId=wishut3281&amp;logNo=223909181914&amp;redirect=Dlog&amp;widgetTypeCall=true&amp;directAccess=false</t>
  </si>
  <si>
    <t>abelkium</t>
  </si>
  <si>
    <t>멕시코 &amp; k 한류 최신 뉴스(250623)</t>
  </si>
  <si>
    <t>https://blog.naver.com/PostView.naver?blogId=mundus-apertus&amp;logNo=223909155420&amp;redirect=Dlog&amp;widgetTypeCall=true&amp;directAccess=false</t>
  </si>
  <si>
    <t>결혼지옥 스티커 부부, 남편 속옷 검사하는 아내? 127회 월요일예능</t>
  </si>
  <si>
    <t>https://blog.naver.com/PostView.naver?blogId=shushu9988&amp;logNo=223909091192&amp;redirect=Dlog&amp;widgetTypeCall=true&amp;directAccess=false</t>
  </si>
  <si>
    <t>봄노래</t>
  </si>
  <si>
    <t>내 인생 영화는</t>
  </si>
  <si>
    <t>https://blog.naver.com/PostView.naver?blogId=lyu29&amp;logNo=223909140288&amp;redirect=Dlog&amp;widgetTypeCall=true&amp;directAccess=false</t>
  </si>
  <si>
    <t>코요태 신지, 내년 ‘7세 연하’ 가수 문원과 결혼…“웨딩촬영 포착”</t>
  </si>
  <si>
    <t>https://blog.naver.com/PostView.naver?blogId=koolap&amp;logNo=223909116624&amp;redirect=Dlog&amp;widgetTypeCall=true&amp;directAccess=false</t>
  </si>
  <si>
    <t>hung020301</t>
  </si>
  <si>
    <t>플레이브-입덕요정 밤비</t>
  </si>
  <si>
    <t>https://blog.naver.com/PostView.naver?blogId=hung020301&amp;logNo=223909078590&amp;redirect=Dlog&amp;widgetTypeCall=true&amp;directAccess=false</t>
  </si>
  <si>
    <t>코요태 신지, 7살 연하 문원과 내년 결혼…오늘(23일) 웨딩 촬영 깜짝 공개</t>
  </si>
  <si>
    <t>https://blog.naver.com/PostView.naver?blogId=picklenews&amp;logNo=223909071574&amp;redirect=Dlog&amp;widgetTypeCall=true&amp;directAccess=false</t>
  </si>
  <si>
    <t>빠니보틀 드디어 입 열었다 그녀는 누구? 열애 인정 풀 스토리…(상상초월 반전) 태계일주4 결혼설 위고비 해명 사랑꾼 면모 大공개 (+여자친구, 고백, 풀영상)</t>
  </si>
  <si>
    <t>https://blog.naver.com/PostView.naver?blogId=qoswlfdl-&amp;logNo=223909069428&amp;redirect=Dlog&amp;widgetTypeCall=true&amp;directAccess=false</t>
  </si>
  <si>
    <t>햅리</t>
  </si>
  <si>
    <t>2025 서울국제도서전에 갔다왔다</t>
  </si>
  <si>
    <t>https://blog.naver.com/PostView.naver?blogId=mablok&amp;logNo=223909051772&amp;redirect=Dlog&amp;widgetTypeCall=true&amp;directAccess=false</t>
  </si>
  <si>
    <t>시루</t>
  </si>
  <si>
    <t>태양을 삼킨 여자 11회, 이루다 장신영에게 아빠 없이 왜 낳았어</t>
  </si>
  <si>
    <t>https://blog.naver.com/PostView.naver?blogId=gktkrk&amp;logNo=223909028125&amp;redirect=Dlog&amp;widgetTypeCall=true&amp;directAccess=false</t>
  </si>
  <si>
    <t>심수봉, Shim Soo-bong – 사랑밖엔 난 몰라, 1987 (Hyundai Records LP)</t>
  </si>
  <si>
    <t>https://blog.naver.com/PostView.naver?blogId=puffik&amp;logNo=223909019584&amp;redirect=Dlog&amp;widgetTypeCall=true&amp;directAccess=false</t>
  </si>
  <si>
    <t>송미령 장관</t>
  </si>
  <si>
    <t>https://blog.naver.com/PostView.naver?blogId=vkfksfranc&amp;logNo=223908995824&amp;redirect=Dlog&amp;widgetTypeCall=true&amp;directAccess=false</t>
  </si>
  <si>
    <t>빠니보틀 드디어 입 열었다 여자친구… 누구길래? ‘태계일주4’ 깜짝 열애 고백에 모두 경악 프로필 인스타 나무위키 풀공개 (+여행, 유튜버, 태계일주)</t>
  </si>
  <si>
    <t>https://blog.naver.com/PostView.naver?blogId=jeju0520-&amp;logNo=223908965113&amp;redirect=Dlog&amp;widgetTypeCall=true&amp;directAccess=false</t>
  </si>
  <si>
    <t>빠니보틀, 예능서 열애 인정｜빠니보틀, 예능서 점괘 봤더니 “여친 있네”…얼떨결에 열애 인정｜유튜버 빠니보틀 연애 근황 화제</t>
  </si>
  <si>
    <t>https://blog.naver.com/PostView.naver?blogId=luxblue83&amp;logNo=223908933607&amp;redirect=Dlog&amp;widgetTypeCall=true&amp;directAccess=false</t>
  </si>
  <si>
    <t>대전소식포스트</t>
  </si>
  <si>
    <t>오늘N 닭공장 닭주문방법</t>
  </si>
  <si>
    <t>https://blog.naver.com/PostView.naver?blogId=jankyho&amp;logNo=223908597734&amp;redirect=Dlog&amp;widgetTypeCall=true&amp;directAccess=false</t>
  </si>
  <si>
    <t>오늘N 닭공장 닭주문</t>
  </si>
  <si>
    <t>https://blog.naver.com/PostView.naver?blogId=naza123&amp;logNo=223908589843&amp;redirect=Dlog&amp;widgetTypeCall=true&amp;directAccess=false</t>
  </si>
  <si>
    <t>빠니보틀, 방송 중 깜짝 열애 고백…“여자친구 있다, 방송에서 처음 공개”</t>
  </si>
  <si>
    <t>https://blog.naver.com/PostView.naver?blogId=news1star&amp;logNo=223908899871&amp;redirect=Dlog&amp;widgetTypeCall=true&amp;directAccess=false</t>
  </si>
  <si>
    <t>7월 디즈니+ 드라마_ 파인 : 촌뜨기들_ 류승룡 × 양세종 × 임수정</t>
  </si>
  <si>
    <t>https://blog.naver.com/PostView.naver?blogId=today_midnight&amp;logNo=223908895531&amp;redirect=Dlog&amp;widgetTypeCall=true&amp;directAccess=false</t>
  </si>
  <si>
    <t>문태수, 해볼엔터테인먼트와 전속계약…연극부터 드라마까지 ‘전방위 활약’ 예고</t>
  </si>
  <si>
    <t>https://blog.naver.com/PostView.naver?blogId=news1star&amp;logNo=223908876717&amp;redirect=Dlog&amp;widgetTypeCall=true&amp;directAccess=false</t>
  </si>
  <si>
    <t>동하선생</t>
  </si>
  <si>
    <t>정동영 사주(통일부 장관)</t>
  </si>
  <si>
    <t>https://blog.naver.com/PostView.naver?blogId=ktk670309&amp;logNo=223908871648&amp;redirect=Dlog&amp;widgetTypeCall=true&amp;directAccess=false</t>
  </si>
  <si>
    <t>상대댄서 '저게 춤이야 섹스지' 성희롱 논란 허니제이 라디오스타 '섹시춤 추면 댄서들 무시' 발언 재조명 내로남불</t>
  </si>
  <si>
    <t>https://blog.naver.com/PostView.naver?blogId=psepeter&amp;logNo=223908821603&amp;redirect=Dlog&amp;widgetTypeCall=true&amp;directAccess=false</t>
  </si>
  <si>
    <t>🌐이재명 정부의 첫 장관 인선, 'AI부터 보훈까지'…뭔가 심상치 않다?!🌐</t>
  </si>
  <si>
    <t>https://blog.naver.com/PostView.naver?blogId=inklogist&amp;logNo=223908818860&amp;redirect=Dlog&amp;widgetTypeCall=true&amp;directAccess=false</t>
  </si>
  <si>
    <t>감사와 행복한 인생</t>
  </si>
  <si>
    <t>[보도자료] 필앤굿즈, MBC '태계일주' 공식 굿즈몰로 선정…두버디와 함께 다양한 상품 동시 론칭</t>
  </si>
  <si>
    <t>https://blog.naver.com/PostView.naver?blogId=ymklm&amp;logNo=223908762782&amp;redirect=Dlog&amp;widgetTypeCall=true&amp;directAccess=false</t>
  </si>
  <si>
    <t>올리버</t>
  </si>
  <si>
    <t>이재명과 정동영</t>
  </si>
  <si>
    <t>https://blog.naver.com/PostView.naver?blogId=psj98511&amp;logNo=223908756330&amp;redirect=Dlog&amp;widgetTypeCall=true&amp;directAccess=false</t>
  </si>
  <si>
    <t>탐탐</t>
  </si>
  <si>
    <t>하하 - Sunny Day (Feat. Young K (DAY6))</t>
  </si>
  <si>
    <t>https://blog.naver.com/PostView.naver?blogId=fertile12347&amp;logNo=223908701838&amp;redirect=Dlog&amp;widgetTypeCall=true&amp;directAccess=false</t>
  </si>
  <si>
    <t>진심을 담은 우케</t>
  </si>
  <si>
    <t>은하 철도 999 주제가....</t>
  </si>
  <si>
    <t>https://blog.naver.com/PostView.naver?blogId=pjwch&amp;logNo=223908697520&amp;redirect=Dlog&amp;widgetTypeCall=true&amp;directAccess=false</t>
  </si>
  <si>
    <t>라떼조아</t>
  </si>
  <si>
    <t>문형배 "대법원장 지명권 폐지해야…대법관 증원은 논의 필요"</t>
  </si>
  <si>
    <t>https://blog.naver.com/PostView.naver?blogId=sung4852&amp;logNo=223908676862&amp;redirect=Dlog&amp;widgetTypeCall=true&amp;directAccess=false</t>
  </si>
  <si>
    <t>깔끔맨</t>
  </si>
  <si>
    <t>방탄소년단 슈가 세브란스병원</t>
  </si>
  <si>
    <t>https://blog.naver.com/PostView.naver?blogId=ttt796&amp;logNo=223908675832&amp;redirect=Dlog&amp;widgetTypeCall=true&amp;directAccess=false</t>
  </si>
  <si>
    <t>국방 안규백 최초 문민장관 이재명 정부 선진시대 진입 통일 정동영 조현 외교 안동출신 권오을 국가보훈부 장관 해수부장관 전재수 여성부 강선우 의원 과기부 배경훈 중기부장관 한성숙</t>
  </si>
  <si>
    <t>https://blog.naver.com/PostView.naver?blogId=esuccess&amp;logNo=223908660838&amp;redirect=Dlog&amp;widgetTypeCall=true&amp;directAccess=false</t>
  </si>
  <si>
    <t>빠니보틀 "저 여자친구 있어요" 열애 고백 태계일주 _빠니보틀 프로필 나이 본명 MBTI 등</t>
  </si>
  <si>
    <t>https://blog.naver.com/PostView.naver?blogId=v20208&amp;logNo=223908646839&amp;redirect=Dlog&amp;widgetTypeCall=true&amp;directAccess=false</t>
  </si>
  <si>
    <t>검정콩으로 맛난 요리하기</t>
  </si>
  <si>
    <t>https://blog.naver.com/PostView.naver?blogId=sue114&amp;logNo=223908595186&amp;redirect=Dlog&amp;widgetTypeCall=true&amp;directAccess=false</t>
  </si>
  <si>
    <t>[석열아 이제 울고 싶지?] 자꾸 혼자 목격된다 했더니.. 측근마저 '뚝' 외로운 尹?석열아 순실이 널 부른다,엄청 보고 싶단다.</t>
  </si>
  <si>
    <t>https://blog.naver.com/PostView.naver?blogId=kys55-&amp;logNo=223908570240&amp;redirect=Dlog&amp;widgetTypeCall=true&amp;directAccess=false</t>
  </si>
  <si>
    <t>dlEkfrl</t>
  </si>
  <si>
    <t>[ATEEZ] 250614(토) MBC 쇼! 음악중심 에이티즈 Lemon Drop 1주차 사전녹화 후기</t>
  </si>
  <si>
    <t>https://blog.naver.com/PostView.naver?blogId=minha9831&amp;logNo=223908561982&amp;redirect=Dlog&amp;widgetTypeCall=true&amp;directAccess=false</t>
  </si>
  <si>
    <t>꽃붕어</t>
  </si>
  <si>
    <t>빠니보틀, 방송 중 연애 사실 인정</t>
  </si>
  <si>
    <t>https://blog.naver.com/PostView.naver?blogId=nimy07&amp;logNo=223908504546&amp;redirect=Dlog&amp;widgetTypeCall=true&amp;directAccess=false</t>
  </si>
  <si>
    <t>헐크대장과 미니미</t>
  </si>
  <si>
    <t>홍천 남면도서관 여행작가 태원준 초청 강연</t>
  </si>
  <si>
    <t>https://blog.naver.com/PostView.naver?blogId=nateccm&amp;logNo=223907705361&amp;redirect=Dlog&amp;widgetTypeCall=true&amp;directAccess=false</t>
  </si>
  <si>
    <t>꽃처럼</t>
  </si>
  <si>
    <t>나를 다시 걷는 길</t>
  </si>
  <si>
    <t>https://blog.naver.com/PostView.naver?blogId=niwai&amp;logNo=223908491342&amp;redirect=Dlog&amp;widgetTypeCall=true&amp;directAccess=false</t>
  </si>
  <si>
    <t>그림작가 이남구</t>
  </si>
  <si>
    <t>예쁜 엽서전시회 / 이남구</t>
  </si>
  <si>
    <t>https://blog.naver.com/PostView.naver?blogId=leenamguu&amp;logNo=223908486209&amp;redirect=Dlog&amp;widgetTypeCall=true&amp;directAccess=false</t>
  </si>
  <si>
    <t>juh_0u</t>
  </si>
  <si>
    <t>롤모델 소개하기</t>
  </si>
  <si>
    <t>https://blog.naver.com/PostView.naver?blogId=juh_0u&amp;logNo=223908475494&amp;redirect=Dlog&amp;widgetTypeCall=true&amp;directAccess=false</t>
  </si>
  <si>
    <t>레지널드</t>
  </si>
  <si>
    <t>2009년 6월 25일 - Michael Jackson, 'You Are Not Alone'(1995)</t>
  </si>
  <si>
    <t>https://blog.naver.com/PostView.naver?blogId=reginald-shin&amp;logNo=223908437470&amp;redirect=Dlog&amp;widgetTypeCall=true&amp;directAccess=false</t>
  </si>
  <si>
    <t>막쓰</t>
  </si>
  <si>
    <t>나는 로또를 접었다. (로또 조작과 해킹)</t>
  </si>
  <si>
    <t>https://blog.naver.com/PostView.naver?blogId=marksueblog&amp;logNo=223908413565&amp;redirect=Dlog&amp;widgetTypeCall=true&amp;directAccess=false</t>
  </si>
  <si>
    <t>[MBC 금토 드라마] 노무사 노무진 9~10화 후기</t>
  </si>
  <si>
    <t>https://blog.naver.com/PostView.naver?blogId=momopenguin&amp;logNo=223917172815&amp;redirect=Dlog&amp;widgetTypeCall=true&amp;directAccess=false</t>
  </si>
  <si>
    <t>경제특공대</t>
  </si>
  <si>
    <t>브라이언평택집 대공개! 300평 드림하우스의 모든 것</t>
  </si>
  <si>
    <t>https://blog.naver.com/PostView.naver?blogId=trzm1816&amp;logNo=223917154997&amp;redirect=Dlog&amp;widgetTypeCall=true&amp;directAccess=false</t>
  </si>
  <si>
    <t>사랑의손</t>
  </si>
  <si>
    <t>이강옥 교수</t>
  </si>
  <si>
    <t>https://blog.naver.com/PostView.naver?blogId=healing1989&amp;logNo=223917148881&amp;redirect=Dlog&amp;widgetTypeCall=true&amp;directAccess=false</t>
  </si>
  <si>
    <t>백종원 허위 갑질 폭로 논란, 전 MBC PD의 역풍</t>
  </si>
  <si>
    <t>https://blog.naver.com/PostView.naver?blogId=ahssberl&amp;logNo=223917146736&amp;redirect=Dlog&amp;widgetTypeCall=true&amp;directAccess=false</t>
  </si>
  <si>
    <t>파랑비</t>
  </si>
  <si>
    <t>눈 깜짝할만큼 빠르게 지나간 6월 일상!</t>
  </si>
  <si>
    <t>https://blog.naver.com/PostView.naver?blogId=myrainisblue&amp;logNo=223917143322&amp;redirect=Dlog&amp;widgetTypeCall=true&amp;directAccess=false</t>
  </si>
  <si>
    <t>한덕수가 명예훼손으로 고소한 가수 오윤혜는 누구? (프로필)</t>
  </si>
  <si>
    <t>https://blog.naver.com/PostView.naver?blogId=rozz0697&amp;logNo=223917113053&amp;redirect=Dlog&amp;widgetTypeCall=true&amp;directAccess=false</t>
  </si>
  <si>
    <t>몽상가 k의 이야기</t>
  </si>
  <si>
    <t>당구도 스포츠다. 하나카드 챔피언십 2025-26 PBA, LPBA 총정리.</t>
  </si>
  <si>
    <t>https://blog.naver.com/PostView.naver?blogId=kwon_dream&amp;logNo=223917109225&amp;redirect=Dlog&amp;widgetTypeCall=true&amp;directAccess=false</t>
  </si>
  <si>
    <t>오윤혜, 한덕수 전 총리에 고소당했다..재밌네 여유롭게 반격 [스타이...</t>
  </si>
  <si>
    <t>https://blog.naver.com/PostView.naver?blogId=30sblog&amp;logNo=223917093340&amp;redirect=Dlog&amp;widgetTypeCall=true&amp;directAccess=false</t>
  </si>
  <si>
    <t>“경찰청 구경 짜릿!” 오윤혜, 한덕수 전 총리 명예훼손 피소 논란 속 당당한 행보</t>
  </si>
  <si>
    <t>https://blog.naver.com/PostView.naver?blogId=creta22&amp;logNo=223917068075&amp;redirect=Dlog&amp;widgetTypeCall=true&amp;directAccess=false</t>
  </si>
  <si>
    <t>탤런트전광렬 전국환</t>
  </si>
  <si>
    <t>https://blog.naver.com/PostView.naver?blogId=yang83529&amp;logNo=223917066193&amp;redirect=Dlog&amp;widgetTypeCall=true&amp;directAccess=false</t>
  </si>
  <si>
    <t>행복한백억부자입니다</t>
  </si>
  <si>
    <t>예리니디</t>
  </si>
  <si>
    <t>삶이 항상 죽음의 연습이라는 점</t>
  </si>
  <si>
    <t>https://blog.naver.com/PostView.naver?blogId=wkd3408&amp;logNo=223917050061&amp;redirect=Dlog&amp;widgetTypeCall=true&amp;directAccess=false</t>
  </si>
  <si>
    <t>햇님이</t>
  </si>
  <si>
    <t>한덕수 전 총리, 방송인 오윤혜 명예훼손 혐의 고소</t>
  </si>
  <si>
    <t>https://blog.naver.com/PostView.naver?blogId=leebyongsu&amp;logNo=223917015967&amp;redirect=Dlog&amp;widgetTypeCall=true&amp;directAccess=false</t>
  </si>
  <si>
    <t>흐름</t>
  </si>
  <si>
    <t>네팔 트래킹 | 안나푸르나 베이스캠프 ABC 4박 5일 | Day 3 | 2025.01.12</t>
  </si>
  <si>
    <t>https://blog.naver.com/PostView.naver?blogId=flowing_rah&amp;logNo=223917009259&amp;redirect=Dlog&amp;widgetTypeCall=true&amp;directAccess=false</t>
  </si>
  <si>
    <t>haeppy</t>
  </si>
  <si>
    <t>[서울견학]</t>
  </si>
  <si>
    <t>https://blog.naver.com/PostView.naver?blogId=haeppy05&amp;logNo=223916992476&amp;redirect=Dlog&amp;widgetTypeCall=true&amp;directAccess=false</t>
  </si>
  <si>
    <t>amchoon11</t>
  </si>
  <si>
    <t>백종원 갑질 폭로 PD, 역풍?…"사실관계 확인 없이 영상 제작"</t>
  </si>
  <si>
    <t>https://blog.naver.com/PostView.naver?blogId=amchoon11&amp;logNo=223916985532&amp;redirect=Dlog&amp;widgetTypeCall=true&amp;directAccess=false</t>
  </si>
  <si>
    <t>故박용하 15주기, 여전히 그리운 한류 1세대 스타의 따뜻한 기억</t>
  </si>
  <si>
    <t>https://blog.naver.com/PostView.naver?blogId=apahghfej&amp;logNo=223916980324&amp;redirect=Dlog&amp;widgetTypeCall=true&amp;directAccess=false</t>
  </si>
  <si>
    <t>Gallery ZEINXENO</t>
  </si>
  <si>
    <t>《진리의 영속(永續) – The Persistence of Truth》(2025.07.01~07.15)</t>
  </si>
  <si>
    <t>https://blog.naver.com/PostView.naver?blogId=mangchiro&amp;logNo=223916967732&amp;redirect=Dlog&amp;widgetTypeCall=true&amp;directAccess=false</t>
  </si>
  <si>
    <t>태양을 삼킨 여자 16회, 이칸희 장신영 미국 데려가려고</t>
  </si>
  <si>
    <t>https://blog.naver.com/PostView.naver?blogId=gktkrk&amp;logNo=223916944161&amp;redirect=Dlog&amp;widgetTypeCall=true&amp;directAccess=false</t>
  </si>
  <si>
    <t>민원정보</t>
  </si>
  <si>
    <t>여수 삼일차 금오도 안도~~!!(6.29)</t>
  </si>
  <si>
    <t>https://blog.naver.com/PostView.naver?blogId=kjg586&amp;logNo=223916938361&amp;redirect=Dlog&amp;widgetTypeCall=true&amp;directAccess=false</t>
  </si>
  <si>
    <t>신뢰 약속 진실</t>
  </si>
  <si>
    <t>(뉴스인)2025년 5월 좋아하는 방송영상프로그램 1위: KBS2 주말 드라마 '독수리 5형제를 부탁해!' 5.6%</t>
  </si>
  <si>
    <t>https://blog.naver.com/PostView.naver?blogId=kty7156&amp;logNo=223916905195&amp;redirect=Dlog&amp;widgetTypeCall=true&amp;directAccess=false</t>
  </si>
  <si>
    <t>쌤킴</t>
  </si>
  <si>
    <t>김아영의 모든 걸음에는 이유가 있다, 에세이 추천</t>
  </si>
  <si>
    <t>https://blog.naver.com/PostView.naver?blogId=mute04&amp;logNo=223916902273&amp;redirect=Dlog&amp;widgetTypeCall=true&amp;directAccess=false</t>
  </si>
  <si>
    <t>우주인</t>
  </si>
  <si>
    <t>변우석·아이유, 광고 전문가들이 뽑은 ‘2025 대표 광고모델’ 1위</t>
  </si>
  <si>
    <t>https://blog.naver.com/PostView.naver?blogId=krl424&amp;logNo=223916888461&amp;redirect=Dlog&amp;widgetTypeCall=true&amp;directAccess=false</t>
  </si>
  <si>
    <t>혜은이 - 당신만을 사랑해</t>
  </si>
  <si>
    <t>https://blog.naver.com/PostView.naver?blogId=hgryu1948&amp;logNo=223916875340&amp;redirect=Dlog&amp;widgetTypeCall=true&amp;directAccess=false</t>
  </si>
  <si>
    <t>판사... 그들만의 정의. 개혁이 가능할까?</t>
  </si>
  <si>
    <t>https://blog.naver.com/PostView.naver?blogId=aboutpc&amp;logNo=223916866028&amp;redirect=Dlog&amp;widgetTypeCall=true&amp;directAccess=false</t>
  </si>
  <si>
    <t>정말 큰거 터졌다.. 우리가 알고 있는 바로 그거 계엄 한달전  윤통께서 싸인한 한미상호방위조약 개정 “사이버공격도 공격으로 간주한다” 모스탄 전 대사님께서 확인해 주셨습니</t>
  </si>
  <si>
    <t>https://blog.naver.com/PostView.naver?blogId=hwebs&amp;logNo=223916844098&amp;redirect=Dlog&amp;widgetTypeCall=true&amp;directAccess=false</t>
  </si>
  <si>
    <t>inkverso</t>
  </si>
  <si>
    <t>NEWS DELIVERY</t>
  </si>
  <si>
    <t>모르고 지나치기 쉬운 ‘조용한 탈수’, 우리 부모님은 괜찮을까?</t>
  </si>
  <si>
    <t>https://blog.naver.com/PostView.naver?blogId=newsdelivery_&amp;logNo=223916818548&amp;redirect=Dlog&amp;widgetTypeCall=true&amp;directAccess=false</t>
  </si>
  <si>
    <t>현직 광고인이 뽑은 2025년 대표 광고모델은 변우석과 아이유</t>
  </si>
  <si>
    <t>https://blog.naver.com/PostView.naver?blogId=psj98511&amp;logNo=223916817583&amp;redirect=Dlog&amp;widgetTypeCall=true&amp;directAccess=false</t>
  </si>
  <si>
    <t>제51회 전주대사습놀이 판소리 명창부 장원 최호성 씨</t>
  </si>
  <si>
    <t>https://blog.naver.com/PostView.naver?blogId=leebangheui&amp;logNo=223916813864&amp;redirect=Dlog&amp;widgetTypeCall=true&amp;directAccess=false</t>
  </si>
  <si>
    <t>이진숙 교육부장관 후보자 "대통령의 지명은 교육 통한 국가균형발전 실현"...첫 출근길 일문일답</t>
  </si>
  <si>
    <t>https://blog.naver.com/PostView.naver?blogId=theedu3000&amp;logNo=223916808477&amp;redirect=Dlog&amp;widgetTypeCall=true&amp;directAccess=false</t>
  </si>
  <si>
    <t>덕만이</t>
  </si>
  <si>
    <t>[드라마 리뷰] 2025년 상반기(1~6월)에 본 드라마 목록 + 간단 리뷰(2025년 방영, 공개된 드라마 기준)</t>
  </si>
  <si>
    <t>https://blog.naver.com/PostView.naver?blogId=forduckman&amp;logNo=223916804549&amp;redirect=Dlog&amp;widgetTypeCall=true&amp;directAccess=false</t>
  </si>
  <si>
    <t>보다 빠르게</t>
  </si>
  <si>
    <t>파랭이</t>
  </si>
  <si>
    <t>피아니스트 임현정의 바흐 평균율 전곡 리사이틀 후기</t>
  </si>
  <si>
    <t>https://blog.naver.com/PostView.naver?blogId=niceworld21&amp;logNo=223916772543&amp;redirect=Dlog&amp;widgetTypeCall=true&amp;directAccess=false</t>
  </si>
  <si>
    <t>백종원 관련 허위폭로 논란의 전말</t>
  </si>
  <si>
    <t>https://blog.naver.com/PostView.naver?blogId=fortenball&amp;logNo=223916768571&amp;redirect=Dlog&amp;widgetTypeCall=true&amp;directAccess=false</t>
  </si>
  <si>
    <t>[충청대세뉴스] 제목 충남콘텐츠진흥원, ‘충남 뉴콘텐츠아카데미’ 통해 신기술 콘텐츠 전문 인재 양성 성과</t>
  </si>
  <si>
    <t>https://blog.naver.com/PostView.naver?blogId=yyjjss3081&amp;logNo=223916758502&amp;redirect=Dlog&amp;widgetTypeCall=true&amp;directAccess=false</t>
  </si>
  <si>
    <t>기안84, 박수칠 때 떠났다…‘태계일주4’ 종영 현장 눈물 쏟은 형제들</t>
  </si>
  <si>
    <t>https://blog.naver.com/PostView.naver?blogId=picklenews&amp;logNo=223916739001&amp;redirect=Dlog&amp;widgetTypeCall=true&amp;directAccess=false</t>
  </si>
  <si>
    <t>불견상견절치뜻</t>
  </si>
  <si>
    <t>https://blog.naver.com/PostView.naver?blogId=2020_three&amp;logNo=223905308743&amp;redirect=Dlog&amp;widgetTypeCall=true&amp;directAccess=false</t>
  </si>
  <si>
    <t>북한 무인기 - "들켰다니까 박수치고 좋아해"..대체 어느 나라 대통령이었나 [뉴스.zip/MBC뉴스]</t>
  </si>
  <si>
    <t>https://blog.naver.com/PostView.naver?blogId=testdirt&amp;logNo=223916722992&amp;redirect=Dlog&amp;widgetTypeCall=true&amp;directAccess=false</t>
  </si>
  <si>
    <t>킹찡응</t>
  </si>
  <si>
    <t>사먹기 아까워서 직접 요리한다...! 요리왕 6월☘️</t>
  </si>
  <si>
    <t>https://blog.naver.com/PostView.naver?blogId=1ring2rule&amp;logNo=223916721493&amp;redirect=Dlog&amp;widgetTypeCall=true&amp;directAccess=false</t>
  </si>
  <si>
    <t>에드몽 안테스</t>
  </si>
  <si>
    <t>두달 놀았다. 이제 슬슬 좀 일해야 하나?</t>
  </si>
  <si>
    <t>https://blog.naver.com/PostView.naver?blogId=thebigdipper7&amp;logNo=223916720457&amp;redirect=Dlog&amp;widgetTypeCall=true&amp;directAccess=false</t>
  </si>
  <si>
    <t>"유종의 미 거둔 여정" 기안84, '태계일주4' 눈물의 마무리…시청률은 소폭 하락</t>
  </si>
  <si>
    <t>https://blog.naver.com/PostView.naver?blogId=apahghfej&amp;logNo=223916690716&amp;redirect=Dlog&amp;widgetTypeCall=true&amp;directAccess=false</t>
  </si>
  <si>
    <t>김재환 ‘백종원 폭로’ 영상, 확인도 없이 올렸다? 영세상인 피해 호소 (+스튜디오 오재나, 더본코리아, 닭꼬치, 식품표시)</t>
  </si>
  <si>
    <t>https://blog.naver.com/PostView.naver?blogId=minsimnews&amp;logNo=223916686060&amp;redirect=Dlog&amp;widgetTypeCall=true&amp;directAccess=false</t>
  </si>
  <si>
    <t>풀꽃누리</t>
  </si>
  <si>
    <t>청주 &lt;김수현 드라마 아트홀&gt;</t>
  </si>
  <si>
    <t>https://blog.naver.com/PostView.naver?blogId=sohee_0422&amp;logNo=223916655271&amp;redirect=Dlog&amp;widgetTypeCall=true&amp;directAccess=false</t>
  </si>
  <si>
    <t>2025년 6월 민턴일기</t>
  </si>
  <si>
    <t>https://blog.naver.com/PostView.naver?blogId=okhr5409o&amp;logNo=223916560794&amp;redirect=Dlog&amp;widgetTypeCall=true&amp;directAccess=false</t>
  </si>
  <si>
    <t>kisdiplus</t>
  </si>
  <si>
    <t>[슈퍼노바] 뉴스 시청의 판이 바뀐다. TV에서 유튜브로 이동 중인 뉴스 소비 트렌드(1)</t>
  </si>
  <si>
    <t>https://blog.naver.com/PostView.naver?blogId=kisdiplus&amp;logNo=223916551253&amp;redirect=Dlog&amp;widgetTypeCall=true&amp;directAccess=false</t>
  </si>
  <si>
    <t>컴북스</t>
  </si>
  <si>
    <t>AI와 가상 존재</t>
  </si>
  <si>
    <t>https://blog.naver.com/PostView.naver?blogId=commbooks&amp;logNo=223916483994&amp;redirect=Dlog&amp;widgetTypeCall=true&amp;directAccess=false</t>
  </si>
  <si>
    <t>기안84, '태계일주' 마지막… 결국 눈물 펑펑 쏟은 이유는? (+인생, 여정, 감동)</t>
  </si>
  <si>
    <t>https://blog.naver.com/PostView.naver?blogId=ovonews&amp;logNo=223916442695&amp;redirect=Dlog&amp;widgetTypeCall=true&amp;directAccess=false</t>
  </si>
  <si>
    <t>컬러센스</t>
  </si>
  <si>
    <t>브라이언, 300평 미국식 대저택 공개에 놀라움 가득</t>
  </si>
  <si>
    <t>https://blog.naver.com/PostView.naver?blogId=nimy07&amp;logNo=223916380798&amp;redirect=Dlog&amp;widgetTypeCall=true&amp;directAccess=false</t>
  </si>
  <si>
    <t>zoo</t>
  </si>
  <si>
    <t>놈</t>
  </si>
  <si>
    <t>서지승♥' 이시언, 결혼 4년 만에 2세 계획 밝혀…“간절한 바람, 꼭 닿기를” ('태계일주')</t>
  </si>
  <si>
    <t>https://blog.naver.com/PostView.naver?blogId=reviewangel&amp;logNo=223916189196&amp;redirect=Dlog&amp;widgetTypeCall=true&amp;directAccess=false</t>
  </si>
  <si>
    <t>6월 30일, 과거의 오늘</t>
  </si>
  <si>
    <t>https://blog.naver.com/PostView.naver?blogId=gudtjs070&amp;logNo=223849946002&amp;redirect=Dlog&amp;widgetTypeCall=true&amp;directAccess=false</t>
  </si>
  <si>
    <t>디어줄리</t>
  </si>
  <si>
    <t>나의 최애 팟캐스트 여둘톡, 공개방송 '톡토로 투게더' 다녀온 후기</t>
  </si>
  <si>
    <t>https://blog.naver.com/PostView.naver?blogId=dear-julie&amp;logNo=223915750185&amp;redirect=Dlog&amp;widgetTypeCall=true&amp;directAccess=false</t>
  </si>
  <si>
    <t>너즈</t>
  </si>
  <si>
    <t>~20250629</t>
  </si>
  <si>
    <t>https://blog.naver.com/PostView.naver?blogId=juanmon&amp;logNo=223915969465&amp;redirect=Dlog&amp;widgetTypeCall=true&amp;directAccess=false</t>
  </si>
  <si>
    <t>2D</t>
  </si>
  <si>
    <t>티빙 웨이브 합병, 더블이용권 요금제 변화</t>
  </si>
  <si>
    <t>https://blog.naver.com/PostView.naver?blogId=esociologist&amp;logNo=223915901235&amp;redirect=Dlog&amp;widgetTypeCall=true&amp;directAccess=false</t>
  </si>
  <si>
    <t>무채색</t>
  </si>
  <si>
    <t>[2025년 06월] 쓰고, 다시쓰기</t>
  </si>
  <si>
    <t>https://blog.naver.com/PostView.naver?blogId=subwaybook&amp;logNo=223916147312&amp;redirect=Dlog&amp;widgetTypeCall=true&amp;directAccess=false</t>
  </si>
  <si>
    <t>미래소년코난</t>
  </si>
  <si>
    <t>🎵수잔 잭스의 “Evergreen”</t>
  </si>
  <si>
    <t>https://blog.naver.com/PostView.naver?blogId=sunflower100&amp;logNo=223907039702&amp;redirect=Dlog&amp;widgetTypeCall=true&amp;directAccess=false</t>
  </si>
  <si>
    <t>호랭</t>
  </si>
  <si>
    <t>[6월] H.B.M.(Happy Birth Month)</t>
  </si>
  <si>
    <t>https://blog.naver.com/PostView.naver?blogId=clzlsdms55&amp;logNo=223916104416&amp;redirect=Dlog&amp;widgetTypeCall=true&amp;directAccess=false</t>
  </si>
  <si>
    <t>cat1jin</t>
  </si>
  <si>
    <t>폭염 먹금 하고 내 블로그 들어와</t>
  </si>
  <si>
    <t>https://blog.naver.com/PostView.naver?blogId=tak1myhand&amp;logNo=223916088534&amp;redirect=Dlog&amp;widgetTypeCall=true&amp;directAccess=false</t>
  </si>
  <si>
    <t>동상이몽2·배우 박하나 농구선수 출신 김태술 프로필·연봉·경질·결혼식 삼청각 신혼여행⭐️골때녀 박하나 김태술 집 신혼집 2층 복층집·부모·할머니·앵무새·소속사·데뷔</t>
  </si>
  <si>
    <t>https://blog.naver.com/PostView.naver?blogId=lilycole2006&amp;logNo=223916035311&amp;redirect=Dlog&amp;widgetTypeCall=true&amp;directAccess=false</t>
  </si>
  <si>
    <t>안셀모</t>
  </si>
  <si>
    <t>네이트</t>
  </si>
  <si>
    <t>https://blog.naver.com/PostView.naver?blogId=rhamian&amp;logNo=223916033586&amp;redirect=Dlog&amp;widgetTypeCall=true&amp;directAccess=false</t>
  </si>
  <si>
    <t>ㅌㅌㅁㅊ</t>
  </si>
  <si>
    <t>2013.10 DAY 5: 사프란볼루</t>
  </si>
  <si>
    <t>https://blog.naver.com/PostView.naver?blogId=talk22much&amp;logNo=223915991067&amp;redirect=Dlog&amp;widgetTypeCall=true&amp;directAccess=false</t>
  </si>
  <si>
    <t>mosaicplant</t>
  </si>
  <si>
    <t>&lt;유로트럭 시뮬레이터2&gt; 4. 트럭을 소소하게 업그레이드 하다</t>
  </si>
  <si>
    <t>https://blog.naver.com/PostView.naver?blogId=mosaicplant&amp;logNo=223915981327&amp;redirect=Dlog&amp;widgetTypeCall=true&amp;directAccess=false</t>
  </si>
  <si>
    <t>승한</t>
  </si>
  <si>
    <t>파주댁</t>
  </si>
  <si>
    <t>동영상) 중국 전기차 빨아주는 MBC !  미친거 아냐 ?</t>
  </si>
  <si>
    <t>https://blog.naver.com/PostView.naver?blogId=kmu1992k&amp;logNo=223915972176&amp;redirect=Dlog&amp;widgetTypeCall=true&amp;directAccess=false</t>
  </si>
  <si>
    <t>라일락</t>
  </si>
  <si>
    <t>사설~대통령은 "협치" 민주당은 야당 무시, 사전 각본인가</t>
  </si>
  <si>
    <t>https://blog.naver.com/PostView.naver?blogId=hmo3137&amp;logNo=223915879501&amp;redirect=Dlog&amp;widgetTypeCall=true&amp;directAccess=false</t>
  </si>
  <si>
    <t>정유경 그녀가 반대한 신세계 장녀 애니 데뷔 무대…10년 기다린 충격적인 이유 (+재벌가, 후계구도, 패션)</t>
  </si>
  <si>
    <t>https://blog.naver.com/PostView.naver?blogId=ovonews&amp;logNo=223915873964&amp;redirect=Dlog&amp;widgetTypeCall=true&amp;directAccess=false</t>
  </si>
  <si>
    <t>공부하자</t>
  </si>
  <si>
    <t>[250623~250629] 오늘의 행복</t>
  </si>
  <si>
    <t>https://blog.naver.com/PostView.naver?blogId=ssssal24&amp;logNo=223915856749&amp;redirect=Dlog&amp;widgetTypeCall=true&amp;directAccess=false</t>
  </si>
  <si>
    <t>이수영</t>
  </si>
  <si>
    <t>[이수서사] 우리말 나들이 문해력편•박연희•MBC 아나운서국•창비교육</t>
  </si>
  <si>
    <t>https://blog.naver.com/PostView.naver?blogId=ls2796&amp;logNo=223915852903&amp;redirect=Dlog&amp;widgetTypeCall=true&amp;directAccess=false</t>
  </si>
  <si>
    <t>런닝맨 제 758화 - 새벽 시간대에 출근해서 점심 되기 전에 모닝빵에 성공해야 하는 미라클 밥모닝 편 리뷰</t>
  </si>
  <si>
    <t>https://blog.naver.com/PostView.naver?blogId=ham6870&amp;logNo=223915802518&amp;redirect=Dlog&amp;widgetTypeCall=true&amp;directAccess=false</t>
  </si>
  <si>
    <t>“털도 밀고 침대 체험?” 전현무, 브라이언 296평 드림 하우스에 감탄 연발</t>
  </si>
  <si>
    <t>https://blog.naver.com/PostView.naver?blogId=apahghfej&amp;logNo=223915775279&amp;redirect=Dlog&amp;widgetTypeCall=true&amp;directAccess=false</t>
  </si>
  <si>
    <t>TIS</t>
  </si>
  <si>
    <t>애니, 신세계 손녀 음방 데뷔 – 화제의 혼성그룹 올데이프로젝트와 K팝 신드롬</t>
  </si>
  <si>
    <t>https://blog.naver.com/PostView.naver?blogId=mantomanblog&amp;logNo=223915741717&amp;redirect=Dlog&amp;widgetTypeCall=true&amp;directAccess=false</t>
  </si>
  <si>
    <t>날 위한 이별 = 김혜림 [디아] (돌아와 니가 있어야 할 곳은 바로 여긴데 나의 곁인데~)</t>
  </si>
  <si>
    <t>https://blog.naver.com/PostView.naver?blogId=tae-baek&amp;logNo=223915733942&amp;redirect=Dlog&amp;widgetTypeCall=true&amp;directAccess=false</t>
  </si>
  <si>
    <t>의지의 한국인</t>
  </si>
  <si>
    <t>&lt;소비자원&gt; '자외선차단제' 허위 광고 적발</t>
  </si>
  <si>
    <t>https://blog.naver.com/PostView.naver?blogId=propolis5&amp;logNo=223915728792&amp;redirect=Dlog&amp;widgetTypeCall=true&amp;directAccess=false</t>
  </si>
  <si>
    <t>김피디</t>
  </si>
  <si>
    <t>[맛집] 강원 강릉노암 강릉꼬막비빔밥 풍호맛뜨락: 지상파 3사 출연한 식당,강릉 가성비 맛집</t>
  </si>
  <si>
    <t>https://blog.naver.com/PostView.naver?blogId=kuj97_&amp;logNo=223915444001&amp;redirect=Dlog&amp;widgetTypeCall=true&amp;directAccess=false</t>
  </si>
  <si>
    <t>이낙자</t>
  </si>
  <si>
    <t>커피타는남자</t>
  </si>
  <si>
    <t>300평 대저택 공개! 브라이언 집에 수영장·영화관까지?</t>
  </si>
  <si>
    <t>https://blog.naver.com/PostView.naver?blogId=yolos7942&amp;logNo=223915696614&amp;redirect=Dlog&amp;widgetTypeCall=true&amp;directAccess=false</t>
  </si>
  <si>
    <t>엘라스티걸</t>
  </si>
  <si>
    <t>2025 KBO 올스타전 베스트 12 최종 발표 드림 vs 나눔 별들이 뜬다.</t>
  </si>
  <si>
    <t>https://blog.naver.com/PostView.naver?blogId=kjae1214&amp;logNo=223915645894&amp;redirect=Dlog&amp;widgetTypeCall=true&amp;directAccess=false</t>
  </si>
  <si>
    <t>김영준</t>
  </si>
  <si>
    <t>남궁민 南宮珉 Namkoong Min &amp; 전여빈 全余彬 Jeon Yeo-Been/1</t>
  </si>
  <si>
    <t>https://blog.naver.com/PostView.naver?blogId=kwak6703&amp;logNo=223915634903&amp;redirect=Dlog&amp;widgetTypeCall=true&amp;directAccess=false</t>
  </si>
  <si>
    <t>내딸금사월 51회 결말 리뷰 등장인물 출연진 - 백진희 전인화 윤현민 손창민 박세영 주말드라마</t>
  </si>
  <si>
    <t>https://blog.naver.com/PostView.naver?blogId=sentence_0423&amp;logNo=223915628933&amp;redirect=Dlog&amp;widgetTypeCall=true&amp;directAccess=false</t>
  </si>
  <si>
    <t>노무사 노무진 10화 마지막 출연진 시즌2 희망 엔딩</t>
  </si>
  <si>
    <t>https://blog.naver.com/PostView.naver?blogId=naamoo65&amp;logNo=223915618563&amp;redirect=Dlog&amp;widgetTypeCall=true&amp;directAccess=false</t>
  </si>
  <si>
    <t>샤론</t>
  </si>
  <si>
    <t>대한민국의 언론은 죽었다</t>
  </si>
  <si>
    <t>https://blog.naver.com/PostView.naver?blogId=aya97_&amp;logNo=223915587518&amp;redirect=Dlog&amp;widgetTypeCall=true&amp;directAccess=false</t>
  </si>
  <si>
    <t>🔴우리 국회에 왜구들 출몰 현장. 국민의힘 긴급 소집, "이재명 정부 독재 막는다" 강력 반발 l 25.06.27/ KNN</t>
  </si>
  <si>
    <t>https://blog.naver.com/PostView.naver?blogId=kys55-&amp;logNo=223915560531&amp;redirect=Dlog&amp;widgetTypeCall=true&amp;directAccess=false</t>
  </si>
  <si>
    <t>닥터 곰</t>
  </si>
  <si>
    <t>자외선차단제 안전실태, 선케어 기능성 광고 주의</t>
  </si>
  <si>
    <t>https://blog.naver.com/PostView.naver?blogId=healthfood02&amp;logNo=223915536697&amp;redirect=Dlog&amp;widgetTypeCall=true&amp;directAccess=false</t>
  </si>
  <si>
    <t>룰루레몬</t>
  </si>
  <si>
    <t>[해남 여행] 땅끝마을 아름다운 절 해남 미황사</t>
  </si>
  <si>
    <t>https://blog.naver.com/PostView.naver?blogId=lulu-lemon&amp;logNo=223915486682&amp;redirect=Dlog&amp;widgetTypeCall=true&amp;directAccess=false</t>
  </si>
  <si>
    <t>날아올라</t>
  </si>
  <si>
    <t>고스트라이터즈</t>
  </si>
  <si>
    <t>https://blog.naver.com/PostView.naver?blogId=magicwordcafebabe&amp;logNo=223915469226&amp;redirect=Dlog&amp;widgetTypeCall=true&amp;directAccess=false</t>
  </si>
  <si>
    <t>MBCNEWS ~ 황장수의 뉴스브리핑o님의 오늘자 이재명, 윤석열 소식. 강골검사에서 내란수괴 내란우두머리까지... 윤석열, 특검 조사 재소환. 구속수감까지 가즈아! - 2편.</t>
  </si>
  <si>
    <t>https://blog.naver.com/PostView.naver?blogId=wishut3281&amp;logNo=223915461218&amp;redirect=Dlog&amp;widgetTypeCall=true&amp;directAccess=false</t>
  </si>
  <si>
    <t>앤디엄마 지니씨</t>
  </si>
  <si>
    <t>2025. 6. 네째주 주간일기 -_-</t>
  </si>
  <si>
    <t>https://blog.naver.com/PostView.naver?blogId=ginnie_eng&amp;logNo=223915450750&amp;redirect=Dlog&amp;widgetTypeCall=true&amp;directAccess=false</t>
  </si>
  <si>
    <t>경사스런 날</t>
  </si>
  <si>
    <t>https://blog.naver.com/PostView.naver?blogId=happylife862&amp;logNo=223915449002&amp;redirect=Dlog&amp;widgetTypeCall=true&amp;directAccess=false</t>
  </si>
  <si>
    <t>춘천 건달이</t>
  </si>
  <si>
    <t>2025029(26k LSD)</t>
  </si>
  <si>
    <t>https://blog.naver.com/PostView.naver?blogId=jhs89031012&amp;logNo=223915409493&amp;redirect=Dlog&amp;widgetTypeCall=true&amp;directAccess=false</t>
  </si>
  <si>
    <t>노무사 노무진 10화 최종화 마지막화 결말 리뷰 : 부실공사 진실 폭로부터 형과의 이별까지</t>
  </si>
  <si>
    <t>https://blog.naver.com/PostView.naver?blogId=cinemaitary&amp;logNo=223915409245&amp;redirect=Dlog&amp;widgetTypeCall=true&amp;directAccess=false</t>
  </si>
  <si>
    <t>돌풀SB</t>
  </si>
  <si>
    <t>🇰🇷🙏👥  親友와 시국(時局)觀</t>
  </si>
  <si>
    <t>https://blog.naver.com/PostView.naver?blogId=dolpul1226&amp;logNo=223915371598&amp;redirect=Dlog&amp;widgetTypeCall=true&amp;directAccess=false</t>
  </si>
  <si>
    <t>잭다니엘</t>
  </si>
  <si>
    <t>언제까지 속을래?</t>
  </si>
  <si>
    <t>https://blog.naver.com/PostView.naver?blogId=yookh1862&amp;logNo=223915348368&amp;redirect=Dlog&amp;widgetTypeCall=true&amp;directAccess=false</t>
  </si>
  <si>
    <t>유튜브 소비더머니에서 MBC 뉴스 앵커로 ‘조현용’ 기자 프로필</t>
  </si>
  <si>
    <t>https://blog.naver.com/PostView.naver?blogId=universal_studeo&amp;logNo=223915343501&amp;redirect=Dlog&amp;widgetTypeCall=true&amp;directAccess=false</t>
  </si>
  <si>
    <t>🍚밥 주는 신축 아파트, 진짜 여기가 주부들의 성지라고요? 박은영 브라이튼 투어 리뷰🍽️</t>
  </si>
  <si>
    <t>https://blog.naver.com/PostView.naver?blogId=inkverso&amp;logNo=223915328569&amp;redirect=Dlog&amp;widgetTypeCall=true&amp;directAccess=false</t>
  </si>
  <si>
    <t>🍢팜유는 죽지 않아! 박나래 in 튀르키예, 화려함+먹방+광배까지 다 때려넣은 ‘진짜 나혼산’</t>
  </si>
  <si>
    <t>https://blog.naver.com/PostView.naver?blogId=inkverso&amp;logNo=223915312433&amp;redirect=Dlog&amp;widgetTypeCall=true&amp;directAccess=false</t>
  </si>
  <si>
    <t>공인행정사 신호영</t>
  </si>
  <si>
    <t>휴가철 함께 즐기는 7월의 두근두근 축제</t>
  </si>
  <si>
    <t>https://blog.naver.com/PostView.naver?blogId=sbsoon21c&amp;logNo=223915310164&amp;redirect=Dlog&amp;widgetTypeCall=true&amp;directAccess=false</t>
  </si>
  <si>
    <t>바보곰</t>
  </si>
  <si>
    <t>각본대로 '협치무시'</t>
  </si>
  <si>
    <t>https://blog.naver.com/PostView.naver?blogId=htbear&amp;logNo=223915306681&amp;redirect=Dlog&amp;widgetTypeCall=true&amp;directAccess=false</t>
  </si>
  <si>
    <t>핵심정보 클리닉</t>
  </si>
  <si>
    <t>김정민 '마지막 사랑' 락 음악 추천</t>
  </si>
  <si>
    <t>https://blog.naver.com/PostView.naver?blogId=cling9082&amp;logNo=223913650440&amp;redirect=Dlog&amp;widgetTypeCall=true&amp;directAccess=false</t>
  </si>
  <si>
    <t>남영웅 사장</t>
  </si>
  <si>
    <t>2003.12.08. 한나라당 불법 대선자금 전달사건_차떼기 사건(1) 개요 및 상세 (역사)</t>
  </si>
  <si>
    <t>https://blog.naver.com/PostView.naver?blogId=heronam78&amp;logNo=223915285465&amp;redirect=Dlog&amp;widgetTypeCall=true&amp;directAccess=false</t>
  </si>
  <si>
    <t>최수호, 트로트 넘어 발라드까지 접수</t>
  </si>
  <si>
    <t>https://blog.naver.com/PostView.naver?blogId=kstarfashion&amp;logNo=223915266928&amp;redirect=Dlog&amp;widgetTypeCall=true&amp;directAccess=false</t>
  </si>
  <si>
    <t>[내돈내산] 일산 웨스턴돔 덮밥과 라멘 맛집. 덮밥은 물론 돈까스도 맛있는. 일본 가정식 전문. 핵밥</t>
  </si>
  <si>
    <t>https://blog.naver.com/PostView.naver?blogId=totanns&amp;logNo=223915228427&amp;redirect=Dlog&amp;widgetTypeCall=true&amp;directAccess=false</t>
  </si>
  <si>
    <t>서긍</t>
  </si>
  <si>
    <t>놓친 그 손도 그건 사랑이었다고</t>
  </si>
  <si>
    <t>https://blog.naver.com/PostView.naver?blogId=iamsxoeun&amp;logNo=223915191247&amp;redirect=Dlog&amp;widgetTypeCall=true&amp;directAccess=false</t>
  </si>
  <si>
    <t>인천 세관에서 마약을 밀수했다는 게 무슨 말이야</t>
  </si>
  <si>
    <t>https://blog.naver.com/PostView.naver?blogId=twobridge&amp;logNo=223915176972&amp;redirect=Dlog&amp;widgetTypeCall=true&amp;directAccess=false</t>
  </si>
  <si>
    <t>이다</t>
  </si>
  <si>
    <t>부산 동구 카페 아몽즈커피 범일동일타워점</t>
  </si>
  <si>
    <t>https://blog.naver.com/PostView.naver?blogId=longing1025&amp;logNo=223915170982&amp;redirect=Dlog&amp;widgetTypeCall=true&amp;directAccess=false</t>
  </si>
  <si>
    <t>Young</t>
  </si>
  <si>
    <t>Ep#10. (25-03) 풀아치(All-on-4)의 창시자, 파울로 말루를 만나다.</t>
  </si>
  <si>
    <t>https://blog.naver.com/PostView.naver?blogId=pedro_yj&amp;logNo=223915147427&amp;redirect=Dlog&amp;widgetTypeCall=true&amp;directAccess=false</t>
  </si>
  <si>
    <t>미우새·미스코리아 출신 배우 김남주 데뷔·프로필·리즈·집안·남편 김승우·가족·아버지⭐️김남주 집 삼성동 주택 가격? 자녀·대학</t>
  </si>
  <si>
    <t>https://blog.naver.com/PostView.naver?blogId=rachelwood6&amp;logNo=223915140526&amp;redirect=Dlog&amp;widgetTypeCall=true&amp;directAccess=false</t>
  </si>
  <si>
    <t>미야냠냠</t>
  </si>
  <si>
    <t>부산 공연 후기 KNN방송교향악단 서희태 지휘의 한국가곡대축제</t>
  </si>
  <si>
    <t>https://blog.naver.com/PostView.naver?blogId=mangodalcom&amp;logNo=223915101713&amp;redirect=Dlog&amp;widgetTypeCall=true&amp;directAccess=false</t>
  </si>
  <si>
    <t>이장우, 말랐던 시절 회상… 전현무부터 지적도 '살 진짜 쪘다'</t>
  </si>
  <si>
    <t>https://blog.naver.com/PostView.naver?blogId=tmrlahxhdbal&amp;logNo=223915094440&amp;redirect=Dlog&amp;widgetTypeCall=true&amp;directAccess=false</t>
  </si>
  <si>
    <t>뉴세니</t>
  </si>
  <si>
    <t>자전거의 도시 경북 상주 당일치기 여행</t>
  </si>
  <si>
    <t>https://blog.naver.com/PostView.naver?blogId=newseni&amp;logNo=223915065703&amp;redirect=Dlog&amp;widgetTypeCall=true&amp;directAccess=false</t>
  </si>
  <si>
    <t>그냥chl4</t>
  </si>
  <si>
    <t>[2025.06.28 토] 오늘 본 유튜브, 글들</t>
  </si>
  <si>
    <t>https://blog.naver.com/PostView.naver?blogId=geunyang_chl_4&amp;logNo=223915066135&amp;redirect=Dlog&amp;widgetTypeCall=true&amp;directAccess=false</t>
  </si>
  <si>
    <t>노무사 노무진 최종화 마지막회 결말 엔딩 10화 10회 리뷰 시즌2</t>
  </si>
  <si>
    <t>https://blog.naver.com/PostView.naver?blogId=hyebright&amp;logNo=223915056617&amp;redirect=Dlog&amp;widgetTypeCall=true&amp;directAccess=false</t>
  </si>
  <si>
    <t>limsu</t>
  </si>
  <si>
    <t>[판교] 판교돈</t>
  </si>
  <si>
    <t>https://blog.naver.com/PostView.naver?blogId=rimsu_blog&amp;logNo=223915046828&amp;redirect=Dlog&amp;widgetTypeCall=true&amp;directAccess=false</t>
  </si>
  <si>
    <t>"윤석열 거부로 '체포저지 조사' 중단‥다른 혐의 조사..한 번 부르고 끝내지 않는다.."특별 대우 없어"</t>
  </si>
  <si>
    <t>https://blog.naver.com/PostView.naver?blogId=primakyh1225&amp;logNo=223915027807&amp;redirect=Dlog&amp;widgetTypeCall=true&amp;directAccess=false</t>
  </si>
  <si>
    <t>나쁜 볼따귀</t>
  </si>
  <si>
    <t>찬미 도화 결혼 AOA 남편 배우 송의환 결혼식 프로필 신혼여행 출연작 나이 얼굴 몸매 재산 집 학력</t>
  </si>
  <si>
    <t>https://blog.naver.com/PostView.naver?blogId=djmam99&amp;logNo=223915021712&amp;redirect=Dlog&amp;widgetTypeCall=true&amp;directAccess=false</t>
  </si>
  <si>
    <t>자기 지켜주던 대통령 경호처  고발한 윤석열</t>
  </si>
  <si>
    <t>https://blog.naver.com/PostView.naver?blogId=croaton6219&amp;logNo=223915013704&amp;redirect=Dlog&amp;widgetTypeCall=true&amp;directAccess=false</t>
  </si>
  <si>
    <t>아파트 내 어린이 놀이터 위로 크레인 전도</t>
  </si>
  <si>
    <t>https://blog.naver.com/PostView.naver?blogId=cyshin1221&amp;logNo=223915007789&amp;redirect=Dlog&amp;widgetTypeCall=true&amp;directAccess=false</t>
  </si>
  <si>
    <t>청춘부동산</t>
  </si>
  <si>
    <t>대구 5호선, 6호선 발표!! 숨겨진 수혜지를 찾아라</t>
  </si>
  <si>
    <t>https://blog.naver.com/PostView.naver?blogId=akeron00&amp;logNo=223914988251&amp;redirect=Dlog&amp;widgetTypeCall=true&amp;directAccess=false</t>
  </si>
  <si>
    <t>윤석열이 명령했다... 수사관 바꿔!...</t>
  </si>
  <si>
    <t>https://blog.naver.com/PostView.naver?blogId=sabbaton&amp;logNo=223914968448&amp;redirect=Dlog&amp;widgetTypeCall=true&amp;directAccess=false</t>
  </si>
  <si>
    <t>무인기가 또 북으로?…정의는 왜 한 사람 앞에서 멈췄나 (+북한, 드론, 사법)</t>
  </si>
  <si>
    <t>https://blog.naver.com/PostView.naver?blogId=qoswlfdl-&amp;logNo=223914818772&amp;redirect=Dlog&amp;widgetTypeCall=true&amp;directAccess=false</t>
  </si>
  <si>
    <t>박이도</t>
  </si>
  <si>
    <t>2024 MBC 필기시험 회고</t>
  </si>
  <si>
    <t>https://blog.naver.com/PostView.naver?blogId=iwillbeabest2020&amp;logNo=223914814337&amp;redirect=Dlog&amp;widgetTypeCall=true&amp;directAccess=false</t>
  </si>
  <si>
    <t>아재아재바라아재</t>
  </si>
  <si>
    <t>[우리영화] 5화까지 봤지만 반전은 없었다</t>
  </si>
  <si>
    <t>https://blog.naver.com/PostView.naver?blogId=yoneui&amp;logNo=223914805501&amp;redirect=Dlog&amp;widgetTypeCall=true&amp;directAccess=false</t>
  </si>
  <si>
    <t>문사</t>
  </si>
  <si>
    <t>윤석열 특검 첫 기싸움 : 조은석 1패 ? ..</t>
  </si>
  <si>
    <t>https://blog.naver.com/PostView.naver?blogId=hcpark0127&amp;logNo=223914786470&amp;redirect=Dlog&amp;widgetTypeCall=true&amp;directAccess=false</t>
  </si>
  <si>
    <t>걷다 보니 그곳,,, &lt;12&gt;</t>
  </si>
  <si>
    <t>https://blog.naver.com/PostView.naver?blogId=cha4831&amp;logNo=223914761691&amp;redirect=Dlog&amp;widgetTypeCall=true&amp;directAccess=false</t>
  </si>
  <si>
    <t>250628 전지적 참견 시점 353회 예고 / 김석훈, 배달 음식 주문하면서 돈까지 번다..‘쓰저씨’의 절약 비법은?(‘전참시’)</t>
  </si>
  <si>
    <t>https://blog.naver.com/PostView.naver?blogId=kbmbc_8919&amp;logNo=223914723448&amp;redirect=Dlog&amp;widgetTypeCall=true&amp;directAccess=false</t>
  </si>
  <si>
    <t>튀르키예 여행 간 팜유 라인, '나 혼자 산다' 캠핑카 세미나 속 리얼 우정</t>
  </si>
  <si>
    <t>https://blog.naver.com/PostView.naver?blogId=apahghfej&amp;logNo=223914707624&amp;redirect=Dlog&amp;widgetTypeCall=true&amp;directAccess=false</t>
  </si>
  <si>
    <t>jjsc671</t>
  </si>
  <si>
    <t>엄마의 사계절 179</t>
  </si>
  <si>
    <t>https://blog.naver.com/PostView.naver?blogId=jjsc671&amp;logNo=223914704996&amp;redirect=Dlog&amp;widgetTypeCall=true&amp;directAccess=false</t>
  </si>
  <si>
    <t>시작의 아이</t>
  </si>
  <si>
    <t>https://blog.naver.com/PostView.naver?blogId=gycydad&amp;logNo=223914669600&amp;redirect=Dlog&amp;widgetTypeCall=true&amp;directAccess=false</t>
  </si>
  <si>
    <t>[시크릿쥬쥬별의보석시즌2] 11화 예고편 -레드비쥬를 찾아서 (2025년 6월 22일 일요일 MBC 방영예정)</t>
  </si>
  <si>
    <t>https://blog.naver.com/PostView.naver?blogId=istilldo13&amp;logNo=223914660661&amp;redirect=Dlog&amp;widgetTypeCall=true&amp;directAccess=false</t>
  </si>
  <si>
    <t>전지적 독자 시점부터 야당까지… 이번 주말, 당신의 선택은? 영화 드라마 예능, 취향따라 골라보는 출발 비디오 여행 꿀잼 라인업 (+메간2.0, 블랙 크록, 카지노)</t>
  </si>
  <si>
    <t>https://blog.naver.com/PostView.naver?blogId=qoswlfdl-&amp;logNo=223914659939&amp;redirect=Dlog&amp;widgetTypeCall=true&amp;directAccess=false</t>
  </si>
  <si>
    <t>바람따라</t>
  </si>
  <si>
    <t>구절산, 철마산, 수양산, 매암산 연계산행</t>
  </si>
  <si>
    <t>https://blog.naver.com/PostView.naver?blogId=tj0001&amp;logNo=223914655492&amp;redirect=Dlog&amp;widgetTypeCall=true&amp;directAccess=false</t>
  </si>
  <si>
    <t>Senni</t>
  </si>
  <si>
    <t>[서울] 창신동문구완구시장/우레카츠/스타벅스장충라운지R점/태극당</t>
  </si>
  <si>
    <t>https://blog.naver.com/PostView.naver?blogId=skadngus7842&amp;logNo=223914623032&amp;redirect=Dlog&amp;widgetTypeCall=true&amp;directAccess=false</t>
  </si>
  <si>
    <t>2025.6.30 [월] 한국철도공사 대전충남본부 영동역장 이재철역장 임명 대한민국 신지식인 이재철(전, 전북본부 영업처장)</t>
  </si>
  <si>
    <t>https://blog.naver.com/PostView.naver?blogId=law2033&amp;logNo=223914621681&amp;redirect=Dlog&amp;widgetTypeCall=true&amp;directAccess=false</t>
  </si>
  <si>
    <t>디모테오</t>
  </si>
  <si>
    <t>베드신에 터졌다...시청률 치솟더니 '지상파 1위' 찍은 한국 드라마</t>
  </si>
  <si>
    <t>https://blog.naver.com/PostView.naver?blogId=doin7250&amp;logNo=223914615241&amp;redirect=Dlog&amp;widgetTypeCall=true&amp;directAccess=false</t>
  </si>
  <si>
    <t>전참시·배우 김석훈 프로필·가족·아내·와이프·자녀·리즈·정지영 매니저⭐️김석훈 사무실 친환경 일상 공개?</t>
  </si>
  <si>
    <t>https://blog.naver.com/PostView.naver?blogId=rachelwood6&amp;logNo=223914608869&amp;redirect=Dlog&amp;widgetTypeCall=true&amp;directAccess=false</t>
  </si>
  <si>
    <t>집구석 언니</t>
  </si>
  <si>
    <t>강남 유명 오마카세 식당 어디? 셰프 쉐프 직원 상습 성폭행</t>
  </si>
  <si>
    <t>https://blog.naver.com/PostView.naver?blogId=homenews_&amp;logNo=223914583587&amp;redirect=Dlog&amp;widgetTypeCall=true&amp;directAccess=false</t>
  </si>
  <si>
    <t>시우S</t>
  </si>
  <si>
    <t>전문가 전망과 투자 전략</t>
  </si>
  <si>
    <t>https://blog.naver.com/PostView.naver?blogId=napublic&amp;logNo=223911207024&amp;redirect=Dlog&amp;widgetTypeCall=true&amp;directAccess=false</t>
  </si>
  <si>
    <t>해이담</t>
  </si>
  <si>
    <t>성공하면 끈기, 실패하면 미련(노력은 왜 결과로만 평가할까?)</t>
  </si>
  <si>
    <t>https://blog.naver.com/PostView.naver?blogId=dust516&amp;logNo=223910855482&amp;redirect=Dlog&amp;widgetTypeCall=true&amp;directAccess=false</t>
  </si>
  <si>
    <t>배우 안재모·가수 이창환 등 홍보대사 6명 신규 위촉 - 연천뉴스</t>
  </si>
  <si>
    <t>https://blog.naver.com/PostView.naver?blogId=wonsun1963&amp;logNo=223914409589&amp;redirect=Dlog&amp;widgetTypeCall=true&amp;directAccess=false</t>
  </si>
  <si>
    <t>열한 번째 달</t>
  </si>
  <si>
    <t>국제 부정선거 감시단 기사 삭제, 그 이유</t>
  </si>
  <si>
    <t>https://blog.naver.com/PostView.naver?blogId=foxinthemoon&amp;logNo=223914396006&amp;redirect=Dlog&amp;widgetTypeCall=true&amp;directAccess=false</t>
  </si>
  <si>
    <t>[내돈내산] 일산 뷔페 맛집? 음식 종류 많고 모임 하기 좋은. 부페파크. 하지만 오늘은 아쉽다...</t>
  </si>
  <si>
    <t>https://blog.naver.com/PostView.naver?blogId=totanns&amp;logNo=223914388635&amp;redirect=Dlog&amp;widgetTypeCall=true&amp;directAccess=false</t>
  </si>
  <si>
    <t>] [속보] 김건희, 윤석열 미는 휠체어 타고 퇴원, 노영희 변호사 지금 이들 부부의 상태 "전형적인 00방식이야!” _노영희 최인호 오창익 김지호</t>
  </si>
  <si>
    <t>https://blog.naver.com/PostView.naver?blogId=redrose117&amp;logNo=223914363053&amp;redirect=Dlog&amp;widgetTypeCall=true&amp;directAccess=false</t>
  </si>
  <si>
    <t>{ 알고듣는 추억노래} 218화 🍒너를 사랑하고도🍒    2025.6.28</t>
  </si>
  <si>
    <t>https://blog.naver.com/PostView.naver?blogId=goldsea59&amp;logNo=223914336304&amp;redirect=Dlog&amp;widgetTypeCall=true&amp;directAccess=false</t>
  </si>
  <si>
    <t>난 어제 "오징어 게임 시즌3"를 다 보고 이런 생각이 들었다. 미국이 U.S 스틸을 일본에 넘겨주었듯이, 그 넷플릭스를 한국에 넘겨주면 어떻겠냐고 역제안하고 싶다는 생각이다..</t>
  </si>
  <si>
    <t>https://blog.naver.com/PostView.naver?blogId=samsongeko1&amp;logNo=223914300111&amp;redirect=Dlog&amp;widgetTypeCall=true&amp;directAccess=false</t>
  </si>
  <si>
    <t>놀면 뭐하니 멤버들, 방송국에서 대체 무슨 짓을…?! 방캉스 즐기다 초토화?! (+유재석, 미주, 하하)</t>
  </si>
  <si>
    <t>https://blog.naver.com/PostView.naver?blogId=minha051126&amp;logNo=223914285096&amp;redirect=Dlog&amp;widgetTypeCall=true&amp;directAccess=false</t>
  </si>
  <si>
    <t>독립운동부터 민주화, 서해수호까지‥"희생에 각별한 보상" (2025.06.27/뉴스데스크/MBC)</t>
  </si>
  <si>
    <t>https://blog.naver.com/PostView.naver?blogId=findingflow1&amp;logNo=223914251676&amp;redirect=Dlog&amp;widgetTypeCall=true&amp;directAccess=false</t>
  </si>
  <si>
    <t>‘구명조끼 없이 급류 수색’…CCTV가 드러낸 채상병 사건의 진실</t>
  </si>
  <si>
    <t>https://blog.naver.com/PostView.naver?blogId=26feb&amp;logNo=223914238182&amp;redirect=Dlog&amp;widgetTypeCall=true&amp;directAccess=false</t>
  </si>
  <si>
    <t>여행작가 모모</t>
  </si>
  <si>
    <t>(경산 가볼만한곳) 왕버들 반영이 아름다운, 반곡지!</t>
  </si>
  <si>
    <t>https://blog.naver.com/PostView.naver?blogId=7607song&amp;logNo=223906207728&amp;redirect=Dlog&amp;widgetTypeCall=true&amp;directAccess=false</t>
  </si>
  <si>
    <t>토끼풀</t>
  </si>
  <si>
    <t>석병훈 교수님 인터뷰</t>
  </si>
  <si>
    <t>https://blog.naver.com/PostView.naver?blogId=tokkiful_tokkipul&amp;logNo=223914213028&amp;redirect=Dlog&amp;widgetTypeCall=true&amp;directAccess=false</t>
  </si>
  <si>
    <t>궁 평범한 여고생과 황태자의 로맨스 2025 리메이크 드라마 줄거리와 등장인물 완벽 정리</t>
  </si>
  <si>
    <t>https://blog.naver.com/PostView.naver?blogId=qnzjn8&amp;logNo=223914139307&amp;redirect=Dlog&amp;widgetTypeCall=true&amp;directAccess=false</t>
  </si>
  <si>
    <t>**대통령실 브리핑 방식 변화: 기자 소속사와 얼굴 공개로 투명성 강화**</t>
  </si>
  <si>
    <t>https://blog.naver.com/PostView.naver?blogId=ormaverh-m&amp;logNo=223914197707&amp;redirect=Dlog&amp;widgetTypeCall=true&amp;directAccess=false</t>
  </si>
  <si>
    <t>연쇄살인범 강호순, "사람을 더 죽였다..추가 자백?!" 강호순 그는 누구인가? 강호순 성장환경, 그가 저지른 잔인한 성폭행, 살인 수법 분석</t>
  </si>
  <si>
    <t>https://blog.naver.com/PostView.naver?blogId=englishmaninty&amp;logNo=223914026419&amp;redirect=Dlog&amp;widgetTypeCall=true&amp;directAccess=false</t>
  </si>
  <si>
    <t>레전드 이종범 KT위즈 1군 코치 팀 떠났다. JTBC" 최강야구 차기 감독???</t>
  </si>
  <si>
    <t>https://blog.naver.com/PostView.naver?blogId=goldcjy&amp;logNo=223914019903&amp;redirect=Dlog&amp;widgetTypeCall=true&amp;directAccess=false</t>
  </si>
  <si>
    <t>[250626]국군수도병원 재활의학과 진료부장 김 모 대령의 공상 병사 치료 연장 거부와 강제 전역의 시도에도 불구하고 17사단 방공중대 원일병의 2차 전역보류는 승인되었다</t>
  </si>
  <si>
    <t>https://blog.naver.com/PostView.naver?blogId=hi2mu6ra&amp;logNo=223914015515&amp;redirect=Dlog&amp;widgetTypeCall=true&amp;directAccess=false</t>
  </si>
  <si>
    <t>nature</t>
  </si>
  <si>
    <t>여름밤 책임질 몰아보기 챗gpt 추천작 (한국 시리즈 인기작, 마블 시리즈 정주행 순서)</t>
  </si>
  <si>
    <t>https://blog.naver.com/PostView.naver?blogId=viewjw&amp;logNo=223914006406&amp;redirect=Dlog&amp;widgetTypeCall=true&amp;directAccess=false</t>
  </si>
  <si>
    <t>태양을 삼킨 여자 15회, 장신영 윤아정 다시 만나다</t>
  </si>
  <si>
    <t>https://blog.naver.com/PostView.naver?blogId=gktkrk&amp;logNo=223913962363&amp;redirect=Dlog&amp;widgetTypeCall=true&amp;directAccess=false</t>
  </si>
  <si>
    <t>이예민</t>
  </si>
  <si>
    <t>②⓪②⑤-③④⑤</t>
  </si>
  <si>
    <t>https://blog.naver.com/PostView.naver?blogId=ye-min-lee&amp;logNo=223913952358&amp;redirect=Dlog&amp;widgetTypeCall=true&amp;directAccess=false</t>
  </si>
  <si>
    <t>케어매치</t>
  </si>
  <si>
    <t>‘MBC 대학가요제’, 13년 만에 부활…2025년 가을 개최</t>
  </si>
  <si>
    <t>https://blog.naver.com/PostView.naver?blogId=yeop1002&amp;logNo=223913908135&amp;redirect=Dlog&amp;widgetTypeCall=true&amp;directAccess=false</t>
  </si>
  <si>
    <t>노무사 노무진9화9회예고"마지막 방법"MBC 금토밤9시50분/정경호 설인아 차학연</t>
  </si>
  <si>
    <t>https://blog.naver.com/PostView.naver?blogId=sunny_yoon29&amp;logNo=223913895881&amp;redirect=Dlog&amp;widgetTypeCall=true&amp;directAccess=false</t>
  </si>
  <si>
    <t>KT 이종범 코치 시즌 중 팀 떠난 이유는? '최강야구 감독으로 출연?'</t>
  </si>
  <si>
    <t>https://blog.naver.com/PostView.naver?blogId=baekhw1&amp;logNo=223913880955&amp;redirect=Dlog&amp;widgetTypeCall=true&amp;directAccess=false</t>
  </si>
  <si>
    <t>빠니보틀 500만원 통유리 박살낸 충격 이유…알고보니 1억 4천 공간 대여? 아직도 유리조각이 (+홈즈, 전일야화, 건물주)</t>
  </si>
  <si>
    <t>https://blog.naver.com/PostView.naver?blogId=min5591ha&amp;logNo=223913847192&amp;redirect=Dlog&amp;widgetTypeCall=true&amp;directAccess=false</t>
  </si>
  <si>
    <t>원조의 귀환! MBC '2025 대학가요제-청춘을 켜다'</t>
  </si>
  <si>
    <t>https://blog.naver.com/PostView.naver?blogId=hmknews&amp;logNo=223913835405&amp;redirect=Dlog&amp;widgetTypeCall=true&amp;directAccess=false</t>
  </si>
  <si>
    <t>김동현 “그럼 실탄은 언제 쏘나”…흉기 난동에 경찰 과잉 대응 논란 일침</t>
  </si>
  <si>
    <t>https://blog.naver.com/PostView.naver?blogId=picklenews&amp;logNo=223913794317&amp;redirect=Dlog&amp;widgetTypeCall=true&amp;directAccess=false</t>
  </si>
  <si>
    <t>“모기 심정 이해해”…'나 혼자 산다' 코드쿤스트, 김대호 주방 앞에서 눈치 전쟁</t>
  </si>
  <si>
    <t>https://blog.naver.com/PostView.naver?blogId=kstarfashion&amp;logNo=223913792495&amp;redirect=Dlog&amp;widgetTypeCall=true&amp;directAccess=false</t>
  </si>
  <si>
    <t>“청춘의 노래를 다시 켭니다”…13년 만에 돌아온 MBC 대학가요제</t>
  </si>
  <si>
    <t>https://blog.naver.com/PostView.naver?blogId=26feb&amp;logNo=223913786206&amp;redirect=Dlog&amp;widgetTypeCall=true&amp;directAccess=false</t>
  </si>
  <si>
    <t>웨일플레이</t>
  </si>
  <si>
    <t>고전을 보자! [고전영화] 중경삼림</t>
  </si>
  <si>
    <t>https://blog.naver.com/PostView.naver?blogId=whaleplay&amp;logNo=223913745664&amp;redirect=Dlog&amp;widgetTypeCall=true&amp;directAccess=false</t>
  </si>
  <si>
    <t>경산</t>
  </si>
  <si>
    <t>(방송출연) 시니어 모델 뼈 건강관리 / 류시호 작가</t>
  </si>
  <si>
    <t>https://blog.naver.com/PostView.naver?blogId=r615000&amp;logNo=223913685046&amp;redirect=Dlog&amp;widgetTypeCall=true&amp;directAccess=false</t>
  </si>
  <si>
    <t>흔한아재</t>
  </si>
  <si>
    <t>네셔널 프레스 클럽 워싱턴에서 있던 기자회견: 부정선거가 한국에 있었다는 증언들이 속출했다.</t>
  </si>
  <si>
    <t>https://blog.naver.com/PostView.naver?blogId=enokeijij&amp;logNo=223913664054&amp;redirect=Dlog&amp;widgetTypeCall=true&amp;directAccess=false</t>
  </si>
  <si>
    <t>빠니보틀 월수입 12억? 246만 유튜버의 상상 초월 수익…여행하며 돈벼락 맞는 비법?! (+인스타, 프로필, 나무위키)</t>
  </si>
  <si>
    <t>https://blog.naver.com/PostView.naver?blogId=qoswlfdl-&amp;logNo=223913601602&amp;redirect=Dlog&amp;widgetTypeCall=true&amp;directAccess=false</t>
  </si>
  <si>
    <t>[건국대 BEST 5] 공수 모두 책임진 건국대 포워드 전기현! "하반기에는 팀원들과 같이 성장해 더 높은 위치에 올라갈 수 있도록 노력할 것"</t>
  </si>
  <si>
    <t>https://blog.naver.com/PostView.naver?blogId=kaptain_konkuk&amp;logNo=223913095075&amp;redirect=Dlog&amp;widgetTypeCall=true&amp;directAccess=false</t>
  </si>
  <si>
    <t>인천세관 300kg 규모 마약 수사 외압&amp;김건희 일가 연루 의혹</t>
  </si>
  <si>
    <t>https://blog.naver.com/PostView.naver?blogId=2005sd&amp;logNo=223913551115&amp;redirect=Dlog&amp;widgetTypeCall=true&amp;directAccess=false</t>
  </si>
  <si>
    <t>이장우 11월 결혼 발표 후 첫 나혼산…팜유 세미나 막방에서 박나래와 무슨 일이 (+결혼, 팜유, 나혼자산다)</t>
  </si>
  <si>
    <t>https://blog.naver.com/PostView.naver?blogId=ovonews&amp;logNo=223913520448&amp;redirect=Dlog&amp;widgetTypeCall=true&amp;directAccess=false</t>
  </si>
  <si>
    <t>변우석, 여행 중 독보적인 비주얼로 팬들 심쿵! "자유롭고 감각적인 일상"</t>
  </si>
  <si>
    <t>https://blog.naver.com/PostView.naver?blogId=museonair2025&amp;logNo=223913419683&amp;redirect=Dlog&amp;widgetTypeCall=true&amp;directAccess=false</t>
  </si>
  <si>
    <t>가는 곳마다, 하는 말마다.. 유족 면전에 "잘 들으세요" [뉴스.zip/MBC뉴스]</t>
  </si>
  <si>
    <t>https://blog.naver.com/PostView.naver?blogId=testdirt&amp;logNo=223913454937&amp;redirect=Dlog&amp;widgetTypeCall=true&amp;directAccess=false</t>
  </si>
  <si>
    <t>유열, You Yeoul - The Best of You Yeoul, 1992 (서울음반 CD)</t>
  </si>
  <si>
    <t>https://blog.naver.com/PostView.naver?blogId=puffik&amp;logNo=223913452610&amp;redirect=Dlog&amp;widgetTypeCall=true&amp;directAccess=false</t>
  </si>
  <si>
    <t>&lt;6DAYS&gt; DAY6와 함께 하는 시네마틱 여정! SCREENX, 4DX, ULTRA 4DX 개봉 확정&amp;특별관 포스터 공개!</t>
  </si>
  <si>
    <t>https://blog.naver.com/PostView.naver?blogId=shinsuper&amp;logNo=223913431981&amp;redirect=Dlog&amp;widgetTypeCall=true&amp;directAccess=false</t>
  </si>
  <si>
    <t>야인</t>
  </si>
  <si>
    <t>일희일비(一喜一悲)</t>
  </si>
  <si>
    <t>https://blog.naver.com/PostView.naver?blogId=hopebaseball&amp;logNo=223913404661&amp;redirect=Dlog&amp;widgetTypeCall=true&amp;directAccess=false</t>
  </si>
  <si>
    <t>솜터리</t>
  </si>
  <si>
    <t>대전 1박 2일 여행 코스 추천 대전 맛집 카페 숙소 후기 (1일차)</t>
  </si>
  <si>
    <t>https://blog.naver.com/PostView.naver?blogId=dainee38&amp;logNo=223913398160&amp;redirect=Dlog&amp;widgetTypeCall=true&amp;directAccess=false</t>
  </si>
  <si>
    <t>가온ENC</t>
  </si>
  <si>
    <t>업무협약소식 [전주MBC에너지,디지피,가온이앤씨]</t>
  </si>
  <si>
    <t>https://blog.naver.com/PostView.naver?blogId=gaon5339&amp;logNo=223913390587&amp;redirect=Dlog&amp;widgetTypeCall=true&amp;directAccess=false</t>
  </si>
  <si>
    <t>우인</t>
  </si>
  <si>
    <t>영화 ‘남극의 쉐프’</t>
  </si>
  <si>
    <t>https://blog.naver.com/PostView.naver?blogId=21kchung&amp;logNo=223913354144&amp;redirect=Dlog&amp;widgetTypeCall=true&amp;directAccess=false</t>
  </si>
  <si>
    <t>정변의 자기생각</t>
  </si>
  <si>
    <t>서울 부동산 폭등의 진실</t>
  </si>
  <si>
    <t>https://blog.naver.com/PostView.naver?blogId=2004dreamer&amp;logNo=223913297950&amp;redirect=Dlog&amp;widgetTypeCall=true&amp;directAccess=false</t>
  </si>
  <si>
    <t>(뉴스인)배우 심은경, 6년 만에 안방극장 복귀작!</t>
  </si>
  <si>
    <t>https://blog.naver.com/PostView.naver?blogId=kty7156&amp;logNo=223913340271&amp;redirect=Dlog&amp;widgetTypeCall=true&amp;directAccess=false</t>
  </si>
  <si>
    <t>한민수</t>
  </si>
  <si>
    <t>[강북을 한민수] 이진숙 방송통신위원장의‘황제수사’와‘황제감사원 감사’가 도를 넘어서고 있다.</t>
  </si>
  <si>
    <t>https://blog.naver.com/PostView.naver?blogId=hmsgb&amp;logNo=223913313819&amp;redirect=Dlog&amp;widgetTypeCall=true&amp;directAccess=false</t>
  </si>
  <si>
    <t>하루켄</t>
  </si>
  <si>
    <t>콜드플레이 내한 콘서트 노래 Something Just Like This</t>
  </si>
  <si>
    <t>https://blog.naver.com/PostView.naver?blogId=seoulharu&amp;logNo=223913300299&amp;redirect=Dlog&amp;widgetTypeCall=true&amp;directAccess=false</t>
  </si>
  <si>
    <t>숨어 연애하기 싫어서 커밍아웃했어요｜홍석천, 공개연애가 말해주는 25년의 용기</t>
  </si>
  <si>
    <t>https://blog.naver.com/PostView.naver?blogId=ddaompyo77&amp;logNo=223913027650&amp;redirect=Dlog&amp;widgetTypeCall=true&amp;directAccess=false</t>
  </si>
  <si>
    <t>문정경중</t>
  </si>
  <si>
    <t>화덕구이 마산 족발 맛집 "족발신선생 마산호계점"의 또 먹고 싶은 맛</t>
  </si>
  <si>
    <t>https://blog.naver.com/PostView.naver?blogId=meekee0104&amp;logNo=223913280492&amp;redirect=Dlog&amp;widgetTypeCall=true&amp;directAccess=false</t>
  </si>
  <si>
    <t>심은경, 요즘 대세, 배우 심은경 tvN &lt;건물주&gt; 드라마 캐스팅!</t>
  </si>
  <si>
    <t>https://blog.naver.com/PostView.naver?blogId=seenedom&amp;logNo=223913273324&amp;redirect=Dlog&amp;widgetTypeCall=true&amp;directAccess=false</t>
  </si>
  <si>
    <t>요선생</t>
  </si>
  <si>
    <t>미국 국제선거감시단, 대한민국 부정선거를 전세계에 알리다.(feat.대통령 호소인의 소년원?)</t>
  </si>
  <si>
    <t>https://blog.naver.com/PostView.naver?blogId=singree1829&amp;logNo=223913255209&amp;redirect=Dlog&amp;widgetTypeCall=true&amp;directAccess=false</t>
  </si>
  <si>
    <t>또바기 쌔라</t>
  </si>
  <si>
    <t>[리뷰] 시대 어른 김장하 선생</t>
  </si>
  <si>
    <t>https://blog.naver.com/PostView.naver?blogId=mkkim7188&amp;logNo=223912960839&amp;redirect=Dlog&amp;widgetTypeCall=true&amp;directAccess=false</t>
  </si>
  <si>
    <t>우보</t>
  </si>
  <si>
    <t>MBC아카데미컴퓨터학원 포토샵 자격증 취득과정 첫 수강</t>
  </si>
  <si>
    <t>https://blog.naver.com/PostView.naver?blogId=iwoobo&amp;logNo=223913218481&amp;redirect=Dlog&amp;widgetTypeCall=true&amp;directAccess=false</t>
  </si>
  <si>
    <t>‘246만 유튜버’ 빠니보틀 “월수입? 그냥 괜찮아요”…겸손 속 숨겨진 성공</t>
  </si>
  <si>
    <t>https://blog.naver.com/PostView.naver?blogId=reviewangel&amp;logNo=223913202260&amp;redirect=Dlog&amp;widgetTypeCall=true&amp;directAccess=false</t>
  </si>
  <si>
    <t>일산 웨스턴돔 반미 맛집. 바삭한 쌀 바게트가 매력적인. 반미 362. 그리고 일산호수공원 산책과 블로그지수?</t>
  </si>
  <si>
    <t>https://blog.naver.com/PostView.naver?blogId=totanns&amp;logNo=223913200216&amp;redirect=Dlog&amp;widgetTypeCall=true&amp;directAccess=false</t>
  </si>
  <si>
    <t>니들이  뭔데 범죄자들 주제에 요구 사항이 그리 많냐???</t>
  </si>
  <si>
    <t>https://blog.naver.com/PostView.naver?blogId=redrose117&amp;logNo=223913190586&amp;redirect=Dlog&amp;widgetTypeCall=true&amp;directAccess=false</t>
  </si>
  <si>
    <t>지우</t>
  </si>
  <si>
    <t>오…. 큰데…….</t>
  </si>
  <si>
    <t>https://blog.naver.com/PostView.naver?blogId=adventuretime_&amp;logNo=223913139207&amp;redirect=Dlog&amp;widgetTypeCall=true&amp;directAccess=false</t>
  </si>
  <si>
    <t>우민안맘</t>
  </si>
  <si>
    <t>방구석 콘서트~ㅎㅎ 공연 가고 싶네!(by GOLDPLAY 공연, 글래스톤베리)</t>
  </si>
  <si>
    <t>https://blog.naver.com/PostView.naver?blogId=sky6713&amp;logNo=223913133350&amp;redirect=Dlog&amp;widgetTypeCall=true&amp;directAccess=false</t>
  </si>
  <si>
    <t>나 혼자 산다·배우 이장우 조혜원 11월 결혼 마지막 팜유 여행 튀르키예 이스탄불 카흐발트 카이막⭐️이장우 프로필·집·한남동·살 다이어트·데뷔·리즈·가게·우동 식당</t>
  </si>
  <si>
    <t>https://blog.naver.com/PostView.naver?blogId=rachelwood6&amp;logNo=223913091768&amp;redirect=Dlog&amp;widgetTypeCall=true&amp;directAccess=false</t>
  </si>
  <si>
    <t>모니카</t>
  </si>
  <si>
    <t>청주 문화답사/2025.6.26</t>
  </si>
  <si>
    <t>https://blog.naver.com/PostView.naver?blogId=happy6419-&amp;logNo=223913081596&amp;redirect=Dlog&amp;widgetTypeCall=true&amp;directAccess=false</t>
  </si>
  <si>
    <t>충청타임즈</t>
  </si>
  <si>
    <t>돌소풀속</t>
  </si>
  <si>
    <t>제58탑, 이루어질 때까지 잊혀지지 않기를</t>
  </si>
  <si>
    <t>https://blog.naver.com/PostView.naver?blogId=amita89&amp;logNo=223912980623&amp;redirect=Dlog&amp;widgetTypeCall=true&amp;directAccess=false</t>
  </si>
  <si>
    <t>제57탑, 흔들리며 피는 꽃</t>
  </si>
  <si>
    <t>https://blog.naver.com/PostView.naver?blogId=amita89&amp;logNo=223912933031&amp;redirect=Dlog&amp;widgetTypeCall=true&amp;directAccess=false</t>
  </si>
  <si>
    <t>축적에서 소화로의 패러다임 전환</t>
  </si>
  <si>
    <t>https://blog.naver.com/PostView.naver?blogId=poohnanda&amp;logNo=223900838319&amp;redirect=Dlog&amp;widgetTypeCall=true&amp;directAccess=false</t>
  </si>
  <si>
    <t>장관식 관장</t>
  </si>
  <si>
    <t>청년 징검다리·GWG복싱아카데미 거리 정화활동</t>
  </si>
  <si>
    <t>https://blog.naver.com/PostView.naver?blogId=gwgboxing&amp;logNo=223899571223&amp;redirect=Dlog&amp;widgetTypeCall=true&amp;directAccess=false</t>
  </si>
  <si>
    <t>재정지킴이</t>
  </si>
  <si>
    <t>부산일보</t>
  </si>
  <si>
    <t>서면포스코부동산</t>
  </si>
  <si>
    <t>부산 미분양주택 한달만에 711호 증가…준공후미분양도 껑충</t>
  </si>
  <si>
    <t>https://blog.naver.com/PostView.naver?blogId=seomyeonposco8545&amp;logNo=223916890153&amp;redirect=Dlog&amp;widgetTypeCall=true&amp;directAccess=false</t>
  </si>
  <si>
    <t>(언론보도) 디자인으로 감각을 자극하고, 몰입하며 새롭게 경험하라, ‘부산디자인페스티벌’, 6월 26일~29일 부산 벡스코서 개최</t>
  </si>
  <si>
    <t>https://blog.naver.com/PostView.naver?blogId=dcbusan&amp;logNo=223916813380&amp;redirect=Dlog&amp;widgetTypeCall=true&amp;directAccess=false</t>
  </si>
  <si>
    <t>에스테르</t>
  </si>
  <si>
    <t>부산전시 동구문화플랫폼 &lt;소중한 사람에게, 전이수 특별전&gt;</t>
  </si>
  <si>
    <t>https://blog.naver.com/PostView.naver?blogId=mumvhbr&amp;logNo=223914189785&amp;redirect=Dlog&amp;widgetTypeCall=true&amp;directAccess=false</t>
  </si>
  <si>
    <t>2025년 6월 27일 (금) 부산일보</t>
  </si>
  <si>
    <t>https://blog.naver.com/PostView.naver?blogId=theblock101&amp;logNo=223913267174&amp;redirect=Dlog&amp;widgetTypeCall=true&amp;directAccess=false</t>
  </si>
  <si>
    <t>고속도로_[밀물썰물]</t>
  </si>
  <si>
    <t>https://blog.naver.com/PostView.naver?blogId=bomnal2025_feb&amp;logNo=223913055840&amp;redirect=Dlog&amp;widgetTypeCall=true&amp;directAccess=false</t>
  </si>
  <si>
    <t>제18회 2025 대한민국다문화예술대상식 성황리 개최</t>
  </si>
  <si>
    <t>https://blog.naver.com/PostView.naver?blogId=agh0078&amp;logNo=223912878767&amp;redirect=Dlog&amp;widgetTypeCall=true&amp;directAccess=false</t>
  </si>
  <si>
    <t>한돌 이두석</t>
  </si>
  <si>
    <t>정샘</t>
  </si>
  <si>
    <t>아침신문</t>
  </si>
  <si>
    <t>https://blog.naver.com/PostView.naver?blogId=ejrtns782901&amp;logNo=223912089822&amp;redirect=Dlog&amp;widgetTypeCall=true&amp;directAccess=false</t>
  </si>
  <si>
    <t>코랄 예뻐</t>
  </si>
  <si>
    <t>경주 황리단길 대릉원 오아르미술관방문 후기</t>
  </si>
  <si>
    <t>https://blog.naver.com/PostView.naver?blogId=206khj&amp;logNo=223910561666&amp;redirect=Dlog&amp;widgetTypeCall=true&amp;directAccess=false</t>
  </si>
  <si>
    <t>화재사고, 황령터널 내 화재로 출근길 정체</t>
  </si>
  <si>
    <t>https://blog.naver.com/PostView.naver?blogId=qw11333&amp;logNo=223909801328&amp;redirect=Dlog&amp;widgetTypeCall=true&amp;directAccess=false</t>
  </si>
  <si>
    <t>3주차 경제용어1</t>
  </si>
  <si>
    <t>https://blog.naver.com/PostView.naver?blogId=kyuhaeart&amp;logNo=223909025229&amp;redirect=Dlog&amp;widgetTypeCall=true&amp;directAccess=false</t>
  </si>
  <si>
    <t>꿈하늘</t>
  </si>
  <si>
    <t>2025. 6. 17. [국중박 특별전] 일본 미술, 네 가지 시선 - 첫 번째 : 꾸밈의  열정</t>
  </si>
  <si>
    <t>https://blog.naver.com/PostView.naver?blogId=deco98&amp;logNo=223908761798&amp;redirect=Dlog&amp;widgetTypeCall=true&amp;directAccess=false</t>
  </si>
  <si>
    <t>황준승교수</t>
  </si>
  <si>
    <t>경남 창원 의창구 소답동 온천사거리 승용차 배달 오토바이 충돌 사고 신호위반인가</t>
  </si>
  <si>
    <t>https://blog.naver.com/PostView.naver?blogId=joonseung&amp;logNo=223908687856&amp;redirect=Dlog&amp;widgetTypeCall=true&amp;directAccess=false</t>
  </si>
  <si>
    <t>한국 노래방 문화의 변천사</t>
  </si>
  <si>
    <t>https://blog.naver.com/PostView.naver?blogId=tomalss&amp;logNo=223908269137&amp;redirect=Dlog&amp;widgetTypeCall=true&amp;directAccess=false</t>
  </si>
  <si>
    <t>부산시 '무연고자 사회적 가족 장례', 행안부 규제 개선 우수 사례 선정</t>
  </si>
  <si>
    <t>https://blog.naver.com/PostView.naver?blogId=yfish66&amp;logNo=223908266099&amp;redirect=Dlog&amp;widgetTypeCall=true&amp;directAccess=false</t>
  </si>
  <si>
    <t>Mariebusan</t>
  </si>
  <si>
    <t>2025 제14회 BFAA 부산국제아트페어&amp;2025 제45회 부산미술제 [벡스코 제2전시관 2025.6.26-29]</t>
  </si>
  <si>
    <t>https://blog.naver.com/PostView.naver?blogId=rosemary1230&amp;logNo=223907591854&amp;redirect=Dlog&amp;widgetTypeCall=true&amp;directAccess=false</t>
  </si>
  <si>
    <t>트럼프 “美, 이란 핵시설 3곳 성공적 폭격“</t>
  </si>
  <si>
    <t>https://blog.naver.com/PostView.naver?blogId=jwkim8993&amp;logNo=223907457222&amp;redirect=Dlog&amp;widgetTypeCall=true&amp;directAccess=false</t>
  </si>
  <si>
    <t>내산</t>
  </si>
  <si>
    <t>화폐요판화</t>
  </si>
  <si>
    <t>https://blog.naver.com/PostView.naver?blogId=sukpar&amp;logNo=223907088823&amp;redirect=Dlog&amp;widgetTypeCall=true&amp;directAccess=false</t>
  </si>
  <si>
    <t>동천</t>
  </si>
  <si>
    <t>함양 기백산(箕白山)과 금원산(金猿山) 산행</t>
  </si>
  <si>
    <t>https://blog.naver.com/PostView.naver?blogId=tigervalleyeastriver&amp;logNo=223904769625&amp;redirect=Dlog&amp;widgetTypeCall=true&amp;directAccess=false</t>
  </si>
  <si>
    <t>ksbong0104</t>
  </si>
  <si>
    <t>부산교통공사, 도시철도 1호선 개통 40주년 맞아 정책토론회 개최</t>
  </si>
  <si>
    <t>https://blog.naver.com/PostView.naver?blogId=ksbong0104&amp;logNo=223903935986&amp;redirect=Dlog&amp;widgetTypeCall=true&amp;directAccess=false</t>
  </si>
  <si>
    <t>개구쟁이 홀릭맘</t>
  </si>
  <si>
    <t>다문화 사회 문제 해결을 위한 정책 제안서</t>
  </si>
  <si>
    <t>https://blog.naver.com/PostView.naver?blogId=juhee1023&amp;logNo=223902873746&amp;redirect=Dlog&amp;widgetTypeCall=true&amp;directAccess=false</t>
  </si>
  <si>
    <t>시사k뉴스</t>
  </si>
  <si>
    <t>부산지방보훈청, 제58회 부일보훈대상 시상식 개최 예정</t>
  </si>
  <si>
    <t>https://blog.naver.com/PostView.naver?blogId=chal379&amp;logNo=223901917259&amp;redirect=Dlog&amp;widgetTypeCall=true&amp;directAccess=false</t>
  </si>
  <si>
    <t>재개발재건축</t>
  </si>
  <si>
    <t>"계속 뛰는 분양가"…민간아파트분양가격동향</t>
  </si>
  <si>
    <t>https://blog.naver.com/PostView.naver?blogId=cdh3491&amp;logNo=223901282427&amp;redirect=Dlog&amp;widgetTypeCall=true&amp;directAccess=false</t>
  </si>
  <si>
    <t>https://blog.naver.com/PostView.naver?blogId=juhee1023&amp;logNo=223900160640&amp;redirect=Dlog&amp;widgetTypeCall=true&amp;directAccess=false</t>
  </si>
  <si>
    <t>평버미키</t>
  </si>
  <si>
    <t>열람실 없는 도서관</t>
  </si>
  <si>
    <t>https://blog.naver.com/PostView.naver?blogId=murru1378&amp;logNo=223898958626&amp;redirect=Dlog&amp;widgetTypeCall=true&amp;directAccess=false</t>
  </si>
  <si>
    <t>꽃보다말숙이</t>
  </si>
  <si>
    <t>기술보증기금, ‘역대 최대 규모’ 신입 117명 채용한다[출처. 부산일보]</t>
  </si>
  <si>
    <t>https://blog.naver.com/PostView.naver?blogId=qlms3059&amp;logNo=223898543579&amp;redirect=Dlog&amp;widgetTypeCall=true&amp;directAccess=false</t>
  </si>
  <si>
    <t>김해공항 제2터미널 신설 하나? 한국 공항공사 여름 성수기 대책 부산역 출국장과 해운대 출국장 신설하나?</t>
  </si>
  <si>
    <t>https://blog.naver.com/PostView.naver?blogId=esuccess&amp;logNo=223898070137&amp;redirect=Dlog&amp;widgetTypeCall=true&amp;directAccess=false</t>
  </si>
  <si>
    <t>Gachi예술운동</t>
  </si>
  <si>
    <t>[부산일보] 부산전시, 이번 주에 뭐 볼까?</t>
  </si>
  <si>
    <t>https://blog.naver.com/PostView.naver?blogId=gachiart&amp;logNo=223898014434&amp;redirect=Dlog&amp;widgetTypeCall=true&amp;directAccess=false</t>
  </si>
  <si>
    <t>대통령실 출입 기자 질문 생중계, 오대영 "언론자유 위축일까?" 김용남 "질문 못하면 기자 관둬야"</t>
  </si>
  <si>
    <t>https://blog.naver.com/PostView.naver?blogId=lkl7383&amp;logNo=223896895072&amp;redirect=Dlog&amp;widgetTypeCall=true&amp;directAccess=false</t>
  </si>
  <si>
    <t>호잇</t>
  </si>
  <si>
    <t>[보수는 어디로] 경상도, 대구, 부산, 울산 신문(나무위키 기준) 살피기</t>
  </si>
  <si>
    <t>https://blog.naver.com/PostView.naver?blogId=hoit138&amp;logNo=223896866206&amp;redirect=Dlog&amp;widgetTypeCall=true&amp;directAccess=false</t>
  </si>
  <si>
    <t>깜진진</t>
  </si>
  <si>
    <t>누나 야구선수예요?</t>
  </si>
  <si>
    <t>https://blog.naver.com/PostView.naver?blogId=xjokr&amp;logNo=223895476766&amp;redirect=Dlog&amp;widgetTypeCall=true&amp;directAccess=false</t>
  </si>
  <si>
    <t>김요아킴</t>
  </si>
  <si>
    <t>이런 대통령을 원한다-부산일보 기사</t>
  </si>
  <si>
    <t>https://blog.naver.com/PostView.naver?blogId=kjhchds&amp;logNo=223895400099&amp;redirect=Dlog&amp;widgetTypeCall=true&amp;directAccess=false</t>
  </si>
  <si>
    <t>무한시야</t>
  </si>
  <si>
    <t>[책 소개!] 블루시아의 가위바위보 / 김중미 외</t>
  </si>
  <si>
    <t>https://blog.naver.com/PostView.naver?blogId=out_in&amp;logNo=223865713606&amp;redirect=Dlog&amp;widgetTypeCall=true&amp;directAccess=false</t>
  </si>
  <si>
    <t>에코델타시티? 가덕도 독뫼산 택지?  가덕신공항 부지 주민 이 주지 [출처.부산일보]</t>
  </si>
  <si>
    <t>https://blog.naver.com/PostView.naver?blogId=qlms3059&amp;logNo=223894813932&amp;redirect=Dlog&amp;widgetTypeCall=true&amp;directAccess=false</t>
  </si>
  <si>
    <t>미트 마케터 김태경</t>
  </si>
  <si>
    <t>일본을 살아온 조선소(朝鮮牛)의 근대사 PAGE 69~107</t>
  </si>
  <si>
    <t>https://blog.naver.com/PostView.naver?blogId=brandkim&amp;logNo=223893006529&amp;redirect=Dlog&amp;widgetTypeCall=true&amp;directAccess=false</t>
  </si>
  <si>
    <t>호기심천국</t>
  </si>
  <si>
    <t>6월 두번째 주 이번주 블로거 직장인 할일 목표</t>
  </si>
  <si>
    <t>https://blog.naver.com/PostView.naver?blogId=haggyo7&amp;logNo=223892943877&amp;redirect=Dlog&amp;widgetTypeCall=true&amp;directAccess=false</t>
  </si>
  <si>
    <t>마법사</t>
  </si>
  <si>
    <t>찐윤 국회의원은 누구? (전)국회의원도 포함.</t>
  </si>
  <si>
    <t>https://blog.naver.com/PostView.naver?blogId=bonanzawin7&amp;logNo=223891443230&amp;redirect=Dlog&amp;widgetTypeCall=true&amp;directAccess=false</t>
  </si>
  <si>
    <t>이야기로 만나는 아프리카_관광편 (15) 정보통신기술</t>
  </si>
  <si>
    <t>https://blog.naver.com/PostView.naver?blogId=jh2er&amp;logNo=223890512695&amp;redirect=Dlog&amp;widgetTypeCall=true&amp;directAccess=false</t>
  </si>
  <si>
    <t>버려야 할 때 버리지 않으면 찾아오는 것_[정훈의생각의빛]</t>
  </si>
  <si>
    <t>https://blog.naver.com/PostView.naver?blogId=bomnal2025_feb&amp;logNo=223890067444&amp;redirect=Dlog&amp;widgetTypeCall=true&amp;directAccess=false</t>
  </si>
  <si>
    <t>6월 5일(목) 오늘의 증시현황 특징주 마감시황</t>
  </si>
  <si>
    <t>https://blog.naver.com/PostView.naver?blogId=sbandy75&amp;logNo=223889798690&amp;redirect=Dlog&amp;widgetTypeCall=true&amp;directAccess=false</t>
  </si>
  <si>
    <t>[사회] 부산 사하구 초등학교 교실에서 화재</t>
  </si>
  <si>
    <t>https://blog.naver.com/PostView.naver?blogId=bluessoju&amp;logNo=223889697730&amp;redirect=Dlog&amp;widgetTypeCall=true&amp;directAccess=false</t>
  </si>
  <si>
    <t>꿈에그린포레나부동산</t>
  </si>
  <si>
    <t>서밋 남천 vs 르 엘 센텀---"분양 대어" 침체한 부동산 띄울까</t>
  </si>
  <si>
    <t>https://blog.naver.com/PostView.naver?blogId=wodn7711&amp;logNo=223889537375&amp;redirect=Dlog&amp;widgetTypeCall=true&amp;directAccess=false</t>
  </si>
  <si>
    <t>철인 3종 2바퀴 코스, 고성서 진정한 ‘아이언맨’ 가린다. 13~15일까지 [출처. 부산일보]</t>
  </si>
  <si>
    <t>https://blog.naver.com/PostView.naver?blogId=qlms3059&amp;logNo=223889318350&amp;redirect=Dlog&amp;widgetTypeCall=true&amp;directAccess=false</t>
  </si>
  <si>
    <t>송포유</t>
  </si>
  <si>
    <t>[일상] 봄이 끝나가는건가...??</t>
  </si>
  <si>
    <t>https://blog.naver.com/PostView.naver?blogId=thdvhdb007&amp;logNo=223888723783&amp;redirect=Dlog&amp;widgetTypeCall=true&amp;directAccess=false</t>
  </si>
  <si>
    <t>나비물</t>
  </si>
  <si>
    <t>한국원자력연구소 차형기박사</t>
  </si>
  <si>
    <t>https://blog.naver.com/PostView.naver?blogId=free_less&amp;logNo=223888679606&amp;redirect=Dlog&amp;widgetTypeCall=true&amp;directAccess=false</t>
  </si>
  <si>
    <t>부산, 크루즈 여행객 3년만에 7배</t>
  </si>
  <si>
    <t>https://blog.naver.com/PostView.naver?blogId=tbyn7182&amp;logNo=223887425123&amp;redirect=Dlog&amp;widgetTypeCall=true&amp;directAccess=false</t>
  </si>
  <si>
    <t>2025년 6월 2일 (월) 부산일보 지면기사</t>
  </si>
  <si>
    <t>https://blog.naver.com/PostView.naver?blogId=theblock101&amp;logNo=223885566221&amp;redirect=Dlog&amp;widgetTypeCall=true&amp;directAccess=false</t>
  </si>
  <si>
    <t>검공</t>
  </si>
  <si>
    <t>양산 토곡산, 내화마을회관~복천정사~토곡산~어곡원동내포임도~성지마을 표석~무량사~원점회귀</t>
  </si>
  <si>
    <t>https://blog.naver.com/PostView.naver?blogId=bds6546&amp;logNo=223884634446&amp;redirect=Dlog&amp;widgetTypeCall=true&amp;directAccess=false</t>
  </si>
  <si>
    <t>우야</t>
  </si>
  <si>
    <t>고령 미숭산('25. 6. 1)</t>
  </si>
  <si>
    <t>https://blog.naver.com/PostView.naver?blogId=sr2lee&amp;logNo=223885166585&amp;redirect=Dlog&amp;widgetTypeCall=true&amp;directAccess=false</t>
  </si>
  <si>
    <t>대한사진영상신문</t>
  </si>
  <si>
    <t>태화강 마두희 축제추진위원회, ‘2025 태화강 마두희 축제’ 개최</t>
  </si>
  <si>
    <t>https://blog.naver.com/PostView.naver?blogId=photojr&amp;logNo=223885017178&amp;redirect=Dlog&amp;widgetTypeCall=true&amp;directAccess=false</t>
  </si>
  <si>
    <t>한국은행의 인구구조 변화가 소비 둔화에 미치는 보고서에 대한 기사</t>
  </si>
  <si>
    <t>https://blog.naver.com/PostView.naver?blogId=herbsod&amp;logNo=223884985346&amp;redirect=Dlog&amp;widgetTypeCall=true&amp;directAccess=false</t>
  </si>
  <si>
    <t>SBS</t>
  </si>
  <si>
    <t>구부리</t>
  </si>
  <si>
    <t>🦐📝250603 repo.~40 고명 사부의 마음속 1순위는 언제나 장해였다 ft. 크랭크 업 비하인드</t>
  </si>
  <si>
    <t>https://blog.naver.com/PostView.naver?blogId=pjxian11&amp;logNo=223887679712&amp;redirect=Dlog&amp;widgetTypeCall=true&amp;directAccess=false</t>
  </si>
  <si>
    <t>록파</t>
  </si>
  <si>
    <t>🍍 가족 모임부터 인생네컷, 그리고 참치마요와 개표방송까지</t>
  </si>
  <si>
    <t>https://blog.naver.com/PostView.naver?blogId=rocknroll_pineapple&amp;logNo=223887673727&amp;redirect=Dlog&amp;widgetTypeCall=true&amp;directAccess=false</t>
  </si>
  <si>
    <t>"우아함의 대명사" 고현정, 베레모로 완성한 독보적 분위기와 차기작 ‘사마귀’까지 화제</t>
  </si>
  <si>
    <t>https://blog.naver.com/PostView.naver?blogId=apahghfej&amp;logNo=223887659253&amp;redirect=Dlog&amp;widgetTypeCall=true&amp;directAccess=false</t>
  </si>
  <si>
    <t>김범준 사랑해</t>
  </si>
  <si>
    <t>대학교 종강이 곧</t>
  </si>
  <si>
    <t>https://blog.naver.com/PostView.naver?blogId=kbj4633333&amp;logNo=223887649353&amp;redirect=Dlog&amp;widgetTypeCall=true&amp;directAccess=false</t>
  </si>
  <si>
    <t>안효섭 채원빈 차기작 워커홀릭 커플 드라마 오늘도 매진했습니다</t>
  </si>
  <si>
    <t>https://blog.naver.com/PostView.naver?blogId=polianna825&amp;logNo=223887649397&amp;redirect=Dlog&amp;widgetTypeCall=true&amp;directAccess=false</t>
  </si>
  <si>
    <t>길거리 목격 사진으로 동안여신 등극한 48세 여배우 ft. 하지원</t>
  </si>
  <si>
    <t>https://blog.naver.com/PostView.naver?blogId=euene1111&amp;logNo=223887610331&amp;redirect=Dlog&amp;widgetTypeCall=true&amp;directAccess=false</t>
  </si>
  <si>
    <t>핫피커</t>
  </si>
  <si>
    <t>나란글씨</t>
  </si>
  <si>
    <t>20250603 대통령 선거 투표</t>
  </si>
  <si>
    <t>https://blog.naver.com/PostView.naver?blogId=mojopaper&amp;logNo=223887540856&amp;redirect=Dlog&amp;widgetTypeCall=true&amp;directAccess=false</t>
  </si>
  <si>
    <t>사과랍니다</t>
  </si>
  <si>
    <t>제 21대 대통령 선거 ✨️🙏</t>
  </si>
  <si>
    <t>https://blog.naver.com/PostView.naver?blogId=yunmi999&amp;logNo=223887539300&amp;redirect=Dlog&amp;widgetTypeCall=true&amp;directAccess=false</t>
  </si>
  <si>
    <t>에쓰씨</t>
  </si>
  <si>
    <t>개표방송이 재미있다.</t>
  </si>
  <si>
    <t>https://blog.naver.com/PostView.naver?blogId=choest0616&amp;logNo=223887539533&amp;redirect=Dlog&amp;widgetTypeCall=true&amp;directAccess=false</t>
  </si>
  <si>
    <t>푸른 바다</t>
  </si>
  <si>
    <t>6월3일#강다니엘-1[2025]</t>
  </si>
  <si>
    <t>https://blog.naver.com/PostView.naver?blogId=elle1497&amp;logNo=223887504028&amp;redirect=Dlog&amp;widgetTypeCall=true&amp;directAccess=false</t>
  </si>
  <si>
    <t>다원하는대로</t>
  </si>
  <si>
    <t>long time no see ^.^</t>
  </si>
  <si>
    <t>https://blog.naver.com/PostView.naver?blogId=d107716awon&amp;logNo=223887482872&amp;redirect=Dlog&amp;widgetTypeCall=true&amp;directAccess=false</t>
  </si>
  <si>
    <t>명랑소년</t>
  </si>
  <si>
    <t>고현정 사망설? 가짜뉴스! 본인이 입 열었다. "쇼크다!!" 플레이리스트. 고현정이 부르는 노래. &lt;소녀시대&gt; (원곡: 이승철)</t>
  </si>
  <si>
    <t>https://blog.naver.com/PostView.naver?blogId=interval99&amp;logNo=223887367429&amp;redirect=Dlog&amp;widgetTypeCall=true&amp;directAccess=false</t>
  </si>
  <si>
    <t>Freewill</t>
  </si>
  <si>
    <t>2025.06.03. 5월의 기록</t>
  </si>
  <si>
    <t>https://blog.naver.com/PostView.naver?blogId=dohyeon_km&amp;logNo=223887360524&amp;redirect=Dlog&amp;widgetTypeCall=true&amp;directAccess=false</t>
  </si>
  <si>
    <t>spring diary</t>
  </si>
  <si>
    <t>청량리 평양냉면 - 평양냉면본점</t>
  </si>
  <si>
    <t>https://blog.naver.com/PostView.naver?blogId=unasuna&amp;logNo=223887343353&amp;redirect=Dlog&amp;widgetTypeCall=true&amp;directAccess=false</t>
  </si>
  <si>
    <t>KLPGA</t>
  </si>
  <si>
    <t>[KLPGA 2025 다산베아채 골프앤리조트 점프투어 with SBS골프 7차전] 조하리, 점프투어 역대 최다타수차로 생애 첫 우승!</t>
  </si>
  <si>
    <t>https://blog.naver.com/PostView.naver?blogId=klpgapr&amp;logNo=223887323978&amp;redirect=Dlog&amp;widgetTypeCall=true&amp;directAccess=false</t>
  </si>
  <si>
    <t>한수희 작가 화첩기행</t>
  </si>
  <si>
    <t>YK갤러리 YK 이색10인전</t>
  </si>
  <si>
    <t>https://blog.naver.com/PostView.naver?blogId=art3737&amp;logNo=223887288207&amp;redirect=Dlog&amp;widgetTypeCall=true&amp;directAccess=false</t>
  </si>
  <si>
    <t>팔공산 산신령</t>
  </si>
  <si>
    <t>법구(法具)</t>
  </si>
  <si>
    <t>https://blog.naver.com/PostView.naver?blogId=id2182&amp;logNo=223887277154&amp;redirect=Dlog&amp;widgetTypeCall=true&amp;directAccess=false</t>
  </si>
  <si>
    <t>뇽지</t>
  </si>
  <si>
    <t>[하와이 여행] 하얏트 리젠시 와이키키 오션 프론트 뷰 후기(수영장, 조식)</t>
  </si>
  <si>
    <t>https://blog.naver.com/PostView.naver?blogId=nyj0526&amp;logNo=223887177899&amp;redirect=Dlog&amp;widgetTypeCall=true&amp;directAccess=false</t>
  </si>
  <si>
    <t>20억 이모카세 1호 부부 이혼? 뭔소리야 이건 또?</t>
  </si>
  <si>
    <t>https://blog.naver.com/PostView.naver?blogId=wwioa__&amp;logNo=223887173277&amp;redirect=Dlog&amp;widgetTypeCall=true&amp;directAccess=false</t>
  </si>
  <si>
    <t>삵쾡이언니</t>
  </si>
  <si>
    <t>생활의 달인 3대 김초밥 대전 노포 감자 크로아상 브리오슈 정보_985회</t>
  </si>
  <si>
    <t>https://blog.naver.com/PostView.naver?blogId=zephyros0&amp;logNo=223887132922&amp;redirect=Dlog&amp;widgetTypeCall=true&amp;directAccess=false</t>
  </si>
  <si>
    <t>동상이몽2' 박민철 변호사, 아내와의 '재판' 방불케 하는 부부싸움 일화 공개</t>
  </si>
  <si>
    <t>https://blog.naver.com/PostView.naver?blogId=lsb3002&amp;logNo=223887129205&amp;redirect=Dlog&amp;widgetTypeCall=true&amp;directAccess=false</t>
  </si>
  <si>
    <t>전력수비</t>
  </si>
  <si>
    <t>7등급중고차할부 니즈를 맞춘 곳이라면</t>
  </si>
  <si>
    <t>https://blog.naver.com/PostView.naver?blogId=suby80&amp;logNo=223887007670&amp;redirect=Dlog&amp;widgetTypeCall=true&amp;directAccess=false</t>
  </si>
  <si>
    <t>오징어 게임3' 예고편, 하루 만에 200만…화제성·궁금증 최고조</t>
  </si>
  <si>
    <t>https://blog.naver.com/PostView.naver?blogId=atraxia123&amp;logNo=223887116592&amp;redirect=Dlog&amp;widgetTypeCall=true&amp;directAccess=false</t>
  </si>
  <si>
    <t>나는솔로 6기 현숙 착하더라.. 나는solo 그후 사랑은 계속된다 나솔사계 17기 옥순 VS 지지고 볶는 여행 24기 옥순 생얼 "차이나는 쌩얼?" SBS예능</t>
  </si>
  <si>
    <t>https://blog.naver.com/PostView.naver?blogId=kws3128pdm&amp;logNo=223887102632&amp;redirect=Dlog&amp;widgetTypeCall=true&amp;directAccess=false</t>
  </si>
  <si>
    <t>연극 킬링시저 ; '이게 정의가 아니면 뭐란 말인가!!'</t>
  </si>
  <si>
    <t>https://blog.naver.com/PostView.naver?blogId=tolerance55&amp;logNo=223890924814&amp;redirect=Dlog&amp;widgetTypeCall=true&amp;directAccess=false</t>
  </si>
  <si>
    <t>육성재X김지연, ‘숨소리도 삼킨’ 목숨을 건 도주 (귀궁)</t>
  </si>
  <si>
    <t>https://blog.naver.com/PostView.naver?blogId=atraxia123&amp;logNo=223890905690&amp;redirect=Dlog&amp;widgetTypeCall=true&amp;directAccess=false</t>
  </si>
  <si>
    <t>hagojavi</t>
  </si>
  <si>
    <t>귀궁15회 빙의</t>
  </si>
  <si>
    <t>https://blog.naver.com/PostView.naver?blogId=ghksgus&amp;logNo=223890905207&amp;redirect=Dlog&amp;widgetTypeCall=true&amp;directAccess=false</t>
  </si>
  <si>
    <t>하오</t>
  </si>
  <si>
    <t>2025천안K-컬쳐박람회 소개</t>
  </si>
  <si>
    <t>https://blog.naver.com/PostView.naver?blogId=ihaoyuhak&amp;logNo=223890866596&amp;redirect=Dlog&amp;widgetTypeCall=true&amp;directAccess=false</t>
  </si>
  <si>
    <t>카탈리나</t>
  </si>
  <si>
    <t>20250606</t>
  </si>
  <si>
    <t>https://blog.naver.com/PostView.naver?blogId=gelect&amp;logNo=223890858215&amp;redirect=Dlog&amp;widgetTypeCall=true&amp;directAccess=false</t>
  </si>
  <si>
    <t>귀궁 15회, 김지연과 육성재 팔척귀에 빙의 된 김지훈과 대결</t>
  </si>
  <si>
    <t>https://blog.naver.com/PostView.naver?blogId=gktkrk&amp;logNo=223890847333&amp;redirect=Dlog&amp;widgetTypeCall=true&amp;directAccess=false</t>
  </si>
  <si>
    <t>리리리</t>
  </si>
  <si>
    <t>[여의도] 면발 너 합격, 매일 아침 자가제면으로 만드는 여의도 소바 맛집 ‘삼동소바’</t>
  </si>
  <si>
    <t>https://blog.naver.com/PostView.naver?blogId=mooongee52&amp;logNo=223890839259&amp;redirect=Dlog&amp;widgetTypeCall=true&amp;directAccess=false</t>
  </si>
  <si>
    <t>비삼광</t>
  </si>
  <si>
    <t>귀궁 14회 14화 리뷰 줄거리</t>
  </si>
  <si>
    <t>https://blog.naver.com/PostView.naver?blogId=1o7hucker&amp;logNo=223890838356&amp;redirect=Dlog&amp;widgetTypeCall=true&amp;directAccess=false</t>
  </si>
  <si>
    <t>신동철</t>
  </si>
  <si>
    <t>화가 신동철_제주도 이야기 ⑤ 제주도가 내게 준 선물들</t>
  </si>
  <si>
    <t>https://blog.naver.com/PostView.naver?blogId=sinartist&amp;logNo=223883922601&amp;redirect=Dlog&amp;widgetTypeCall=true&amp;directAccess=false</t>
  </si>
  <si>
    <t>최티끌</t>
  </si>
  <si>
    <t>정신차리자 이제 부터!!!</t>
  </si>
  <si>
    <t>https://blog.naver.com/PostView.naver?blogId=s22hh22&amp;logNo=223890784795&amp;redirect=Dlog&amp;widgetTypeCall=true&amp;directAccess=false</t>
  </si>
  <si>
    <t>부산 성인용품점 살인사건, 유영철 vs 이두홍…진짜 범인은 누구? (+그것이 알고 싶다, 유영철, 이두홍, 그알 1446회)</t>
  </si>
  <si>
    <t>https://blog.naver.com/PostView.naver?blogId=minsimnews&amp;logNo=223890781409&amp;redirect=Dlog&amp;widgetTypeCall=true&amp;directAccess=false</t>
  </si>
  <si>
    <t>불타는 보라빛 고구마</t>
  </si>
  <si>
    <t>25.6.3 대통령선거+콩국수+냉제육+개표방송</t>
  </si>
  <si>
    <t>https://blog.naver.com/PostView.naver?blogId=ccece34&amp;logNo=223890707840&amp;redirect=Dlog&amp;widgetTypeCall=true&amp;directAccess=false</t>
  </si>
  <si>
    <t>이재명 대통령 첫 안전치안점검 회의, 장마철에 예측 가능한 사고발생 시 책임 물을것</t>
  </si>
  <si>
    <t>https://blog.naver.com/PostView.naver?blogId=kyh070181&amp;logNo=223890703806&amp;redirect=Dlog&amp;widgetTypeCall=true&amp;directAccess=false</t>
  </si>
  <si>
    <t>뛰뛰마마</t>
  </si>
  <si>
    <t>단거리 노장 모르피스, 6번째 명예경주마로 선정.</t>
  </si>
  <si>
    <t>https://blog.naver.com/PostView.naver?blogId=ddiddimama&amp;logNo=223890670196&amp;redirect=Dlog&amp;widgetTypeCall=true&amp;directAccess=false</t>
  </si>
  <si>
    <t>포르투</t>
  </si>
  <si>
    <t>나는솔로 26기 옥순 문.신 수돗물 논란 공주병 예민 자기중심 끝판왕 나이 직업 이상형 가난 발언 파문 재조명</t>
  </si>
  <si>
    <t>https://blog.naver.com/PostView.naver?blogId=porto7979&amp;logNo=223890663804&amp;redirect=Dlog&amp;widgetTypeCall=true&amp;directAccess=false</t>
  </si>
  <si>
    <t>IT타임스</t>
  </si>
  <si>
    <t>엔피, SBS 대선 개표방송에 실시간 XR 기술 적용</t>
  </si>
  <si>
    <t>https://blog.naver.com/PostView.naver?blogId=ittimesnews&amp;logNo=223890615086&amp;redirect=Dlog&amp;widgetTypeCall=true&amp;directAccess=false</t>
  </si>
  <si>
    <t>꼬꼬무 발바리 이종구 최악의 연쇄 성폭행범 꼬리에 꼬리를 무는 그날이야기 178회</t>
  </si>
  <si>
    <t>https://blog.naver.com/PostView.naver?blogId=kmlink&amp;logNo=223890610668&amp;redirect=Dlog&amp;widgetTypeCall=true&amp;directAccess=false</t>
  </si>
  <si>
    <t>KㅡReporter</t>
  </si>
  <si>
    <t>KBO 2025.06.06(금) NC 다이노스 : 삼성 라이온즈 프리뷰 및 예측, 분석</t>
  </si>
  <si>
    <t>https://blog.naver.com/PostView.naver?blogId=k_reporter_&amp;logNo=223890566876&amp;redirect=Dlog&amp;widgetTypeCall=true&amp;directAccess=false</t>
  </si>
  <si>
    <t>나솔사계 국화 투표용지 촬영했다가 선거법 위반 혐의 고발 그놈의 투표인증</t>
  </si>
  <si>
    <t>https://blog.naver.com/PostView.naver?blogId=tobao0318&amp;logNo=223890550433&amp;redirect=Dlog&amp;widgetTypeCall=true&amp;directAccess=false</t>
  </si>
  <si>
    <t>슈바빙</t>
  </si>
  <si>
    <t>itspriceless</t>
  </si>
  <si>
    <t>🌿 비양도 한 바퀴, 바람 따라 걷기</t>
  </si>
  <si>
    <t>https://blog.naver.com/PostView.naver?blogId=itspriceless&amp;logNo=223890521503&amp;redirect=Dlog&amp;widgetTypeCall=true&amp;directAccess=false</t>
  </si>
  <si>
    <t>공유지분 지분부동산</t>
  </si>
  <si>
    <t>딸 있는 아버지, 8년간 184명 이상을 성폭행 했다. (25.06.05. SBS 꼬꼬무 – 대전 발바리 사건)</t>
  </si>
  <si>
    <t>https://blog.naver.com/PostView.naver?blogId=now-asset&amp;logNo=223890502092&amp;redirect=Dlog&amp;widgetTypeCall=true&amp;directAccess=false</t>
  </si>
  <si>
    <t>오장군</t>
  </si>
  <si>
    <t>앞으로 가는 인생 돌아보기</t>
  </si>
  <si>
    <t>https://blog.naver.com/PostView.naver?blogId=7788nh&amp;logNo=223890493200&amp;redirect=Dlog&amp;widgetTypeCall=true&amp;directAccess=false</t>
  </si>
  <si>
    <t>나는solo 26기 영호의 솔직한 거절, 오히려 감사한 이유, 나는솔로</t>
  </si>
  <si>
    <t>https://blog.naver.com/PostView.naver?blogId=chummilmil99&amp;logNo=223890424140&amp;redirect=Dlog&amp;widgetTypeCall=true&amp;directAccess=false</t>
  </si>
  <si>
    <t>나솔사계 17기 옥순 오열 늘 차분하던 옥순의 폭풍 눈물 이유는?</t>
  </si>
  <si>
    <t>https://blog.naver.com/PostView.naver?blogId=wwioa__&amp;logNo=223890416193&amp;redirect=Dlog&amp;widgetTypeCall=true&amp;directAccess=false</t>
  </si>
  <si>
    <t>‘나솔사계’ 25기 영호, 4대1 데이트서 음식 계산 깜짝 선언…센스있는 매너로 호감도 급상승</t>
  </si>
  <si>
    <t>https://blog.naver.com/PostView.naver?blogId=wwioa__&amp;logNo=223890323933&amp;redirect=Dlog&amp;widgetTypeCall=true&amp;directAccess=false</t>
  </si>
  <si>
    <t>반오늘</t>
  </si>
  <si>
    <t># 16. 애정하는 6월</t>
  </si>
  <si>
    <t>https://blog.naver.com/PostView.naver?blogId=zzice93&amp;logNo=223890290842&amp;redirect=Dlog&amp;widgetTypeCall=true&amp;directAccess=false</t>
  </si>
  <si>
    <t>[브랜드 역사] NH투자증권 브랜드 역사</t>
  </si>
  <si>
    <t>https://blog.naver.com/PostView.naver?blogId=msp3441&amp;logNo=223885649616&amp;redirect=Dlog&amp;widgetTypeCall=true&amp;directAccess=false</t>
  </si>
  <si>
    <t>스튜베</t>
  </si>
  <si>
    <t>파주감자탕 맛집 청년감자탕순대국 파주야당점 솔직후기</t>
  </si>
  <si>
    <t>https://blog.naver.com/PostView.naver?blogId=strawberry0321&amp;logNo=223890279514&amp;redirect=Dlog&amp;widgetTypeCall=true&amp;directAccess=false</t>
  </si>
  <si>
    <t>winru</t>
  </si>
  <si>
    <t>그알 유튜브 그알저알 폐지. 이재명 정권 눈치 보기인가??</t>
  </si>
  <si>
    <t>https://blog.naver.com/PostView.naver?blogId=stoccatore&amp;logNo=223890264929&amp;redirect=Dlog&amp;widgetTypeCall=true&amp;directAccess=false</t>
  </si>
  <si>
    <t>순돌</t>
  </si>
  <si>
    <t>이화언론인상에 이성경 한경TV 보도국장·이정애 SBS 보도본부 부장</t>
  </si>
  <si>
    <t>https://blog.naver.com/PostView.naver?blogId=ogolga7&amp;logNo=223890211298&amp;redirect=Dlog&amp;widgetTypeCall=true&amp;directAccess=false</t>
  </si>
  <si>
    <t>고현정, '무심한 하트'로 유쾌한 근황 공개…여전히 빛나는 '방부제 미모'</t>
  </si>
  <si>
    <t>https://blog.naver.com/PostView.naver?blogId=lsb3002&amp;logNo=223890203835&amp;redirect=Dlog&amp;widgetTypeCall=true&amp;directAccess=false</t>
  </si>
  <si>
    <t>[투자빣] 염블리와 함께 / 시장함께읽기 / 250605</t>
  </si>
  <si>
    <t>https://blog.naver.com/PostView.naver?blogId=kim-box&amp;logNo=223890129644&amp;redirect=Dlog&amp;widgetTypeCall=true&amp;directAccess=false</t>
  </si>
  <si>
    <t>나는 SOLO 26기 옥순, 이게 데이트야? 예민 끝판왕에 영수도 체념</t>
  </si>
  <si>
    <t>https://blog.naver.com/PostView.naver?blogId=wwhandww&amp;logNo=223889689935&amp;redirect=Dlog&amp;widgetTypeCall=true&amp;directAccess=false</t>
  </si>
  <si>
    <t>이재인 아역배우, '하이파이브, 미지의 서울' 화제 중심에 서다</t>
  </si>
  <si>
    <t>https://blog.naver.com/PostView.naver?blogId=wwioa__&amp;logNo=223890109193&amp;redirect=Dlog&amp;widgetTypeCall=true&amp;directAccess=false</t>
  </si>
  <si>
    <t>“이상형은 멜라니아 트럼프” 지상렬, 영부인 사랑 고백에 폭소…'세상에 이런일이2'서 입담 폭발</t>
  </si>
  <si>
    <t>https://blog.naver.com/PostView.naver?blogId=apahghfej&amp;logNo=223890076781&amp;redirect=Dlog&amp;widgetTypeCall=true&amp;directAccess=false</t>
  </si>
  <si>
    <t>나는솔로 26기 현숙 명대사 '이런 분이 필요한 사람 아닐까'</t>
  </si>
  <si>
    <t>https://blog.naver.com/PostView.naver?blogId=wwioa__&amp;logNo=223890069959&amp;redirect=Dlog&amp;widgetTypeCall=true&amp;directAccess=false</t>
  </si>
  <si>
    <t>10기 정숙, 가품 판매 논란의 전말: 무혐의 주장 속 경찰 수사 진행 중</t>
  </si>
  <si>
    <t>https://blog.naver.com/PostView.naver?blogId=macshorts&amp;logNo=223888810555&amp;redirect=Dlog&amp;widgetTypeCall=true&amp;directAccess=false</t>
  </si>
  <si>
    <t>탤런트박근형 황신혜</t>
  </si>
  <si>
    <t>https://blog.naver.com/PostView.naver?blogId=yang83529&amp;logNo=223890040082&amp;redirect=Dlog&amp;widgetTypeCall=true&amp;directAccess=false</t>
  </si>
  <si>
    <t>탤런트정욱 황신혜</t>
  </si>
  <si>
    <t>https://blog.naver.com/PostView.naver?blogId=yang83529&amp;logNo=223890039829&amp;redirect=Dlog&amp;widgetTypeCall=true&amp;directAccess=false</t>
  </si>
  <si>
    <t>원석</t>
  </si>
  <si>
    <t>대법, 이화영 '불법 대북송금·뇌물 혐의 유죄' 징역 7년 8개월·벌금 2억 5천 만원 확정 "이재명 대통령 방북비 맞다" 재판 중단?</t>
  </si>
  <si>
    <t>https://blog.naver.com/PostView.naver?blogId=frtydhwang&amp;logNo=223889959446&amp;redirect=Dlog&amp;widgetTypeCall=true&amp;directAccess=false</t>
  </si>
  <si>
    <t>세상만사</t>
  </si>
  <si>
    <t>🛁 김남주 "아기 욕조도 챙겨 다녔어요" 고백에 전국 엄마들 "어? 나만 그런 게 아니었네?"</t>
  </si>
  <si>
    <t>https://blog.naver.com/PostView.naver?blogId=owell-&amp;logNo=223889643340&amp;redirect=Dlog&amp;widgetTypeCall=true&amp;directAccess=false</t>
  </si>
  <si>
    <t>착한곰</t>
  </si>
  <si>
    <t>코히넛</t>
  </si>
  <si>
    <t>끼야호 운동 일지 (6/3-6/8)</t>
  </si>
  <si>
    <t>https://blog.naver.com/PostView.naver?blogId=gmltj10180&amp;logNo=223889927936&amp;redirect=Dlog&amp;widgetTypeCall=true&amp;directAccess=false</t>
  </si>
  <si>
    <t>나솔 26기 정숙 의도 간파한 순자 영자? 나는솔로 요즘예능추천</t>
  </si>
  <si>
    <t>https://blog.naver.com/PostView.naver?blogId=shushu9988&amp;logNo=223889858502&amp;redirect=Dlog&amp;widgetTypeCall=true&amp;directAccess=false</t>
  </si>
  <si>
    <t>향기롭게</t>
  </si>
  <si>
    <t>나는솔로 26기 심야 데이트 후폭풍 누가 흔들렸나</t>
  </si>
  <si>
    <t>https://blog.naver.com/PostView.naver?blogId=ms97906&amp;logNo=223889907348&amp;redirect=Dlog&amp;widgetTypeCall=true&amp;directAccess=false</t>
  </si>
  <si>
    <t>강다니엘 “사람으로 안 보여”…‘꼬꼬무’서 드러난 최악의 성범죄 ‘발바리 이중구’</t>
  </si>
  <si>
    <t>https://blog.naver.com/PostView.naver?blogId=apahghfej&amp;logNo=223889875437&amp;redirect=Dlog&amp;widgetTypeCall=true&amp;directAccess=false</t>
  </si>
  <si>
    <t>테슬라 이슈 #003</t>
  </si>
  <si>
    <t>https://blog.naver.com/PostView.naver?blogId=positive__attitude&amp;logNo=223889871832&amp;redirect=Dlog&amp;widgetTypeCall=true&amp;directAccess=false</t>
  </si>
  <si>
    <t>나솔사계 17기옥순 달라진 반응... 나는솔로 1기영식 같은 이상형 만날까?</t>
  </si>
  <si>
    <t>https://blog.naver.com/PostView.naver?blogId=challa-life&amp;logNo=223889831089&amp;redirect=Dlog&amp;widgetTypeCall=true&amp;directAccess=false</t>
  </si>
  <si>
    <t>유리ME</t>
  </si>
  <si>
    <t>분당 율동공원 맛집 '안집'</t>
  </si>
  <si>
    <t>https://blog.naver.com/PostView.naver?blogId=riace&amp;logNo=223889827694&amp;redirect=Dlog&amp;widgetTypeCall=true&amp;directAccess=false</t>
  </si>
  <si>
    <t>우준쌤</t>
  </si>
  <si>
    <t>TV 프로그램이나 기타 여러 미디어 콘텐츠에서 발견한(혹은 본인이 주변 일상생활에서 경험한) 외국인 학습자의 ‘오류’를 포착하고 이를 기술한 다음 이것이 어떤 원인에 의한 오류인지</t>
  </si>
  <si>
    <t>https://blog.naver.com/PostView.naver?blogId=dnwns884&amp;logNo=223889366766&amp;redirect=Dlog&amp;widgetTypeCall=true&amp;directAccess=false</t>
  </si>
  <si>
    <t>나는솔로 24기 정숙 웃음 교정했어? 25기 영호와 현커일까, 그후 사랑은 계속된다</t>
  </si>
  <si>
    <t>https://blog.naver.com/PostView.naver?blogId=chummilmil99&amp;logNo=223889802395&amp;redirect=Dlog&amp;widgetTypeCall=true&amp;directAccess=false</t>
  </si>
  <si>
    <t>생방송투데이 48년 전통 돼지갈비 외국인의밥상</t>
  </si>
  <si>
    <t>https://blog.naver.com/PostView.naver?blogId=goseo0&amp;logNo=223889561251&amp;redirect=Dlog&amp;widgetTypeCall=true&amp;directAccess=false</t>
  </si>
  <si>
    <t>사랑의 돛단배 타고 최여진 김재욱 선상결혼 화제. 럭셔리 가평크루즈, SBS 동상이몽 6.16 방영. 2025 자라섬 꽃페스타 북한강 유람선 소식</t>
  </si>
  <si>
    <t>https://blog.naver.com/PostView.naver?blogId=peacemaker2027&amp;logNo=223889795805&amp;redirect=Dlog&amp;widgetTypeCall=true&amp;directAccess=false</t>
  </si>
  <si>
    <t>7/11(금) 부산 : 스페이스움</t>
  </si>
  <si>
    <t>https://blog.naver.com/PostView.naver?blogId=julyfestival&amp;logNo=223889787542&amp;redirect=Dlog&amp;widgetTypeCall=true&amp;directAccess=false</t>
  </si>
  <si>
    <t>주현영, 드라마 촬영 중 교통사고…경미한 부상에도 회복 전념</t>
  </si>
  <si>
    <t>https://blog.naver.com/PostView.naver?blogId=apahghfej&amp;logNo=223889735662&amp;redirect=Dlog&amp;widgetTypeCall=true&amp;directAccess=false</t>
  </si>
  <si>
    <t>귀궁' 김지훈, 팔척귀에 또 잠식…수비학이 말한 서도영과의 위험한 숫자 6</t>
  </si>
  <si>
    <t>https://blog.naver.com/PostView.naver?blogId=stonesam3&amp;logNo=223889724454&amp;redirect=Dlog&amp;widgetTypeCall=true&amp;directAccess=false</t>
  </si>
  <si>
    <t>나는solo 26기 정숙아 이제 알아들었지? 정리당해 기분나쁜 이유, 나는솔로</t>
  </si>
  <si>
    <t>https://blog.naver.com/PostView.naver?blogId=chummilmil99&amp;logNo=223889690597&amp;redirect=Dlog&amp;widgetTypeCall=true&amp;directAccess=false</t>
  </si>
  <si>
    <t>보통아이요</t>
  </si>
  <si>
    <t>생방송투데이 48년 전통 돼지갈비 한 상</t>
  </si>
  <si>
    <t>https://blog.naver.com/PostView.naver?blogId=hiphop090&amp;logNo=223889540946&amp;redirect=Dlog&amp;widgetTypeCall=true&amp;directAccess=false</t>
  </si>
  <si>
    <t>주현영 교통사고 부상, 당분간 치료와 휴식에 전념</t>
  </si>
  <si>
    <t>https://blog.naver.com/PostView.naver?blogId=wwioa__&amp;logNo=223889664229&amp;redirect=Dlog&amp;widgetTypeCall=true&amp;directAccess=false</t>
  </si>
  <si>
    <t>콩부인</t>
  </si>
  <si>
    <t>스우파3 쿄카 댄서 '간지 그 자체 여덕 몰이 중' 인스타</t>
  </si>
  <si>
    <t>https://blog.naver.com/PostView.naver?blogId=hoon_11&amp;logNo=223889630937&amp;redirect=Dlog&amp;widgetTypeCall=true&amp;directAccess=false</t>
  </si>
  <si>
    <t>7/19(토) 부산 : 영도문화예술회관</t>
  </si>
  <si>
    <t>https://blog.naver.com/PostView.naver?blogId=julyfestival&amp;logNo=223889616050&amp;redirect=Dlog&amp;widgetTypeCall=true&amp;directAccess=false</t>
  </si>
  <si>
    <t>생방송투데이 돼지갈비 48년 전통 외국인의밥상</t>
  </si>
  <si>
    <t>https://blog.naver.com/PostView.naver?blogId=yolohwan&amp;logNo=223889547042&amp;redirect=Dlog&amp;widgetTypeCall=true&amp;directAccess=false</t>
  </si>
  <si>
    <t>7/19(토) 부산 : 나눌락</t>
  </si>
  <si>
    <t>https://blog.naver.com/PostView.naver?blogId=julyfestival&amp;logNo=223889608910&amp;redirect=Dlog&amp;widgetTypeCall=true&amp;directAccess=false</t>
  </si>
  <si>
    <t>7/30(수) 경남 함안 : 함안문화예술회관</t>
  </si>
  <si>
    <t>https://blog.naver.com/PostView.naver?blogId=julyfestival&amp;logNo=223889595451&amp;redirect=Dlog&amp;widgetTypeCall=true&amp;directAccess=false</t>
  </si>
  <si>
    <t>250605 꼬리에 꼬리를 무는 그날 이야기 178회 예고 / 강다니엘, ‘꼬꼬무’ 리스너 출격…‘발바리 이중구’ 사람으로 안 보여 ‘분노’</t>
  </si>
  <si>
    <t>https://blog.naver.com/PostView.naver?blogId=kbmbc_8919&amp;logNo=223889576278&amp;redirect=Dlog&amp;widgetTypeCall=true&amp;directAccess=false</t>
  </si>
  <si>
    <t>유쏘</t>
  </si>
  <si>
    <t>꼬리에꼬리를무는그날이야기 꼬꼬무 178회 연쇄 성폭행범 이중구 발바리 사건 강다니엘 나르샤 정동환 ott</t>
  </si>
  <si>
    <t>https://blog.naver.com/PostView.naver?blogId=yoosso_&amp;logNo=223889466962&amp;redirect=Dlog&amp;widgetTypeCall=true&amp;directAccess=false</t>
  </si>
  <si>
    <t>‘나는 SOLO’ 26기, 옥순과 정숙의 각기 다른 공주병 스타일이 드러났어요</t>
  </si>
  <si>
    <t>https://blog.naver.com/PostView.naver?blogId=reny5&amp;logNo=223889468474&amp;redirect=Dlog&amp;widgetTypeCall=true&amp;directAccess=false</t>
  </si>
  <si>
    <t>26기 옥순 수돗물 vs 생수 피곤한 취향 차이? 나는솔로 연애예능</t>
  </si>
  <si>
    <t>https://blog.naver.com/PostView.naver?blogId=shushu9988&amp;logNo=223889459686&amp;redirect=Dlog&amp;widgetTypeCall=true&amp;directAccess=false</t>
  </si>
  <si>
    <t>SBiz sbsmagazine</t>
  </si>
  <si>
    <t>한국저영향개발협회(KLIDA), 2025 세계 환경의 날 행사에서 폐플라스틱을 고기능성 건설, 토목자재로 재탄생시키는 혁신적 신기술 공개</t>
  </si>
  <si>
    <t>https://blog.naver.com/PostView.naver?blogId=sbsmagazine&amp;logNo=223889421345&amp;redirect=Dlog&amp;widgetTypeCall=true&amp;directAccess=false</t>
  </si>
  <si>
    <t>에드우드</t>
  </si>
  <si>
    <t>일상 218-아직도 국장을 해? 달리기록</t>
  </si>
  <si>
    <t>https://blog.naver.com/PostView.naver?blogId=khparke1&amp;logNo=223889412810&amp;redirect=Dlog&amp;widgetTypeCall=true&amp;directAccess=false</t>
  </si>
  <si>
    <t>권성동 국민의힘 원내대표 사임: 이유와 국민 여론</t>
  </si>
  <si>
    <t>https://blog.naver.com/PostView.naver?blogId=creta22&amp;logNo=223889403771&amp;redirect=Dlog&amp;widgetTypeCall=true&amp;directAccess=false</t>
  </si>
  <si>
    <t>시사캐치</t>
  </si>
  <si>
    <t>[시사캐치] K-팝부터 첨단기술까지 한류의 모든 것…천안 K-컬처박람회 개막</t>
  </si>
  <si>
    <t>https://blog.naver.com/PostView.naver?blogId=hanawon6011&amp;logNo=223889393075&amp;redirect=Dlog&amp;widgetTypeCall=true&amp;directAccess=false</t>
  </si>
  <si>
    <t>배우 주현영, 교통사고로 치료 및 휴식…라디오 DJ 활동 일시 중단</t>
  </si>
  <si>
    <t>https://blog.naver.com/PostView.naver?blogId=news1star&amp;logNo=223889392640&amp;redirect=Dlog&amp;widgetTypeCall=true&amp;directAccess=false</t>
  </si>
  <si>
    <t>박작가</t>
  </si>
  <si>
    <t>갑자기 소환해보는 SBS &lt;2024 국민의선택&gt;</t>
  </si>
  <si>
    <t>https://blog.naver.com/PostView.naver?blogId=mintgrin98&amp;logNo=223889352495&amp;redirect=Dlog&amp;widgetTypeCall=true&amp;directAccess=false</t>
  </si>
  <si>
    <t>다날엔터테인먼트</t>
  </si>
  <si>
    <t>[신보소개] 더 트롯쇼 라이벌 대전 EP.1 (음악듣기/가사)</t>
  </si>
  <si>
    <t>https://blog.naver.com/PostView.naver?blogId=danalenter&amp;logNo=223888401623&amp;redirect=Dlog&amp;widgetTypeCall=true&amp;directAccess=false</t>
  </si>
  <si>
    <t>고현정 눈을 뗄 수 없을 정도로 우아한 비주얼</t>
  </si>
  <si>
    <t>https://blog.naver.com/PostView.naver?blogId=tmrlahxhdbal&amp;logNo=223889337348&amp;redirect=Dlog&amp;widgetTypeCall=true&amp;directAccess=false</t>
  </si>
  <si>
    <t>나는solo 26기 옥순아 수돗물 어때서? 예민한 성격 심각한 이유, 나는솔로</t>
  </si>
  <si>
    <t>https://blog.naver.com/PostView.naver?blogId=chummilmil99&amp;logNo=223889330835&amp;redirect=Dlog&amp;widgetTypeCall=true&amp;directAccess=false</t>
  </si>
  <si>
    <t>나는솔로 26기 광수, 현숙에 대한 사랑과 집착 시작됐다. 현숙 결국 오열..</t>
  </si>
  <si>
    <t>https://blog.naver.com/PostView.naver?blogId=bankbookmom&amp;logNo=223889282234&amp;redirect=Dlog&amp;widgetTypeCall=true&amp;directAccess=false</t>
  </si>
  <si>
    <t>패션곰돌이</t>
  </si>
  <si>
    <t>이재명 대통령 당선에…”파란나라 지어요” 지지선언한 아역 출신 배우</t>
  </si>
  <si>
    <t>https://blog.naver.com/PostView.naver?blogId=votusrha&amp;logNo=223889271027&amp;redirect=Dlog&amp;widgetTypeCall=true&amp;directAccess=false</t>
  </si>
  <si>
    <t>나는 솔로 국화 고발 공직선거법 위반 고발 혐의</t>
  </si>
  <si>
    <t>https://blog.naver.com/PostView.naver?blogId=wwioa__&amp;logNo=223889271468&amp;redirect=Dlog&amp;widgetTypeCall=true&amp;directAccess=false</t>
  </si>
  <si>
    <t>공원커피</t>
  </si>
  <si>
    <t>[커피뉴스]메가MGC커피XSBS, '2025 메가콘서트' 2만 관중 운집 속 성료</t>
  </si>
  <si>
    <t>https://blog.naver.com/PostView.naver?blogId=park-coffee&amp;logNo=223889220989&amp;redirect=Dlog&amp;widgetTypeCall=true&amp;directAccess=false</t>
  </si>
  <si>
    <t>dalmasian102</t>
  </si>
  <si>
    <t>[증시]25y23w: 대선: 하반기</t>
  </si>
  <si>
    <t>https://blog.naver.com/PostView.naver?blogId=123rhfod&amp;logNo=223889202415&amp;redirect=Dlog&amp;widgetTypeCall=true&amp;directAccess=false</t>
  </si>
  <si>
    <t>https://blog.naver.com/PostView.naver?blogId=hanawon6011&amp;logNo=223889159841&amp;redirect=Dlog&amp;widgetTypeCall=true&amp;directAccess=false</t>
  </si>
  <si>
    <t>하늘이</t>
  </si>
  <si>
    <t>21대 대통령 선거 이재명 당선 및 후기</t>
  </si>
  <si>
    <t>https://blog.naver.com/PostView.naver?blogId=chan10120&amp;logNo=223889133168&amp;redirect=Dlog&amp;widgetTypeCall=true&amp;directAccess=false</t>
  </si>
  <si>
    <t>별명</t>
  </si>
  <si>
    <t>[국내주식]증권사 주가분석리포트 요약 (2025년 6월 2일) Part 1</t>
  </si>
  <si>
    <t>https://blog.naver.com/PostView.naver?blogId=newjeansjazz&amp;logNo=223888928552&amp;redirect=Dlog&amp;widgetTypeCall=true&amp;directAccess=false</t>
  </si>
  <si>
    <t>D</t>
  </si>
  <si>
    <t>대학이ㅅㅂ뭔데우리사일갈라놔</t>
  </si>
  <si>
    <t>https://blog.naver.com/PostView.naver?blogId=daysdays0918&amp;logNo=223889098568&amp;redirect=Dlog&amp;widgetTypeCall=true&amp;directAccess=false</t>
  </si>
  <si>
    <t>"26기 현숙, 광수와 진심 대화 후 눈물… 인터뷰 중단 '이런 사람이 필요했다'" ('나는 SOLO')</t>
  </si>
  <si>
    <t>https://blog.naver.com/PostView.naver?blogId=tvreview&amp;logNo=223889079168&amp;redirect=Dlog&amp;widgetTypeCall=true&amp;directAccess=false</t>
  </si>
  <si>
    <t>브브걸 민영 이상형공개 과거 버벌진트와 열애설 이후 결별</t>
  </si>
  <si>
    <t>https://blog.naver.com/PostView.naver?blogId=pkeunyoo&amp;logNo=223889057931&amp;redirect=Dlog&amp;widgetTypeCall=true&amp;directAccess=false</t>
  </si>
  <si>
    <t>지승현, 드라마 속 불륜 연기로 겪은 고충</t>
  </si>
  <si>
    <t>https://blog.naver.com/PostView.naver?blogId=ahssberl&amp;logNo=223889056867&amp;redirect=Dlog&amp;widgetTypeCall=true&amp;directAccess=false</t>
  </si>
  <si>
    <t>개노답 abhd</t>
  </si>
  <si>
    <t>❌️ 6/4(수) - 날씨맑음, 대선</t>
  </si>
  <si>
    <t>https://blog.naver.com/PostView.naver?blogId=sejong_newbell&amp;logNo=223889049694&amp;redirect=Dlog&amp;widgetTypeCall=true&amp;directAccess=false</t>
  </si>
  <si>
    <t>노모어</t>
  </si>
  <si>
    <t>VNL 2025 우리경기 중계 어디서 하나 꼴찌 면하자 목표 VNL 잔류를 위한 여정 시작</t>
  </si>
  <si>
    <t>https://blog.naver.com/PostView.naver?blogId=nomore3&amp;logNo=223888895264&amp;redirect=Dlog&amp;widgetTypeCall=true&amp;directAccess=false</t>
  </si>
  <si>
    <t>더워지는 날씨엔 여름드라마추천 ! 괜찮아 사랑이야 , 연애의 발견 등</t>
  </si>
  <si>
    <t>https://blog.naver.com/PostView.naver?blogId=euene1111&amp;logNo=223888829804&amp;redirect=Dlog&amp;widgetTypeCall=true&amp;directAccess=false</t>
  </si>
  <si>
    <t>브리핑언니</t>
  </si>
  <si>
    <t>현숙 오열! 광수 따라 눈물… 사랑의 반전 시작? 😢</t>
  </si>
  <si>
    <t>https://blog.naver.com/PostView.naver?blogId=entoday1025&amp;logNo=223888827045&amp;redirect=Dlog&amp;widgetTypeCall=true&amp;directAccess=false</t>
  </si>
  <si>
    <t>2025 천안 K-컬처박람회 개막… 글로벌 한류 문화의 향연</t>
  </si>
  <si>
    <t>https://blog.naver.com/PostView.naver?blogId=asandailynew&amp;logNo=223888774969&amp;redirect=Dlog&amp;widgetTypeCall=true&amp;directAccess=false</t>
  </si>
  <si>
    <t>reimelt</t>
  </si>
  <si>
    <t>과천 서울대공원 산책로 - 호숫가 둘레길, 테마가든 장미원 - 어디라도 포토존</t>
  </si>
  <si>
    <t>https://blog.naver.com/PostView.naver?blogId=reimelt&amp;logNo=223888765183&amp;redirect=Dlog&amp;widgetTypeCall=true&amp;directAccess=false</t>
  </si>
  <si>
    <t>Chloe</t>
  </si>
  <si>
    <t>취업까지 연결된 3D 수업! 홍대3D모션그래픽학원 다녀보니...</t>
  </si>
  <si>
    <t>https://blog.naver.com/PostView.naver?blogId=kmyoung0408&amp;logNo=223888760681&amp;redirect=Dlog&amp;widgetTypeCall=true&amp;directAccess=false</t>
  </si>
  <si>
    <t>레인케인즈</t>
  </si>
  <si>
    <t>천안 백석동 맛집 화덕으로간고등어 고급 한정식 생선구이</t>
  </si>
  <si>
    <t>https://blog.naver.com/PostView.naver?blogId=sweetieva&amp;logNo=223888761008&amp;redirect=Dlog&amp;widgetTypeCall=true&amp;directAccess=false</t>
  </si>
  <si>
    <t>김창호 기자</t>
  </si>
  <si>
    <t>K-컬처의 모든 것, 천안 K-컬처박람회 오늘 시작!</t>
  </si>
  <si>
    <t>https://blog.naver.com/PostView.naver?blogId=jesus53-&amp;logNo=223888688576&amp;redirect=Dlog&amp;widgetTypeCall=true&amp;directAccess=false</t>
  </si>
  <si>
    <t>최문돌</t>
  </si>
  <si>
    <t>행복해요 아니 뻥이야 아니 뻥이 뻥이야</t>
  </si>
  <si>
    <t>https://blog.naver.com/PostView.naver?blogId=mundeong&amp;logNo=223888674298&amp;redirect=Dlog&amp;widgetTypeCall=true&amp;directAccess=false</t>
  </si>
  <si>
    <t>미운 우리 새끼 445회 윤시윤 한강뷰 집 공개 자기관리 끝판왕 알람왕 잠옷 헤드폰 쉐이크 조명 금욕상자 미우새 다시보기 재방송</t>
  </si>
  <si>
    <t>https://blog.naver.com/PostView.naver?blogId=tobao0318&amp;logNo=223888617737&amp;redirect=Dlog&amp;widgetTypeCall=true&amp;directAccess=false</t>
  </si>
  <si>
    <t>동분서주</t>
  </si>
  <si>
    <t>“K-컬처 속으로” 천안 K-컬처박람회 오늘 개막</t>
  </si>
  <si>
    <t>https://blog.naver.com/PostView.naver?blogId=binggresmile&amp;logNo=223888615021&amp;redirect=Dlog&amp;widgetTypeCall=true&amp;directAccess=false</t>
  </si>
  <si>
    <t>나는 솔로 26기, 반전 매칭 주인공 ‘광수’일까 충격 선택 실체</t>
  </si>
  <si>
    <t>https://blog.naver.com/PostView.naver?blogId=hhwjh&amp;logNo=223888592015&amp;redirect=Dlog&amp;widgetTypeCall=true&amp;directAccess=false</t>
  </si>
  <si>
    <t>Hee</t>
  </si>
  <si>
    <t>143일차</t>
  </si>
  <si>
    <t>https://blog.naver.com/PostView.naver?blogId=hee1109_&amp;logNo=223888588740&amp;redirect=Dlog&amp;widgetTypeCall=true&amp;directAccess=false</t>
  </si>
  <si>
    <t>희망의 빛</t>
  </si>
  <si>
    <t>은둔의 전조 증상 (2) 등교거부</t>
  </si>
  <si>
    <t>https://blog.naver.com/PostView.naver?blogId=mhealingblog&amp;logNo=223888533160&amp;redirect=Dlog&amp;widgetTypeCall=true&amp;directAccess=false</t>
  </si>
  <si>
    <t>[맛칼럼/영등포혼밥] 런닝맨 매운왕돈까스 영등포시장 노포맛집 ‘희락돈까스’ 내돈내산 방문후기</t>
  </si>
  <si>
    <t>https://blog.naver.com/PostView.naver?blogId=thecharlee&amp;logNo=223888527838&amp;redirect=Dlog&amp;widgetTypeCall=true&amp;directAccess=false</t>
  </si>
  <si>
    <t>채후맘</t>
  </si>
  <si>
    <t>귀궁 - 육성재 김지연</t>
  </si>
  <si>
    <t>https://blog.naver.com/PostView.naver?blogId=yunmi8010&amp;logNo=223888518262&amp;redirect=Dlog&amp;widgetTypeCall=true&amp;directAccess=false</t>
  </si>
  <si>
    <t>메룡</t>
  </si>
  <si>
    <t>중고거래 타사이트 유도 거래 사기</t>
  </si>
  <si>
    <t>https://blog.naver.com/PostView.naver?blogId=milkywayshow&amp;logNo=223888415183&amp;redirect=Dlog&amp;widgetTypeCall=true&amp;directAccess=false</t>
  </si>
  <si>
    <t>릴로</t>
  </si>
  <si>
    <t>풍촌코다리네 본점 | 입맛 없을 때 동네 코다리 맛집</t>
  </si>
  <si>
    <t>https://blog.naver.com/PostView.naver?blogId=liloblog&amp;logNo=223888395479&amp;redirect=Dlog&amp;widgetTypeCall=true&amp;directAccess=false</t>
  </si>
  <si>
    <t>경윤의 먹방일기</t>
  </si>
  <si>
    <t>홍일품 무한리필 게장, 신선함에 푹 빠지세요!</t>
  </si>
  <si>
    <t>https://blog.naver.com/PostView.naver?blogId=93bptjgtxq&amp;logNo=223888388713&amp;redirect=Dlog&amp;widgetTypeCall=true&amp;directAccess=false</t>
  </si>
  <si>
    <t>메가MGC커피XSBS, ‘2025 메가콘서트’ 2만 관중 운집                    슈퍼주니어부터 라이즈까지, 정상급 K-POP 아티스트 참가</t>
  </si>
  <si>
    <t>https://blog.naver.com/PostView.naver?blogId=newsnanumy&amp;logNo=223888378534&amp;redirect=Dlog&amp;widgetTypeCall=true&amp;directAccess=false</t>
  </si>
  <si>
    <t>정러븐</t>
  </si>
  <si>
    <t>[네네치킨 메뉴추천] 후라이드반 양념반 + 네네치즈볼 먹으면서 sbs 개표방송 보기</t>
  </si>
  <si>
    <t>https://blog.naver.com/PostView.naver?blogId=10veun&amp;logNo=223888371150&amp;redirect=Dlog&amp;widgetTypeCall=true&amp;directAccess=false</t>
  </si>
  <si>
    <t>학교에서 학생들에게 반드시 심어 주어야 할 것...</t>
  </si>
  <si>
    <t>https://blog.naver.com/PostView.naver?blogId=sunmen77&amp;logNo=223888364477&amp;redirect=Dlog&amp;widgetTypeCall=true&amp;directAccess=false</t>
  </si>
  <si>
    <t>넷플릭스 6월 신작 시리즈 영화 예정작 오징어 게임3 등 라인업</t>
  </si>
  <si>
    <t>https://blog.naver.com/PostView.naver?blogId=potoi&amp;logNo=223888289173&amp;redirect=Dlog&amp;widgetTypeCall=true&amp;directAccess=false</t>
  </si>
  <si>
    <t>나는solo 26기 상철 영자한테 관심을? 현커 분위기 솔솔, 나는솔로</t>
  </si>
  <si>
    <t>https://blog.naver.com/PostView.naver?blogId=chummilmil99&amp;logNo=223888224095&amp;redirect=Dlog&amp;widgetTypeCall=true&amp;directAccess=false</t>
  </si>
  <si>
    <t>황씨</t>
  </si>
  <si>
    <t>코엑스맛집,코엑스타고, 코엑스양식, 삼성역맛집을 찾고 있었다면 뉴욕갬성 가득한 더타코부스 NYC엔와이씨코엑스점으로 오세요!</t>
  </si>
  <si>
    <t>https://blog.naver.com/PostView.naver?blogId=pooh95452003&amp;logNo=223888221464&amp;redirect=Dlog&amp;widgetTypeCall=true&amp;directAccess=false</t>
  </si>
  <si>
    <t>최여진 선거 도장 인증 남편 김재욱과 투표 인증샷 공개</t>
  </si>
  <si>
    <t>https://blog.naver.com/PostView.naver?blogId=wwioa__&amp;logNo=223888199636&amp;redirect=Dlog&amp;widgetTypeCall=true&amp;directAccess=false</t>
  </si>
  <si>
    <t>고현정, ‘사망설’ 직접 해명…“죽지 않았다, 건강 회복 중” 담담한 진심 전해</t>
  </si>
  <si>
    <t>https://blog.naver.com/PostView.naver?blogId=news1star&amp;logNo=223888184267&amp;redirect=Dlog&amp;widgetTypeCall=true&amp;directAccess=false</t>
  </si>
  <si>
    <t>범고래</t>
  </si>
  <si>
    <t>민주, 李대통령 임기 첫날 '대법관 증원법' 법사위 처리 추진</t>
  </si>
  <si>
    <t>https://blog.naver.com/PostView.naver?blogId=dhdjdjdjfjf&amp;logNo=223888177371&amp;redirect=Dlog&amp;widgetTypeCall=true&amp;directAccess=false</t>
  </si>
  <si>
    <t>베니스상인</t>
  </si>
  <si>
    <t>미운우리새끼 445회, 윤시윤 집 공개…지하철 화장실보다 불편?</t>
  </si>
  <si>
    <t>https://blog.naver.com/PostView.naver?blogId=sangyun32&amp;logNo=223888150224&amp;redirect=Dlog&amp;widgetTypeCall=true&amp;directAccess=false</t>
  </si>
  <si>
    <t>MONEY2COPY</t>
  </si>
  <si>
    <t>리더가 되기 싫은 사회, 왜 모두가 ‘조용한 사표’를 준비하나</t>
  </si>
  <si>
    <t>https://blog.naver.com/PostView.naver?blogId=money_download&amp;logNo=223888133759&amp;redirect=Dlog&amp;widgetTypeCall=true&amp;directAccess=false</t>
  </si>
  <si>
    <t>새 인생 같아서 카테고리 새로 팜</t>
  </si>
  <si>
    <t>https://blog.naver.com/PostView.naver?blogId=summerandy&amp;logNo=223888079994&amp;redirect=Dlog&amp;widgetTypeCall=true&amp;directAccess=false</t>
  </si>
  <si>
    <t>시사의창</t>
  </si>
  <si>
    <t>mick</t>
  </si>
  <si>
    <t>순풍산부인과 67~72화</t>
  </si>
  <si>
    <t>https://blog.naver.com/PostView.naver?blogId=culturecre&amp;logNo=223888003737&amp;redirect=Dlog&amp;widgetTypeCall=true&amp;directAccess=false</t>
  </si>
  <si>
    <t>뉴스탑전남</t>
  </si>
  <si>
    <t>이재명 출구조사 1위… 여수시, 개표 시작</t>
  </si>
  <si>
    <t>https://blog.naver.com/PostView.naver?blogId=newstop__jn&amp;logNo=223887970537&amp;redirect=Dlog&amp;widgetTypeCall=true&amp;directAccess=false</t>
  </si>
  <si>
    <t>무한돌이</t>
  </si>
  <si>
    <t>6월 4일  수요일</t>
  </si>
  <si>
    <t>https://blog.naver.com/PostView.naver?blogId=euds&amp;logNo=223887924533&amp;redirect=Dlog&amp;widgetTypeCall=true&amp;directAccess=false</t>
  </si>
  <si>
    <t>스몰핸드</t>
  </si>
  <si>
    <t>[구로디지털단지 맛집] 남구로역 근처 직장인 점심맛집추천 회식으로도 좋은 한식맛집 서산집</t>
  </si>
  <si>
    <t>https://blog.naver.com/PostView.naver?blogId=seheeoh&amp;logNo=223887918923&amp;redirect=Dlog&amp;widgetTypeCall=true&amp;directAccess=false</t>
  </si>
  <si>
    <t>힐링 은주연주</t>
  </si>
  <si>
    <t>2025 천안K-컬처 박람회 / 호국보훈의 달 6월</t>
  </si>
  <si>
    <t>https://blog.naver.com/PostView.naver?blogId=eunjooplay&amp;logNo=223887905147&amp;redirect=Dlog&amp;widgetTypeCall=true&amp;directAccess=false</t>
  </si>
  <si>
    <t>이재명 당선의 일등 공신은 누굴까? 김문수 or 윤석열?</t>
  </si>
  <si>
    <t>https://blog.naver.com/PostView.naver?blogId=zeenokim&amp;logNo=223887886391&amp;redirect=Dlog&amp;widgetTypeCall=true&amp;directAccess=false</t>
  </si>
  <si>
    <t>[ 🍯 주식시황 ] 이제는 정책주로 텐배거 노려보즈아</t>
  </si>
  <si>
    <t>https://blog.naver.com/PostView.naver?blogId=yamaestock_&amp;logNo=223887869208&amp;redirect=Dlog&amp;widgetTypeCall=true&amp;directAccess=false</t>
  </si>
  <si>
    <t>[Daily News, 6/4(수)]</t>
  </si>
  <si>
    <t>https://blog.naver.com/PostView.naver?blogId=ydkyusung386&amp;logNo=223887846230&amp;redirect=Dlog&amp;widgetTypeCall=true&amp;directAccess=false</t>
  </si>
  <si>
    <t>Mububja the Reader</t>
  </si>
  <si>
    <t>[명사와의 만남] 곽재식 교수님의 'SF로 바라본 미래, 상상의 경계를 넘다' 특강을 듣다. 미래를 살아갈 대비를 하다. #곽재식</t>
  </si>
  <si>
    <t>https://blog.naver.com/PostView.naver?blogId=mububja14&amp;logNo=223887373057&amp;redirect=Dlog&amp;widgetTypeCall=true&amp;directAccess=false</t>
  </si>
  <si>
    <t>‘나는 솔로’ 26기 옥순, 참치값 환불 논란?! 수난시대 펼쳐진 이유는?</t>
  </si>
  <si>
    <t>https://blog.naver.com/PostView.naver?blogId=macshorts&amp;logNo=223887494729&amp;redirect=Dlog&amp;widgetTypeCall=true&amp;directAccess=false</t>
  </si>
  <si>
    <t>박민철 변호사, 9살 연하 아내 첫 공개…'동상이몽2'에서 전한 결혼 생활의 리얼한 단면</t>
  </si>
  <si>
    <t>https://blog.naver.com/PostView.naver?blogId=apahghfej&amp;logNo=223887711020&amp;redirect=Dlog&amp;widgetTypeCall=true&amp;directAccess=false</t>
  </si>
  <si>
    <t>제5원소</t>
  </si>
  <si>
    <t>에이스토리 (올해는 신작)</t>
  </si>
  <si>
    <t>https://blog.naver.com/PostView.naver?blogId=the-5-element&amp;logNo=223885792805&amp;redirect=Dlog&amp;widgetTypeCall=true&amp;directAccess=false</t>
  </si>
  <si>
    <t>뉴스패치</t>
  </si>
  <si>
    <t>천안서 국내 최대 한류 축제 '2025 천안 K-컬처 박람회'  개막</t>
  </si>
  <si>
    <t>https://blog.naver.com/PostView.naver?blogId=newspatch&amp;logNo=223887696186&amp;redirect=Dlog&amp;widgetTypeCall=true&amp;directAccess=false</t>
  </si>
  <si>
    <t>헤싀헷</t>
  </si>
  <si>
    <t>20250601 서울재즈페스티벌 후기 &amp; 꿀팁</t>
  </si>
  <si>
    <t>https://blog.naver.com/PostView.naver?blogId=seehe2029&amp;logNo=223887692658&amp;redirect=Dlog&amp;widgetTypeCall=true&amp;directAccess=false</t>
  </si>
  <si>
    <t>배우 이재인, 영화 &lt;하이파이브&gt; 무대인사 공개와 tvN ‘미지의 서울’ 아역 열연으로 주목</t>
  </si>
  <si>
    <t>https://blog.naver.com/PostView.naver?blogId=jericho0220&amp;logNo=223895130096&amp;redirect=Dlog&amp;widgetTypeCall=true&amp;directAccess=false</t>
  </si>
  <si>
    <t>갓생투자자</t>
  </si>
  <si>
    <t>K-미디어 관련주 "스튜디오드래곤, 콘텐트리 중앙, SBS"  급등한 이유?(feat. 넷플릭스 회당 출연료 상한선, 시진핑과 통화)</t>
  </si>
  <si>
    <t>https://blog.naver.com/PostView.naver?blogId=god-life-investor&amp;logNo=223895114612&amp;redirect=Dlog&amp;widgetTypeCall=true&amp;directAccess=false</t>
  </si>
  <si>
    <t>Entusiasta</t>
  </si>
  <si>
    <t>SBS Plus에서 생중계될 불꽃야구, 그렇다면 유튜브 영상은 어떻게?</t>
  </si>
  <si>
    <t>https://blog.naver.com/PostView.naver?blogId=skyss99&amp;logNo=223895110919&amp;redirect=Dlog&amp;widgetTypeCall=true&amp;directAccess=false</t>
  </si>
  <si>
    <t>동상이몽 지소연 매출만 10억_남편 송재희 포르쉐 선물</t>
  </si>
  <si>
    <t>https://blog.naver.com/PostView.naver?blogId=merry_heehee&amp;logNo=223895095989&amp;redirect=Dlog&amp;widgetTypeCall=true&amp;directAccess=false</t>
  </si>
  <si>
    <t>방방</t>
  </si>
  <si>
    <t>목동 분위기임장, 2시간 코스 루트짜기</t>
  </si>
  <si>
    <t>https://blog.naver.com/PostView.naver?blogId=bhj0691&amp;logNo=223895083185&amp;redirect=Dlog&amp;widgetTypeCall=true&amp;directAccess=false</t>
  </si>
  <si>
    <t>쵸쵸</t>
  </si>
  <si>
    <t>그알 부산 성인용품점 살인사건, 범인의 흔적은 남아 있었다.</t>
  </si>
  <si>
    <t>https://blog.naver.com/PostView.naver?blogId=infj_camping&amp;logNo=223895078580&amp;redirect=Dlog&amp;widgetTypeCall=true&amp;directAccess=false</t>
  </si>
  <si>
    <t>6월 10일 기관외인 매매동향(주도주파악)</t>
  </si>
  <si>
    <t>https://blog.naver.com/PostView.naver?blogId=sandsandglass&amp;logNo=223895049908&amp;redirect=Dlog&amp;widgetTypeCall=true&amp;directAccess=false</t>
  </si>
  <si>
    <t>엘존</t>
  </si>
  <si>
    <t>25년 6월 10일(화) 내일을 위한 정리! (시황, 뉴스, 특징주)</t>
  </si>
  <si>
    <t>https://blog.naver.com/PostView.naver?blogId=lzonestock&amp;logNo=223895033214&amp;redirect=Dlog&amp;widgetTypeCall=true&amp;directAccess=false</t>
  </si>
  <si>
    <t>워렌범픽</t>
  </si>
  <si>
    <t>2025년 6월 10일(화) 국내증시 마감&amp;추천종목(금호석유화학, 두산밥캣, 스튜디오드래곤)</t>
  </si>
  <si>
    <t>https://blog.naver.com/PostView.naver?blogId=peterguy&amp;logNo=223894966961&amp;redirect=Dlog&amp;widgetTypeCall=true&amp;directAccess=false</t>
  </si>
  <si>
    <t>리쥬리아</t>
  </si>
  <si>
    <t>뉴스) 남궁민, '우리영화'로 3년만 SBS 복귀</t>
  </si>
  <si>
    <t>https://blog.naver.com/PostView.naver?blogId=kyunghon1213&amp;logNo=223894962406&amp;redirect=Dlog&amp;widgetTypeCall=true&amp;directAccess=false</t>
  </si>
  <si>
    <t>뿅망치</t>
  </si>
  <si>
    <t>SBS '호기심 천국' 레전드와 전생(前生)</t>
  </si>
  <si>
    <t>https://blog.naver.com/PostView.naver?blogId=bbyonghammer&amp;logNo=223894953684&amp;redirect=Dlog&amp;widgetTypeCall=true&amp;directAccess=false</t>
  </si>
  <si>
    <t>2025.06.10.화ㅣ시그널리포트 : 한 장으로 보는 이브닝 / 씽크풀 : AI 이슈포착 / 코인 / 전자결제 / 지역화폐 / 웹툰 / 게임 / 콘텐츠 / 방산 / 엔터 / 조선</t>
  </si>
  <si>
    <t>https://blog.naver.com/PostView.naver?blogId=zizi20&amp;logNo=223894569720&amp;redirect=Dlog&amp;widgetTypeCall=true&amp;directAccess=false</t>
  </si>
  <si>
    <t>2025.6.10일 증권 뉴스 브리핑</t>
  </si>
  <si>
    <t>https://blog.naver.com/PostView.naver?blogId=horebten&amp;logNo=223894936160&amp;redirect=Dlog&amp;widgetTypeCall=true&amp;directAccess=false</t>
  </si>
  <si>
    <t>파파스머프</t>
  </si>
  <si>
    <t>sbs, 풍산, 그리고 관심종목..</t>
  </si>
  <si>
    <t>https://blog.naver.com/PostView.naver?blogId=25nana&amp;logNo=223894914281&amp;redirect=Dlog&amp;widgetTypeCall=true&amp;directAccess=false</t>
  </si>
  <si>
    <t>티빙 웨이브 합병 가능성 상승! 공정거래위원회의 조건부 기업결합 승인!</t>
  </si>
  <si>
    <t>https://blog.naver.com/PostView.naver?blogId=riosniper114&amp;logNo=223894897203&amp;redirect=Dlog&amp;widgetTypeCall=true&amp;directAccess=false</t>
  </si>
  <si>
    <t>쯔양·김수현에 피소된 김세의, 경찰 소환 두 차례 불응…구속 수사 전환 가능성도</t>
  </si>
  <si>
    <t>https://blog.naver.com/PostView.naver?blogId=picklenews&amp;logNo=223894849753&amp;redirect=Dlog&amp;widgetTypeCall=true&amp;directAccess=false</t>
  </si>
  <si>
    <t>김원훈 이세희 지볶행 이이경 새 MC 신동 경수진은 하차</t>
  </si>
  <si>
    <t>https://blog.naver.com/PostView.naver?blogId=odmwd2&amp;logNo=223894843703&amp;redirect=Dlog&amp;widgetTypeCall=true&amp;directAccess=false</t>
  </si>
  <si>
    <t>생방송투데이 간장게장 돌게장 꽃게장 주문</t>
  </si>
  <si>
    <t>https://blog.naver.com/PostView.naver?blogId=naza123&amp;logNo=223894536296&amp;redirect=Dlog&amp;widgetTypeCall=true&amp;directAccess=false</t>
  </si>
  <si>
    <t>후멘토</t>
  </si>
  <si>
    <t>홍대일러스트학원/신촌일러스트학원/일러스트레이터 되기!</t>
  </si>
  <si>
    <t>https://blog.naver.com/PostView.naver?blogId=hoohoo9945&amp;logNo=223894818862&amp;redirect=Dlog&amp;widgetTypeCall=true&amp;directAccess=false</t>
  </si>
  <si>
    <t>산경투데이</t>
  </si>
  <si>
    <t>코스피 2,870선 돌파…외국인 매수에 5거래일 연속 상승</t>
  </si>
  <si>
    <t>https://blog.naver.com/PostView.naver?blogId=sankyungtoday77&amp;logNo=223894759522&amp;redirect=Dlog&amp;widgetTypeCall=true&amp;directAccess=false</t>
  </si>
  <si>
    <t>불꽃야구 sbs 플러스 생중계 이유, 인하대 불꽃파이터즈 직관 경기 시간 몇시?</t>
  </si>
  <si>
    <t>https://blog.naver.com/PostView.naver?blogId=chummilmil99&amp;logNo=223894730992&amp;redirect=Dlog&amp;widgetTypeCall=true&amp;directAccess=false</t>
  </si>
  <si>
    <t>[충청대세뉴스] 당진교육지원청 학교로 찾아가는 경제금융교육, ‘SBS 뉴스토리’방송 촬영</t>
  </si>
  <si>
    <t>https://blog.naver.com/PostView.naver?blogId=yyjjss3081&amp;logNo=223894729943&amp;redirect=Dlog&amp;widgetTypeCall=true&amp;directAccess=false</t>
  </si>
  <si>
    <t>gunecxe</t>
  </si>
  <si>
    <t>25.06.10 한국 마감</t>
  </si>
  <si>
    <t>https://blog.naver.com/PostView.naver?blogId=gunecxe&amp;logNo=223894707958&amp;redirect=Dlog&amp;widgetTypeCall=true&amp;directAccess=false</t>
  </si>
  <si>
    <t>남궁민 전여빈 '우리영화' 정통 멜로 시한부 드라마, 방송 요일 시간 몇시 몇부작 ott 업로드 방영 정보</t>
  </si>
  <si>
    <t>https://blog.naver.com/PostView.naver?blogId=k202109&amp;logNo=223894698074&amp;redirect=Dlog&amp;widgetTypeCall=true&amp;directAccess=false</t>
  </si>
  <si>
    <t>지니둘</t>
  </si>
  <si>
    <t>“260만 원 차 타던 사람이 마이바흐로?”… 실화보다 더 놀라운 첫 출근 풍경</t>
  </si>
  <si>
    <t>https://blog.naver.com/PostView.naver?blogId=sh-jin0704&amp;logNo=223894697452&amp;redirect=Dlog&amp;widgetTypeCall=true&amp;directAccess=false</t>
  </si>
  <si>
    <t>백수아재</t>
  </si>
  <si>
    <t>말도 많았던 그놈의 유심..</t>
  </si>
  <si>
    <t>https://blog.naver.com/PostView.naver?blogId=backsuajae&amp;logNo=223894695997&amp;redirect=Dlog&amp;widgetTypeCall=true&amp;directAccess=false</t>
  </si>
  <si>
    <t>김남주 시계 완판 2만 원  “이렇게 이슈가 될 줄은 몰랐다”｜방송 후 가격까지 상승한 이유</t>
  </si>
  <si>
    <t>https://blog.naver.com/PostView.naver?blogId=luxblue83&amp;logNo=223894680482&amp;redirect=Dlog&amp;widgetTypeCall=true&amp;directAccess=false</t>
  </si>
  <si>
    <t>250610 틈만나면, 25회 예고 / 유연석, 전문 사진작가 포스…유재석에 일타강사 변신 - 앙숙 콤비의 달콤살벌한 성북 투어!</t>
  </si>
  <si>
    <t>https://blog.naver.com/PostView.naver?blogId=kbmbc_8919&amp;logNo=223894668970&amp;redirect=Dlog&amp;widgetTypeCall=true&amp;directAccess=false</t>
  </si>
  <si>
    <t>[KLPGA 2025 다산베아채 골프앤리조트 점프투어 with SBS골프 8차전] 문서영, 생애 첫 우승!</t>
  </si>
  <si>
    <t>https://blog.naver.com/PostView.naver?blogId=klpgapr&amp;logNo=223894649751&amp;redirect=Dlog&amp;widgetTypeCall=true&amp;directAccess=false</t>
  </si>
  <si>
    <t>낭만사냥꾼</t>
  </si>
  <si>
    <t>다리</t>
  </si>
  <si>
    <t>https://blog.naver.com/PostView.naver?blogId=rlathwls103&amp;logNo=223894643085&amp;redirect=Dlog&amp;widgetTypeCall=true&amp;directAccess=false</t>
  </si>
  <si>
    <t>홍진경, 유재석 폭로 “이미지 미화 심해…진짜 제일 못됐다”</t>
  </si>
  <si>
    <t>https://blog.naver.com/PostView.naver?blogId=picklenews&amp;logNo=223894634981&amp;redirect=Dlog&amp;widgetTypeCall=true&amp;directAccess=false</t>
  </si>
  <si>
    <t>고경태</t>
  </si>
  <si>
    <t>김민석은 반미주의자인가??</t>
  </si>
  <si>
    <t>https://blog.naver.com/PostView.naver?blogId=lucalcollge&amp;logNo=223894611703&amp;redirect=Dlog&amp;widgetTypeCall=true&amp;directAccess=false</t>
  </si>
  <si>
    <t>불꽃야구 방송사 sbs plus 결정되나? 불꽃파이터즈 직관 방송한다</t>
  </si>
  <si>
    <t>https://blog.naver.com/PostView.naver?blogId=treewg&amp;logNo=223894604421&amp;redirect=Dlog&amp;widgetTypeCall=true&amp;directAccess=false</t>
  </si>
  <si>
    <t>절망롹선생</t>
  </si>
  <si>
    <t>[한국드라마] 요즘 SBS 유튜브 스트리밍으로 재밌게 시청중인 일일 시트콤 '웬만해선 그들을 막을 수 없다'</t>
  </si>
  <si>
    <t>https://blog.naver.com/PostView.naver?blogId=pso9&amp;logNo=223894600303&amp;redirect=Dlog&amp;widgetTypeCall=true&amp;directAccess=false</t>
  </si>
  <si>
    <t>불꽃야구 SBS PLUS 플러스 생중계 확정, 드디어 안방에서 만난다</t>
  </si>
  <si>
    <t>https://blog.naver.com/PostView.naver?blogId=lue-it&amp;logNo=223894570229&amp;redirect=Dlog&amp;widgetTypeCall=true&amp;directAccess=false</t>
  </si>
  <si>
    <t>KBS1TV 관악산 송신소의 채널번호 변경 관련 지면 광고</t>
  </si>
  <si>
    <t>https://blog.naver.com/PostView.naver?blogId=giant2002&amp;logNo=223894542540&amp;redirect=Dlog&amp;widgetTypeCall=true&amp;directAccess=false</t>
  </si>
  <si>
    <t>국립대, 사립대는 정부로부터 얼마를 지원받을까 (서울과기대, 연세대)</t>
  </si>
  <si>
    <t>https://blog.naver.com/PostView.naver?blogId=qawsed864&amp;logNo=223894511226&amp;redirect=Dlog&amp;widgetTypeCall=true&amp;directAccess=false</t>
  </si>
  <si>
    <t>미식가 벨리</t>
  </si>
  <si>
    <t>[생활의 달인 맛집] 망원동 에그타르트 달인 류제웅 Make Better Things (메이크베러띵스) 가게 위치 정보 방송후기</t>
  </si>
  <si>
    <t>https://blog.naver.com/PostView.naver?blogId=un1004hee&amp;logNo=223894487393&amp;redirect=Dlog&amp;widgetTypeCall=true&amp;directAccess=false</t>
  </si>
  <si>
    <t>무예신문</t>
  </si>
  <si>
    <t>불꽃야구, 안방으로 생중계한다…두번째 직관 인하대전 방송</t>
  </si>
  <si>
    <t>https://blog.naver.com/PostView.naver?blogId=mooyepaper&amp;logNo=223894474110&amp;redirect=Dlog&amp;widgetTypeCall=true&amp;directAccess=false</t>
  </si>
  <si>
    <t>더트롯쇼 142회 6월 둘째 주 1위는 김용빈 금수조 안성훈 황영웅 제쳐 다시보기 재방송</t>
  </si>
  <si>
    <t>https://blog.naver.com/PostView.naver?blogId=tobao0318&amp;logNo=223894459616&amp;redirect=Dlog&amp;widgetTypeCall=true&amp;directAccess=false</t>
  </si>
  <si>
    <t>야구에반하다</t>
  </si>
  <si>
    <t>5회까지 차단당한 불꽃야구 결국 SBS와 손잡았다..</t>
  </si>
  <si>
    <t>https://blog.naver.com/PostView.naver?blogId=sluggerfield&amp;logNo=223894442960&amp;redirect=Dlog&amp;widgetTypeCall=true&amp;directAccess=false</t>
  </si>
  <si>
    <t>가평 ‘자라섬 꽃 페스타’, 16일 만에 10만명 돌파</t>
  </si>
  <si>
    <t>https://blog.naver.com/PostView.naver?blogId=jeonmaenews&amp;logNo=223894441386&amp;redirect=Dlog&amp;widgetTypeCall=true&amp;directAccess=false</t>
  </si>
  <si>
    <t>하늘거북이</t>
  </si>
  <si>
    <t>불꽃야구 대박 소식</t>
  </si>
  <si>
    <t>https://blog.naver.com/PostView.naver?blogId=starnmoonlovestory&amp;logNo=223894406006&amp;redirect=Dlog&amp;widgetTypeCall=true&amp;directAccess=false</t>
  </si>
  <si>
    <t>더 매직스타' 유호진 마술사, 연천수레울아트홀 공연 - 연천뉴스</t>
  </si>
  <si>
    <t>https://blog.naver.com/PostView.naver?blogId=wonsun1963&amp;logNo=223894404779&amp;redirect=Dlog&amp;widgetTypeCall=true&amp;directAccess=false</t>
  </si>
  <si>
    <t>송재희 지소연 쌍둥이 임신 고백 넷째까지도 가능하다?</t>
  </si>
  <si>
    <t>https://blog.naver.com/PostView.naver?blogId=odmwd2&amp;logNo=223894327379&amp;redirect=Dlog&amp;widgetTypeCall=true&amp;directAccess=false</t>
  </si>
  <si>
    <t>영상 콘텐츠---중국 "외국 우수영화 도입 촉진"…한한령에 막힌 K-무비 햇살?</t>
  </si>
  <si>
    <t>https://blog.naver.com/PostView.naver?blogId=recsy&amp;logNo=223894265717&amp;redirect=Dlog&amp;widgetTypeCall=true&amp;directAccess=false</t>
  </si>
  <si>
    <t>봄날 앨리스</t>
  </si>
  <si>
    <t>어쩌면 해피엔딩 토니상 6관왕 K뮤지컬 작품상 극본상 수상</t>
  </si>
  <si>
    <t>https://blog.naver.com/PostView.naver?blogId=jakeunji333&amp;logNo=223894240201&amp;redirect=Dlog&amp;widgetTypeCall=true&amp;directAccess=false</t>
  </si>
  <si>
    <t>KLPGA 공식 음료 ‘일화’가 제공한다…공식 음료 파트너십 체결</t>
  </si>
  <si>
    <t>https://blog.naver.com/PostView.naver?blogId=klpgapr&amp;logNo=223894201510&amp;redirect=Dlog&amp;widgetTypeCall=true&amp;directAccess=false</t>
  </si>
  <si>
    <t>필찬</t>
  </si>
  <si>
    <t>힘이란 무엇인가</t>
  </si>
  <si>
    <t>https://blog.naver.com/PostView.naver?blogId=ckstjr234&amp;logNo=223894190488&amp;redirect=Dlog&amp;widgetTypeCall=true&amp;directAccess=false</t>
  </si>
  <si>
    <t>min212_</t>
  </si>
  <si>
    <t>꼬리에 꼬리를 무는 그날 이야기 비평문</t>
  </si>
  <si>
    <t>https://blog.naver.com/PostView.naver?blogId=min212_&amp;logNo=223894185071&amp;redirect=Dlog&amp;widgetTypeCall=true&amp;directAccess=false</t>
  </si>
  <si>
    <t>불꽃야구 직관 SBS플러스 생중계, 최강야구 시즌4 사상  전무후무 첫 도전!</t>
  </si>
  <si>
    <t>https://blog.naver.com/PostView.naver?blogId=haggyo7&amp;logNo=223894106996&amp;redirect=Dlog&amp;widgetTypeCall=true&amp;directAccess=false</t>
  </si>
  <si>
    <t>레디니스</t>
  </si>
  <si>
    <t>2025년 6월 10일(화) 경제뉴스 읽기</t>
  </si>
  <si>
    <t>https://blog.naver.com/PostView.naver?blogId=stablehope&amp;logNo=223894101955&amp;redirect=Dlog&amp;widgetTypeCall=true&amp;directAccess=false</t>
  </si>
  <si>
    <t>꼬꼬무' "아이가 죽기를 바라죠?" 범인의 지옥 같은 협박 전화…'이형호 유괴사건'..영화 '그놈 목소리'</t>
  </si>
  <si>
    <t>https://blog.naver.com/PostView.naver?blogId=primakyh1225&amp;logNo=223894079311&amp;redirect=Dlog&amp;widgetTypeCall=true&amp;directAccess=false</t>
  </si>
  <si>
    <t>이혜미인</t>
  </si>
  <si>
    <t>불꽃야구 인하대학교와 두번째 직관 예매 팁 및 생중계 라이브 방송 예정</t>
  </si>
  <si>
    <t>https://blog.naver.com/PostView.naver?blogId=hm_33&amp;logNo=223893949493&amp;redirect=Dlog&amp;widgetTypeCall=true&amp;directAccess=false</t>
  </si>
  <si>
    <t>대한민국 창작 뮤지컬 '어쩌면 해피엔딩(Maybe Happy Ending)', 토니상 6관왕 쾌거(2025.6.8)</t>
  </si>
  <si>
    <t>https://blog.naver.com/PostView.naver?blogId=inzzang9807&amp;logNo=223893928430&amp;redirect=Dlog&amp;widgetTypeCall=true&amp;directAccess=false</t>
  </si>
  <si>
    <t>제이지루틴</t>
  </si>
  <si>
    <t>故 김새론 생활고 사실이였다. 부친 파산에 소녀가장 역할까지 최소 추정 채무액만 12억원가량.</t>
  </si>
  <si>
    <t>https://blog.naver.com/PostView.naver?blogId=jayzroutine&amp;logNo=223893905852&amp;redirect=Dlog&amp;widgetTypeCall=true&amp;directAccess=false</t>
  </si>
  <si>
    <t>원클로</t>
  </si>
  <si>
    <t>SBS연예뉴스 - 이수지, '독도 식물' 알린다...서경덕 교수와 의기투합</t>
  </si>
  <si>
    <t>https://blog.naver.com/PostView.naver?blogId=cpjoonho&amp;logNo=223893902022&amp;redirect=Dlog&amp;widgetTypeCall=true&amp;directAccess=false</t>
  </si>
  <si>
    <t>불꽃야구 7화 - 동국대학교 VS 불꽃 파이터즈 그리고... 두 번째 직관데이 공지</t>
  </si>
  <si>
    <t>https://blog.naver.com/PostView.naver?blogId=ham6870&amp;logNo=223893848502&amp;redirect=Dlog&amp;widgetTypeCall=true&amp;directAccess=false</t>
  </si>
  <si>
    <t>경주시장 주낙영 지오디 비하발언 큰일났다 여론 뭇매</t>
  </si>
  <si>
    <t>https://blog.naver.com/PostView.naver?blogId=pkeunyoo&amp;logNo=223893848479&amp;redirect=Dlog&amp;widgetTypeCall=true&amp;directAccess=false</t>
  </si>
  <si>
    <t>agentwannabe</t>
  </si>
  <si>
    <t>불꽃야구 또 하나의 희소식, 인하대와의 직관 경기는 SBS PLUS 생중계로(불꽃야구)</t>
  </si>
  <si>
    <t>https://blog.naver.com/PostView.naver?blogId=agentwannabe&amp;logNo=223893835012&amp;redirect=Dlog&amp;widgetTypeCall=true&amp;directAccess=false</t>
  </si>
  <si>
    <t>https://blog.naver.com/PostView.naver?blogId=yang83529&amp;logNo=223893810809&amp;redirect=Dlog&amp;widgetTypeCall=true&amp;directAccess=false</t>
  </si>
  <si>
    <t>경주 맷돌순두부, 생방송투데이 빅데이터 맛집 랭킹 1위? …진짜 그럴만 할까? (+경주맛집, 순두부, 여행)</t>
  </si>
  <si>
    <t>https://blog.naver.com/PostView.naver?blogId=ovonews&amp;logNo=223893796386&amp;redirect=Dlog&amp;widgetTypeCall=true&amp;directAccess=false</t>
  </si>
  <si>
    <t>제이</t>
  </si>
  <si>
    <t>이나가키 에미코 &lt;살림지옥 해방일지&gt;</t>
  </si>
  <si>
    <t>https://blog.naver.com/PostView.naver?blogId=powder65&amp;logNo=223893793956&amp;redirect=Dlog&amp;widgetTypeCall=true&amp;directAccess=false</t>
  </si>
  <si>
    <t>나는solo 26기 영식과 현숙 분위기 뭐야? 판교커플 응원하는 이유, 나는솔로</t>
  </si>
  <si>
    <t>https://blog.naver.com/PostView.naver?blogId=chummilmil99&amp;logNo=223893762173&amp;redirect=Dlog&amp;widgetTypeCall=true&amp;directAccess=false</t>
  </si>
  <si>
    <t>귀궁15회 15화 리뷰 줄거리</t>
  </si>
  <si>
    <t>https://blog.naver.com/PostView.naver?blogId=1o7hucker&amp;logNo=223893760246&amp;redirect=Dlog&amp;widgetTypeCall=true&amp;directAccess=false</t>
  </si>
  <si>
    <t>강동구 횟집, 생활의 달인 은둔식달 숙성회… 986회 광어회의 비밀?! (+최고의 맛, 비법 숙성, 달인)</t>
  </si>
  <si>
    <t>https://blog.naver.com/PostView.naver?blogId=ovonews&amp;logNo=223893739699&amp;redirect=Dlog&amp;widgetTypeCall=true&amp;directAccess=false</t>
  </si>
  <si>
    <t>생활의달인 은둔식달 최고의 숙성회 대광어 횟집 강동구 이한진 식당</t>
  </si>
  <si>
    <t>https://blog.naver.com/PostView.naver?blogId=dnjftndlqcjsdjr&amp;logNo=223893719678&amp;redirect=Dlog&amp;widgetTypeCall=true&amp;directAccess=false</t>
  </si>
  <si>
    <t>생활의달인 에그타르트 달인 류제웅 망원동 가게</t>
  </si>
  <si>
    <t>https://blog.naver.com/PostView.naver?blogId=dnjftndlqcjsdjr&amp;logNo=223893708833&amp;redirect=Dlog&amp;widgetTypeCall=true&amp;directAccess=false</t>
  </si>
  <si>
    <t>제씨</t>
  </si>
  <si>
    <t>6월 첫째주 기록</t>
  </si>
  <si>
    <t>https://blog.naver.com/PostView.naver?blogId=doyomi59&amp;logNo=223893689688&amp;redirect=Dlog&amp;widgetTypeCall=true&amp;directAccess=false</t>
  </si>
  <si>
    <t>David J 기술사</t>
  </si>
  <si>
    <t>진실이 좋아? 거짓말이 좋아?</t>
  </si>
  <si>
    <t>https://blog.naver.com/PostView.naver?blogId=jooshik_lee&amp;logNo=223893675631&amp;redirect=Dlog&amp;widgetTypeCall=true&amp;directAccess=false</t>
  </si>
  <si>
    <t>궁금한이야기y 735회 대학교 학정빌런 남학생들의 근처만 맴도는 수상한 여자의 정체</t>
  </si>
  <si>
    <t>https://blog.naver.com/PostView.naver?blogId=tobao0318&amp;logNo=223893536540&amp;redirect=Dlog&amp;widgetTypeCall=true&amp;directAccess=false</t>
  </si>
  <si>
    <t>티와이홀딩스(363280)</t>
  </si>
  <si>
    <t>https://blog.naver.com/PostView.naver?blogId=kang-pro1023&amp;logNo=223893506399&amp;redirect=Dlog&amp;widgetTypeCall=true&amp;directAccess=false</t>
  </si>
  <si>
    <t>최형두 "김문수 당대표 출마 바람직하지 않아…당원투표로 방향 정해야"</t>
  </si>
  <si>
    <t>https://blog.naver.com/PostView.naver?blogId=factinnews777&amp;logNo=223893496764&amp;redirect=Dlog&amp;widgetTypeCall=true&amp;directAccess=false</t>
  </si>
  <si>
    <t>‘귀궁’ 유종의 미, 최종회 시청률 12.3%로 금토 드라마의 새로운 이정표를 세우다</t>
  </si>
  <si>
    <t>https://blog.naver.com/PostView.naver?blogId=museonair2025&amp;logNo=223893102393&amp;redirect=Dlog&amp;widgetTypeCall=true&amp;directAccess=false</t>
  </si>
  <si>
    <t>7/10(목) 충북 청주 : 청주하우스콘서트</t>
  </si>
  <si>
    <t>https://blog.naver.com/PostView.naver?blogId=julyfestival&amp;logNo=223893394516&amp;redirect=Dlog&amp;widgetTypeCall=true&amp;directAccess=false</t>
  </si>
  <si>
    <t>나는solo 26기 현숙아 왜 말못해? 성격 진짜 답답한 이유, 나는솔로</t>
  </si>
  <si>
    <t>https://blog.naver.com/PostView.naver?blogId=chummilmil99&amp;logNo=223893370591&amp;redirect=Dlog&amp;widgetTypeCall=true&amp;directAccess=false</t>
  </si>
  <si>
    <t>7/10(목) 대전 : 아트브릿지</t>
  </si>
  <si>
    <t>https://blog.naver.com/PostView.naver?blogId=julyfestival&amp;logNo=223893358978&amp;redirect=Dlog&amp;widgetTypeCall=true&amp;directAccess=false</t>
  </si>
  <si>
    <t>7/11(금) 대전 : 아트브릿지</t>
  </si>
  <si>
    <t>https://blog.naver.com/PostView.naver?blogId=julyfestival&amp;logNo=223893352387&amp;redirect=Dlog&amp;widgetTypeCall=true&amp;directAccess=false</t>
  </si>
  <si>
    <t>친절한영찬씨</t>
  </si>
  <si>
    <t>스타강사 임지연 “봄시즌 결혼식 혼주를 위한 메이크업 스타일은?” 기업 강연</t>
  </si>
  <si>
    <t>https://blog.naver.com/PostView.naver?blogId=y7183919&amp;logNo=223893315758&amp;redirect=Dlog&amp;widgetTypeCall=true&amp;directAccess=false</t>
  </si>
  <si>
    <t>쿠스쿠스</t>
  </si>
  <si>
    <t>105kg 윤정수 배가 딱딱해져서 숨시기도 힘든 충격적인 근황</t>
  </si>
  <si>
    <t>https://blog.naver.com/PostView.naver?blogId=kukoodasboy&amp;logNo=223893313435&amp;redirect=Dlog&amp;widgetTypeCall=true&amp;directAccess=false</t>
  </si>
  <si>
    <t>내면안내자</t>
  </si>
  <si>
    <t>우연히 본 귀궁 결코 가볍지 않다.</t>
  </si>
  <si>
    <t>https://blog.naver.com/PostView.naver?blogId=innertraveler&amp;logNo=223893294341&amp;redirect=Dlog&amp;widgetTypeCall=true&amp;directAccess=false</t>
  </si>
  <si>
    <t>뉴스프론트</t>
  </si>
  <si>
    <t>대전미용학원 SBS아카데미뷰티스쿨, 대전광역시 학교밖 청소년지원센터와 업무협약체결</t>
  </si>
  <si>
    <t>https://blog.naver.com/PostView.naver?blogId=frontnews&amp;logNo=223893288727&amp;redirect=Dlog&amp;widgetTypeCall=true&amp;directAccess=false</t>
  </si>
  <si>
    <t>귀궁 최종회 리뷰 육성재, 용 되기를 거부한 남자 김지연과 사랑을 선택하다</t>
  </si>
  <si>
    <t>https://blog.naver.com/PostView.naver?blogId=wwhandww&amp;logNo=223892432880&amp;redirect=Dlog&amp;widgetTypeCall=true&amp;directAccess=false</t>
  </si>
  <si>
    <t>궁금한이야기 735회 지하철 5호선 방화사건 범인의 정체 시민이 구한 아저씨</t>
  </si>
  <si>
    <t>https://blog.naver.com/PostView.naver?blogId=tobao0318&amp;logNo=223893271430&amp;redirect=Dlog&amp;widgetTypeCall=true&amp;directAccess=false</t>
  </si>
  <si>
    <t>이희준X서예화의 짠내물씬 로맨스 '귤레귤레' [박하선의 씨네타운] 출연&amp;GV라인업 주목!</t>
  </si>
  <si>
    <t>https://blog.naver.com/PostView.naver?blogId=seenedom&amp;logNo=223893262179&amp;redirect=Dlog&amp;widgetTypeCall=true&amp;directAccess=false</t>
  </si>
  <si>
    <t>JM</t>
  </si>
  <si>
    <t>전세사기 당하고 변호사 선임까지 찐후기 (고수열전 방송)</t>
  </si>
  <si>
    <t>https://blog.naver.com/PostView.naver?blogId=wee404&amp;logNo=223893205881&amp;redirect=Dlog&amp;widgetTypeCall=true&amp;directAccess=false</t>
  </si>
  <si>
    <t>나는솔로 26기 영수 옥순에게 이것저것 금지당하고 투정부리는 철부지 동생 결혼상대 아냐</t>
  </si>
  <si>
    <t>https://blog.naver.com/PostView.naver?blogId=tobao0318&amp;logNo=223893193719&amp;redirect=Dlog&amp;widgetTypeCall=true&amp;directAccess=false</t>
  </si>
  <si>
    <t>나는솔로 26기 광수 왜 울어? 눈물 보인 진짜 이유 수요예능</t>
  </si>
  <si>
    <t>https://blog.naver.com/PostView.naver?blogId=shushu9988&amp;logNo=223893170550&amp;redirect=Dlog&amp;widgetTypeCall=true&amp;directAccess=false</t>
  </si>
  <si>
    <t>janghyun254</t>
  </si>
  <si>
    <t>3524장X현</t>
  </si>
  <si>
    <t>https://blog.naver.com/PostView.naver?blogId=janghyun254&amp;logNo=223893127778&amp;redirect=Dlog&amp;widgetTypeCall=true&amp;directAccess=false</t>
  </si>
  <si>
    <t>newspago</t>
  </si>
  <si>
    <t>‘천안 K-컬처박람회’ 폐막…대표 문화산업박람회 입증</t>
  </si>
  <si>
    <t>https://blog.naver.com/PostView.naver?blogId=hks4176&amp;logNo=223893124183&amp;redirect=Dlog&amp;widgetTypeCall=true&amp;directAccess=false</t>
  </si>
  <si>
    <t>리플렉션</t>
  </si>
  <si>
    <t>새 시즌 김가영 각오는? 출사표 던지는 PBA LPBA 스타들</t>
  </si>
  <si>
    <t>https://blog.naver.com/PostView.naver?blogId=oravni&amp;logNo=223893115537&amp;redirect=Dlog&amp;widgetTypeCall=true&amp;directAccess=false</t>
  </si>
  <si>
    <t>천안신문 CAN</t>
  </si>
  <si>
    <t>지난 6월4일 개막한 K-컬처박람회는 이날 K-토크쇼 ‘NoBack 탁재훈’, 천안 외국인축제, 폐막식, 폐막 리셉션을 끝으로 막을 내렸다.  올해 3회째인 K-컬처박람회는 문화</t>
  </si>
  <si>
    <t>https://blog.naver.com/PostView.naver?blogId=59misookpak&amp;logNo=223893078587&amp;redirect=Dlog&amp;widgetTypeCall=true&amp;directAccess=false</t>
  </si>
  <si>
    <t>쇼도람</t>
  </si>
  <si>
    <t>양재역 디저트 맛집 호두까끼형제 호두파이 후기</t>
  </si>
  <si>
    <t>https://blog.naver.com/PostView.naver?blogId=newa40&amp;logNo=223893044610&amp;redirect=Dlog&amp;widgetTypeCall=true&amp;directAccess=false</t>
  </si>
  <si>
    <t>블루로즈</t>
  </si>
  <si>
    <t>남궁민 전여빈 드라마/ 우리 영화</t>
  </si>
  <si>
    <t>https://blog.naver.com/PostView.naver?blogId=bluesouled&amp;logNo=223893000987&amp;redirect=Dlog&amp;widgetTypeCall=true&amp;directAccess=false</t>
  </si>
  <si>
    <t>고래</t>
  </si>
  <si>
    <t>조정일</t>
  </si>
  <si>
    <t>뉴미디어</t>
  </si>
  <si>
    <t>https://blog.naver.com/PostView.naver?blogId=whwjddlf08&amp;logNo=223892978230&amp;redirect=Dlog&amp;widgetTypeCall=true&amp;directAccess=false</t>
  </si>
  <si>
    <t>무화과</t>
  </si>
  <si>
    <t>귀궁(sbs,2025,16부작)</t>
  </si>
  <si>
    <t>https://blog.naver.com/PostView.naver?blogId=kimgeneral&amp;logNo=223892959762&amp;redirect=Dlog&amp;widgetTypeCall=true&amp;directAccess=false</t>
  </si>
  <si>
    <t>뉴욕다람쥐</t>
  </si>
  <si>
    <t>청주명문도너츠 : 서울 어린이대공원 생도넛 맛집</t>
  </si>
  <si>
    <t>https://blog.naver.com/PostView.naver?blogId=accord3&amp;logNo=223881182052&amp;redirect=Dlog&amp;widgetTypeCall=true&amp;directAccess=false</t>
  </si>
  <si>
    <t>[충청대세뉴스] 세계를 물들이다 ‘천안 K-컬처박람회’ 성료…대표 문화산업박람회 입증</t>
  </si>
  <si>
    <t>https://blog.naver.com/PostView.naver?blogId=yyjjss3081&amp;logNo=223892932654&amp;redirect=Dlog&amp;widgetTypeCall=true&amp;directAccess=false</t>
  </si>
  <si>
    <t>이명섭</t>
  </si>
  <si>
    <t>[양천구 목동] 오목공원 - 도시의 액자 | 디자인스튜디오 로사이(박승진) + 모스건축사사무소(김희정)</t>
  </si>
  <si>
    <t>https://blog.naver.com/PostView.naver?blogId=lee_myoungseob&amp;logNo=223855440893&amp;redirect=Dlog&amp;widgetTypeCall=true&amp;directAccess=false</t>
  </si>
  <si>
    <t>“마지막 손님은 누구였을까” 21년 미제 사건, 단추와 안경알이 말하는 진실 - 부산 성인용품점 살인 사건 (1446회. 그것이 알고 싶다. 25.06.07)</t>
  </si>
  <si>
    <t>https://blog.naver.com/PostView.naver?blogId=now-asset&amp;logNo=223892815374&amp;redirect=Dlog&amp;widgetTypeCall=true&amp;directAccess=false</t>
  </si>
  <si>
    <t>동상이몽 2·결혼 9년 차 배우 송재희 지소연 프로필·가족·자녀·쌍둥이 성별·집 아파트·종교·차 포르쉐911⭐️지소연 광고대행사 사업 매출 10억 시험관 난임</t>
  </si>
  <si>
    <t>https://blog.naver.com/PostView.naver?blogId=rachelwood6&amp;logNo=223892768571&amp;redirect=Dlog&amp;widgetTypeCall=true&amp;directAccess=false</t>
  </si>
  <si>
    <t>워니베리</t>
  </si>
  <si>
    <t>[육아] 아이랑 같이 보기 좋은 TV 프로그램 7개 추천~</t>
  </si>
  <si>
    <t>https://blog.naver.com/PostView.naver?blogId=wonee0303&amp;logNo=223892730035&amp;redirect=Dlog&amp;widgetTypeCall=true&amp;directAccess=false</t>
  </si>
  <si>
    <t>개인정보 유출 중국산 로보락 로봇청소기 비상~!</t>
  </si>
  <si>
    <t>https://blog.naver.com/PostView.naver?blogId=asomlover1004&amp;logNo=223892719494&amp;redirect=Dlog&amp;widgetTypeCall=true&amp;directAccess=false</t>
  </si>
  <si>
    <t>뚀닝</t>
  </si>
  <si>
    <t>목동 증명사진 1:1 수정 2번째 민증사진, 와이제이사진관 목동점(YJ사진관)</t>
  </si>
  <si>
    <t>https://blog.naver.com/PostView.naver?blogId=xyzzinny&amp;logNo=223892052286&amp;redirect=Dlog&amp;widgetTypeCall=true&amp;directAccess=false</t>
  </si>
  <si>
    <t>나는솔로 21기옥순 사짜 직업 좋아해? 변호사 영호 수의사 영수, 그후 사랑은 계속된다</t>
  </si>
  <si>
    <t>https://blog.naver.com/PostView.naver?blogId=chummilmil99&amp;logNo=223892710419&amp;redirect=Dlog&amp;widgetTypeCall=true&amp;directAccess=false</t>
  </si>
  <si>
    <t>귀궁' 김지연, 육성재 잃고 오열→끝내 해피엔딩…꽉 닫힌 결말 완성</t>
  </si>
  <si>
    <t>https://blog.naver.com/PostView.naver?blogId=atraxia123&amp;logNo=223892693144&amp;redirect=Dlog&amp;widgetTypeCall=true&amp;directAccess=false</t>
  </si>
  <si>
    <t>미야오 안나, 인형보다 사랑스러운 셀카 공개…‘드랍탑’ 활동 성공적 마무리</t>
  </si>
  <si>
    <t>https://blog.naver.com/PostView.naver?blogId=jericho0220&amp;logNo=223892690179&amp;redirect=Dlog&amp;widgetTypeCall=true&amp;directAccess=false</t>
  </si>
  <si>
    <t>Leon</t>
  </si>
  <si>
    <t>뉴발란스 992 온라인 라플 진행 예정, 주의사항 및 992&amp;993 정보</t>
  </si>
  <si>
    <t>https://blog.naver.com/PostView.naver?blogId=junehee90&amp;logNo=223892674029&amp;redirect=Dlog&amp;widgetTypeCall=true&amp;directAccess=false</t>
  </si>
  <si>
    <t>냥냥뇽</t>
  </si>
  <si>
    <t>온앤오프 ONF 공개방송 참여 후기 / SBS 파워 FM 웬디의 영스트리트 / 천안 K-컬처 박람회</t>
  </si>
  <si>
    <t>https://blog.naver.com/PostView.naver?blogId=always_0936&amp;logNo=223892642295&amp;redirect=Dlog&amp;widgetTypeCall=true&amp;directAccess=false</t>
  </si>
  <si>
    <t>뀨</t>
  </si>
  <si>
    <t>6월 첫째주 일상기록 : 연휴가 많아서 행복했던 첫주 영화도 보고 동물원도 가고!</t>
  </si>
  <si>
    <t>https://blog.naver.com/PostView.naver?blogId=klk1196&amp;logNo=223892622253&amp;redirect=Dlog&amp;widgetTypeCall=true&amp;directAccess=false</t>
  </si>
  <si>
    <t>띵츄</t>
  </si>
  <si>
    <t>[일상]2025년 6월 - 3</t>
  </si>
  <si>
    <t>https://blog.naver.com/PostView.naver?blogId=0v0_ovo_&amp;logNo=223892590460&amp;redirect=Dlog&amp;widgetTypeCall=true&amp;directAccess=false</t>
  </si>
  <si>
    <t>Golden plant</t>
  </si>
  <si>
    <t>귀궁 (2025, SBS 드라마)</t>
  </si>
  <si>
    <t>https://blog.naver.com/PostView.naver?blogId=golden_plant&amp;logNo=223892563989&amp;redirect=Dlog&amp;widgetTypeCall=true&amp;directAccess=false</t>
  </si>
  <si>
    <t>짱아</t>
  </si>
  <si>
    <t>25.06.08 해외시장이야기(트럼프는 또 변동성 게임을 원하고 있다. )</t>
  </si>
  <si>
    <t>https://blog.naver.com/PostView.naver?blogId=leezzzang1&amp;logNo=223892551973&amp;redirect=Dlog&amp;widgetTypeCall=true&amp;directAccess=false</t>
  </si>
  <si>
    <t>배우 김지원, 화장품 광고 중 순백의 요정 미모…‘닥터X’로 돌아오는 그녀</t>
  </si>
  <si>
    <t>https://blog.naver.com/PostView.naver?blogId=yunys4303&amp;logNo=223892539318&amp;redirect=Dlog&amp;widgetTypeCall=true&amp;directAccess=false</t>
  </si>
  <si>
    <t>최고당</t>
  </si>
  <si>
    <t>최고당 골프 ㅡ 13. 프로골퍼 레슨의 유혹</t>
  </si>
  <si>
    <t>https://blog.naver.com/PostView.naver?blogId=bhchoe62&amp;logNo=223892525427&amp;redirect=Dlog&amp;widgetTypeCall=true&amp;directAccess=false</t>
  </si>
  <si>
    <t>핫고</t>
  </si>
  <si>
    <t>2025.06.01~06.07 인생 첫 조카.. 첫 만남..</t>
  </si>
  <si>
    <t>https://blog.naver.com/PostView.naver?blogId=rmfkd6064&amp;logNo=223892521974&amp;redirect=Dlog&amp;widgetTypeCall=true&amp;directAccess=false</t>
  </si>
  <si>
    <t>슈룹</t>
  </si>
  <si>
    <t>귀궁 16회(최종회) 줄거리-두 사람 입궐하시라고 하셨어</t>
  </si>
  <si>
    <t>https://blog.naver.com/PostView.naver?blogId=toy7house&amp;logNo=223892520748&amp;redirect=Dlog&amp;widgetTypeCall=true&amp;directAccess=false</t>
  </si>
  <si>
    <t>이종챙</t>
  </si>
  <si>
    <t>2025년 6월 일상 - 1</t>
  </si>
  <si>
    <t>https://blog.naver.com/PostView.naver?blogId=dlwhdckd1234&amp;logNo=223892481495&amp;redirect=Dlog&amp;widgetTypeCall=true&amp;directAccess=false</t>
  </si>
  <si>
    <t>uhanai</t>
  </si>
  <si>
    <t>블로그는 대나무숲이다.</t>
  </si>
  <si>
    <t>https://blog.naver.com/PostView.naver?blogId=uhanai&amp;logNo=223892422593&amp;redirect=Dlog&amp;widgetTypeCall=true&amp;directAccess=false</t>
  </si>
  <si>
    <t>mojito2024</t>
  </si>
  <si>
    <t>309 매년 유기동물 10만 ~11만 마리ㆍ매년 유기동물 관련 국세 예산(= 세금지출)ㆍ전국 보호소 개수</t>
  </si>
  <si>
    <t>https://blog.naver.com/PostView.naver?blogId=mojito2024&amp;logNo=223892421753&amp;redirect=Dlog&amp;widgetTypeCall=true&amp;directAccess=false</t>
  </si>
  <si>
    <t>배우 최진혁 프로필·가족·엄마·어머니 박미자·아버지·집 아파트·고향·군대·대학⭐️최진혁 윤현민 일본 유학생 소개팅</t>
  </si>
  <si>
    <t>https://blog.naver.com/PostView.naver?blogId=rachelwood6&amp;logNo=223892365176&amp;redirect=Dlog&amp;widgetTypeCall=true&amp;directAccess=false</t>
  </si>
  <si>
    <t>귀궁 마지막회 결말 시청률 11% 종영 + sbs금토드라마 후속 우리영화</t>
  </si>
  <si>
    <t>https://blog.naver.com/PostView.naver?blogId=euene1111&amp;logNo=223892332378&amp;redirect=Dlog&amp;widgetTypeCall=true&amp;directAccess=false</t>
  </si>
  <si>
    <t>요약의신</t>
  </si>
  <si>
    <t>suyeoni</t>
  </si>
  <si>
    <t>24년도 회계법인 면접(삼일/삼정)</t>
  </si>
  <si>
    <t>https://blog.naver.com/PostView.naver?blogId=syonni_&amp;logNo=223892288603&amp;redirect=Dlog&amp;widgetTypeCall=true&amp;directAccess=false</t>
  </si>
  <si>
    <t>하와이 앤</t>
  </si>
  <si>
    <t>네버랜드 클래식 읽기 시작하다</t>
  </si>
  <si>
    <t>https://blog.naver.com/PostView.naver?blogId=hawaiianne&amp;logNo=223892287113&amp;redirect=Dlog&amp;widgetTypeCall=true&amp;directAccess=false</t>
  </si>
  <si>
    <t>김솔우</t>
  </si>
  <si>
    <t>[2025.06.08] 으아아아아악</t>
  </si>
  <si>
    <t>https://blog.naver.com/PostView.naver?blogId=swinwdld&amp;logNo=223892284821&amp;redirect=Dlog&amp;widgetTypeCall=true&amp;directAccess=false</t>
  </si>
  <si>
    <t>🕵️‍♀️'그알'이 다시 꺼낸 2004 부산 성인용품점 살인 사건… 유영철과 이두홍의 자백, 믿어도 될까?</t>
  </si>
  <si>
    <t>https://blog.naver.com/PostView.naver?blogId=inklogist&amp;logNo=223892283076&amp;redirect=Dlog&amp;widgetTypeCall=true&amp;directAccess=false</t>
  </si>
  <si>
    <t>250608 미운 우리 새끼 446회 예고 / '미우새' 윤현민, 짝 찾을까…최진혁 '여사친'과 소개팅 - 내겐 너무 치명적인 그녀</t>
  </si>
  <si>
    <t>https://blog.naver.com/PostView.naver?blogId=kbmbc_8919&amp;logNo=223892281143&amp;redirect=Dlog&amp;widgetTypeCall=true&amp;directAccess=false</t>
  </si>
  <si>
    <t>2026 KF-21 리뷰 – 한국의 하늘을 지배할 전투기</t>
  </si>
  <si>
    <t>https://blog.naver.com/PostView.naver?blogId=ksungr&amp;logNo=223892272067&amp;redirect=Dlog&amp;widgetTypeCall=true&amp;directAccess=false</t>
  </si>
  <si>
    <t>이룩크리에이티브</t>
  </si>
  <si>
    <t>[25년 6월 2주차 Pick] MZ 사로잡은 메가커피 ‘이 메뉴’ / 네이버플러스 스토어 443만 이용자 확보/ 대통령 복귀 앞둔 청와대 막차 관람 열풍</t>
  </si>
  <si>
    <t>https://blog.naver.com/PostView.naver?blogId=2rookcreative&amp;logNo=223889635932&amp;redirect=Dlog&amp;widgetTypeCall=true&amp;directAccess=false</t>
  </si>
  <si>
    <t>비아 VIA</t>
  </si>
  <si>
    <t>[6/2-8] 주간 일기 (국제정원박람회, 이태원비샵, 용산가족공원, 국립중앙박물관)</t>
  </si>
  <si>
    <t>https://blog.naver.com/PostView.naver?blogId=insilverrain&amp;logNo=223892239670&amp;redirect=Dlog&amp;widgetTypeCall=true&amp;directAccess=false</t>
  </si>
  <si>
    <t>상자</t>
  </si>
  <si>
    <t>[귀궁]최종회 줄거리와 시청률...인기비결과 시즌2 가능성은?</t>
  </si>
  <si>
    <t>https://blog.naver.com/PostView.naver?blogId=sangjapg&amp;logNo=223892201849&amp;redirect=Dlog&amp;widgetTypeCall=true&amp;directAccess=false</t>
  </si>
  <si>
    <t>드라마 귀궁 (The Haunted Palace, 2025)</t>
  </si>
  <si>
    <t>https://blog.naver.com/PostView.naver?blogId=komorebi_sky&amp;logNo=223892186527&amp;redirect=Dlog&amp;widgetTypeCall=true&amp;directAccess=false</t>
  </si>
  <si>
    <t>이상민, 20년 만의 재혼과 새로운 시작</t>
  </si>
  <si>
    <t>https://blog.naver.com/PostView.naver?blogId=creta22&amp;logNo=223892158201&amp;redirect=Dlog&amp;widgetTypeCall=true&amp;directAccess=false</t>
  </si>
  <si>
    <t>리카</t>
  </si>
  <si>
    <t>드라마 '귀궁'</t>
  </si>
  <si>
    <t>https://blog.naver.com/PostView.naver?blogId=lika202&amp;logNo=223892121429&amp;redirect=Dlog&amp;widgetTypeCall=true&amp;directAccess=false</t>
  </si>
  <si>
    <t>[책소개] 『여성을 위한 내 몸 설명서』 - 황덕상 지음</t>
  </si>
  <si>
    <t>https://blog.naver.com/PostView.naver?blogId=pnukmed10&amp;logNo=223892096358&amp;redirect=Dlog&amp;widgetTypeCall=true&amp;directAccess=false</t>
  </si>
  <si>
    <t>bagusspa</t>
  </si>
  <si>
    <t>실화 에세이 추천 “이 지랄맞음이 쌓여 축제가 되겠지” 조승리 작가</t>
  </si>
  <si>
    <t>https://blog.naver.com/PostView.naver?blogId=bagusspa&amp;logNo=223892093122&amp;redirect=Dlog&amp;widgetTypeCall=true&amp;directAccess=false</t>
  </si>
  <si>
    <t>yesul</t>
  </si>
  <si>
    <t>그것이 알고 싶다</t>
  </si>
  <si>
    <t>https://blog.naver.com/PostView.naver?blogId=yesul_phohyun&amp;logNo=223892091488&amp;redirect=Dlog&amp;widgetTypeCall=true&amp;directAccess=false</t>
  </si>
  <si>
    <t>AI가 뽑은 6월 8일 국내·외 주요 뉴스</t>
  </si>
  <si>
    <t>https://blog.naver.com/PostView.naver?blogId=ksahn1960&amp;logNo=223892060682&amp;redirect=Dlog&amp;widgetTypeCall=true&amp;directAccess=false</t>
  </si>
  <si>
    <t>행복미소</t>
  </si>
  <si>
    <t>제25회 대전국제음악제 환경사랑음악회 [김미숙의 사계]</t>
  </si>
  <si>
    <t>https://blog.naver.com/PostView.naver?blogId=babuli6&amp;logNo=223892050969&amp;redirect=Dlog&amp;widgetTypeCall=true&amp;directAccess=false</t>
  </si>
  <si>
    <t>맛과 풍류</t>
  </si>
  <si>
    <t>화제의 드라마·웹 소설 세 작품—‘귀 궁’, ‘굿보이’, ‘미지의 서울</t>
  </si>
  <si>
    <t>https://blog.naver.com/PostView.naver?blogId=ssiiggg&amp;logNo=223892027904&amp;redirect=Dlog&amp;widgetTypeCall=true&amp;directAccess=false</t>
  </si>
  <si>
    <t>구회말</t>
  </si>
  <si>
    <t>묘사공방</t>
  </si>
  <si>
    <t>22년 전 미제 살인사건 안경알 단서가 가리키는 진범은? (그알 1446회)</t>
  </si>
  <si>
    <t>https://blog.naver.com/PostView.naver?blogId=0705jacho&amp;logNo=223892019734&amp;redirect=Dlog&amp;widgetTypeCall=true&amp;directAccess=false</t>
  </si>
  <si>
    <t>photocamper</t>
  </si>
  <si>
    <t>앉는 순간, 오늘 캠핑 끝났다. 플랜40 B-chair 추천</t>
  </si>
  <si>
    <t>https://blog.naver.com/PostView.naver?blogId=7ghost&amp;logNo=223885044310&amp;redirect=Dlog&amp;widgetTypeCall=true&amp;directAccess=false</t>
  </si>
  <si>
    <t>평을</t>
  </si>
  <si>
    <t>[문화 답사] 강릉 가볼만 한 곳 문화 답사 신사임당 율곡 오죽헌 시립박물관</t>
  </si>
  <si>
    <t>https://blog.naver.com/PostView.naver?blogId=changwoo0822&amp;logNo=223892017663&amp;redirect=Dlog&amp;widgetTypeCall=true&amp;directAccess=false</t>
  </si>
  <si>
    <t>귀궁' 종영...여리+강철 파란만장 퇴마 이야기, 시즌2로 이어질까? (최종회 리뷰)</t>
  </si>
  <si>
    <t>https://blog.naver.com/PostView.naver?blogId=jazzkid&amp;logNo=223891992782&amp;redirect=Dlog&amp;widgetTypeCall=true&amp;directAccess=false</t>
  </si>
  <si>
    <t>이재명 재판 계속돼야 한다 64%, 어쩌면 감옥에 간다.</t>
  </si>
  <si>
    <t>https://blog.naver.com/PostView.naver?blogId=zeenokim&amp;logNo=223891978864&amp;redirect=Dlog&amp;widgetTypeCall=true&amp;directAccess=false</t>
  </si>
  <si>
    <t>썬골드</t>
  </si>
  <si>
    <t>귀궁 16화 16회 리뷰 마지막회 결말</t>
  </si>
  <si>
    <t>https://blog.naver.com/PostView.naver?blogId=srmrom&amp;logNo=223891919967&amp;redirect=Dlog&amp;widgetTypeCall=true&amp;directAccess=false</t>
  </si>
  <si>
    <t>e충남시사신문</t>
  </si>
  <si>
    <t>천안 K-컬처박람회 개막… 5일간의 환상</t>
  </si>
  <si>
    <t>https://blog.naver.com/PostView.naver?blogId=pusol0113&amp;logNo=223891909109&amp;redirect=Dlog&amp;widgetTypeCall=true&amp;directAccess=false</t>
  </si>
  <si>
    <t>두번세번</t>
  </si>
  <si>
    <t>SBS '그알' 부산 성인용품점 여주인 살해사건 진실은? 유영철·이두홍 의혹 추적</t>
  </si>
  <si>
    <t>https://blog.naver.com/PostView.naver?blogId=tresveces&amp;logNo=223891904270&amp;redirect=Dlog&amp;widgetTypeCall=true&amp;directAccess=false</t>
  </si>
  <si>
    <t>드라마 귀궁 16회 마지막회 줄거리 결말 리뷰 : 팔척귀 천도 성공! 부활한 강철이 인간의 삶 택해 여리와 백년해로</t>
  </si>
  <si>
    <t>https://blog.naver.com/PostView.naver?blogId=ektha0108&amp;logNo=223891885812&amp;redirect=Dlog&amp;widgetTypeCall=true&amp;directAccess=false</t>
  </si>
  <si>
    <t>조나단</t>
  </si>
  <si>
    <t>6월 07일 '귀궁' 최종회 16회 이무기가 날아간 곳은</t>
  </si>
  <si>
    <t>https://blog.naver.com/PostView.naver?blogId=dayeon1007&amp;logNo=223891878937&amp;redirect=Dlog&amp;widgetTypeCall=true&amp;directAccess=false</t>
  </si>
  <si>
    <t>비로그</t>
  </si>
  <si>
    <t>SBS 생활의 달인 강원도 원주 사골베이스 막국수 수육 로컬 맛집 추천-명랑막국수</t>
  </si>
  <si>
    <t>https://blog.naver.com/PostView.naver?blogId=tdq1811&amp;logNo=223891876145&amp;redirect=Dlog&amp;widgetTypeCall=true&amp;directAccess=false</t>
  </si>
  <si>
    <t>정우성 이지아 파리  밀회에서 충격 결별까지 14년 전의 뜨거웠던 스토리</t>
  </si>
  <si>
    <t>https://blog.naver.com/PostView.naver?blogId=qnzjn8&amp;logNo=223891747293&amp;redirect=Dlog&amp;widgetTypeCall=true&amp;directAccess=false</t>
  </si>
  <si>
    <t>가족여행 - 양양 쏠비치</t>
  </si>
  <si>
    <t>https://blog.naver.com/PostView.naver?blogId=silverspiri5&amp;logNo=223891843641&amp;redirect=Dlog&amp;widgetTypeCall=true&amp;directAccess=false</t>
  </si>
  <si>
    <t>안방마님</t>
  </si>
  <si>
    <t>SBS드라마 귀궁 최종회 결말, 팔척귀 퇴치→육성재&amp;김지연 아이 낳고 해피엔딩</t>
  </si>
  <si>
    <t>https://blog.naver.com/PostView.naver?blogId=anbangk&amp;logNo=223891840774&amp;redirect=Dlog&amp;widgetTypeCall=true&amp;directAccess=false</t>
  </si>
  <si>
    <t>‘나솔 10기’ 정숙, 남성 폭행 논란…가짜 명품 이어 또</t>
  </si>
  <si>
    <t>https://blog.naver.com/PostView.naver?blogId=atraxia123&amp;logNo=223891834328&amp;redirect=Dlog&amp;widgetTypeCall=true&amp;directAccess=false</t>
  </si>
  <si>
    <t>귀궁' 한민. 충직한 군관 활약…"다른 모습 보여준 기회 감사"</t>
  </si>
  <si>
    <t>https://blog.naver.com/PostView.naver?blogId=atraxia123&amp;logNo=223891833065&amp;redirect=Dlog&amp;widgetTypeCall=true&amp;directAccess=false</t>
  </si>
  <si>
    <t>엑시트</t>
  </si>
  <si>
    <t>https://blog.naver.com/PostView.naver?blogId=chosw013&amp;logNo=223839955999&amp;redirect=Dlog&amp;widgetTypeCall=true&amp;directAccess=false</t>
  </si>
  <si>
    <t>정숙 10기, 가짜 명품 논란은 시작일 뿐… 폭행 시비까지 휘말린 충격적인 전말 (+나는솔로, 프로필, 논란)</t>
  </si>
  <si>
    <t>https://blog.naver.com/PostView.naver?blogId=qoswlfdl-&amp;logNo=223891792520&amp;redirect=Dlog&amp;widgetTypeCall=true&amp;directAccess=false</t>
  </si>
  <si>
    <t>귀궁16회 최종회 용하네..여리</t>
  </si>
  <si>
    <t>https://blog.naver.com/PostView.naver?blogId=ghksgus&amp;logNo=223891775780&amp;redirect=Dlog&amp;widgetTypeCall=true&amp;directAccess=false</t>
  </si>
  <si>
    <t>기세다</t>
  </si>
  <si>
    <t>목동만큼 아이 키우기 좋은 곳이 있을까</t>
  </si>
  <si>
    <t>https://blog.naver.com/PostView.naver?blogId=kiseda100&amp;logNo=223891770047&amp;redirect=Dlog&amp;widgetTypeCall=true&amp;directAccess=false</t>
  </si>
  <si>
    <t>그것이 알고 싶다 1446회</t>
  </si>
  <si>
    <t>https://blog.naver.com/PostView.naver?blogId=bizbank&amp;logNo=223891721618&amp;redirect=Dlog&amp;widgetTypeCall=true&amp;directAccess=false</t>
  </si>
  <si>
    <t>귀궁 16회 결말, 이무기와 무녀의 판타지 로맨스, 김지연 서도영 천도하고 육성재와 티키타카</t>
  </si>
  <si>
    <t>https://blog.naver.com/PostView.naver?blogId=gktkrk&amp;logNo=223891711506&amp;redirect=Dlog&amp;widgetTypeCall=true&amp;directAccess=false</t>
  </si>
  <si>
    <t>암수살인 이두홍 유영철? 그것이 알고싶다 1446회 부산 성인용품점 살인사건 범인, 그알 레전드</t>
  </si>
  <si>
    <t>https://blog.naver.com/PostView.naver?blogId=chummilmil99&amp;logNo=223891699437&amp;redirect=Dlog&amp;widgetTypeCall=true&amp;directAccess=false</t>
  </si>
  <si>
    <t>아진짜바나나우유그만</t>
  </si>
  <si>
    <t>6월초 대만 타이베이 taipei 여행</t>
  </si>
  <si>
    <t>https://blog.naver.com/PostView.naver?blogId=stopeatingbananamilk&amp;logNo=223891698352&amp;redirect=Dlog&amp;widgetTypeCall=true&amp;directAccess=false</t>
  </si>
  <si>
    <t>17기 옥순 오열｜“눈물이 왜 나는지 모르겠다”｜‘나솔사계’ 한 번 더 특집, 그 눈물의 의미는?</t>
  </si>
  <si>
    <t>https://blog.naver.com/PostView.naver?blogId=dojin1983&amp;logNo=223891685704&amp;redirect=Dlog&amp;widgetTypeCall=true&amp;directAccess=false</t>
  </si>
  <si>
    <t>탤런트안병경</t>
  </si>
  <si>
    <t>https://blog.naver.com/PostView.naver?blogId=yang83529&amp;logNo=223891667661&amp;redirect=Dlog&amp;widgetTypeCall=true&amp;directAccess=false</t>
  </si>
  <si>
    <t>초심자이언츠</t>
  </si>
  <si>
    <t>귀궁 팔척귀 포대기 전투신서도영이 만들어낸 진심의 장면, 드라마 역사에 남을 순간</t>
  </si>
  <si>
    <t>https://blog.naver.com/PostView.naver?blogId=luxblue83&amp;logNo=223891650500&amp;redirect=Dlog&amp;widgetTypeCall=true&amp;directAccess=false</t>
  </si>
  <si>
    <t>귀궁 마지막회 이무기 천지장군 결말은? 화덕차사 부른 여리, 16회 SBS 금토드라마</t>
  </si>
  <si>
    <t>https://blog.naver.com/PostView.naver?blogId=chummilmil99&amp;logNo=223891643974&amp;redirect=Dlog&amp;widgetTypeCall=true&amp;directAccess=false</t>
  </si>
  <si>
    <t>귀궁 팔척귀 전투신 천금휘는 아이를 포대기 싸서 허리에 두른다</t>
  </si>
  <si>
    <t>https://blog.naver.com/PostView.naver?blogId=wwioa__&amp;logNo=223891612884&amp;redirect=Dlog&amp;widgetTypeCall=true&amp;directAccess=false</t>
  </si>
  <si>
    <t>뭐볼까픽</t>
  </si>
  <si>
    <t>김다미의 변신은 무죄! 캐릭터마다 다른 얼굴, 드라마 3편 추천!</t>
  </si>
  <si>
    <t>https://blog.naver.com/PostView.naver?blogId=pbw0105_&amp;logNo=223891605727&amp;redirect=Dlog&amp;widgetTypeCall=true&amp;directAccess=false</t>
  </si>
  <si>
    <t>귀궁' 최종회- 육성재·김지연·김지훈, 마지막 인사로 전한 감동</t>
  </si>
  <si>
    <t>https://blog.naver.com/PostView.naver?blogId=sangyun32&amp;logNo=223891595005&amp;redirect=Dlog&amp;widgetTypeCall=true&amp;directAccess=false</t>
  </si>
  <si>
    <t>멈서방</t>
  </si>
  <si>
    <t>[대전카페추천] 가양동 스콘 맛집, 분위기가 살아있는 분좋카! 플라잉스콘 대전복합터미널점</t>
  </si>
  <si>
    <t>https://blog.naver.com/PostView.naver?blogId=wj_0428&amp;logNo=223891590248&amp;redirect=Dlog&amp;widgetTypeCall=true&amp;directAccess=false</t>
  </si>
  <si>
    <t>특검 3법 찬성 국민의힘 20여 명? 차명진(전 의원)은 '을사 22적'이라 맹비난</t>
  </si>
  <si>
    <t>https://blog.naver.com/PostView.naver?blogId=bingoshim&amp;logNo=223891586719&amp;redirect=Dlog&amp;widgetTypeCall=true&amp;directAccess=false</t>
  </si>
  <si>
    <t>17기 옥순 눈물｜나솔사계 퀸 옥순 폭풍 오열 이유｜솔로민박 인터뷰｜방송 전부터 궁금증 폭발</t>
  </si>
  <si>
    <t>https://blog.naver.com/PostView.naver?blogId=luxblue83&amp;logNo=223891558336&amp;redirect=Dlog&amp;widgetTypeCall=true&amp;directAccess=false</t>
  </si>
  <si>
    <t>yxxnzzae</t>
  </si>
  <si>
    <t>부의 시나리오 _ 오건영</t>
  </si>
  <si>
    <t>https://blog.naver.com/PostView.naver?blogId=yxxnzzae&amp;logNo=223891549672&amp;redirect=Dlog&amp;widgetTypeCall=true&amp;directAccess=false</t>
  </si>
  <si>
    <t>등산왕거북이</t>
  </si>
  <si>
    <t>부산 성인용품점 살인사건 이야기</t>
  </si>
  <si>
    <t>https://blog.naver.com/PostView.naver?blogId=sjskone&amp;logNo=223891542444&amp;redirect=Dlog&amp;widgetTypeCall=true&amp;directAccess=false</t>
  </si>
  <si>
    <t>뿅뿅</t>
  </si>
  <si>
    <t>코엑스맛집 코엑스타코 더타코부스 NYC 코엑스점</t>
  </si>
  <si>
    <t>https://blog.naver.com/PostView.naver?blogId=hyunjung2391&amp;logNo=223891522717&amp;redirect=Dlog&amp;widgetTypeCall=true&amp;directAccess=false</t>
  </si>
  <si>
    <t>나는솔로 19기 정숙 졸립고 피곤해? 24기 광수 기분나쁜 이유, 그후 사랑은 계속된다</t>
  </si>
  <si>
    <t>https://blog.naver.com/PostView.naver?blogId=chummilmil99&amp;logNo=223891492879&amp;redirect=Dlog&amp;widgetTypeCall=true&amp;directAccess=false</t>
  </si>
  <si>
    <t>K-컬처박람회 천안에서! 8일까지 문화의 향연 북적북적!</t>
  </si>
  <si>
    <t>https://blog.naver.com/PostView.naver?blogId=jesus53-&amp;logNo=223891477940&amp;redirect=Dlog&amp;widgetTypeCall=true&amp;directAccess=false</t>
  </si>
  <si>
    <t>KGA</t>
  </si>
  <si>
    <t>허승완·김가희, 제3회 클럽디 아마추어 에코 챔피언십 우승</t>
  </si>
  <si>
    <t>https://blog.naver.com/PostView.naver?blogId=koreagolfassociation&amp;logNo=223891428399&amp;redirect=Dlog&amp;widgetTypeCall=true&amp;directAccess=false</t>
  </si>
  <si>
    <t>김승수 친누나 최초 공개 미운 우리 새끼 역대급 혈육 케미 예고</t>
  </si>
  <si>
    <t>https://blog.naver.com/PostView.naver?blogId=wwioa__&amp;logNo=223891407156&amp;redirect=Dlog&amp;widgetTypeCall=true&amp;directAccess=false</t>
  </si>
  <si>
    <t>나는solo 26기 정숙아 질투가 아니라고! 절대 눈치없는 이유, 나는솔로</t>
  </si>
  <si>
    <t>https://blog.naver.com/PostView.naver?blogId=chummilmil99&amp;logNo=223891403817&amp;redirect=Dlog&amp;widgetTypeCall=true&amp;directAccess=false</t>
  </si>
  <si>
    <t>2년째 미궁, BJ 아영 캄보디아 의문사…“속옷 거꾸로 입은 채 발견”된 진실은 어디에</t>
  </si>
  <si>
    <t>https://blog.naver.com/PostView.naver?blogId=apahghfej&amp;logNo=223891364393&amp;redirect=Dlog&amp;widgetTypeCall=true&amp;directAccess=false</t>
  </si>
  <si>
    <t>육회와 육사시미</t>
  </si>
  <si>
    <t>🍜여름에 생각나는 냉모밀 분당서현맛집 “그집”</t>
  </si>
  <si>
    <t>https://blog.naver.com/PostView.naver?blogId=happysweet75&amp;logNo=223891361942&amp;redirect=Dlog&amp;widgetTypeCall=true&amp;directAccess=false</t>
  </si>
  <si>
    <t>그알 2004년 부산 성인 용품점 이정숙 살해 사건 범인 유영철 암수살인 이두홍 (그것이 알고 싶다 1446회)</t>
  </si>
  <si>
    <t>https://blog.naver.com/PostView.naver?blogId=k202109&amp;logNo=223891314159&amp;redirect=Dlog&amp;widgetTypeCall=true&amp;directAccess=false</t>
  </si>
  <si>
    <t>밤섬맨</t>
  </si>
  <si>
    <t>상법 개정과 코리아디스카운트 해소에 따른 주가 상승</t>
  </si>
  <si>
    <t>https://blog.naver.com/PostView.naver?blogId=ldg0022&amp;logNo=223891305485&amp;redirect=Dlog&amp;widgetTypeCall=true&amp;directAccess=false</t>
  </si>
  <si>
    <t>SBS 김태훈 국방전문기자의 신간 '계엄군(君) 계엄군(群)'을 읽고 있다. 결론부터 말하면 매우 훌륭한 기록이다. 손병관</t>
  </si>
  <si>
    <t>https://blog.naver.com/PostView.naver?blogId=kimdaisuke&amp;logNo=223891297907&amp;redirect=Dlog&amp;widgetTypeCall=true&amp;directAccess=false</t>
  </si>
  <si>
    <t>박순석</t>
  </si>
  <si>
    <t>정동진의 미래</t>
  </si>
  <si>
    <t>https://blog.naver.com/PostView.naver?blogId=icarus0215&amp;logNo=223884768215&amp;redirect=Dlog&amp;widgetTypeCall=true&amp;directAccess=false</t>
  </si>
  <si>
    <t>아침햇살</t>
  </si>
  <si>
    <t>춘천통나무집닭갈비 본점 춘천 닭갈비 맛집</t>
  </si>
  <si>
    <t>https://blog.naver.com/PostView.naver?blogId=suchanmother&amp;logNo=223891161349&amp;redirect=Dlog&amp;widgetTypeCall=true&amp;directAccess=false</t>
  </si>
  <si>
    <t>파리의 연인 OST 가수 강인한 세계라면축제를 연 진짜 이유는? 세종대 학정 빌런의 정체까지</t>
  </si>
  <si>
    <t>https://blog.naver.com/PostView.naver?blogId=wwhandww&amp;logNo=223890970167&amp;redirect=Dlog&amp;widgetTypeCall=true&amp;directAccess=false</t>
  </si>
  <si>
    <t>Violette</t>
  </si>
  <si>
    <t>0~5세 뇌가 쑥쑥 자라는 놀이 육아 | 이보연 2020 | 연령별 두뇌 자극을 위한 엄마표 놀이 육아책 추천</t>
  </si>
  <si>
    <t>https://blog.naver.com/PostView.naver?blogId=avec_violette&amp;logNo=223891133767&amp;redirect=Dlog&amp;widgetTypeCall=true&amp;directAccess=false</t>
  </si>
  <si>
    <t>수진의 이야기</t>
  </si>
  <si>
    <t>홍일품에서 즐기는 홍대게장 무한리필의 행복한 맛!</t>
  </si>
  <si>
    <t>https://blog.naver.com/PostView.naver?blogId=03tcjwqkaf&amp;logNo=223889401729&amp;redirect=Dlog&amp;widgetTypeCall=true&amp;directAccess=false</t>
  </si>
  <si>
    <t>초록바다 최양훈</t>
  </si>
  <si>
    <t>춘천 여행 코스 추천 춘천 제이드가든 수목원 볼거리</t>
  </si>
  <si>
    <t>https://blog.naver.com/PostView.naver?blogId=hnmh2332&amp;logNo=223891131936&amp;redirect=Dlog&amp;widgetTypeCall=true&amp;directAccess=false</t>
  </si>
  <si>
    <t>cherishkoh</t>
  </si>
  <si>
    <t>SBS 그것이 알고 싶다 1446회 유영철인가 이두홍인가? 미궁에 빠진 부산 성인용품점 살인사건</t>
  </si>
  <si>
    <t>https://blog.naver.com/PostView.naver?blogId=wwhandww&amp;logNo=223890967028&amp;redirect=Dlog&amp;widgetTypeCall=true&amp;directAccess=false</t>
  </si>
  <si>
    <t>소지섭 조은정과 결혼 만족 언급 1000% 혼자보단 둘 지금 너무 좋다</t>
  </si>
  <si>
    <t>https://blog.naver.com/PostView.naver?blogId=wwioa__&amp;logNo=223891054229&amp;redirect=Dlog&amp;widgetTypeCall=true&amp;directAccess=false</t>
  </si>
  <si>
    <t>백장미</t>
  </si>
  <si>
    <t>📖 『당신에게도 세 번의 대운은 반드시 온다』를 읽고</t>
  </si>
  <si>
    <t>https://blog.naver.com/PostView.naver?blogId=bhc1096201&amp;logNo=223891045326&amp;redirect=Dlog&amp;widgetTypeCall=true&amp;directAccess=false</t>
  </si>
  <si>
    <t>먹깨비여행</t>
  </si>
  <si>
    <t>&lt;송내역맛집&gt; 양은이네 부천송내역직영점 갓성비맛집 또갈집 저장</t>
  </si>
  <si>
    <t>https://blog.naver.com/PostView.naver?blogId=llinzi&amp;logNo=223890972987&amp;redirect=Dlog&amp;widgetTypeCall=true&amp;directAccess=false</t>
  </si>
  <si>
    <t>나솔사계 19기 정숙과 24기 광수의 어색한 데이트, 졸림이 부른 위기?</t>
  </si>
  <si>
    <t>https://blog.naver.com/PostView.naver?blogId=macshorts&amp;logNo=223890539189&amp;redirect=Dlog&amp;widgetTypeCall=true&amp;directAccess=false</t>
  </si>
  <si>
    <t>실시간이슈사건사고</t>
  </si>
  <si>
    <t>SBS귀궁 15회, 자기 아들을 죽이려드는 김지훈, 막으려는 김지연과 육성재(20250606)</t>
  </si>
  <si>
    <t>https://blog.naver.com/PostView.naver?blogId=anbangk&amp;logNo=223890951603&amp;redirect=Dlog&amp;widgetTypeCall=true&amp;directAccess=false</t>
  </si>
  <si>
    <t>청훤철학원</t>
  </si>
  <si>
    <t>윤시윤은 어떻게 ‘관리의 신’이 될 수 있었을까?, SBS 미우새</t>
  </si>
  <si>
    <t>https://blog.naver.com/PostView.naver?blogId=cheonghwon&amp;logNo=223890947459&amp;redirect=Dlog&amp;widgetTypeCall=true&amp;directAccess=false</t>
  </si>
  <si>
    <t>HK</t>
  </si>
  <si>
    <t>헬로카봇 시즌16 용사 완벽 분석｜카봇 X, 하이드,  정보 총정리</t>
  </si>
  <si>
    <t>https://blog.naver.com/PostView.naver?blogId=wow1090&amp;logNo=223898569805&amp;redirect=Dlog&amp;widgetTypeCall=true&amp;directAccess=false</t>
  </si>
  <si>
    <t>영지</t>
  </si>
  <si>
    <t>티 안나는 부천 여자 맞춤가발 고수열전</t>
  </si>
  <si>
    <t>https://blog.naver.com/PostView.naver?blogId=hutornip&amp;logNo=223898495521&amp;redirect=Dlog&amp;widgetTypeCall=true&amp;directAccess=false</t>
  </si>
  <si>
    <t>우리영화 재방송 등장인물 이제하 이다음 인물관계도? 하얀사랑 감독 이두영 죽음, 1회 SBS 금토드라마</t>
  </si>
  <si>
    <t>https://blog.naver.com/PostView.naver?blogId=chummilmil99&amp;logNo=223898472392&amp;redirect=Dlog&amp;widgetTypeCall=true&amp;directAccess=false</t>
  </si>
  <si>
    <t>SBS금토드라마 우리영화 인물관계도 등장인물 총정리</t>
  </si>
  <si>
    <t>https://blog.naver.com/PostView.naver?blogId=shushu9988&amp;logNo=223898460796&amp;redirect=Dlog&amp;widgetTypeCall=true&amp;directAccess=false</t>
  </si>
  <si>
    <t>우리영화 이제하 이다음 시한부 배우가 만드는 인생 드라마 : 등장인물 몇부작</t>
  </si>
  <si>
    <t>https://blog.naver.com/PostView.naver?blogId=treewg&amp;logNo=223898420563&amp;redirect=Dlog&amp;widgetTypeCall=true&amp;directAccess=false</t>
  </si>
  <si>
    <t>뉴스펫</t>
  </si>
  <si>
    <t>과천시, 관문체육공원에 반려견놀이터 시범 운영 개시</t>
  </si>
  <si>
    <t>https://blog.naver.com/PostView.naver?blogId=newpet1004&amp;logNo=223898404214&amp;redirect=Dlog&amp;widgetTypeCall=true&amp;directAccess=false</t>
  </si>
  <si>
    <t>행복해져라</t>
  </si>
  <si>
    <t>SBS 기업분석</t>
  </si>
  <si>
    <t>https://blog.naver.com/PostView.naver?blogId=routine101&amp;logNo=223898396580&amp;redirect=Dlog&amp;widgetTypeCall=true&amp;directAccess=false</t>
  </si>
  <si>
    <t>45세 이지혜, 장영란·홍진경과 ‘방탄핑크’ 결성…중년의 걸그룹 도전</t>
  </si>
  <si>
    <t>https://blog.naver.com/PostView.naver?blogId=news1star&amp;logNo=223898366400&amp;redirect=Dlog&amp;widgetTypeCall=true&amp;directAccess=false</t>
  </si>
  <si>
    <t>생방송투데이 김대영 생크림떡 구매</t>
  </si>
  <si>
    <t>https://blog.naver.com/PostView.naver?blogId=jankyho&amp;logNo=223898003093&amp;redirect=Dlog&amp;widgetTypeCall=true&amp;directAccess=false</t>
  </si>
  <si>
    <t>상상력이가득한곳</t>
  </si>
  <si>
    <t>2025 SBS 메가콘서트 후기 기대 이상이었던 그 날 감동의 순간들!</t>
  </si>
  <si>
    <t>https://blog.naver.com/PostView.naver?blogId=jhopicksjs70437&amp;logNo=223898324326&amp;redirect=Dlog&amp;widgetTypeCall=true&amp;directAccess=false</t>
  </si>
  <si>
    <t>hitgs 힛지스 h music 엔터테인먼트 소속 5인조 아이돌 나무위키</t>
  </si>
  <si>
    <t>https://blog.naver.com/PostView.naver?blogId=holedays&amp;logNo=223898297061&amp;redirect=Dlog&amp;widgetTypeCall=true&amp;directAccess=false</t>
  </si>
  <si>
    <t>레드써니</t>
  </si>
  <si>
    <t>우리영화 드라마 몇부작 OTT - 한 여름의 시네마 멜로</t>
  </si>
  <si>
    <t>https://blog.naver.com/PostView.naver?blogId=i2krs&amp;logNo=223898155550&amp;redirect=Dlog&amp;widgetTypeCall=true&amp;directAccess=false</t>
  </si>
  <si>
    <t>유쾌상쾌발랄</t>
  </si>
  <si>
    <t>궁금한 이야기Y 736회 sbs피디 사칭 노쇼, 보이스피싱인가?</t>
  </si>
  <si>
    <t>https://blog.naver.com/PostView.naver?blogId=sirenmoon99&amp;logNo=223898267405&amp;redirect=Dlog&amp;widgetTypeCall=true&amp;directAccess=false</t>
  </si>
  <si>
    <t>우리영화 등장인물관계도 드라마 몇부작 ott 작가 재방송 원작 웹툰</t>
  </si>
  <si>
    <t>https://blog.naver.com/PostView.naver?blogId=dongi0508&amp;logNo=223898221276&amp;redirect=Dlog&amp;widgetTypeCall=true&amp;directAccess=false</t>
  </si>
  <si>
    <t>귀궁 후속 우리영화 몇부작? 남궁민 드라마 시사회 작가 반응 어때서</t>
  </si>
  <si>
    <t>https://blog.naver.com/PostView.naver?blogId=chummilmil99&amp;logNo=223898206208&amp;redirect=Dlog&amp;widgetTypeCall=true&amp;directAccess=false</t>
  </si>
  <si>
    <t>평범한젬마</t>
  </si>
  <si>
    <t>나솔사계 17기 옥순 앞치마 축지법까지 24기 광수와 의외로 잘 어울리는데..</t>
  </si>
  <si>
    <t>https://blog.naver.com/PostView.naver?blogId=jemmacho&amp;logNo=223898198803&amp;redirect=Dlog&amp;widgetTypeCall=true&amp;directAccess=false</t>
  </si>
  <si>
    <t>sbseffect</t>
  </si>
  <si>
    <t>SBS아카데미 노원지점</t>
  </si>
  <si>
    <t>https://blog.naver.com/PostView.naver?blogId=sbseffect&amp;logNo=223898191432&amp;redirect=Dlog&amp;widgetTypeCall=true&amp;directAccess=false</t>
  </si>
  <si>
    <t>아리</t>
  </si>
  <si>
    <t>sbs 아카데미 노원지점</t>
  </si>
  <si>
    <t>https://blog.naver.com/PostView.naver?blogId=player2003&amp;logNo=223898191853&amp;redirect=Dlog&amp;widgetTypeCall=true&amp;directAccess=false</t>
  </si>
  <si>
    <t>프엉</t>
  </si>
  <si>
    <t>중국 텐센트의 넥슨 인수?</t>
  </si>
  <si>
    <t>https://blog.naver.com/PostView.naver?blogId=happeung&amp;logNo=223898190619&amp;redirect=Dlog&amp;widgetTypeCall=true&amp;directAccess=false</t>
  </si>
  <si>
    <t>솔빛나</t>
  </si>
  <si>
    <t>[송파 맛집] 문정역 맛집 "홍쉐프&amp;화덕피자 파스타" 쫀득한 화덕 버거</t>
  </si>
  <si>
    <t>https://blog.naver.com/PostView.naver?blogId=ddiddibb&amp;logNo=223898183246&amp;redirect=Dlog&amp;widgetTypeCall=true&amp;directAccess=false</t>
  </si>
  <si>
    <t>뷰티엔패션</t>
  </si>
  <si>
    <t>제5회 월드그랑프리슈프림모델콘테스트 2차 국제심사위원 최종 확정</t>
  </si>
  <si>
    <t>https://blog.naver.com/PostView.naver?blogId=kbeautynews&amp;logNo=223898149735&amp;redirect=Dlog&amp;widgetTypeCall=true&amp;directAccess=false</t>
  </si>
  <si>
    <t>초딩같은아줌마</t>
  </si>
  <si>
    <t>단아</t>
  </si>
  <si>
    <t>합정 디저트 카페 : 합정카페 진켈란젤로 치즈케이크</t>
  </si>
  <si>
    <t>https://blog.naver.com/PostView.naver?blogId=na544&amp;logNo=223898112364&amp;redirect=Dlog&amp;widgetTypeCall=true&amp;directAccess=false</t>
  </si>
  <si>
    <t>우리영화 드라마 OTT 몇부작 이제하 이다음 채서영 부승원 등장인물관계도 작가 감독</t>
  </si>
  <si>
    <t>https://blog.naver.com/PostView.naver?blogId=mlkway153&amp;logNo=223898107619&amp;redirect=Dlog&amp;widgetTypeCall=true&amp;directAccess=false</t>
  </si>
  <si>
    <t>나는solo 26기 정숙 영자와 기싸움? 졸린데 상철 사수한 이유, 나는솔로</t>
  </si>
  <si>
    <t>https://blog.naver.com/PostView.naver?blogId=chummilmil99&amp;logNo=223898079494&amp;redirect=Dlog&amp;widgetTypeCall=true&amp;directAccess=false</t>
  </si>
  <si>
    <t>17기 옥순 드디어 터졌다 왜?…숨겨왔던 진실 밝혀지자 모두 충격 (프로필, 인스타, 나무위키)</t>
  </si>
  <si>
    <t>https://blog.naver.com/PostView.naver?blogId=ovonews&amp;logNo=223898068705&amp;redirect=Dlog&amp;widgetTypeCall=true&amp;directAccess=false</t>
  </si>
  <si>
    <t>이주</t>
  </si>
  <si>
    <t>즐거웠던 일상들</t>
  </si>
  <si>
    <t>https://blog.naver.com/PostView.naver?blogId=tteokbokki0328&amp;logNo=223898063826&amp;redirect=Dlog&amp;widgetTypeCall=true&amp;directAccess=false</t>
  </si>
  <si>
    <t>알티</t>
  </si>
  <si>
    <t>리텍콘텐츠 :: 방구석 판소리</t>
  </si>
  <si>
    <t>https://blog.naver.com/PostView.naver?blogId=eomgh94&amp;logNo=223898061648&amp;redirect=Dlog&amp;widgetTypeCall=true&amp;directAccess=false</t>
  </si>
  <si>
    <t>17기 옥순, 카메라 의식 눈물 위기 여기서 뭐하고 있지?</t>
  </si>
  <si>
    <t>https://blog.naver.com/PostView.naver?blogId=odmwd2&amp;logNo=223898053722&amp;redirect=Dlog&amp;widgetTypeCall=true&amp;directAccess=false</t>
  </si>
  <si>
    <t>19기 정숙, 25기 영호에 패딩 플러팅 실패</t>
  </si>
  <si>
    <t>https://blog.naver.com/PostView.naver?blogId=odmwd2&amp;logNo=223898023795&amp;redirect=Dlog&amp;widgetTypeCall=true&amp;directAccess=false</t>
  </si>
  <si>
    <t>수락휴 트리하우스 동막자연휴양림 예약 방법 서울 노원구 수락산 숲속</t>
  </si>
  <si>
    <t>https://blog.naver.com/PostView.naver?blogId=seoulharu&amp;logNo=223898002581&amp;redirect=Dlog&amp;widgetTypeCall=true&amp;directAccess=false</t>
  </si>
  <si>
    <t>홍화연 사주</t>
  </si>
  <si>
    <t>https://blog.naver.com/PostView.naver?blogId=nowonlsh&amp;logNo=223897983526&amp;redirect=Dlog&amp;widgetTypeCall=true&amp;directAccess=false</t>
  </si>
  <si>
    <t>김희재, 이명화와 ‘진짜배기’ 환상 듀엣</t>
  </si>
  <si>
    <t>https://blog.naver.com/PostView.naver?blogId=kstarfashion&amp;logNo=223897982775&amp;redirect=Dlog&amp;widgetTypeCall=true&amp;directAccess=false</t>
  </si>
  <si>
    <t>우리영화 정보 등장인물 출연진_남궁민 전여빈 SBS 멜로 드라마</t>
  </si>
  <si>
    <t>https://blog.naver.com/PostView.naver?blogId=zephyros0&amp;logNo=223897970537&amp;redirect=Dlog&amp;widgetTypeCall=true&amp;directAccess=false</t>
  </si>
  <si>
    <t>나는솔로 19기 정숙 차가운 성격? 유오성 닮은꼴 모솔인 이유, 그후 사랑은 계속된다</t>
  </si>
  <si>
    <t>https://blog.naver.com/PostView.naver?blogId=chummilmil99&amp;logNo=223897965599&amp;redirect=Dlog&amp;widgetTypeCall=true&amp;directAccess=false</t>
  </si>
  <si>
    <t>474. &lt;Space A - 아름다운 이별&gt; SBS 인기가요 순위 변동 차트</t>
  </si>
  <si>
    <t>https://blog.naver.com/PostView.naver?blogId=bloodypunch&amp;logNo=223897963521&amp;redirect=Dlog&amp;widgetTypeCall=true&amp;directAccess=false</t>
  </si>
  <si>
    <t>KBO 2025.06.13(금) KT 위즈 : 삼성 라이온즈 선발 분석 및 프리뷰, 예측</t>
  </si>
  <si>
    <t>https://blog.naver.com/PostView.naver?blogId=k_reporter_&amp;logNo=223897950396&amp;redirect=Dlog&amp;widgetTypeCall=true&amp;directAccess=false</t>
  </si>
  <si>
    <t>“무대 위 또 다른 안효섭” 팬미팅 라이브 영상으로 증명한 진정성...라이브 클립 100만뷰 돌파</t>
  </si>
  <si>
    <t>https://blog.naver.com/PostView.naver?blogId=museonair2025&amp;logNo=223897903035&amp;redirect=Dlog&amp;widgetTypeCall=true&amp;directAccess=false</t>
  </si>
  <si>
    <t>나는솔로 26기 정숙의 오지는 착각 여출들 불편해하는거 모르겠니 나솔 다시보기</t>
  </si>
  <si>
    <t>https://blog.naver.com/PostView.naver?blogId=tobao0318&amp;logNo=223897894220&amp;redirect=Dlog&amp;widgetTypeCall=true&amp;directAccess=false</t>
  </si>
  <si>
    <t>우리영화 드라마 출연진 세 가지 관전포인트 정리</t>
  </si>
  <si>
    <t>https://blog.naver.com/PostView.naver?blogId=somedayview&amp;logNo=223897870757&amp;redirect=Dlog&amp;widgetTypeCall=true&amp;directAccess=false</t>
  </si>
  <si>
    <t>쭌</t>
  </si>
  <si>
    <t>연세여 사랑한다 페스티벌 연세대축제 관람 후기 in 연세대학교 노천극장 with 몽베스트 생수</t>
  </si>
  <si>
    <t>https://blog.naver.com/PostView.naver?blogId=ksojune&amp;logNo=223897837102&amp;redirect=Dlog&amp;widgetTypeCall=true&amp;directAccess=false</t>
  </si>
  <si>
    <t>이혜빈</t>
  </si>
  <si>
    <t>[칼럼7] PD 강의</t>
  </si>
  <si>
    <t>https://blog.naver.com/PostView.naver?blogId=hbhehm123&amp;logNo=223897794748&amp;redirect=Dlog&amp;widgetTypeCall=true&amp;directAccess=false</t>
  </si>
  <si>
    <t>Graphic Arts Impact</t>
  </si>
  <si>
    <t>한국콘텐츠진흥원, 방송·OTT·국제 공동제작에 대규모 지원 나선다</t>
  </si>
  <si>
    <t>https://blog.naver.com/PostView.naver?blogId=print5931&amp;logNo=223897707450&amp;redirect=Dlog&amp;widgetTypeCall=true&amp;directAccess=false</t>
  </si>
  <si>
    <t>‘나솔사계’ 19기 정숙, 끊임없는 질문에 진땀…25기 영수 “수술방 근무해요?”</t>
  </si>
  <si>
    <t>https://blog.naver.com/PostView.naver?blogId=reviewangel&amp;logNo=223897695124&amp;redirect=Dlog&amp;widgetTypeCall=true&amp;directAccess=false</t>
  </si>
  <si>
    <t>나솔사계 17기 옥순 무너졌다! 눈물의 퇴소 고민 그 이유는?</t>
  </si>
  <si>
    <t>https://blog.naver.com/PostView.naver?blogId=vorlet_alice&amp;logNo=223897648594&amp;redirect=Dlog&amp;widgetTypeCall=true&amp;directAccess=false</t>
  </si>
  <si>
    <t>우리영화 남궁민 전여빈 등장인물 출연진 몇부작 원작 ott 정보</t>
  </si>
  <si>
    <t>https://blog.naver.com/PostView.naver?blogId=jeje-_-&amp;logNo=223897339922&amp;redirect=Dlog&amp;widgetTypeCall=true&amp;directAccess=false</t>
  </si>
  <si>
    <t>친명 좌장 정성호 "조국 일가 사면·복권 필요"</t>
  </si>
  <si>
    <t>https://blog.naver.com/PostView.naver?blogId=dictator-&amp;logNo=223897641015&amp;redirect=Dlog&amp;widgetTypeCall=true&amp;directAccess=false</t>
  </si>
  <si>
    <t>나는 솔로 26기 정숙의 철벽 방어, 상철을 둘러싼 뜨거운 전쟁</t>
  </si>
  <si>
    <t>https://blog.naver.com/PostView.naver?blogId=macshorts&amp;logNo=223897322775&amp;redirect=Dlog&amp;widgetTypeCall=true&amp;directAccess=false</t>
  </si>
  <si>
    <t>bluebird</t>
  </si>
  <si>
    <t>10) 달큰한 이맘때를 기억하면서</t>
  </si>
  <si>
    <t>https://blog.naver.com/PostView.naver?blogId=shining_rode&amp;logNo=223897564276&amp;redirect=Dlog&amp;widgetTypeCall=true&amp;directAccess=false</t>
  </si>
  <si>
    <t>나는 솔로 26기 영자의 통쾌한 직진! 정숙 견제 뚫고 상철에게 슈퍼데이트권</t>
  </si>
  <si>
    <t>https://blog.naver.com/PostView.naver?blogId=macshorts&amp;logNo=223897296294&amp;redirect=Dlog&amp;widgetTypeCall=true&amp;directAccess=false</t>
  </si>
  <si>
    <t>나는솔로 17기 옥순 앞치마 축지법 달리기, 24기 광수 의외로 어울려? 그후 사랑은 계속된다</t>
  </si>
  <si>
    <t>https://blog.naver.com/PostView.naver?blogId=chummilmil99&amp;logNo=223897500690&amp;redirect=Dlog&amp;widgetTypeCall=true&amp;directAccess=false</t>
  </si>
  <si>
    <t>꼬리에 꼬리를 무는 그날 이야기(줄여서 꼬꼬무) 제 180화 - 시간과의 사투 운명을 건 6시간 편 예고</t>
  </si>
  <si>
    <t>https://blog.naver.com/PostView.naver?blogId=ham6870&amp;logNo=223897455919&amp;redirect=Dlog&amp;widgetTypeCall=true&amp;directAccess=false</t>
  </si>
  <si>
    <t>탤런트황신혜 손지창</t>
  </si>
  <si>
    <t>https://blog.naver.com/PostView.naver?blogId=yang83529&amp;logNo=223897441259&amp;redirect=Dlog&amp;widgetTypeCall=true&amp;directAccess=false</t>
  </si>
  <si>
    <t>sbs 수요 드라마 “사계의 봄” – AxMxP || 하유준 HA YOO JOON, 박지후 朴持厚 Park Ji-hu &amp; 엔플라잉 || 이승협 李承協 LEE SEUNG HYUB/1</t>
  </si>
  <si>
    <t>https://blog.naver.com/PostView.naver?blogId=kwak6703&amp;logNo=223897430021&amp;redirect=Dlog&amp;widgetTypeCall=true&amp;directAccess=false</t>
  </si>
  <si>
    <t>밤에 듣는 노래</t>
  </si>
  <si>
    <t>https://blog.naver.com/PostView.naver?blogId=1998_c&amp;logNo=223897428177&amp;redirect=Dlog&amp;widgetTypeCall=true&amp;directAccess=false</t>
  </si>
  <si>
    <t>‘최강야구’ 분쟁 속 ‘불꽃야구’ SBS Plus 생중계 강행… 제작사 간 갈등 확산</t>
  </si>
  <si>
    <t>https://blog.naver.com/PostView.naver?blogId=news1star&amp;logNo=223897401646&amp;redirect=Dlog&amp;widgetTypeCall=true&amp;directAccess=false</t>
  </si>
  <si>
    <t>달 밝은 밤</t>
  </si>
  <si>
    <t>친명 좌장' 정성호 "조국 형벌 과도해… 사면 복권 필요하다"</t>
  </si>
  <si>
    <t>https://blog.naver.com/PostView.naver?blogId=ii_dob_ii&amp;logNo=223897393162&amp;redirect=Dlog&amp;widgetTypeCall=true&amp;directAccess=false</t>
  </si>
  <si>
    <t>와!진짜? 세상에 이런일이 시즌 2 3화(19화) - 스포츠 특선편 리뷰</t>
  </si>
  <si>
    <t>https://blog.naver.com/PostView.naver?blogId=ham6870&amp;logNo=223897384626&amp;redirect=Dlog&amp;widgetTypeCall=true&amp;directAccess=false</t>
  </si>
  <si>
    <t>나는솔로SOLO 10기 정숙 결국 검찰 징역 6개월 구형 남자 성적 발언 있었다? 폭행 결말은 개늑시</t>
  </si>
  <si>
    <t>https://blog.naver.com/PostView.naver?blogId=schwabingstory&amp;logNo=223897330908&amp;redirect=Dlog&amp;widgetTypeCall=true&amp;directAccess=false</t>
  </si>
  <si>
    <t>하얀별</t>
  </si>
  <si>
    <t>안효섭 _ 팬미팅 라이브 클립 영상 100만 뷰 돌파(2025. 06.05)</t>
  </si>
  <si>
    <t>https://blog.naver.com/PostView.naver?blogId=whitestars_22&amp;logNo=223897327432&amp;redirect=Dlog&amp;widgetTypeCall=true&amp;directAccess=false</t>
  </si>
  <si>
    <t>제주형</t>
  </si>
  <si>
    <t>라면먹고 후식으로 쌍화차 마시는 을지로 감성카페 '을지다방'</t>
  </si>
  <si>
    <t>https://blog.naver.com/PostView.naver?blogId=jeju_hyoung&amp;logNo=223897316925&amp;redirect=Dlog&amp;widgetTypeCall=true&amp;directAccess=false</t>
  </si>
  <si>
    <t>바기</t>
  </si>
  <si>
    <t>서울 4대 타코맛집 : 대전신세계백화점맛집 더타코부스</t>
  </si>
  <si>
    <t>https://blog.naver.com/PostView.naver?blogId=sook7545&amp;logNo=223897277983&amp;redirect=Dlog&amp;widgetTypeCall=true&amp;directAccess=false</t>
  </si>
  <si>
    <t>여행자</t>
  </si>
  <si>
    <t>https://blog.naver.com/PostView.naver?blogId=susemi57&amp;logNo=223897255368&amp;redirect=Dlog&amp;widgetTypeCall=true&amp;directAccess=false</t>
  </si>
  <si>
    <t>은지원, 13년 만의 재혼 발표...고독 끝에 만난 비연예인 인연과 올해 비공개 결혼</t>
  </si>
  <si>
    <t>https://blog.naver.com/PostView.naver?blogId=museonair2025&amp;logNo=223897016439&amp;redirect=Dlog&amp;widgetTypeCall=true&amp;directAccess=false</t>
  </si>
  <si>
    <t>전성시대</t>
  </si>
  <si>
    <t>걸음의 기록</t>
  </si>
  <si>
    <t>동해의 어항을 지나, 바람과 함께 걸어간 둘째 날</t>
  </si>
  <si>
    <t>https://blog.naver.com/PostView.naver?blogId=drtitan&amp;logNo=223897189907&amp;redirect=Dlog&amp;widgetTypeCall=true&amp;directAccess=false</t>
  </si>
  <si>
    <t>‘귀궁’ 김지훈 “20년 연기 내공 담았지만…중전과의 멜로 서사 편집돼 아쉬웠다”</t>
  </si>
  <si>
    <t>https://blog.naver.com/PostView.naver?blogId=apahghfej&amp;logNo=223897186529&amp;redirect=Dlog&amp;widgetTypeCall=true&amp;directAccess=false</t>
  </si>
  <si>
    <t>나는 솔로 SOLO 26기 영철, 인생 폭망한 날 술 망쳤다</t>
  </si>
  <si>
    <t>https://blog.naver.com/PostView.naver?blogId=hhwjh&amp;logNo=223897159276&amp;redirect=Dlog&amp;widgetTypeCall=true&amp;directAccess=false</t>
  </si>
  <si>
    <t>생방송투데이 청년사장 제천 캠핑장 위치</t>
  </si>
  <si>
    <t>https://blog.naver.com/PostView.naver?blogId=naza123&amp;logNo=223896812028&amp;redirect=Dlog&amp;widgetTypeCall=true&amp;directAccess=false</t>
  </si>
  <si>
    <t>성병대 오패산 터널 총격전 경찰 사제총기난사 꼬꼬무 179회</t>
  </si>
  <si>
    <t>https://blog.naver.com/PostView.naver?blogId=richman_v&amp;logNo=223897115027&amp;redirect=Dlog&amp;widgetTypeCall=true&amp;directAccess=false</t>
  </si>
  <si>
    <t>[2019년-2025년 주택시장 수요 규제 정책 종합 분석] - 2025-06-12</t>
  </si>
  <si>
    <t>https://blog.naver.com/PostView.naver?blogId=crownjjun&amp;logNo=223897101818&amp;redirect=Dlog&amp;widgetTypeCall=true&amp;directAccess=false</t>
  </si>
  <si>
    <t>[배우 김민정의 드라마] SBS 드라마 패션 70s</t>
  </si>
  <si>
    <t>https://blog.naver.com/PostView.naver?blogId=kimminjoungblog&amp;logNo=223897075248&amp;redirect=Dlog&amp;widgetTypeCall=true&amp;directAccess=false</t>
  </si>
  <si>
    <t>조국 사면복권 될까</t>
  </si>
  <si>
    <t>https://blog.naver.com/PostView.naver?blogId=tamsaj&amp;logNo=223896997626&amp;redirect=Dlog&amp;widgetTypeCall=true&amp;directAccess=false</t>
  </si>
  <si>
    <t>2025/06/11 매매일지</t>
  </si>
  <si>
    <t>https://blog.naver.com/PostView.naver?blogId=kdacll11&amp;logNo=223896899655&amp;redirect=Dlog&amp;widgetTypeCall=true&amp;directAccess=false</t>
  </si>
  <si>
    <t>26기 나는솔로, 역대급 불륜 스캔들…촬영장 발칵 뒤집힌 삼각관계 전말 (+충격, 반전, 눈물)</t>
  </si>
  <si>
    <t>https://blog.naver.com/PostView.naver?blogId=qoswlfdl-&amp;logNo=223896892979&amp;redirect=Dlog&amp;widgetTypeCall=true&amp;directAccess=false</t>
  </si>
  <si>
    <t>주똥</t>
  </si>
  <si>
    <t>광주 북구 운암동 돈까스 맛집 : 돈까스만드는남자</t>
  </si>
  <si>
    <t>https://blog.naver.com/PostView.naver?blogId=wngml230&amp;logNo=223896870324&amp;redirect=Dlog&amp;widgetTypeCall=true&amp;directAccess=false</t>
  </si>
  <si>
    <t>나는솔로 17기 옥순, 오열 후 조기 퇴소라고 나솔사계</t>
  </si>
  <si>
    <t>https://blog.naver.com/PostView.naver?blogId=hhwjh&amp;logNo=223896855401&amp;redirect=Dlog&amp;widgetTypeCall=true&amp;directAccess=false</t>
  </si>
  <si>
    <t>은지원, 이혼 13년 만 재혼한다...“최근 웨딩 촬영, 연내 결혼”</t>
  </si>
  <si>
    <t>https://blog.naver.com/PostView.naver?blogId=plug_and_play_life&amp;logNo=223896803670&amp;redirect=Dlog&amp;widgetTypeCall=true&amp;directAccess=false</t>
  </si>
  <si>
    <t>곰발바닥</t>
  </si>
  <si>
    <t>[강남구/대치동] 강정희 간장새우 → 마니골뱅이</t>
  </si>
  <si>
    <t>https://blog.naver.com/PostView.naver?blogId=moondiya1&amp;logNo=223896502040&amp;redirect=Dlog&amp;widgetTypeCall=true&amp;directAccess=false</t>
  </si>
  <si>
    <t>누군가</t>
  </si>
  <si>
    <t>무역전쟁 희토류 중간합의 완료, 관세전쟁에도 실제 물가상승률은 오르지 않았다. sbs 김대호 박사</t>
  </si>
  <si>
    <t>https://blog.naver.com/PostView.naver?blogId=gang8805&amp;logNo=223896775172&amp;redirect=Dlog&amp;widgetTypeCall=true&amp;directAccess=false</t>
  </si>
  <si>
    <t>나는솔로 26기 영식 광수 현숙 데이트 손이 예쁜 사람에게 호감이간다</t>
  </si>
  <si>
    <t>https://blog.naver.com/PostView.naver?blogId=pkeunyoo&amp;logNo=223896773548&amp;redirect=Dlog&amp;widgetTypeCall=true&amp;directAccess=false</t>
  </si>
  <si>
    <t>나는솔로 26기, 역대급 삼각관계 속 충격적 끼어들기 발생…그녀의 선택은? (+로맨스, 질투, 반전)</t>
  </si>
  <si>
    <t>https://blog.naver.com/PostView.naver?blogId=qoswlfdl-&amp;logNo=223896752651&amp;redirect=Dlog&amp;widgetTypeCall=true&amp;directAccess=false</t>
  </si>
  <si>
    <t>나는solo 26기 영식아 멋진 상남자였어? 볼수록 괜찮은 이유, 나는솔로</t>
  </si>
  <si>
    <t>https://blog.naver.com/PostView.naver?blogId=chummilmil99&amp;logNo=223896734126&amp;redirect=Dlog&amp;widgetTypeCall=true&amp;directAccess=false</t>
  </si>
  <si>
    <t>아이윌미디어</t>
  </si>
  <si>
    <t>육성재 SBS드라마 '귀궁' 13~16화 비하인드</t>
  </si>
  <si>
    <t>https://blog.naver.com/PostView.naver?blogId=iwillmedia_artist&amp;logNo=223896646373&amp;redirect=Dlog&amp;widgetTypeCall=true&amp;directAccess=false</t>
  </si>
  <si>
    <t>[신보소개] 더 트롯쇼 라이벌 대전 EP.2 (음악듣기/가사)</t>
  </si>
  <si>
    <t>https://blog.naver.com/PostView.naver?blogId=danalenter&amp;logNo=223893191570&amp;redirect=Dlog&amp;widgetTypeCall=true&amp;directAccess=false</t>
  </si>
  <si>
    <t>유어유스</t>
  </si>
  <si>
    <t>나는 SOLO 26기, 상철을 둘러싼 삼각관계 영자 vs 정숙 신경전!”</t>
  </si>
  <si>
    <t>https://blog.naver.com/PostView.naver?blogId=youryouth92&amp;logNo=223896707292&amp;redirect=Dlog&amp;widgetTypeCall=true&amp;directAccess=false</t>
  </si>
  <si>
    <t>스킨인더게임</t>
  </si>
  <si>
    <t>[SBS] 기업 분석</t>
  </si>
  <si>
    <t>https://blog.naver.com/PostView.naver?blogId=skininthegame777&amp;logNo=223896689419&amp;redirect=Dlog&amp;widgetTypeCall=true&amp;directAccess=false</t>
  </si>
  <si>
    <t>부기부</t>
  </si>
  <si>
    <t>【우리영화】 드디어 내일 첫방!</t>
  </si>
  <si>
    <t>https://blog.naver.com/PostView.naver?blogId=kenpa44&amp;logNo=223896688329&amp;redirect=Dlog&amp;widgetTypeCall=true&amp;directAccess=false</t>
  </si>
  <si>
    <t>나는솔로 26기 경수, 영숙 데이트 선택 순자는 내거야</t>
  </si>
  <si>
    <t>https://blog.naver.com/PostView.naver?blogId=odmwd2&amp;logNo=223896681673&amp;redirect=Dlog&amp;widgetTypeCall=true&amp;directAccess=false</t>
  </si>
  <si>
    <t>은지원 13년 만에 재혼 소식, 고독사 할 수도 있다. 결혼 결심 이유</t>
  </si>
  <si>
    <t>https://blog.naver.com/PostView.naver?blogId=jayzroutine&amp;logNo=223896675639&amp;redirect=Dlog&amp;widgetTypeCall=true&amp;directAccess=false</t>
  </si>
  <si>
    <t>26기 영숙, 경수·상철 일침 말실수 주접 소설쓰네</t>
  </si>
  <si>
    <t>https://blog.naver.com/PostView.naver?blogId=odmwd2&amp;logNo=223896658544&amp;redirect=Dlog&amp;widgetTypeCall=true&amp;directAccess=false</t>
  </si>
  <si>
    <t>핫이슈픽</t>
  </si>
  <si>
    <t>💪 140kg까지 쪘던 그녀, 그리고 김성은의 따뜻한 다이어트 동행기 – ‘줄여주는 비서들2’</t>
  </si>
  <si>
    <t>https://blog.naver.com/PostView.naver?blogId=sunny_days73&amp;logNo=223896619586&amp;redirect=Dlog&amp;widgetTypeCall=true&amp;directAccess=false</t>
  </si>
  <si>
    <t>나는솔로 26기, 끼어들기 난무 결국 맞붙었다 자리 비워드려야겠네</t>
  </si>
  <si>
    <t>https://blog.naver.com/PostView.naver?blogId=odmwd2&amp;logNo=223896619882&amp;redirect=Dlog&amp;widgetTypeCall=true&amp;directAccess=false</t>
  </si>
  <si>
    <t>채띠</t>
  </si>
  <si>
    <t>Vol.6 : 엄마는 해녀입니다.</t>
  </si>
  <si>
    <t>https://blog.naver.com/PostView.naver?blogId=mminn_c&amp;logNo=223896615428&amp;redirect=Dlog&amp;widgetTypeCall=true&amp;directAccess=false</t>
  </si>
  <si>
    <t>웰컴 투 재벌</t>
  </si>
  <si>
    <t>이러다 고독사?'한다던 은지원의 재혼상대는...</t>
  </si>
  <si>
    <t>https://blog.naver.com/PostView.naver?blogId=the-economy&amp;logNo=223896607322&amp;redirect=Dlog&amp;widgetTypeCall=true&amp;directAccess=false</t>
  </si>
  <si>
    <t>박간지</t>
  </si>
  <si>
    <t>DB그룹 한국여자오픈 선수권대회 우승상금, 바람을 이겨내라!</t>
  </si>
  <si>
    <t>https://blog.naver.com/PostView.naver?blogId=total_feel&amp;logNo=223896591628&amp;redirect=Dlog&amp;widgetTypeCall=true&amp;directAccess=false</t>
  </si>
  <si>
    <t>SB</t>
  </si>
  <si>
    <t>6월 12일자 경제리서치</t>
  </si>
  <si>
    <t>https://blog.naver.com/PostView.naver?blogId=beomseo50&amp;logNo=223896583205&amp;redirect=Dlog&amp;widgetTypeCall=true&amp;directAccess=false</t>
  </si>
  <si>
    <t>‘나는솔로다’ 26기 정숙 vs 영자, 상철 두고 불꽃 대립! 205회 삼각 로맨스 결말은?</t>
  </si>
  <si>
    <t>https://blog.naver.com/PostView.naver?blogId=sangyun32&amp;logNo=223896560087&amp;redirect=Dlog&amp;widgetTypeCall=true&amp;directAccess=false</t>
  </si>
  <si>
    <t>럭키</t>
  </si>
  <si>
    <t>더보이즈 병크 선우 탈퇴 열애설 욱일기 흡연 폭행</t>
  </si>
  <si>
    <t>https://blog.naver.com/PostView.naver?blogId=7777yesyes&amp;logNo=223896558425&amp;redirect=Dlog&amp;widgetTypeCall=true&amp;directAccess=false</t>
  </si>
  <si>
    <t>https://blog.naver.com/PostView.naver?blogId=approach999&amp;logNo=223896528991&amp;redirect=Dlog&amp;widgetTypeCall=true&amp;directAccess=false</t>
  </si>
  <si>
    <t>26기 영식 회사 판교 공통점 현숙과 최커 될까? 나는솔로 수요예능</t>
  </si>
  <si>
    <t>https://blog.naver.com/PostView.naver?blogId=shushu9988&amp;logNo=223896509735&amp;redirect=Dlog&amp;widgetTypeCall=true&amp;directAccess=false</t>
  </si>
  <si>
    <t>BiBi</t>
  </si>
  <si>
    <t>May, 2025 :: 회사 먹금하고 내 블로그나 들어와</t>
  </si>
  <si>
    <t>https://blog.naver.com/PostView.naver?blogId=lovemyocean&amp;logNo=223896504279&amp;redirect=Dlog&amp;widgetTypeCall=true&amp;directAccess=false</t>
  </si>
  <si>
    <t>연경의 맛탐방</t>
  </si>
  <si>
    <t>홍일품에서 즐기는 무한리필 홍대간장게장, 맛의 천국!</t>
  </si>
  <si>
    <t>https://blog.naver.com/PostView.naver?blogId=50ixywhhso&amp;logNo=223896183893&amp;redirect=Dlog&amp;widgetTypeCall=true&amp;directAccess=false</t>
  </si>
  <si>
    <t>이히</t>
  </si>
  <si>
    <t>SBS 금토 드라마 우리영화 시사회 현장(남궁민/전여빈 배우, 이정흠 감독)</t>
  </si>
  <si>
    <t>https://blog.naver.com/PostView.naver?blogId=veritasmea&amp;logNo=223896478918&amp;redirect=Dlog&amp;widgetTypeCall=true&amp;directAccess=false</t>
  </si>
  <si>
    <t>2025년 6월 12일(목) 경제뉴스 읽기</t>
  </si>
  <si>
    <t>https://blog.naver.com/PostView.naver?blogId=stablehope&amp;logNo=223896458127&amp;redirect=Dlog&amp;widgetTypeCall=true&amp;directAccess=false</t>
  </si>
  <si>
    <t>931 당뇨발 환자 수</t>
  </si>
  <si>
    <t>https://blog.naver.com/PostView.naver?blogId=mojito2024&amp;logNo=223896455090&amp;redirect=Dlog&amp;widgetTypeCall=true&amp;directAccess=false</t>
  </si>
  <si>
    <t>딸바보' 유재석, '뷰티 인사이드' 유연석X이동휘의 장난기 가득 입담까지</t>
  </si>
  <si>
    <t>https://blog.naver.com/PostView.naver?blogId=lsb3002&amp;logNo=223896416268&amp;redirect=Dlog&amp;widgetTypeCall=true&amp;directAccess=false</t>
  </si>
  <si>
    <t>26기 영숙, 경수와 상철에 일침 날리다</t>
  </si>
  <si>
    <t>https://blog.naver.com/PostView.naver?blogId=fortenball&amp;logNo=223896400131&amp;redirect=Dlog&amp;widgetTypeCall=true&amp;directAccess=false</t>
  </si>
  <si>
    <t>25. 비양도 여행2- 한림 앞바다의 섬 &lt;비양도&gt;</t>
  </si>
  <si>
    <t>https://blog.naver.com/PostView.naver?blogId=angela5895&amp;logNo=223896349112&amp;redirect=Dlog&amp;widgetTypeCall=true&amp;directAccess=false</t>
  </si>
  <si>
    <t>충격! '나는 솔로' 10기 영자, 영철과 열애설 터졌다! 미스터황과는 무슨 일이?</t>
  </si>
  <si>
    <t>https://blog.naver.com/PostView.naver?blogId=macshorts&amp;logNo=223896183133&amp;redirect=Dlog&amp;widgetTypeCall=true&amp;directAccess=false</t>
  </si>
  <si>
    <t>유연의 여행스케치</t>
  </si>
  <si>
    <t>홍일품에서 즐기는 홍대간장게장 무한리필, 맛있고 푸짐해!</t>
  </si>
  <si>
    <t>https://blog.naver.com/PostView.naver?blogId=76gulxxgtc&amp;logNo=223896303843&amp;redirect=Dlog&amp;widgetTypeCall=true&amp;directAccess=false</t>
  </si>
  <si>
    <t>골때리는그녀들 발라드림, 마시마+원더우먼 잠재웠다...기적 같은 대역전극 (골때녀 리뷰)</t>
  </si>
  <si>
    <t>https://blog.naver.com/PostView.naver?blogId=jazzkid&amp;logNo=223896276363&amp;redirect=Dlog&amp;widgetTypeCall=true&amp;directAccess=false</t>
  </si>
  <si>
    <t>나는 솔로 SOLO 26기 경수, 영숙 데이트 선택 뒤 순자는 내 거라고</t>
  </si>
  <si>
    <t>https://blog.naver.com/PostView.naver?blogId=hhwjh&amp;logNo=223896273821&amp;redirect=Dlog&amp;widgetTypeCall=true&amp;directAccess=false</t>
  </si>
  <si>
    <t>“딸 나은이 위해 불고기 포장” 유재석, 틈만 나면 딸바보 인증</t>
  </si>
  <si>
    <t>https://blog.naver.com/PostView.naver?blogId=apahghfej&amp;logNo=223896246269&amp;redirect=Dlog&amp;widgetTypeCall=true&amp;directAccess=false</t>
  </si>
  <si>
    <t>나는 솔로' 26기, 상철 둘러싼 정숙X영자 '불꽃 대결'…팽팽한 신경전 예고</t>
  </si>
  <si>
    <t>https://blog.naver.com/PostView.naver?blogId=lsb3002&amp;logNo=223896226596&amp;redirect=Dlog&amp;widgetTypeCall=true&amp;directAccess=false</t>
  </si>
  <si>
    <t>나는솔로 26기 광수 현숙 좋다고 여기저기 말하고 다님 어쩌라고 거만하고 얄밉네</t>
  </si>
  <si>
    <t>https://blog.naver.com/PostView.naver?blogId=tobao0318&amp;logNo=223896149767&amp;redirect=Dlog&amp;widgetTypeCall=true&amp;directAccess=false</t>
  </si>
  <si>
    <t>이담</t>
  </si>
  <si>
    <t>경제용어_1주차(2)</t>
  </si>
  <si>
    <t>https://blog.naver.com/PostView.naver?blogId=architecturerecords&amp;logNo=223896104530&amp;redirect=Dlog&amp;widgetTypeCall=true&amp;directAccess=false</t>
  </si>
  <si>
    <t>SBS 플러스가 밝힌 ‘불꽃야구’ 편성 이유는?</t>
  </si>
  <si>
    <t>https://blog.naver.com/PostView.naver?blogId=ringdodo&amp;logNo=223896075603&amp;redirect=Dlog&amp;widgetTypeCall=true&amp;directAccess=false</t>
  </si>
  <si>
    <t>아라아리</t>
  </si>
  <si>
    <t>귀궁 - 운명도, 기억도, 결국엔 사랑이었어!</t>
  </si>
  <si>
    <t>https://blog.naver.com/PostView.naver?blogId=neri&amp;logNo=223896047660&amp;redirect=Dlog&amp;widgetTypeCall=true&amp;directAccess=false</t>
  </si>
  <si>
    <t>유튜버 뻑가 허위사실 유포 '과즙세연 하이브 방시혁 미국 금전적대가 성관계 라스베이거스 도박' 명예훼손 영상재판 신청</t>
  </si>
  <si>
    <t>https://blog.naver.com/PostView.naver?blogId=psepeter&amp;logNo=223896036906&amp;redirect=Dlog&amp;widgetTypeCall=true&amp;directAccess=false</t>
  </si>
  <si>
    <t>판타지 로코 드라마 귀궁 (육성재, 김지연, 김지훈) 등장인물관계도 정보</t>
  </si>
  <si>
    <t>https://blog.naver.com/PostView.naver?blogId=god-fe&amp;logNo=223896029180&amp;redirect=Dlog&amp;widgetTypeCall=true&amp;directAccess=false</t>
  </si>
  <si>
    <t>스벅디카</t>
  </si>
  <si>
    <t>내가 요즘 돌파매매</t>
  </si>
  <si>
    <t>https://blog.naver.com/PostView.naver?blogId=jsfam1018&amp;logNo=223896013374&amp;redirect=Dlog&amp;widgetTypeCall=true&amp;directAccess=false</t>
  </si>
  <si>
    <t>시세닷컴</t>
  </si>
  <si>
    <t>블루원용인CC 법인 골프 회원권 가격과 혜택</t>
  </si>
  <si>
    <t>https://blog.naver.com/PostView.naver?blogId=dongbu_golf&amp;logNo=223895988507&amp;redirect=Dlog&amp;widgetTypeCall=true&amp;directAccess=false</t>
  </si>
  <si>
    <t>‘李 지지자 폭행’ 사건 벌어졌다…韓 심각 수준</t>
  </si>
  <si>
    <t>https://blog.naver.com/PostView.naver?blogId=ormaverh-m&amp;logNo=223895840213&amp;redirect=Dlog&amp;widgetTypeCall=true&amp;directAccess=false</t>
  </si>
  <si>
    <t>나는 솔로 26기 정숙 영자 앞 기싸움 왜 선 넘었지</t>
  </si>
  <si>
    <t>https://blog.naver.com/PostView.naver?blogId=hhwjh&amp;logNo=223895825078&amp;redirect=Dlog&amp;widgetTypeCall=true&amp;directAccess=false</t>
  </si>
  <si>
    <t>나는solo 26기 영숙아 운명을 믿니? 영수가 피곤한 이유, 나는솔로</t>
  </si>
  <si>
    <t>https://blog.naver.com/PostView.naver?blogId=chummilmil99&amp;logNo=223895775187&amp;redirect=Dlog&amp;widgetTypeCall=true&amp;directAccess=false</t>
  </si>
  <si>
    <t>김용빈 샤이니 멤버 제안 거절 이유｜이수만 캐스팅 비화｜돌싱포맨 트로트 고집 사연</t>
  </si>
  <si>
    <t>https://blog.naver.com/PostView.naver?blogId=luxblue83&amp;logNo=223895629714&amp;redirect=Dlog&amp;widgetTypeCall=true&amp;directAccess=false</t>
  </si>
  <si>
    <t>지녕</t>
  </si>
  <si>
    <t>2025년 6월 - 1 🤍</t>
  </si>
  <si>
    <t>https://blog.naver.com/PostView.naver?blogId=jjin_vol&amp;logNo=223895548228&amp;redirect=Dlog&amp;widgetTypeCall=true&amp;directAccess=false</t>
  </si>
  <si>
    <t>창민의 맛집탐방</t>
  </si>
  <si>
    <t>홍일품, 홍대게장무한리필에서 가성비 최고의 맛을 즐기다!</t>
  </si>
  <si>
    <t>https://blog.naver.com/PostView.naver?blogId=02hryxvovn&amp;logNo=223894449653&amp;redirect=Dlog&amp;widgetTypeCall=true&amp;directAccess=false</t>
  </si>
  <si>
    <t>남궁민, 멜로 연기 도전…‘우리 영화’ 통해 진정성 있는 사랑 그려낸다</t>
  </si>
  <si>
    <t>https://blog.naver.com/PostView.naver?blogId=news1star&amp;logNo=223895390526&amp;redirect=Dlog&amp;widgetTypeCall=true&amp;directAccess=false</t>
  </si>
  <si>
    <t>kkatema</t>
  </si>
  <si>
    <t>25. 6. 11(수) 주요 경제 현황</t>
  </si>
  <si>
    <t>https://blog.naver.com/PostView.naver?blogId=kkatema&amp;logNo=223895388243&amp;redirect=Dlog&amp;widgetTypeCall=true&amp;directAccess=false</t>
  </si>
  <si>
    <t>망태할아범 50년Pro</t>
  </si>
  <si>
    <t>대폭동에 커지는 '공포'..한인들까지 불똥 '비상' #경운기핸들튜닝 #경운기핸들개조</t>
  </si>
  <si>
    <t>https://blog.naver.com/PostView.naver?blogId=mackaebi&amp;logNo=223895380568&amp;redirect=Dlog&amp;widgetTypeCall=true&amp;directAccess=false</t>
  </si>
  <si>
    <t>SBS 가요대전  summer 이즈나 엔믹스 여름이다</t>
  </si>
  <si>
    <t>https://blog.naver.com/PostView.naver?blogId=witheringu&amp;logNo=223895352214&amp;redirect=Dlog&amp;widgetTypeCall=true&amp;directAccess=false</t>
  </si>
  <si>
    <t>JTBC와 싸우던 불꽃야구 SBS가 방송</t>
  </si>
  <si>
    <t>https://blog.naver.com/PostView.naver?blogId=qksdydw12&amp;logNo=223895347434&amp;redirect=Dlog&amp;widgetTypeCall=true&amp;directAccess=false</t>
  </si>
  <si>
    <t>연극 무대에서 넷플릭스까지  ‘신 스틸러’ 배우 차청화 프로필</t>
  </si>
  <si>
    <t>https://blog.naver.com/PostView.naver?blogId=universal_studeo&amp;logNo=223895340598&amp;redirect=Dlog&amp;widgetTypeCall=true&amp;directAccess=false</t>
  </si>
  <si>
    <t>[투자빣] 염블리와 함께 / 시장함께읽기 / 250610</t>
  </si>
  <si>
    <t>https://blog.naver.com/PostView.naver?blogId=kim-box&amp;logNo=223895329116&amp;redirect=Dlog&amp;widgetTypeCall=true&amp;directAccess=false</t>
  </si>
  <si>
    <t>JTBC와 싸우는 불꽃야구 근황 SBS가 방송</t>
  </si>
  <si>
    <t>https://blog.naver.com/PostView.naver?blogId=ban1329&amp;logNo=223895318901&amp;redirect=Dlog&amp;widgetTypeCall=true&amp;directAccess=false</t>
  </si>
  <si>
    <t>https://blog.naver.com/PostView.naver?blogId=koreakwh1&amp;logNo=223895322028&amp;redirect=Dlog&amp;widgetTypeCall=true&amp;directAccess=false</t>
  </si>
  <si>
    <t>별바다</t>
  </si>
  <si>
    <t>남주의 첫날밤을 가져버렸다.</t>
  </si>
  <si>
    <t>https://blog.naver.com/PostView.naver?blogId=rhkscjdro&amp;logNo=223895316992&amp;redirect=Dlog&amp;widgetTypeCall=true&amp;directAccess=false</t>
  </si>
  <si>
    <t>나는솔로 26기 현숙 영식이랑 대화하는데 숨쉬듯 방해하는 광수 미방분 나솔</t>
  </si>
  <si>
    <t>https://blog.naver.com/PostView.naver?blogId=tobao0318&amp;logNo=223895252723&amp;redirect=Dlog&amp;widgetTypeCall=true&amp;directAccess=false</t>
  </si>
  <si>
    <t>영혼의 풀스윙</t>
  </si>
  <si>
    <t>불꽃야구 SBS Plus에서 본다, JTBC 대응은?</t>
  </si>
  <si>
    <t>https://blog.naver.com/PostView.naver?blogId=dope7769&amp;logNo=223895203147&amp;redirect=Dlog&amp;widgetTypeCall=true&amp;directAccess=false</t>
  </si>
  <si>
    <t>최창호 심리학 박사, 스카이원교육 ‘자녀 행복한 교육 홍보대사’로 발탁</t>
  </si>
  <si>
    <t>https://blog.naver.com/PostView.naver?blogId=y7183919&amp;logNo=223895193201&amp;redirect=Dlog&amp;widgetTypeCall=true&amp;directAccess=false</t>
  </si>
  <si>
    <t>애 솔</t>
  </si>
  <si>
    <t>마저 해낼 원동력</t>
  </si>
  <si>
    <t>https://blog.naver.com/PostView.naver?blogId=lys122100&amp;logNo=223895192430&amp;redirect=Dlog&amp;widgetTypeCall=true&amp;directAccess=false</t>
  </si>
  <si>
    <t>2025.06.10 시장 동향 및 주요 이슈 분석</t>
  </si>
  <si>
    <t>https://blog.naver.com/PostView.naver?blogId=phkw7272&amp;logNo=223895166409&amp;redirect=Dlog&amp;widgetTypeCall=true&amp;directAccess=false</t>
  </si>
  <si>
    <t>지볶행 24기 옥순 영식, 몽골 여행의 진실은? 손절설까지 뜨거운 화제!</t>
  </si>
  <si>
    <t>https://blog.naver.com/PostView.naver?blogId=macshorts&amp;logNo=223894942556&amp;redirect=Dlog&amp;widgetTypeCall=true&amp;directAccess=false</t>
  </si>
  <si>
    <t>펠리스</t>
  </si>
  <si>
    <t>우리영화 SBS 드라마 정보 출연진 OTT 몇부작 등장인물관계도 남궁민 전여빈 공식영상</t>
  </si>
  <si>
    <t>https://blog.naver.com/PostView.naver?blogId=lovelyou29&amp;logNo=223895148964&amp;redirect=Dlog&amp;widgetTypeCall=true&amp;directAccess=false</t>
  </si>
  <si>
    <t>윤둥</t>
  </si>
  <si>
    <t>거제 중곡동 맛집 거제 족발 맛집 서민족발</t>
  </si>
  <si>
    <t>https://blog.naver.com/PostView.naver?blogId=anfqud1994&amp;logNo=223901496886&amp;redirect=Dlog&amp;widgetTypeCall=true&amp;directAccess=false</t>
  </si>
  <si>
    <t>정석용, 결혼 사실 ‘동상이몽2’서 깜짝 공개…늦깎이 새신랑의 현실 신혼일기</t>
  </si>
  <si>
    <t>https://blog.naver.com/PostView.naver?blogId=news1star&amp;logNo=223900972517&amp;redirect=Dlog&amp;widgetTypeCall=true&amp;directAccess=false</t>
  </si>
  <si>
    <t>수퍼삐셩</t>
  </si>
  <si>
    <t>[일상] 나의 어린 시절 추억의 장소, 태영아파트에 가다</t>
  </si>
  <si>
    <t>https://blog.naver.com/PostView.naver?blogId=superbisheng&amp;logNo=223901469650&amp;redirect=Dlog&amp;widgetTypeCall=true&amp;directAccess=false</t>
  </si>
  <si>
    <t>o찐</t>
  </si>
  <si>
    <t>안양도너츠 호계시장도너츠</t>
  </si>
  <si>
    <t>https://blog.naver.com/PostView.naver?blogId=ioc385&amp;logNo=223901436685&amp;redirect=Dlog&amp;widgetTypeCall=true&amp;directAccess=false</t>
  </si>
  <si>
    <t>조단</t>
  </si>
  <si>
    <t>2025.06.16</t>
  </si>
  <si>
    <t>https://blog.naver.com/PostView.naver?blogId=hee980_&amp;logNo=223901396411&amp;redirect=Dlog&amp;widgetTypeCall=true&amp;directAccess=false</t>
  </si>
  <si>
    <t>탤런트이혜숙</t>
  </si>
  <si>
    <t>https://blog.naver.com/PostView.naver?blogId=yang83529&amp;logNo=223901379785&amp;redirect=Dlog&amp;widgetTypeCall=true&amp;directAccess=false</t>
  </si>
  <si>
    <t>박상혁 프로필, 나이 고향 학력 재산 정치경력</t>
  </si>
  <si>
    <t>https://blog.naver.com/PostView.naver?blogId=asd63455&amp;logNo=223901347172&amp;redirect=Dlog&amp;widgetTypeCall=true&amp;directAccess=false</t>
  </si>
  <si>
    <t>최여진 김재욱 크루즈 결혼식 현장 공개! 하객 누구? 동상이몽2 393회</t>
  </si>
  <si>
    <t>https://blog.naver.com/PostView.naver?blogId=shushu9988&amp;logNo=223901006441&amp;redirect=Dlog&amp;widgetTypeCall=true&amp;directAccess=false</t>
  </si>
  <si>
    <t>국힘 새 원내대표에 TK 3선 송언석...“쇄신 위해 전대 조속 개최”</t>
  </si>
  <si>
    <t>https://blog.naver.com/PostView.naver?blogId=klp654&amp;logNo=223901329784&amp;redirect=Dlog&amp;widgetTypeCall=true&amp;directAccess=false</t>
  </si>
  <si>
    <t>윤계상, 유재석과 2년 반 만의 재회…'틈만 나면,' 출연으로 본격 활동 신호탄</t>
  </si>
  <si>
    <t>https://blog.naver.com/PostView.naver?blogId=apahghfej&amp;logNo=223901292442&amp;redirect=Dlog&amp;widgetTypeCall=true&amp;directAccess=false</t>
  </si>
  <si>
    <t>임초록이</t>
  </si>
  <si>
    <t>드라마 ‘언젠가는 슬기로울 전공의 생활’</t>
  </si>
  <si>
    <t>https://blog.naver.com/PostView.naver?blogId=lci0248&amp;logNo=223901282857&amp;redirect=Dlog&amp;widgetTypeCall=true&amp;directAccess=false</t>
  </si>
  <si>
    <t>"초호화 크루즈 웨딩" 최여진♥김재욱, 시계 실종·부상 속 눈물의 결혼식</t>
  </si>
  <si>
    <t>https://blog.naver.com/PostView.naver?blogId=apahghfej&amp;logNo=223901253291&amp;redirect=Dlog&amp;widgetTypeCall=true&amp;directAccess=false</t>
  </si>
  <si>
    <t>서장훈, 9살 연상 이혼남의 반전…장희진과 심상치 않은 기류 포착 (+미혼, 나이차, 네이버블로그)</t>
  </si>
  <si>
    <t>https://blog.naver.com/PostView.naver?blogId=ovonews&amp;logNo=223901246504&amp;redirect=Dlog&amp;widgetTypeCall=true&amp;directAccess=false</t>
  </si>
  <si>
    <t>【우리영화】 1~2회 내용을 정리해 봄</t>
  </si>
  <si>
    <t>https://blog.naver.com/PostView.naver?blogId=kenpa44&amp;logNo=223901207618&amp;redirect=Dlog&amp;widgetTypeCall=true&amp;directAccess=false</t>
  </si>
  <si>
    <t>둥블리</t>
  </si>
  <si>
    <t>불꽃야구 vs 인하대 직관 예매 D-1</t>
  </si>
  <si>
    <t>https://blog.naver.com/PostView.naver?blogId=wjdok06&amp;logNo=223901198294&amp;redirect=Dlog&amp;widgetTypeCall=true&amp;directAccess=false</t>
  </si>
  <si>
    <t>하늘바다</t>
  </si>
  <si>
    <t>자동차보험 현명하게 가입하기</t>
  </si>
  <si>
    <t>https://blog.naver.com/PostView.naver?blogId=blue_sky580&amp;logNo=223901175663&amp;redirect=Dlog&amp;widgetTypeCall=true&amp;directAccess=false</t>
  </si>
  <si>
    <t>이동건, 16살 연하 강해림과 열애 후 첫 방송…가족과 요리대회 ‘금상’ 감격</t>
  </si>
  <si>
    <t>https://blog.naver.com/PostView.naver?blogId=apahghfej&amp;logNo=223901164087&amp;redirect=Dlog&amp;widgetTypeCall=true&amp;directAccess=false</t>
  </si>
  <si>
    <t>네이버블로그 열린TV 시청자 세상 1371회…대선 개표 방송, 과연 무슨 일이 (+개표방송, 시청자 세상, 네이버블로그)</t>
  </si>
  <si>
    <t>https://blog.naver.com/PostView.naver?blogId=qoswlfdl-&amp;logNo=223901154343&amp;redirect=Dlog&amp;widgetTypeCall=true&amp;directAccess=false</t>
  </si>
  <si>
    <t>실제 번호 교환까지?' 양세찬·김아영·최다니엘, 런닝맨 삼각 러브라인 화제</t>
  </si>
  <si>
    <t>https://blog.naver.com/PostView.naver?blogId=apahghfej&amp;logNo=223901147565&amp;redirect=Dlog&amp;widgetTypeCall=true&amp;directAccess=false</t>
  </si>
  <si>
    <t>[07.10] 김남중 비올라 독주회</t>
  </si>
  <si>
    <t>https://blog.naver.com/PostView.naver?blogId=edenclassic&amp;logNo=223901144318&amp;redirect=Dlog&amp;widgetTypeCall=true&amp;directAccess=false</t>
  </si>
  <si>
    <t>리진의 드라마이야기: 우리영화(2025)</t>
  </si>
  <si>
    <t>https://blog.naver.com/PostView.naver?blogId=happytogether123&amp;logNo=223900817837&amp;redirect=Dlog&amp;widgetTypeCall=true&amp;directAccess=false</t>
  </si>
  <si>
    <t>"정석용 결혼 발표" 동상이몽2 통해 깜짝 공개, 신혼집까지 최초 공개</t>
  </si>
  <si>
    <t>https://blog.naver.com/PostView.naver?blogId=apahghfej&amp;logNo=223901129359&amp;redirect=Dlog&amp;widgetTypeCall=true&amp;directAccess=false</t>
  </si>
  <si>
    <t>깜장토끼</t>
  </si>
  <si>
    <t>학교폭력 법제의 한계</t>
  </si>
  <si>
    <t>https://blog.naver.com/PostView.naver?blogId=sybh35&amp;logNo=223901115063&amp;redirect=Dlog&amp;widgetTypeCall=true&amp;directAccess=false</t>
  </si>
  <si>
    <t>생활의달인 마카롱 달인 디저트 가게</t>
  </si>
  <si>
    <t>https://blog.naver.com/PostView.naver?blogId=brjang71&amp;logNo=223901110764&amp;redirect=Dlog&amp;widgetTypeCall=true&amp;directAccess=false</t>
  </si>
  <si>
    <t>정석용, 5살 연하 음악감독 누구 이영애 닮은꼴 이미 결혼 동상이몽2</t>
  </si>
  <si>
    <t>https://blog.naver.com/PostView.naver?blogId=hhwjh&amp;logNo=223901089033&amp;redirect=Dlog&amp;widgetTypeCall=true&amp;directAccess=false</t>
  </si>
  <si>
    <t>🔴단독 | 복지장관, 통일교 '축사 영상' 입수 - '건진법사 게이트' 단독 보도 | SBS 실시간 LIVE</t>
  </si>
  <si>
    <t>https://blog.naver.com/PostView.naver?blogId=finch1234&amp;logNo=223901074575&amp;redirect=Dlog&amp;widgetTypeCall=true&amp;directAccess=false</t>
  </si>
  <si>
    <t>250616 동상이몽 2 - 너는 내 운명 393회 예고 / 최여진♥김재욱, 결혼식 쉽지 않네…위기에 결국 폭발</t>
  </si>
  <si>
    <t>https://blog.naver.com/PostView.naver?blogId=kbmbc_8919&amp;logNo=223901009104&amp;redirect=Dlog&amp;widgetTypeCall=true&amp;directAccess=false</t>
  </si>
  <si>
    <t>https://blog.naver.com/PostView.naver?blogId=yang83529&amp;logNo=223900967472&amp;redirect=Dlog&amp;widgetTypeCall=true&amp;directAccess=false</t>
  </si>
  <si>
    <t>탤런트이혜숙 홍학표</t>
  </si>
  <si>
    <t>https://blog.naver.com/PostView.naver?blogId=yang83529&amp;logNo=223900967813&amp;redirect=Dlog&amp;widgetTypeCall=true&amp;directAccess=false</t>
  </si>
  <si>
    <t>우리영화 드라마 시청률 꼴찌 굴욕 남궁민 인스타 입장 5회까지 봐달라 자신있다, SBS 금토드라마</t>
  </si>
  <si>
    <t>https://blog.naver.com/PostView.naver?blogId=chummilmil99&amp;logNo=223900956346&amp;redirect=Dlog&amp;widgetTypeCall=true&amp;directAccess=false</t>
  </si>
  <si>
    <t>SBS 생활의 달인 987회 예고편 미리보기 (6월 16일 방송)</t>
  </si>
  <si>
    <t>https://blog.naver.com/PostView.naver?blogId=un1004hee&amp;logNo=223900918097&amp;redirect=Dlog&amp;widgetTypeCall=true&amp;directAccess=false</t>
  </si>
  <si>
    <t>‘미꾸리 피자’로 금상 수상한 이동건 母子! 소개팅 성공한 임원희까지…‘미우새’ 시청률 1위 이유 있었네</t>
  </si>
  <si>
    <t>https://blog.naver.com/PostView.naver?blogId=dew2by_&amp;logNo=223900912097&amp;redirect=Dlog&amp;widgetTypeCall=true&amp;directAccess=false</t>
  </si>
  <si>
    <t>디비</t>
  </si>
  <si>
    <t>DB그룹 제39회 한국여자오픈 개막, 스폰서십 이상의 가치를 담다</t>
  </si>
  <si>
    <t>https://blog.naver.com/PostView.naver?blogId=db_group&amp;logNo=223900893634&amp;redirect=Dlog&amp;widgetTypeCall=true&amp;directAccess=false</t>
  </si>
  <si>
    <t>홍대미드저니학원/AI영상만들기/AI배우기!</t>
  </si>
  <si>
    <t>https://blog.naver.com/PostView.naver?blogId=hoohoo9945&amp;logNo=223900870836&amp;redirect=Dlog&amp;widgetTypeCall=true&amp;directAccess=false</t>
  </si>
  <si>
    <t>17옥순 집에 가고 싶다? 몰입 안 돼 눈물, 나솔사계</t>
  </si>
  <si>
    <t>https://blog.naver.com/PostView.naver?blogId=shushu9988&amp;logNo=223900857150&amp;redirect=Dlog&amp;widgetTypeCall=true&amp;directAccess=false</t>
  </si>
  <si>
    <t>송이즈뮤직</t>
  </si>
  <si>
    <t>4월 28일 : 마왕</t>
  </si>
  <si>
    <t>https://blog.naver.com/PostView.naver?blogId=ssongyujung&amp;logNo=223900854362&amp;redirect=Dlog&amp;widgetTypeCall=true&amp;directAccess=false</t>
  </si>
  <si>
    <t>477. &lt;영원 - 카타르시스&gt; SBS 인기가요 순위 변동 차트</t>
  </si>
  <si>
    <t>https://blog.naver.com/PostView.naver?blogId=bloodypunch&amp;logNo=223900840259&amp;redirect=Dlog&amp;widgetTypeCall=true&amp;directAccess=false</t>
  </si>
  <si>
    <t>4월 21일 : 화창한 웃음</t>
  </si>
  <si>
    <t>https://blog.naver.com/PostView.naver?blogId=ssongyujung&amp;logNo=223900821406&amp;redirect=Dlog&amp;widgetTypeCall=true&amp;directAccess=false</t>
  </si>
  <si>
    <t>선바우</t>
  </si>
  <si>
    <t>탈옥</t>
  </si>
  <si>
    <t>https://blog.naver.com/PostView.naver?blogId=swookjeung&amp;logNo=223900747149&amp;redirect=Dlog&amp;widgetTypeCall=true&amp;directAccess=false</t>
  </si>
  <si>
    <t>카스턴트</t>
  </si>
  <si>
    <t>우리영화 2회+3회~조건이 있어요...죽지마요~배우 남궁민 부탁했다~ 딱 5회까지만 보세요^^</t>
  </si>
  <si>
    <t>https://blog.naver.com/PostView.naver?blogId=ninano33&amp;logNo=223900714870&amp;redirect=Dlog&amp;widgetTypeCall=true&amp;directAccess=false</t>
  </si>
  <si>
    <t>프로통학러</t>
  </si>
  <si>
    <t>오목공원 답사기</t>
  </si>
  <si>
    <t>https://blog.naver.com/PostView.naver?blogId=realgoose&amp;logNo=223899985546&amp;redirect=Dlog&amp;widgetTypeCall=true&amp;directAccess=false</t>
  </si>
  <si>
    <t>공차코리아, SBS 금토드라마 ‘우리영화’ 제작 협찬</t>
  </si>
  <si>
    <t>https://blog.naver.com/PostView.naver?blogId=madtimes&amp;logNo=223900628786&amp;redirect=Dlog&amp;widgetTypeCall=true&amp;directAccess=false</t>
  </si>
  <si>
    <t>[부산시] 제20회 부산국제매직페스티벌…'매직 컨벤션' 개최</t>
  </si>
  <si>
    <t>https://blog.naver.com/PostView.naver?blogId=newssns&amp;logNo=223900622073&amp;redirect=Dlog&amp;widgetTypeCall=true&amp;directAccess=false</t>
  </si>
  <si>
    <t>배우 조우리, FN엔터 품에 안기다… '오늘도 매진했습니다'로 돌아온다</t>
  </si>
  <si>
    <t>https://blog.naver.com/PostView.naver?blogId=news1star&amp;logNo=223900584944&amp;redirect=Dlog&amp;widgetTypeCall=true&amp;directAccess=false</t>
  </si>
  <si>
    <t>부산 145mm 기록적 폭우 맨홀 빠진 30대 여성 인근 상인들이 구조</t>
  </si>
  <si>
    <t>https://blog.naver.com/PostView.naver?blogId=psepeter&amp;logNo=223900601251&amp;redirect=Dlog&amp;widgetTypeCall=true&amp;directAccess=false</t>
  </si>
  <si>
    <t>[맛칼럼/용산카페] 효창공원역 손대면핫플 카페 ‘인디에어’ 시그니처 밀크티 메뉴 솔직후기.</t>
  </si>
  <si>
    <t>https://blog.naver.com/PostView.naver?blogId=thecharlee&amp;logNo=223900033704&amp;redirect=Dlog&amp;widgetTypeCall=true&amp;directAccess=false</t>
  </si>
  <si>
    <t>https://blog.naver.com/PostView.naver?blogId=approach999&amp;logNo=223900554375&amp;redirect=Dlog&amp;widgetTypeCall=true&amp;directAccess=false</t>
  </si>
  <si>
    <t>6. 16(월) 경찰관련기사</t>
  </si>
  <si>
    <t>https://blog.naver.com/PostView.naver?blogId=tobiaspia&amp;logNo=223900545195&amp;redirect=Dlog&amp;widgetTypeCall=true&amp;directAccess=false</t>
  </si>
  <si>
    <t>아 800명 수감 중 이구나 그럼 이걸 한채 더 지어야되나?</t>
  </si>
  <si>
    <t>https://blog.naver.com/PostView.naver?blogId=jwaeuniiish&amp;logNo=223900539290&amp;redirect=Dlog&amp;widgetTypeCall=true&amp;directAccess=false</t>
  </si>
  <si>
    <t>25. 6. 16(월) 주요 경제 현황</t>
  </si>
  <si>
    <t>https://blog.naver.com/PostView.naver?blogId=kkatema&amp;logNo=223900531402&amp;redirect=Dlog&amp;widgetTypeCall=true&amp;directAccess=false</t>
  </si>
  <si>
    <t>25.6.16.(월) 경찰 관련 기사 스크린</t>
  </si>
  <si>
    <t>https://blog.naver.com/PostView.naver?blogId=bugook789&amp;logNo=223900519999&amp;redirect=Dlog&amp;widgetTypeCall=true&amp;directAccess=false</t>
  </si>
  <si>
    <t>23년째 미제로 남은 '광치령 얼굴 없는 시신' 방송 재조명 화제</t>
  </si>
  <si>
    <t>https://blog.naver.com/PostView.naver?blogId=yfish66&amp;logNo=223900518917&amp;redirect=Dlog&amp;widgetTypeCall=true&amp;directAccess=false</t>
  </si>
  <si>
    <t>워킹파파 윈터파파</t>
  </si>
  <si>
    <t>SBS아카데미뷰티스쿨 인천서구캠퍼스 자격증 합격률 높은 1:1 맞춤 수업 인천네일학원</t>
  </si>
  <si>
    <t>https://blog.naver.com/PostView.naver?blogId=winterpapa_91&amp;logNo=223900518551&amp;redirect=Dlog&amp;widgetTypeCall=true&amp;directAccess=false</t>
  </si>
  <si>
    <t>얼굴 없는 시신, 그리고 23년의 시간– 그것이 알고 싶다.1447회. (2025.6.14) 31번 국도의 얼굴 없는 남자 - 광치령 변사체 사건</t>
  </si>
  <si>
    <t>https://blog.naver.com/PostView.naver?blogId=now-asset&amp;logNo=223900512799&amp;redirect=Dlog&amp;widgetTypeCall=true&amp;directAccess=false</t>
  </si>
  <si>
    <t>고현정, 변영주 감독 얼마나 좋으면…민낯으로 꿀 뚝뚝 데이트</t>
  </si>
  <si>
    <t>https://blog.naver.com/PostView.naver?blogId=nsunday&amp;logNo=223900507421&amp;redirect=Dlog&amp;widgetTypeCall=true&amp;directAccess=false</t>
  </si>
  <si>
    <t>남원 ‘전국 가족요리 경연대회’에 이동건 모자 출전, 금상 수상  : 미우새에 방영</t>
  </si>
  <si>
    <t>https://blog.naver.com/PostView.naver?blogId=ryt1658&amp;logNo=223900474028&amp;redirect=Dlog&amp;widgetTypeCall=true&amp;directAccess=false</t>
  </si>
  <si>
    <t>로엘 법무법인</t>
  </si>
  <si>
    <t>이동건 엄마, 미우새 요리대회 충격! 모자 함께 남원 가족 요리 도전…결과는?! 미운우리새끼 447회 (+미우새, 이동건, 요리대회)</t>
  </si>
  <si>
    <t>https://blog.naver.com/PostView.naver?blogId=ovonews&amp;logNo=223900450221&amp;redirect=Dlog&amp;widgetTypeCall=true&amp;directAccess=false</t>
  </si>
  <si>
    <t>조창훈</t>
  </si>
  <si>
    <t>[링크: 영상][2025.5.21] "횡령 금액이 수억" 두 얼굴의 직원, 현금 받고는 재빨리 다른 손으로… (현장영상) / SBS - 병원 내 직원 횡령</t>
  </si>
  <si>
    <t>https://blog.naver.com/PostView.naver?blogId=chosury&amp;logNo=223900435432&amp;redirect=Dlog&amp;widgetTypeCall=true&amp;directAccess=false</t>
  </si>
  <si>
    <t>"장희진, 서장훈과 썸 타나? 어머니도 OK한 재혼 선호 발언 화제!"</t>
  </si>
  <si>
    <t>https://blog.naver.com/PostView.naver?blogId=macshorts&amp;logNo=223900284156&amp;redirect=Dlog&amp;widgetTypeCall=true&amp;directAccess=false</t>
  </si>
  <si>
    <t>"임원희 소개팅 성공하나?" 54세 돌싱의 설렘 가득한 핑크빛 기류</t>
  </si>
  <si>
    <t>https://blog.naver.com/PostView.naver?blogId=apahghfej&amp;logNo=223900360276&amp;redirect=Dlog&amp;widgetTypeCall=true&amp;directAccess=false</t>
  </si>
  <si>
    <t>조그만부자</t>
  </si>
  <si>
    <t>#53 [훨훨 임장챌린지 시즌2] 양천구 목동</t>
  </si>
  <si>
    <t>https://blog.naver.com/PostView.naver?blogId=tmanlee&amp;logNo=223900359067&amp;redirect=Dlog&amp;widgetTypeCall=true&amp;directAccess=false</t>
  </si>
  <si>
    <t>장희진 “결혼 상대 초혼 아니어도 돼…母는 서장훈 좋아해” 솔직 고백</t>
  </si>
  <si>
    <t>https://blog.naver.com/PostView.naver?blogId=apahghfej&amp;logNo=223900350322&amp;redirect=Dlog&amp;widgetTypeCall=true&amp;directAccess=false</t>
  </si>
  <si>
    <t>소포모어 증후군(징크스) 뜻 증상 우리영화 남궁민 감독 시한부 전여빈 한국드라마 추천</t>
  </si>
  <si>
    <t>https://blog.naver.com/PostView.naver?blogId=wookiecinebox&amp;logNo=223900342143&amp;redirect=Dlog&amp;widgetTypeCall=true&amp;directAccess=false</t>
  </si>
  <si>
    <t>새롬</t>
  </si>
  <si>
    <t>우리영화 남궁민 전여빈 서현우 이설</t>
  </si>
  <si>
    <t>https://blog.naver.com/PostView.naver?blogId=yoojk72&amp;logNo=223900320874&amp;redirect=Dlog&amp;widgetTypeCall=true&amp;directAccess=false</t>
  </si>
  <si>
    <t>oliveoil</t>
  </si>
  <si>
    <t>세족식</t>
  </si>
  <si>
    <t>https://blog.naver.com/PostView.naver?blogId=lcnlcn0412&amp;logNo=223900312941&amp;redirect=Dlog&amp;widgetTypeCall=true&amp;directAccess=false</t>
  </si>
  <si>
    <t>동동구리 김영돈</t>
  </si>
  <si>
    <t>레닷페이 카드 발급(Feat. 크립토 테더 비트코인 비자카드)</t>
  </si>
  <si>
    <t>https://blog.naver.com/PostView.naver?blogId=cgk300&amp;logNo=223900279045&amp;redirect=Dlog&amp;widgetTypeCall=true&amp;directAccess=false</t>
  </si>
  <si>
    <t>[단독] 尹 대통령실, 20조 규모 2차 추경 '선별 지급' 유력 검토…국채 발행 불가피</t>
  </si>
  <si>
    <t>https://blog.naver.com/PostView.naver?blogId=peterwok&amp;logNo=223900270623&amp;redirect=Dlog&amp;widgetTypeCall=true&amp;directAccess=false</t>
  </si>
  <si>
    <t>우리영화 2회 줄거리 조건 하나 죽지 마요 남궁민 5회까지만 봐주세요</t>
  </si>
  <si>
    <t>https://blog.naver.com/PostView.naver?blogId=hhwjh&amp;logNo=223900249411&amp;redirect=Dlog&amp;widgetTypeCall=true&amp;directAccess=false</t>
  </si>
  <si>
    <t>나는solo 26기 영숙 영수 부산 현커 되나? 돌고 돌아 슈퍼데이트 나는솔로</t>
  </si>
  <si>
    <t>https://blog.naver.com/PostView.naver?blogId=shushu9988&amp;logNo=223900044908&amp;redirect=Dlog&amp;widgetTypeCall=true&amp;directAccess=false</t>
  </si>
  <si>
    <t>250615 SBS 예능 런닝맨 756회 꾼 인 더 시티 | 게스트 김아영</t>
  </si>
  <si>
    <t>https://blog.naver.com/PostView.naver?blogId=spring_hmong&amp;logNo=223900225286&amp;redirect=Dlog&amp;widgetTypeCall=true&amp;directAccess=false</t>
  </si>
  <si>
    <t>lovecq1</t>
  </si>
  <si>
    <t>[그것이알고싶다] 모든 것의 시작은 '붉은 용' 이었다. 춘천 목사 노부부 사망 및 실종사건 - 거룩한 무리</t>
  </si>
  <si>
    <t>https://blog.naver.com/PostView.naver?blogId=lovecq1&amp;logNo=223900187146&amp;redirect=Dlog&amp;widgetTypeCall=true&amp;directAccess=false</t>
  </si>
  <si>
    <t>너에게 가는 길 = 박상민 (박상민이 부른 슬램덩크(TVA) SBS판 주제가)</t>
  </si>
  <si>
    <t>https://blog.naver.com/PostView.naver?blogId=tae-baek&amp;logNo=223900160094&amp;redirect=Dlog&amp;widgetTypeCall=true&amp;directAccess=false</t>
  </si>
  <si>
    <t>유영미前아나운서</t>
  </si>
  <si>
    <t>https://blog.naver.com/PostView.naver?blogId=yang83529&amp;logNo=223900150800&amp;redirect=Dlog&amp;widgetTypeCall=true&amp;directAccess=false</t>
  </si>
  <si>
    <t>6/8 SBS 인기가요 유스피어 사전녹화 + 본방송 방청 갔다왔다.</t>
  </si>
  <si>
    <t>https://blog.naver.com/PostView.naver?blogId=conix&amp;logNo=223900138876&amp;redirect=Dlog&amp;widgetTypeCall=true&amp;directAccess=false</t>
  </si>
  <si>
    <t>한예종 수석입학 정소민, 해외도 놀란 여신 포스…MESSIKA 행사장 접수</t>
  </si>
  <si>
    <t>https://blog.naver.com/PostView.naver?blogId=picklenews&amp;logNo=223900135201&amp;redirect=Dlog&amp;widgetTypeCall=true&amp;directAccess=false</t>
  </si>
  <si>
    <t>불꽃야구 7화 프리미어12급 라인업 이대은·김재호 시선 집중 동국대 결과 6월22일 인하대 직관 생중계</t>
  </si>
  <si>
    <t>https://blog.naver.com/PostView.naver?blogId=hhwjh&amp;logNo=223900105810&amp;redirect=Dlog&amp;widgetTypeCall=true&amp;directAccess=false</t>
  </si>
  <si>
    <t>남궁민, '우리 영화' 시청률 혹평에 정면 돌파⋯"5화 이후 반등없으면 ..."</t>
  </si>
  <si>
    <t>https://blog.naver.com/PostView.naver?blogId=dbghwns2&amp;logNo=223900047834&amp;redirect=Dlog&amp;widgetTypeCall=true&amp;directAccess=false</t>
  </si>
  <si>
    <t>한예종 수석입학 실물미모 여신 비주얼 정소민  키 163cm 44kg 메시카 글로벌 나이 프로필</t>
  </si>
  <si>
    <t>https://blog.naver.com/PostView.naver?blogId=psepeter&amp;logNo=223900045187&amp;redirect=Dlog&amp;widgetTypeCall=true&amp;directAccess=false</t>
  </si>
  <si>
    <t>인천 최초 기록 런닝맨 인천 워터파크 영종도 리조트</t>
  </si>
  <si>
    <t>https://blog.naver.com/PostView.naver?blogId=jmjm3060&amp;logNo=223900036691&amp;redirect=Dlog&amp;widgetTypeCall=true&amp;directAccess=false</t>
  </si>
  <si>
    <t>유재석 사회 맡은 이광기 딸 정우영 결혼식… 대체 무슨 인연이길래? (+결혼, 이광기, 유재석)</t>
  </si>
  <si>
    <t>https://blog.naver.com/PostView.naver?blogId=qoswlfdl-&amp;logNo=223899999426&amp;redirect=Dlog&amp;widgetTypeCall=true&amp;directAccess=false</t>
  </si>
  <si>
    <t>하의가 벗겨진 채 주검으로 발견된 부산 성인용품점 女주인</t>
  </si>
  <si>
    <t>https://blog.naver.com/PostView.naver?blogId=yfish66&amp;logNo=223899964555&amp;redirect=Dlog&amp;widgetTypeCall=true&amp;directAccess=false</t>
  </si>
  <si>
    <t>다엥</t>
  </si>
  <si>
    <t>허거덩거덩스</t>
  </si>
  <si>
    <t>https://blog.naver.com/PostView.naver?blogId=dy981212&amp;logNo=223899956080&amp;redirect=Dlog&amp;widgetTypeCall=true&amp;directAccess=false</t>
  </si>
  <si>
    <t>나는solo 26기 영호는 이미 순자라고, 데프콘 감다뒤 현숙 자꾸 언급하는 이유, 나는솔로</t>
  </si>
  <si>
    <t>https://blog.naver.com/PostView.naver?blogId=chummilmil99&amp;logNo=223899940043&amp;redirect=Dlog&amp;widgetTypeCall=true&amp;directAccess=false</t>
  </si>
  <si>
    <t>나는솔로SOLO 19정숙 25영철 현커 데이트목격담 증거사진 유출 일파만파</t>
  </si>
  <si>
    <t>https://blog.naver.com/PostView.naver?blogId=schwabingstory&amp;logNo=223899935953&amp;redirect=Dlog&amp;widgetTypeCall=true&amp;directAccess=false</t>
  </si>
  <si>
    <t>강김4송이</t>
  </si>
  <si>
    <t>24년 8월~ 25년 6월 영화및드라마&amp;OTT 본것들 소소 정리_</t>
  </si>
  <si>
    <t>https://blog.naver.com/PostView.naver?blogId=ckdwowldnjs&amp;logNo=223899899763&amp;redirect=Dlog&amp;widgetTypeCall=true&amp;directAccess=false</t>
  </si>
  <si>
    <t>고현정이 대놓고 방송 안 나왔으면 싶었던 질투한 연예인은? 동국대학교 90학번 동기 배우 김정난</t>
  </si>
  <si>
    <t>https://blog.naver.com/PostView.naver?blogId=psepeter&amp;logNo=223899862940&amp;redirect=Dlog&amp;widgetTypeCall=true&amp;directAccess=false</t>
  </si>
  <si>
    <t>Jessica W</t>
  </si>
  <si>
    <t>[호주에서 겨울나기] 우리 눈오는 한국에서 왔잖아? 그런데 호주 겨울.. 왜 이렇게 추울까?</t>
  </si>
  <si>
    <t>https://blog.naver.com/PostView.naver?blogId=jessica_in_australia&amp;logNo=223899777882&amp;redirect=Dlog&amp;widgetTypeCall=true&amp;directAccess=false</t>
  </si>
  <si>
    <t>재우아빠</t>
  </si>
  <si>
    <t>[블로그씨] 몰아보기</t>
  </si>
  <si>
    <t>https://blog.naver.com/PostView.naver?blogId=k9820664&amp;logNo=223899752493&amp;redirect=Dlog&amp;widgetTypeCall=true&amp;directAccess=false</t>
  </si>
  <si>
    <t>우리영화 2회 시한부 다음의 목숨 건 오디션 이제하의 조건_SBS 드라마</t>
  </si>
  <si>
    <t>https://blog.naver.com/PostView.naver?blogId=zephyros0&amp;logNo=223899751314&amp;redirect=Dlog&amp;widgetTypeCall=true&amp;directAccess=false</t>
  </si>
  <si>
    <t>로칼두</t>
  </si>
  <si>
    <t>트라우마 (feat. 미지의 서울)</t>
  </si>
  <si>
    <t>https://blog.naver.com/PostView.naver?blogId=rocaldo&amp;logNo=223899691581&amp;redirect=Dlog&amp;widgetTypeCall=true&amp;directAccess=false</t>
  </si>
  <si>
    <t>순풍산부인과 79~84화</t>
  </si>
  <si>
    <t>https://blog.naver.com/PostView.naver?blogId=culturecre&amp;logNo=223899683660&amp;redirect=Dlog&amp;widgetTypeCall=true&amp;directAccess=false</t>
  </si>
  <si>
    <t>17기 옥순 24기 광수 달리기로 통했나? 나는솔로 그후 사랑은 계속된다</t>
  </si>
  <si>
    <t>https://blog.naver.com/PostView.naver?blogId=shushu9988&amp;logNo=223899680803&amp;redirect=Dlog&amp;widgetTypeCall=true&amp;directAccess=false</t>
  </si>
  <si>
    <t>지유</t>
  </si>
  <si>
    <t>바보 빅터 책 내용 줄거리 에세이추천 베스트셀러</t>
  </si>
  <si>
    <t>https://blog.naver.com/PostView.naver?blogId=bodmi2019&amp;logNo=223899674746&amp;redirect=Dlog&amp;widgetTypeCall=true&amp;directAccess=false</t>
  </si>
  <si>
    <t>우리 영화 2회 줄거리 리뷰 2화 3회 결말 남궁민은 전여빈을 불합격시키려고!... 이설 서현우</t>
  </si>
  <si>
    <t>https://blog.naver.com/PostView.naver?blogId=ejtdltm&amp;logNo=223899654949&amp;redirect=Dlog&amp;widgetTypeCall=true&amp;directAccess=false</t>
  </si>
  <si>
    <t>KBO 2025.06.15(일) KT 위즈 : 삼성 라이온즈 프리뷰, 예측 및 선발 분석</t>
  </si>
  <si>
    <t>https://blog.naver.com/PostView.naver?blogId=k_reporter_&amp;logNo=223899647303&amp;redirect=Dlog&amp;widgetTypeCall=true&amp;directAccess=false</t>
  </si>
  <si>
    <t>드라마 '한국영화'</t>
  </si>
  <si>
    <t>https://blog.naver.com/PostView.naver?blogId=mslee73&amp;logNo=223899626978&amp;redirect=Dlog&amp;widgetTypeCall=true&amp;directAccess=false</t>
  </si>
  <si>
    <t>우리영화 이제하 감독의 캐스팅 조건 2화 × 3회 시한부 주인공 이다음</t>
  </si>
  <si>
    <t>https://blog.naver.com/PostView.naver?blogId=naamoo65&amp;logNo=223899621994&amp;redirect=Dlog&amp;widgetTypeCall=true&amp;directAccess=false</t>
  </si>
  <si>
    <t>나는솔로 26기 영호의 ‘찐’ 여유와 현숙-순자의 미묘한 러브라인</t>
  </si>
  <si>
    <t>https://blog.naver.com/PostView.naver?blogId=macshorts&amp;logNo=223898983907&amp;redirect=Dlog&amp;widgetTypeCall=true&amp;directAccess=false</t>
  </si>
  <si>
    <t>미운 우리 새끼·배우 임원희 김혜진 소개팅 현장? 집·아파트·재산·강릉 150평 한옥주택·군대·자녀·차·강릉 와인바⭐️임원희 안문숙 열애</t>
  </si>
  <si>
    <t>https://blog.naver.com/PostView.naver?blogId=lilycole2006&amp;logNo=223899535526&amp;redirect=Dlog&amp;widgetTypeCall=true&amp;directAccess=false</t>
  </si>
  <si>
    <t>"여자인 줄 알았다" 오성진의 고백, '세상에 이런일이' 진심 통했다</t>
  </si>
  <si>
    <t>https://blog.naver.com/PostView.naver?blogId=apahghfej&amp;logNo=223899515393&amp;redirect=Dlog&amp;widgetTypeCall=true&amp;directAccess=false</t>
  </si>
  <si>
    <t>AI에게 협박당하는 세상</t>
  </si>
  <si>
    <t>https://blog.naver.com/PostView.naver?blogId=rhyu&amp;logNo=223899489376&amp;redirect=Dlog&amp;widgetTypeCall=true&amp;directAccess=false</t>
  </si>
  <si>
    <t>Starsailor</t>
  </si>
  <si>
    <t>[서울 신림동 순대타운] 전주 익산집 - 추억의 백순대</t>
  </si>
  <si>
    <t>https://blog.naver.com/PostView.naver?blogId=yougetwhatyougive&amp;logNo=223897888410&amp;redirect=Dlog&amp;widgetTypeCall=true&amp;directAccess=false</t>
  </si>
  <si>
    <t>3분 스피치</t>
  </si>
  <si>
    <t>https://blog.naver.com/PostView.naver?blogId=cheonghwon&amp;logNo=223899452633&amp;redirect=Dlog&amp;widgetTypeCall=true&amp;directAccess=false</t>
  </si>
  <si>
    <t>Bya</t>
  </si>
  <si>
    <t>돌아감</t>
  </si>
  <si>
    <t>https://blog.naver.com/PostView.naver?blogId=bya1380&amp;logNo=223899457580&amp;redirect=Dlog&amp;widgetTypeCall=true&amp;directAccess=false</t>
  </si>
  <si>
    <t>그것이 알고 싶다 - 광치령 변사체 사건</t>
  </si>
  <si>
    <t>https://blog.naver.com/PostView.naver?blogId=culturecre&amp;logNo=223899414952&amp;redirect=Dlog&amp;widgetTypeCall=true&amp;directAccess=false</t>
  </si>
  <si>
    <t>언제나 빛나는 배우, 박보검의 오늘을 응원하며</t>
  </si>
  <si>
    <t>https://blog.naver.com/PostView.naver?blogId=ditco00&amp;logNo=223899397727&amp;redirect=Dlog&amp;widgetTypeCall=true&amp;directAccess=false</t>
  </si>
  <si>
    <t>탤런트박은수</t>
  </si>
  <si>
    <t>https://blog.naver.com/PostView.naver?blogId=yang83529&amp;logNo=223899392326&amp;redirect=Dlog&amp;widgetTypeCall=true&amp;directAccess=false</t>
  </si>
  <si>
    <t>최수범 북극항로</t>
  </si>
  <si>
    <t>중국의 첨단 기술 실용화: 자율주행, 로봇, 반도체의 현주소</t>
  </si>
  <si>
    <t>https://blog.naver.com/PostView.naver?blogId=choisubeom&amp;logNo=223899387160&amp;redirect=Dlog&amp;widgetTypeCall=true&amp;directAccess=false</t>
  </si>
  <si>
    <t>https://blog.naver.com/PostView.naver?blogId=yang83529&amp;logNo=223899382036&amp;redirect=Dlog&amp;widgetTypeCall=true&amp;directAccess=false</t>
  </si>
  <si>
    <t>나는솔로 돌싱 10영자 영철 밀월여행 암투병 미황 손절 환승 의혹 현커 실체</t>
  </si>
  <si>
    <t>https://blog.naver.com/PostView.naver?blogId=porto7979&amp;logNo=223899344714&amp;redirect=Dlog&amp;widgetTypeCall=true&amp;directAccess=false</t>
  </si>
  <si>
    <t>우리영화 유은애 하얀사랑 각본 가로챈 아버지 이두영? 1회 2회 SBS드라마</t>
  </si>
  <si>
    <t>https://blog.naver.com/PostView.naver?blogId=shushu9988&amp;logNo=223899307812&amp;redirect=Dlog&amp;widgetTypeCall=true&amp;directAccess=false</t>
  </si>
  <si>
    <t>인제 31번 국도의 얼굴 없는 남자, 그것이 알고싶다 1447회 광치령 토막살인사건 범인은 조직원? 그알 레전드</t>
  </si>
  <si>
    <t>https://blog.naver.com/PostView.naver?blogId=chummilmil99&amp;logNo=223899325647&amp;redirect=Dlog&amp;widgetTypeCall=true&amp;directAccess=false</t>
  </si>
  <si>
    <t>네 개의 가마를 가진 아이</t>
  </si>
  <si>
    <t>https://blog.naver.com/PostView.naver?blogId=hongsthegama&amp;logNo=223899318131&amp;redirect=Dlog&amp;widgetTypeCall=true&amp;directAccess=false</t>
  </si>
  <si>
    <t>비효율의 사랑</t>
  </si>
  <si>
    <t>https://blog.naver.com/PostView.naver?blogId=seolae929&amp;logNo=223899304193&amp;redirect=Dlog&amp;widgetTypeCall=true&amp;directAccess=false</t>
  </si>
  <si>
    <t>그것이 알고싶다 인제 광치령 토막 변사체 살인사건 범인 정체 누구? 그알 1447회</t>
  </si>
  <si>
    <t>https://blog.naver.com/PostView.naver?blogId=richman_v&amp;logNo=223899224365&amp;redirect=Dlog&amp;widgetTypeCall=true&amp;directAccess=false</t>
  </si>
  <si>
    <t>‘우리영화’ 이설 등장, 첫 회부터 톱스타 포스 채서영 역 완벽 몰입</t>
  </si>
  <si>
    <t>https://blog.naver.com/PostView.naver?blogId=yooju0913&amp;logNo=223899212049&amp;redirect=Dlog&amp;widgetTypeCall=true&amp;directAccess=false</t>
  </si>
  <si>
    <t>그것이 알고 싶다 1447회</t>
  </si>
  <si>
    <t>https://blog.naver.com/PostView.naver?blogId=bizbank&amp;logNo=223899203334&amp;redirect=Dlog&amp;widgetTypeCall=true&amp;directAccess=false</t>
  </si>
  <si>
    <t>도원 Time to Think</t>
  </si>
  <si>
    <t>이 가족이 사는 법</t>
  </si>
  <si>
    <t>https://blog.naver.com/PostView.naver?blogId=do1_day&amp;logNo=223899191622&amp;redirect=Dlog&amp;widgetTypeCall=true&amp;directAccess=false</t>
  </si>
  <si>
    <t>건국회원권</t>
  </si>
  <si>
    <t>블루원용인CC회원권 완벽 분석 전문가가 알려주는 투자 포인트</t>
  </si>
  <si>
    <t>https://blog.naver.com/PostView.naver?blogId=kkk-kgh4&amp;logNo=223899161967&amp;redirect=Dlog&amp;widgetTypeCall=true&amp;directAccess=false</t>
  </si>
  <si>
    <t>나솔사계 24영수 고양이상 21기 옥순 매력에 빠지나? 연애예능</t>
  </si>
  <si>
    <t>https://blog.naver.com/PostView.naver?blogId=shushu9988&amp;logNo=223899146946&amp;redirect=Dlog&amp;widgetTypeCall=true&amp;directAccess=false</t>
  </si>
  <si>
    <t>babi565610</t>
  </si>
  <si>
    <t>포천 6월축제) 포천 한탄강 가든페스타/ Y자 출렁다리</t>
  </si>
  <si>
    <t>https://blog.naver.com/PostView.naver?blogId=babi565610&amp;logNo=223899113937&amp;redirect=Dlog&amp;widgetTypeCall=true&amp;directAccess=false</t>
  </si>
  <si>
    <t>브래스코</t>
  </si>
  <si>
    <t>어부바</t>
  </si>
  <si>
    <t>https://blog.naver.com/PostView.naver?blogId=deux01&amp;logNo=223899102761&amp;redirect=Dlog&amp;widgetTypeCall=true&amp;directAccess=false</t>
  </si>
  <si>
    <t>얼음마녀</t>
  </si>
  <si>
    <t>우리영화 (SBS - 12부)</t>
  </si>
  <si>
    <t>https://blog.naver.com/PostView.naver?blogId=fabiola71&amp;logNo=223899085947&amp;redirect=Dlog&amp;widgetTypeCall=true&amp;directAccess=false</t>
  </si>
  <si>
    <t>새드라마 우리영화 함께 볼래요?! 1화 시한부 이다음입니다</t>
  </si>
  <si>
    <t>https://blog.naver.com/PostView.naver?blogId=ddo-play&amp;logNo=223899072319&amp;redirect=Dlog&amp;widgetTypeCall=true&amp;directAccess=false</t>
  </si>
  <si>
    <t>은지원 은지원결혼 젝스키스 1세대아이돌 스타재혼 연예인결혼 비연예인연인 장수원 젝스키스결혼 은지원예비신부</t>
  </si>
  <si>
    <t>https://blog.naver.com/PostView.naver?blogId=jiwookkomi&amp;logNo=223899037240&amp;redirect=Dlog&amp;widgetTypeCall=true&amp;directAccess=false</t>
  </si>
  <si>
    <t>뉴스코리아</t>
  </si>
  <si>
    <t>그것이 알고싶다 광치령 변사체 사건 범인 밝혀지나? 그알 1447회</t>
  </si>
  <si>
    <t>https://blog.naver.com/PostView.naver?blogId=shushu9988&amp;logNo=223899022739&amp;redirect=Dlog&amp;widgetTypeCall=true&amp;directAccess=false</t>
  </si>
  <si>
    <t>또우혼</t>
  </si>
  <si>
    <t>노원 상계동 맛집 수락이오냉면 내돈내산 솔직 후기</t>
  </si>
  <si>
    <t>https://blog.naver.com/PostView.naver?blogId=itsgonnaberolling_&amp;logNo=223898196922&amp;redirect=Dlog&amp;widgetTypeCall=true&amp;directAccess=false</t>
  </si>
  <si>
    <t>KBO 2025.06.14(토) KT 위즈 : 삼성 라이온즈 선발 분석 및 프리뷰, 예측</t>
  </si>
  <si>
    <t>https://blog.naver.com/PostView.naver?blogId=k_reporter_&amp;logNo=223898995387&amp;redirect=Dlog&amp;widgetTypeCall=true&amp;directAccess=false</t>
  </si>
  <si>
    <t>조강지처클럽 104회 결말 리뷰 등장인물 출연진 - 배신당한 아내들의 복수와 사랑을 그린 작품</t>
  </si>
  <si>
    <t>https://blog.naver.com/PostView.naver?blogId=sentence_0423&amp;logNo=223898968134&amp;redirect=Dlog&amp;widgetTypeCall=true&amp;directAccess=false</t>
  </si>
  <si>
    <t>우리영화 남궁민 전여빈의 정통 멜로드라마 출연 ott (소포모어 징크스 증후군 뜻)</t>
  </si>
  <si>
    <t>https://blog.naver.com/PostView.naver?blogId=yacho1225&amp;logNo=223898945606&amp;redirect=Dlog&amp;widgetTypeCall=true&amp;directAccess=false</t>
  </si>
  <si>
    <t>베르힐</t>
  </si>
  <si>
    <t>골 때리는 그녀들 정예원 멀티골! FC 발라드림, 골때녀 최강 원더우먼에 극적인 역전승</t>
  </si>
  <si>
    <t>https://blog.naver.com/PostView.naver?blogId=sara2050&amp;logNo=223898933268&amp;redirect=Dlog&amp;widgetTypeCall=true&amp;directAccess=false</t>
  </si>
  <si>
    <t>쉐프영</t>
  </si>
  <si>
    <t>전여빈-남궁민 주연의 멜로, SBS '우리 영화' 첫 방송 (:시한부 인생을 다룬 드라마)</t>
  </si>
  <si>
    <t>https://blog.naver.com/PostView.naver?blogId=syk2004s&amp;logNo=223898931998&amp;redirect=Dlog&amp;widgetTypeCall=true&amp;directAccess=false</t>
  </si>
  <si>
    <t>하노</t>
  </si>
  <si>
    <t>[2024. 06. 14] SBS 창사특집 고래와 나 고래에게 한 걸음, 지구에서 두 걸음</t>
  </si>
  <si>
    <t>https://blog.naver.com/PostView.naver?blogId=energetic_mom&amp;logNo=223898923137&amp;redirect=Dlog&amp;widgetTypeCall=true&amp;directAccess=false</t>
  </si>
  <si>
    <t>우리영화 드라마 1화 줄거리 감독 이제하와 시한부 자문 이다음의 만남 은행나무 촬영지 재방송 OTT/ 2화</t>
  </si>
  <si>
    <t>https://blog.naver.com/PostView.naver?blogId=mlkway153&amp;logNo=223898915307&amp;redirect=Dlog&amp;widgetTypeCall=true&amp;directAccess=false</t>
  </si>
  <si>
    <t>복테커의 복주머니</t>
  </si>
  <si>
    <t>평일보다 1시간 늦게 시작한 주말 아침은 어떨까?</t>
  </si>
  <si>
    <t>https://blog.naver.com/PostView.naver?blogId=narae21&amp;logNo=223898905472&amp;redirect=Dlog&amp;widgetTypeCall=true&amp;directAccess=false</t>
  </si>
  <si>
    <t>故 김새론, 죽기 전 '12억 빚더미'...</t>
  </si>
  <si>
    <t>https://blog.naver.com/PostView.naver?blogId=smartincome12&amp;logNo=223893536473&amp;redirect=Dlog&amp;widgetTypeCall=true&amp;directAccess=false</t>
  </si>
  <si>
    <t>2025년 6월 2주차(6.8~6.14) 이슈</t>
  </si>
  <si>
    <t>https://blog.naver.com/PostView.naver?blogId=wjdtjghks&amp;logNo=223898881842&amp;redirect=Dlog&amp;widgetTypeCall=true&amp;directAccess=false</t>
  </si>
  <si>
    <t>자꾸만 시선이 가는 여자의 충격 정체_남궁민 드라마 우리영화 1회 리뷰 촬영지 정보</t>
  </si>
  <si>
    <t>https://blog.naver.com/PostView.naver?blogId=zephyros0&amp;logNo=223898872799&amp;redirect=Dlog&amp;widgetTypeCall=true&amp;directAccess=false</t>
  </si>
  <si>
    <t>나는솔로 17기 옥순 걸음걸이, 나솔사계 조기퇴소는?</t>
  </si>
  <si>
    <t>https://blog.naver.com/PostView.naver?blogId=chummilmil99&amp;logNo=223898868087&amp;redirect=Dlog&amp;widgetTypeCall=true&amp;directAccess=false</t>
  </si>
  <si>
    <t>이상일 용인특례시장, SBS 오 뉴스에서 반도체 프로젝트와 교통 인프라 비전 제시</t>
  </si>
  <si>
    <t>https://blog.naver.com/PostView.naver?blogId=metrotimes&amp;logNo=223898855040&amp;redirect=Dlog&amp;widgetTypeCall=true&amp;directAccess=false</t>
  </si>
  <si>
    <t>Nana</t>
  </si>
  <si>
    <t>대학교를 졸업하며 직장인이 되기까지</t>
  </si>
  <si>
    <t>https://blog.naver.com/PostView.naver?blogId=nasong425&amp;logNo=223898853302&amp;redirect=Dlog&amp;widgetTypeCall=true&amp;directAccess=false</t>
  </si>
  <si>
    <t>우공</t>
  </si>
  <si>
    <t>‘비마이보이즈’ 시그널송, 아베크뮤직아카데미 출신 작곡가 참여…130명 이상 데뷔 성과 눈길</t>
  </si>
  <si>
    <t>https://blog.naver.com/PostView.naver?blogId=qkrdpdls58&amp;logNo=223898848288&amp;redirect=Dlog&amp;widgetTypeCall=true&amp;directAccess=false</t>
  </si>
  <si>
    <t>이상일 용인시장 “용인, 세계 최대 단일 반도체 생태계 갖춘 도시로 도약”</t>
  </si>
  <si>
    <t>https://blog.naver.com/PostView.naver?blogId=l680502lee&amp;logNo=223898843099&amp;redirect=Dlog&amp;widgetTypeCall=true&amp;directAccess=false</t>
  </si>
  <si>
    <t>SBS &lt;우리영화&gt; 전여빈 “시한부 이다음이라고 합니다” 첫 방 시한부 고백 엔딩!</t>
  </si>
  <si>
    <t>https://blog.naver.com/PostView.naver?blogId=withinnews&amp;logNo=223898842240&amp;redirect=Dlog&amp;widgetTypeCall=true&amp;directAccess=false</t>
  </si>
  <si>
    <t>무한자연돌이끼</t>
  </si>
  <si>
    <t>제35회 거창국제연극제 7월 25일 개막 기사</t>
  </si>
  <si>
    <t>https://blog.naver.com/PostView.naver?blogId=dino999&amp;logNo=223898814001&amp;redirect=Dlog&amp;widgetTypeCall=true&amp;directAccess=false</t>
  </si>
  <si>
    <t>이재명 대통령 부부 출연한 2017년 '동상이몽' 역주행</t>
  </si>
  <si>
    <t>https://blog.naver.com/PostView.naver?blogId=koolap&amp;logNo=223898805495&amp;redirect=Dlog&amp;widgetTypeCall=true&amp;directAccess=false</t>
  </si>
  <si>
    <t>까만밤빛</t>
  </si>
  <si>
    <t>[서울 평양냉면] 서령</t>
  </si>
  <si>
    <t>https://blog.naver.com/PostView.naver?blogId=angels6830&amp;logNo=223898464831&amp;redirect=Dlog&amp;widgetTypeCall=true&amp;directAccess=false</t>
  </si>
  <si>
    <t>SBS 드라마 우리영화 첫방송 후기</t>
  </si>
  <si>
    <t>https://blog.naver.com/PostView.naver?blogId=baboboxlover&amp;logNo=223898792982&amp;redirect=Dlog&amp;widgetTypeCall=true&amp;directAccess=false</t>
  </si>
  <si>
    <t>굿보이로 돌아온 무쇠 인간 박보검 배우 총정리</t>
  </si>
  <si>
    <t>https://blog.naver.com/PostView.naver?blogId=global55kr&amp;logNo=223888480792&amp;redirect=Dlog&amp;widgetTypeCall=true&amp;directAccess=false</t>
  </si>
  <si>
    <t>영화 7번방의 선물, 넘 예뻐진 예승이 근황 화제.jpg</t>
  </si>
  <si>
    <t>https://blog.naver.com/PostView.naver?blogId=cleo1112&amp;logNo=223898649027&amp;redirect=Dlog&amp;widgetTypeCall=true&amp;directAccess=false</t>
  </si>
  <si>
    <t>낙뽀</t>
  </si>
  <si>
    <t>[사서일지502] 도서관 명탐정 3일차, 드디어 사건 의뢰서를 받다.</t>
  </si>
  <si>
    <t>https://blog.naver.com/PostView.naver?blogId=nakbbo&amp;logNo=223898672013&amp;redirect=Dlog&amp;widgetTypeCall=true&amp;directAccess=false</t>
  </si>
  <si>
    <t>나는 솔로 26기 영자·현숙 막판 뒤집기? 영숙 운명의 굳히기!</t>
  </si>
  <si>
    <t>https://blog.naver.com/PostView.naver?blogId=macshorts&amp;logNo=223897407650&amp;redirect=Dlog&amp;widgetTypeCall=true&amp;directAccess=false</t>
  </si>
  <si>
    <t>17기 옥순, 25기 영철 데이트… 대체 무슨 일이? 숨 막히는 어색함 포착 (+러브라인, 반전, 충격)</t>
  </si>
  <si>
    <t>https://blog.naver.com/PostView.naver?blogId=ovonews&amp;logNo=223898636102&amp;redirect=Dlog&amp;widgetTypeCall=true&amp;directAccess=false</t>
  </si>
  <si>
    <t>다제로</t>
  </si>
  <si>
    <t>20250602~20250608 웅이 258일~264일</t>
  </si>
  <si>
    <t>https://blog.naver.com/PostView.naver?blogId=dzero12&amp;logNo=223898620841&amp;redirect=Dlog&amp;widgetTypeCall=true&amp;directAccess=false</t>
  </si>
  <si>
    <t>‘나는 솔로’ 26기 경수와 순자의 대화, 30·40대 공감 얻은 이유는?</t>
  </si>
  <si>
    <t>https://blog.naver.com/PostView.naver?blogId=macshorts&amp;logNo=223898385401&amp;redirect=Dlog&amp;widgetTypeCall=true&amp;directAccess=false</t>
  </si>
  <si>
    <t>천해</t>
  </si>
  <si>
    <t>오징어게임3', 뉴욕서 1화 공개…황동혁 감독 "실망하지 않을 것"</t>
  </si>
  <si>
    <t>https://blog.naver.com/PostView.naver?blogId=atraxia123&amp;logNo=223905198936&amp;redirect=Dlog&amp;widgetTypeCall=true&amp;directAccess=false</t>
  </si>
  <si>
    <t>대한민국 해병대 개혁 비전 2030</t>
  </si>
  <si>
    <t>https://blog.naver.com/PostView.naver?blogId=police1965&amp;logNo=223905172213&amp;redirect=Dlog&amp;widgetTypeCall=true&amp;directAccess=false</t>
  </si>
  <si>
    <t>까르마, KLPGA 팬심 정조준…“홀인원 같은 순간, 함께 만듭니다”</t>
  </si>
  <si>
    <t>https://blog.naver.com/PostView.naver?blogId=wemakenews&amp;logNo=223905162956&amp;redirect=Dlog&amp;widgetTypeCall=true&amp;directAccess=false</t>
  </si>
  <si>
    <t>꼬꼬무, 사지절단 환자의 골든 타임. 고통스러워하는 추돌사고</t>
  </si>
  <si>
    <t>https://blog.naver.com/PostView.naver?blogId=differance-dolly&amp;logNo=223905128250&amp;redirect=Dlog&amp;widgetTypeCall=true&amp;directAccess=false</t>
  </si>
  <si>
    <t>포스트인컴</t>
  </si>
  <si>
    <t>생활의달인 강동구 횟집 최고의 숙성회 은둔식달 식당위치</t>
  </si>
  <si>
    <t>https://blog.naver.com/PostView.naver?blogId=postincome&amp;logNo=223905154204&amp;redirect=Dlog&amp;widgetTypeCall=true&amp;directAccess=false</t>
  </si>
  <si>
    <t>2025 SBS 가요대전 Summer, 역대급 라인업 공개… 여름 밤을 빛낼 스타들 총출동!</t>
  </si>
  <si>
    <t>https://blog.naver.com/PostView.naver?blogId=museonair2025&amp;logNo=223905049058&amp;redirect=Dlog&amp;widgetTypeCall=true&amp;directAccess=false</t>
  </si>
  <si>
    <t>2025 SBS 가요대전 Summer MC  도영  연준 안유진</t>
  </si>
  <si>
    <t>https://blog.naver.com/PostView.naver?blogId=spring_hmong&amp;logNo=223905095608&amp;redirect=Dlog&amp;widgetTypeCall=true&amp;directAccess=false</t>
  </si>
  <si>
    <t>정샤니</t>
  </si>
  <si>
    <t>서울국제도서전 방문</t>
  </si>
  <si>
    <t>https://blog.naver.com/PostView.naver?blogId=jeongshyani&amp;logNo=223905092790&amp;redirect=Dlog&amp;widgetTypeCall=true&amp;directAccess=false</t>
  </si>
  <si>
    <t>timeisgold</t>
  </si>
  <si>
    <t>250619 주요뉴스</t>
  </si>
  <si>
    <t>https://blog.naver.com/PostView.naver?blogId=calcutt&amp;logNo=223905074773&amp;redirect=Dlog&amp;widgetTypeCall=true&amp;directAccess=false</t>
  </si>
  <si>
    <t>밍찡</t>
  </si>
  <si>
    <t>[생활정보] 러브 버그 퇴치법</t>
  </si>
  <si>
    <t>https://blog.naver.com/PostView.naver?blogId=happyjamiehaha&amp;logNo=223905058397&amp;redirect=Dlog&amp;widgetTypeCall=true&amp;directAccess=false</t>
  </si>
  <si>
    <t>valueinvestor</t>
  </si>
  <si>
    <t>삼성증권 재매수</t>
  </si>
  <si>
    <t>https://blog.naver.com/PostView.naver?blogId=valueinvestor&amp;logNo=223905032091&amp;redirect=Dlog&amp;widgetTypeCall=true&amp;directAccess=false</t>
  </si>
  <si>
    <t>아시아빅뉴스</t>
  </si>
  <si>
    <t>개그맨 김수영, 이영준 국악과 EDM의 조합, TK-POP 조선노비 '조선 봉기가' 발표</t>
  </si>
  <si>
    <t>https://blog.naver.com/PostView.naver?blogId=daruma1&amp;logNo=223905028903&amp;redirect=Dlog&amp;widgetTypeCall=true&amp;directAccess=false</t>
  </si>
  <si>
    <t>발랄</t>
  </si>
  <si>
    <t>행사가 많았던 6월: 부여문화재연구소 발표, 경기청년 갭이어, 세계국가유산산업전</t>
  </si>
  <si>
    <t>https://blog.naver.com/PostView.naver?blogId=madeathome&amp;logNo=223905016873&amp;redirect=Dlog&amp;widgetTypeCall=true&amp;directAccess=false</t>
  </si>
  <si>
    <t>6월 19일 뽀너스7</t>
  </si>
  <si>
    <t>https://blog.naver.com/PostView.naver?blogId=wonogi&amp;logNo=223904986154&amp;redirect=Dlog&amp;widgetTypeCall=true&amp;directAccess=false</t>
  </si>
  <si>
    <t>올댓히어로</t>
  </si>
  <si>
    <t>임영웅, 하반기 여행 예능 '섬마을 히어로' 출연 확정…자연 속 힐링 예고</t>
  </si>
  <si>
    <t>https://blog.naver.com/PostView.naver?blogId=glsaem_hero&amp;logNo=223904969982&amp;redirect=Dlog&amp;widgetTypeCall=true&amp;directAccess=false</t>
  </si>
  <si>
    <t>나는솔로 26기 현숙 광수 드디어 터졌다 나솔 역사상 이런 최종 선택은 없었다…(상상초월 반전) (+직업, 스포, 결말)</t>
  </si>
  <si>
    <t>https://blog.naver.com/PostView.naver?blogId=qoswlfdl-&amp;logNo=223904936774&amp;redirect=Dlog&amp;widgetTypeCall=true&amp;directAccess=false</t>
  </si>
  <si>
    <t>............</t>
  </si>
  <si>
    <t>https://blog.naver.com/PostView.naver?blogId=limb8757&amp;logNo=223904914483&amp;redirect=Dlog&amp;widgetTypeCall=true&amp;directAccess=false</t>
  </si>
  <si>
    <t>아지아지</t>
  </si>
  <si>
    <t>경제 단어 공부_20250619</t>
  </si>
  <si>
    <t>https://blog.naver.com/PostView.naver?blogId=tyu1100&amp;logNo=223904907939&amp;redirect=Dlog&amp;widgetTypeCall=true&amp;directAccess=false</t>
  </si>
  <si>
    <t>가요대전하면 도영X연준X안유진 3MC잖아요(맞음)</t>
  </si>
  <si>
    <t>https://blog.naver.com/PostView.naver?blogId=tkqja90&amp;logNo=223904902982&amp;redirect=Dlog&amp;widgetTypeCall=true&amp;directAccess=false</t>
  </si>
  <si>
    <t>honeybird1004</t>
  </si>
  <si>
    <t>나는솔로 26기 현숙, 광수라이팅에 요동 진심은 누구에게로? 프로필 나무위키 인스타 작품활동</t>
  </si>
  <si>
    <t>https://blog.naver.com/PostView.naver?blogId=skfktkfkdakstp111&amp;logNo=223904241494&amp;redirect=Dlog&amp;widgetTypeCall=true&amp;directAccess=false</t>
  </si>
  <si>
    <t>heabom</t>
  </si>
  <si>
    <t>[기사] HUG 전세대출 문턱 높아진다.</t>
  </si>
  <si>
    <t>https://blog.naver.com/PostView.naver?blogId=malia1114&amp;logNo=223904819507&amp;redirect=Dlog&amp;widgetTypeCall=true&amp;directAccess=false</t>
  </si>
  <si>
    <t>26기 현숙, 드디어 영식 버리나? 직진남에 흔들리는 이유…미묘한 설렘 포착 (+러브라인 급변, 삼각관계, 최종선택)</t>
  </si>
  <si>
    <t>https://blog.naver.com/PostView.naver?blogId=qoswlfdl-&amp;logNo=223904794998&amp;redirect=Dlog&amp;widgetTypeCall=true&amp;directAccess=false</t>
  </si>
  <si>
    <t>vpabnsdjr169</t>
  </si>
  <si>
    <t>나는솔로 26기 옥순 데이트 기권? 선택도 분량도 포기 수요예능</t>
  </si>
  <si>
    <t>https://blog.naver.com/PostView.naver?blogId=shushu9988&amp;logNo=223904628005&amp;redirect=Dlog&amp;widgetTypeCall=true&amp;directAccess=false</t>
  </si>
  <si>
    <t>육상계 카리나 김민지, 솔로지옥5 출연! …(인스타 폭발) 그녀의 아찔한 프로필 &amp; 나무위키 속 숨겨진 과거 (+작품활동, 넷플릭스, 육상선수)</t>
  </si>
  <si>
    <t>https://blog.naver.com/PostView.naver?blogId=jeju0520-&amp;logNo=223904618961&amp;redirect=Dlog&amp;widgetTypeCall=true&amp;directAccess=false</t>
  </si>
  <si>
    <t>나는솔로 26기 현숙 광수라이팅 설득 당했나｜최종 선택 흔들린 진짜 이유</t>
  </si>
  <si>
    <t>https://blog.naver.com/PostView.naver?blogId=luxblue83&amp;logNo=223904611412&amp;redirect=Dlog&amp;widgetTypeCall=true&amp;directAccess=false</t>
  </si>
  <si>
    <t>나솔 26기 ‘나는 SOLO’ 26기,현숙 가스라이팅 광수 세뇌하는매력</t>
  </si>
  <si>
    <t>https://blog.naver.com/PostView.naver?blogId=reny5&amp;logNo=223904565763&amp;redirect=Dlog&amp;widgetTypeCall=true&amp;directAccess=false</t>
  </si>
  <si>
    <t>26기 현숙 왜 이럴까? 광수 선택하고 오해할까 걱정, 나는solo</t>
  </si>
  <si>
    <t>https://blog.naver.com/PostView.naver?blogId=shushu9988&amp;logNo=223904513565&amp;redirect=Dlog&amp;widgetTypeCall=true&amp;directAccess=false</t>
  </si>
  <si>
    <t>[신보소개] 더 트롯쇼 라이벌 대전 EP.3 (음악듣기/가사)</t>
  </si>
  <si>
    <t>https://blog.naver.com/PostView.naver?blogId=danalenter&amp;logNo=223901146868&amp;redirect=Dlog&amp;widgetTypeCall=true&amp;directAccess=false</t>
  </si>
  <si>
    <t>꼬꼬</t>
  </si>
  <si>
    <t>[일상] 함평맛집 '삼산회관 전남함평점' 소개</t>
  </si>
  <si>
    <t>https://blog.naver.com/PostView.naver?blogId=charming_pma&amp;logNo=223904470178&amp;redirect=Dlog&amp;widgetTypeCall=true&amp;directAccess=false</t>
  </si>
  <si>
    <t>2025 KLPGA 더헤븐 마스터즈 일정 장소 우승상금 중계방송일정 참가선수명단</t>
  </si>
  <si>
    <t>https://blog.naver.com/PostView.naver?blogId=neo2538&amp;logNo=223904451752&amp;redirect=Dlog&amp;widgetTypeCall=true&amp;directAccess=false</t>
  </si>
  <si>
    <t>26기 상철, 대체 무슨 일이…영자와 정숙 사이 갈등 심화! 안광 실종에 멘붕까지 "더 이상 못 참아" (+나는솔로, 삼각관계, 최종선택)</t>
  </si>
  <si>
    <t>https://blog.naver.com/PostView.naver?blogId=ovonews&amp;logNo=223904435023&amp;redirect=Dlog&amp;widgetTypeCall=true&amp;directAccess=false</t>
  </si>
  <si>
    <t>[축제/소식] 도영·연준·안유진, '가요대전 Summer' 3MC 재회... 3차 라인업 공개 [공식]</t>
  </si>
  <si>
    <t>https://blog.naver.com/PostView.naver?blogId=parkcckr&amp;logNo=223904429165&amp;redirect=Dlog&amp;widgetTypeCall=true&amp;directAccess=false</t>
  </si>
  <si>
    <t>더헤븐 마스터즈 우승상금, '배소현, 이제는 우승할 때 아닌가?</t>
  </si>
  <si>
    <t>https://blog.naver.com/PostView.naver?blogId=total_feel&amp;logNo=223904399657&amp;redirect=Dlog&amp;widgetTypeCall=true&amp;directAccess=false</t>
  </si>
  <si>
    <t>19정숙 벌써 의욕상실? 25기 영호 24기 정숙 잘 어울려, 나솔사계</t>
  </si>
  <si>
    <t>https://blog.naver.com/PostView.naver?blogId=shushu9988&amp;logNo=223904393832&amp;redirect=Dlog&amp;widgetTypeCall=true&amp;directAccess=false</t>
  </si>
  <si>
    <t>스우파 쿄카, 4회 만에 확정된 시즌 스타…日댄서 열풍 일으키나</t>
  </si>
  <si>
    <t>https://blog.naver.com/PostView.naver?blogId=odmwd2&amp;logNo=223904384469&amp;redirect=Dlog&amp;widgetTypeCall=true&amp;directAccess=false</t>
  </si>
  <si>
    <t>26기 상철, 대체 무슨 일이…영자와 정숙 사이 갈등 심화, 안광 실종에 멘붕 직전 고백 "이러다…(+짝사랑, 삼각관계, 최종 선택)</t>
  </si>
  <si>
    <t>https://blog.naver.com/PostView.naver?blogId=qoswlfdl-&amp;logNo=223904353725&amp;redirect=Dlog&amp;widgetTypeCall=true&amp;directAccess=false</t>
  </si>
  <si>
    <t>황샤샤</t>
  </si>
  <si>
    <t>대졸반공139(이재명정부의 코스피5000과 정치개혁)</t>
  </si>
  <si>
    <t>https://blog.naver.com/PostView.naver?blogId=grnfa&amp;logNo=223904352170&amp;redirect=Dlog&amp;widgetTypeCall=true&amp;directAccess=false</t>
  </si>
  <si>
    <t>김민석은 아주 꼴불견이다</t>
  </si>
  <si>
    <t>https://blog.naver.com/PostView.naver?blogId=hyslj33&amp;logNo=223904345618&amp;redirect=Dlog&amp;widgetTypeCall=true&amp;directAccess=false</t>
  </si>
  <si>
    <t>육상계 카리나 국가대표 김민지 넷플릭스 솔로지옥5 출연 확정 나이 프로필</t>
  </si>
  <si>
    <t>https://blog.naver.com/PostView.naver?blogId=psepeter&amp;logNo=223904326582&amp;redirect=Dlog&amp;widgetTypeCall=true&amp;directAccess=false</t>
  </si>
  <si>
    <t>육상계 스타' 김민지, 넷플릭스 '솔로지옥5' 합류…데이팅 리얼리티 도전</t>
  </si>
  <si>
    <t>https://blog.naver.com/PostView.naver?blogId=news1star&amp;logNo=223904303022&amp;redirect=Dlog&amp;widgetTypeCall=true&amp;directAccess=false</t>
  </si>
  <si>
    <t>데뷔 전부터 KSPO 돔 입성…아홉(AHOF), ‘2025 MyK FESTA’서 첫 공식 무대</t>
  </si>
  <si>
    <t>https://blog.naver.com/PostView.naver?blogId=news1star&amp;logNo=223904277496&amp;redirect=Dlog&amp;widgetTypeCall=true&amp;directAccess=false</t>
  </si>
  <si>
    <t>시니차니피디</t>
  </si>
  <si>
    <t>나는 솔로, 행복을 찾는 사람들</t>
  </si>
  <si>
    <t>https://blog.naver.com/PostView.naver?blogId=jun10032&amp;logNo=223904267890&amp;redirect=Dlog&amp;widgetTypeCall=true&amp;directAccess=false</t>
  </si>
  <si>
    <t>배우 신승호, 십자인대 부상으로 군 면제…차기작 ‘전지적 독자 시점’ 기대감</t>
  </si>
  <si>
    <t>https://blog.naver.com/PostView.naver?blogId=news1star&amp;logNo=223904258069&amp;redirect=Dlog&amp;widgetTypeCall=true&amp;directAccess=false</t>
  </si>
  <si>
    <t>2017 한국시리즈 기아 - 두산</t>
  </si>
  <si>
    <t>https://blog.naver.com/PostView.naver?blogId=abundious&amp;logNo=223904246640&amp;redirect=Dlog&amp;widgetTypeCall=true&amp;directAccess=false</t>
  </si>
  <si>
    <t>‘나는 SOLO’ 26기 광수, 현숙과의 데이트 중 솔직한 감정 표현</t>
  </si>
  <si>
    <t>https://blog.naver.com/PostView.naver?blogId=tvreview&amp;logNo=223904213786&amp;redirect=Dlog&amp;widgetTypeCall=true&amp;directAccess=false</t>
  </si>
  <si>
    <t>나는 솔로' 26기 영식, 현숙에 "설렘은 당신" 직진 고백…'능글 허세'에 현숙도 '심쿵'</t>
  </si>
  <si>
    <t>https://blog.naver.com/PostView.naver?blogId=lsb3002&amp;logNo=223904121827&amp;redirect=Dlog&amp;widgetTypeCall=true&amp;directAccess=false</t>
  </si>
  <si>
    <t>더보이즈 주학년, 사생활 논란으로 전격 탈퇴! 충격적인 내막은?</t>
  </si>
  <si>
    <t>https://blog.naver.com/PostView.naver?blogId=macshorts&amp;logNo=223903916096&amp;redirect=Dlog&amp;widgetTypeCall=true&amp;directAccess=false</t>
  </si>
  <si>
    <t>나는 솔로 26기 정숙 최종 선택  앞 상철 직진 속 질투 폭발 또 대화해 영자 견제</t>
  </si>
  <si>
    <t>https://blog.naver.com/PostView.naver?blogId=hhwjh&amp;logNo=223904049398&amp;redirect=Dlog&amp;widgetTypeCall=true&amp;directAccess=false</t>
  </si>
  <si>
    <t>조선인조르바</t>
  </si>
  <si>
    <t>두근두근 코타키나발루 1화_드디어 해외로</t>
  </si>
  <si>
    <t>https://blog.naver.com/PostView.naver?blogId=chocholife&amp;logNo=223903998790&amp;redirect=Dlog&amp;widgetTypeCall=true&amp;directAccess=false</t>
  </si>
  <si>
    <t>골때리는그녀들' GK 변신 마시마+원더우먼, 구척장신에 짜릿한 승부차기 역전승(골때녀 리뷰)</t>
  </si>
  <si>
    <t>https://blog.naver.com/PostView.naver?blogId=jazzkid&amp;logNo=223903993165&amp;redirect=Dlog&amp;widgetTypeCall=true&amp;directAccess=false</t>
  </si>
  <si>
    <t>bom flower</t>
  </si>
  <si>
    <t>동상이몽 너는 내 운명 최여진 초호화 결혼식 '이제 유부녀'</t>
  </si>
  <si>
    <t>https://blog.naver.com/PostView.naver?blogId=sweet-13&amp;logNo=223903992552&amp;redirect=Dlog&amp;widgetTypeCall=true&amp;directAccess=false</t>
  </si>
  <si>
    <t>굿바이친구들</t>
  </si>
  <si>
    <t>26기 영식 반전매력 폭발, 인스타 일상은? 나는솔로</t>
  </si>
  <si>
    <t>https://blog.naver.com/PostView.naver?blogId=shushu9988&amp;logNo=223903848694&amp;redirect=Dlog&amp;widgetTypeCall=true&amp;directAccess=false</t>
  </si>
  <si>
    <t>26기 현숙 포기하게 만드는 광수 기세? 나는solo 요즘예능추천</t>
  </si>
  <si>
    <t>https://blog.naver.com/PostView.naver?blogId=shushu9988&amp;logNo=223903535471&amp;redirect=Dlog&amp;widgetTypeCall=true&amp;directAccess=false</t>
  </si>
  <si>
    <t>이주은</t>
  </si>
  <si>
    <t>https://blog.naver.com/PostView.naver?blogId=youseok0&amp;logNo=223903849638&amp;redirect=Dlog&amp;widgetTypeCall=true&amp;directAccess=false</t>
  </si>
  <si>
    <t>조용한은하의창</t>
  </si>
  <si>
    <t>SBS 인기가요의 역사, 차트제도와 방송사고를 짚다</t>
  </si>
  <si>
    <t>https://blog.naver.com/PostView.naver?blogId=claim14354&amp;logNo=223903840525&amp;redirect=Dlog&amp;widgetTypeCall=true&amp;directAccess=false</t>
  </si>
  <si>
    <t>나는솔로 25기 영호 24기 정숙 커플 확정에 19기 정숙 못하겠어요? 그후 사랑은 계속된다</t>
  </si>
  <si>
    <t>https://blog.naver.com/PostView.naver?blogId=chummilmil99&amp;logNo=223903785101&amp;redirect=Dlog&amp;widgetTypeCall=true&amp;directAccess=false</t>
  </si>
  <si>
    <t>임영웅 앨범→예능까지 접수…2년만 단독 예능 컴백 “하반기 편성 목표 최고의가수</t>
  </si>
  <si>
    <t>https://blog.naver.com/PostView.naver?blogId=vgbhjk6335&amp;logNo=223903774918&amp;redirect=Dlog&amp;widgetTypeCall=true&amp;directAccess=false</t>
  </si>
  <si>
    <t>[ET포토, 뉴스1, 텐아시아 ] 모태 귀공자 '성리' 트롯돌</t>
  </si>
  <si>
    <t>https://blog.naver.com/PostView.naver?blogId=seongri0406&amp;logNo=223903769612&amp;redirect=Dlog&amp;widgetTypeCall=true&amp;directAccess=false</t>
  </si>
  <si>
    <t>최여진 김재욱 유람선 위 특별한 결혼식, 동상이몽2 너는 내 운명 393회</t>
  </si>
  <si>
    <t>https://blog.naver.com/PostView.naver?blogId=kim___writer&amp;logNo=223903760268&amp;redirect=Dlog&amp;widgetTypeCall=true&amp;directAccess=false</t>
  </si>
  <si>
    <t>라훔</t>
  </si>
  <si>
    <t>앞으로 오진은 더 늘어날 것이다</t>
  </si>
  <si>
    <t>https://blog.naver.com/PostView.naver?blogId=lachesis11&amp;logNo=223903672874&amp;redirect=Dlog&amp;widgetTypeCall=true&amp;directAccess=false</t>
  </si>
  <si>
    <t>중랑구 45년 떡볶이 인생…! 생방송투데이 인생식당 비법, 드디어 밝혀졌다! (+맛집, 추억, 떡볶이)</t>
  </si>
  <si>
    <t>https://blog.naver.com/PostView.naver?blogId=ovonews&amp;logNo=223903666143&amp;redirect=Dlog&amp;widgetTypeCall=true&amp;directAccess=false</t>
  </si>
  <si>
    <t>안산단호박</t>
  </si>
  <si>
    <t>안산일러스트학원, 진짜 실무를 배우는 곳이 따로 있다.</t>
  </si>
  <si>
    <t>https://blog.naver.com/PostView.naver?blogId=academyansan&amp;logNo=223903645472&amp;redirect=Dlog&amp;widgetTypeCall=true&amp;directAccess=false</t>
  </si>
  <si>
    <t>35조원 추경으로 지급하는 '민생회복 지원금'</t>
  </si>
  <si>
    <t>https://blog.naver.com/PostView.naver?blogId=ksahn1960&amp;logNo=223903614456&amp;redirect=Dlog&amp;widgetTypeCall=true&amp;directAccess=false</t>
  </si>
  <si>
    <t>나는솔로SOLO 19기 영철 돌연 입원 후 건강회복 사망설 직접 등판 해명 영상</t>
  </si>
  <si>
    <t>https://blog.naver.com/PostView.naver?blogId=schwabingstory&amp;logNo=223903604688&amp;redirect=Dlog&amp;widgetTypeCall=true&amp;directAccess=false</t>
  </si>
  <si>
    <t>나는solo 26기 광수야 생각이 났겠니? 현숙 이젠 솔직해야 하는 이유, 나는솔로</t>
  </si>
  <si>
    <t>https://blog.naver.com/PostView.naver?blogId=chummilmil99&amp;logNo=223903572385&amp;redirect=Dlog&amp;widgetTypeCall=true&amp;directAccess=false</t>
  </si>
  <si>
    <t>나는솔로 17옥순 24광수 현커 추가 데이트목격담 옥순 집앞 세종시 기차역 나솔팬 등판</t>
  </si>
  <si>
    <t>https://blog.naver.com/PostView.naver?blogId=porto7979&amp;logNo=223903561420&amp;redirect=Dlog&amp;widgetTypeCall=true&amp;directAccess=false</t>
  </si>
  <si>
    <t>임영웅 , 앨범→예능까지 접수…2년만 단독 예능 컴백 “하반기 편성 목표”🩵</t>
  </si>
  <si>
    <t>https://blog.naver.com/PostView.naver?blogId=kesara&amp;logNo=223903538609&amp;redirect=Dlog&amp;widgetTypeCall=true&amp;directAccess=false</t>
  </si>
  <si>
    <t>뮤지컬연주자</t>
  </si>
  <si>
    <t>태양의서커스 쿠자, 드디어 부산 온다! 8월 21일 빅탑 개막·티켓 정보 총정리</t>
  </si>
  <si>
    <t>https://blog.naver.com/PostView.naver?blogId=musicalorchestra&amp;logNo=223902615678&amp;redirect=Dlog&amp;widgetTypeCall=true&amp;directAccess=false</t>
  </si>
  <si>
    <t>옹달샘</t>
  </si>
  <si>
    <t>임영웅, 하반기 SBS 예능 출연 소식에 들썩</t>
  </si>
  <si>
    <t>https://blog.naver.com/PostView.naver?blogId=tskim600&amp;logNo=223903509452&amp;redirect=Dlog&amp;widgetTypeCall=true&amp;directAccess=false</t>
  </si>
  <si>
    <t>임영웅, 앨범→예능까지 접수…2년만 단독 예능 컴백 “하반기 편성 목표”</t>
  </si>
  <si>
    <t>https://blog.naver.com/PostView.naver?blogId=chosoojung121877&amp;logNo=223903505623&amp;redirect=Dlog&amp;widgetTypeCall=true&amp;directAccess=false</t>
  </si>
  <si>
    <t>26기 순자 경수 집 아파트 어필에도 안 통하는 진짜 이유, 나는솔로</t>
  </si>
  <si>
    <t>https://blog.naver.com/PostView.naver?blogId=shushu9988&amp;logNo=223903444501&amp;redirect=Dlog&amp;widgetTypeCall=true&amp;directAccess=false</t>
  </si>
  <si>
    <t>불꽃야구 인하대 SBS플러스 중계 일정 언제? 직관 예매 7분 만에 매진!</t>
  </si>
  <si>
    <t>https://blog.naver.com/PostView.naver?blogId=baekhw1&amp;logNo=223903405286&amp;redirect=Dlog&amp;widgetTypeCall=true&amp;directAccess=false</t>
  </si>
  <si>
    <t>17기 옥순 25기 영철 걷기만 하다 끝? 대화 안 되는 딱딱한 분위기</t>
  </si>
  <si>
    <t>https://blog.naver.com/PostView.naver?blogId=shushu9988&amp;logNo=223903363205&amp;redirect=Dlog&amp;widgetTypeCall=true&amp;directAccess=false</t>
  </si>
  <si>
    <t>은지원 이혼 13년 만에 재혼 소식을 알려 예비신부는 9살 연하 스타일리스트 얼굴 공개에 대한 소신 밝혔다 사람들이 쑥덕거리는 것 자체가 싫은 것이다!!</t>
  </si>
  <si>
    <t>https://blog.naver.com/PostView.naver?blogId=sh435500&amp;logNo=223903340889&amp;redirect=Dlog&amp;widgetTypeCall=true&amp;directAccess=false</t>
  </si>
  <si>
    <t>은지원 13년 만에 재혼 화제 전 부인 이수연과 이혼 사유 새 아내는 누구?</t>
  </si>
  <si>
    <t>https://blog.naver.com/PostView.naver?blogId=qnzjn8&amp;logNo=223903251856&amp;redirect=Dlog&amp;widgetTypeCall=true&amp;directAccess=false</t>
  </si>
  <si>
    <t>나는solo 26기 광수 부담 얘기 반복에 질린 현숙? 나는솔로</t>
  </si>
  <si>
    <t>https://blog.naver.com/PostView.naver?blogId=shushu9988&amp;logNo=223903286419&amp;redirect=Dlog&amp;widgetTypeCall=true&amp;directAccess=false</t>
  </si>
  <si>
    <t>반짝이는</t>
  </si>
  <si>
    <t>108배 하는법 의미 효과 시간 [하루 20분 기도와 건강]</t>
  </si>
  <si>
    <t>https://blog.naver.com/PostView.naver?blogId=soohyang_y&amp;logNo=223903276009&amp;redirect=Dlog&amp;widgetTypeCall=true&amp;directAccess=false</t>
  </si>
  <si>
    <t>2013.3.21 '직장의 신' 김혜수, 이번에는 댄싱퀸이다…살사댄스 도전</t>
  </si>
  <si>
    <t>https://blog.naver.com/PostView.naver?blogId=ruthkim88&amp;logNo=223903243174&amp;redirect=Dlog&amp;widgetTypeCall=true&amp;directAccess=false</t>
  </si>
  <si>
    <t>키링미우</t>
  </si>
  <si>
    <t>원흥게임학원, 게임 애니메이션 배우고 싶다면 바로 여기</t>
  </si>
  <si>
    <t>https://blog.naver.com/PostView.naver?blogId=minyanioe&amp;logNo=223903227959&amp;redirect=Dlog&amp;widgetTypeCall=true&amp;directAccess=false</t>
  </si>
  <si>
    <t>인경</t>
  </si>
  <si>
    <t>서울 평양냉면 맛집 TOP3✨ 진짜 슴슴한데 중독됨.. 평냉 입문자도 반한 맛!</t>
  </si>
  <si>
    <t>https://blog.naver.com/PostView.naver?blogId=in-gyeong&amp;logNo=223903142428&amp;redirect=Dlog&amp;widgetTypeCall=true&amp;directAccess=false</t>
  </si>
  <si>
    <t>중동 전쟁에도 잠잠했다... 유가 큰 변동 없는 세가지</t>
  </si>
  <si>
    <t>https://blog.naver.com/PostView.naver?blogId=sung8457&amp;logNo=223903054344&amp;redirect=Dlog&amp;widgetTypeCall=true&amp;directAccess=false</t>
  </si>
  <si>
    <t>드라마 리뷰 | 게임의 여왕</t>
  </si>
  <si>
    <t>https://blog.naver.com/PostView.naver?blogId=always_empty_heart&amp;logNo=223903179527&amp;redirect=Dlog&amp;widgetTypeCall=true&amp;directAccess=false</t>
  </si>
  <si>
    <t>방송 ace</t>
  </si>
  <si>
    <t>우리영화, 시청률로 본 흥행 가능성은?</t>
  </si>
  <si>
    <t>https://blog.naver.com/PostView.naver?blogId=hyunju019&amp;logNo=223903165640&amp;redirect=Dlog&amp;widgetTypeCall=true&amp;directAccess=false</t>
  </si>
  <si>
    <t>핑크꽁쮸</t>
  </si>
  <si>
    <t>임영웅 팬앤스타 솔로랭킹 연속 128주 독보적 1위</t>
  </si>
  <si>
    <t>https://blog.naver.com/PostView.naver?blogId=basichm&amp;logNo=223903097816&amp;redirect=Dlog&amp;widgetTypeCall=true&amp;directAccess=false</t>
  </si>
  <si>
    <t>최근 보건의료계 동향 (2025.06.16~06.18)</t>
  </si>
  <si>
    <t>https://blog.naver.com/PostView.naver?blogId=healthtopia365&amp;logNo=223903067414&amp;redirect=Dlog&amp;widgetTypeCall=true&amp;directAccess=false</t>
  </si>
  <si>
    <t>트롯 뮤직 어워즈 2025 박서진 박지현 킨텍스 고고</t>
  </si>
  <si>
    <t>https://blog.naver.com/PostView.naver?blogId=witheringu&amp;logNo=223903033165&amp;redirect=Dlog&amp;widgetTypeCall=true&amp;directAccess=false</t>
  </si>
  <si>
    <t>김건희 도이치 주가조작 알았다.."그쪽이 주가 관리"  녹음파일 수백개 확보..</t>
  </si>
  <si>
    <t>https://blog.naver.com/PostView.naver?blogId=finch1234&amp;logNo=223903031893&amp;redirect=Dlog&amp;widgetTypeCall=true&amp;directAccess=false</t>
  </si>
  <si>
    <t>김정영, ‘우리영화’서 딸 잃은 母 열연</t>
  </si>
  <si>
    <t>https://blog.naver.com/PostView.naver?blogId=kstarfashion&amp;logNo=223903031015&amp;redirect=Dlog&amp;widgetTypeCall=true&amp;directAccess=false</t>
  </si>
  <si>
    <t>hotbaboda</t>
  </si>
  <si>
    <t>25년 6월 18일 매일 뉴스</t>
  </si>
  <si>
    <t>https://blog.naver.com/PostView.naver?blogId=hotbaboda&amp;logNo=223903031367&amp;redirect=Dlog&amp;widgetTypeCall=true&amp;directAccess=false</t>
  </si>
  <si>
    <t>‘미스트롯’ 원년 멤버, ‘더 트롯쇼’서 압도적 존재감 과시</t>
  </si>
  <si>
    <t>https://blog.naver.com/PostView.naver?blogId=kstarfashion&amp;logNo=223903029140&amp;redirect=Dlog&amp;widgetTypeCall=true&amp;directAccess=false</t>
  </si>
  <si>
    <t>취업ON 대표</t>
  </si>
  <si>
    <t>🎓 “졸업은 했지만, 취업은 막막합니다”</t>
  </si>
  <si>
    <t>https://blog.naver.com/PostView.naver?blogId=getajob_on&amp;logNo=223897275006&amp;redirect=Dlog&amp;widgetTypeCall=true&amp;directAccess=false</t>
  </si>
  <si>
    <t>장기용 안은진, 대체 무슨 키스…밤새도록 무슨 일이?! (+연인, 로맨스, 드라마)</t>
  </si>
  <si>
    <t>https://blog.naver.com/PostView.naver?blogId=min5591ha&amp;logNo=223903015017&amp;redirect=Dlog&amp;widgetTypeCall=true&amp;directAccess=false</t>
  </si>
  <si>
    <t>꾸미 DREAMY</t>
  </si>
  <si>
    <t>3대가 전부 배우인데.. 할아버지는 전설, 아빠는 조연, 아들은 무명</t>
  </si>
  <si>
    <t>https://blog.naver.com/PostView.naver?blogId=koo_mee&amp;logNo=223903013751&amp;redirect=Dlog&amp;widgetTypeCall=true&amp;directAccess=false</t>
  </si>
  <si>
    <t>임영웅, SBS서 새 예능 선보인다! 하반기 편성 목표 '섬마을 히어로(가제)' 준비 박차</t>
  </si>
  <si>
    <t>https://blog.naver.com/PostView.naver?blogId=lsb3002&amp;logNo=223902991980&amp;redirect=Dlog&amp;widgetTypeCall=true&amp;directAccess=false</t>
  </si>
  <si>
    <t>이혜정, 이혼 서류 들고 법원까지 갔다가 '남편의 신발 끈'에 마음 돌린 사연 공개</t>
  </si>
  <si>
    <t>https://blog.naver.com/PostView.naver?blogId=lsb3002&amp;logNo=223902979168&amp;redirect=Dlog&amp;widgetTypeCall=true&amp;directAccess=false</t>
  </si>
  <si>
    <t>남궁민, 대본 리딩 후 하차 당했던 무명 시절 고백…</t>
  </si>
  <si>
    <t>https://blog.naver.com/PostView.naver?blogId=reny5&amp;logNo=223902956476&amp;redirect=Dlog&amp;widgetTypeCall=true&amp;directAccess=false</t>
  </si>
  <si>
    <t>라나월드</t>
  </si>
  <si>
    <t>나솔사계 17기 옥순 솔로민박 인기녀 될까? 연애 예능 추천</t>
  </si>
  <si>
    <t>https://blog.naver.com/PostView.naver?blogId=felice_min&amp;logNo=223902935411&amp;redirect=Dlog&amp;widgetTypeCall=true&amp;directAccess=false</t>
  </si>
  <si>
    <t>깜콩영웅 한자야 놀자</t>
  </si>
  <si>
    <t>생활의 달인 3대째 지켜온 황해도식 메밀냉면, 황해순모밀냉면 위치</t>
  </si>
  <si>
    <t>https://blog.naver.com/PostView.naver?blogId=kim___writer&amp;logNo=223902929083&amp;redirect=Dlog&amp;widgetTypeCall=true&amp;directAccess=false</t>
  </si>
  <si>
    <t>구당주</t>
  </si>
  <si>
    <t>김윤아, 뇌 신경마비 근황 생존 위해 발레중</t>
  </si>
  <si>
    <t>https://blog.naver.com/PostView.naver?blogId=odmwd2&amp;logNo=223902860655&amp;redirect=Dlog&amp;widgetTypeCall=true&amp;directAccess=false</t>
  </si>
  <si>
    <t>문서 선교사 박성희</t>
  </si>
  <si>
    <t>작은 만남을 통해 만남의 지경을 넓혀가시는 하나님</t>
  </si>
  <si>
    <t>https://blog.naver.com/PostView.naver?blogId=izoagkwldy&amp;logNo=223902845813&amp;redirect=Dlog&amp;widgetTypeCall=true&amp;directAccess=false</t>
  </si>
  <si>
    <t>크베시스</t>
  </si>
  <si>
    <t>미사한식맛집 코다리와능이버섯미사 미사역회식장소 추천</t>
  </si>
  <si>
    <t>https://blog.naver.com/PostView.naver?blogId=kvesiss&amp;logNo=223902831115&amp;redirect=Dlog&amp;widgetTypeCall=true&amp;directAccess=false</t>
  </si>
  <si>
    <t>‘예능감도 히어로급’ 임영웅, SBS와 예능 준비 중…하반기 출격 예정</t>
  </si>
  <si>
    <t>https://blog.naver.com/PostView.naver?blogId=tcmj1972&amp;logNo=223902763851&amp;redirect=Dlog&amp;widgetTypeCall=true&amp;directAccess=false</t>
  </si>
  <si>
    <t>호불호 갈린 드라마 우리영화 주연 남궁민 자신있다! 시청률 반등할 수 있을까?</t>
  </si>
  <si>
    <t>https://blog.naver.com/PostView.naver?blogId=ektha0108&amp;logNo=223902761840&amp;redirect=Dlog&amp;widgetTypeCall=true&amp;directAccess=false</t>
  </si>
  <si>
    <t>한우떡갈비, 생방송투데이 맛집의 놀라운 비밀…4종 막국수와의 환상 조합 (+비법, 레시피, 가격)</t>
  </si>
  <si>
    <t>https://blog.naver.com/PostView.naver?blogId=ovonews&amp;logNo=223902754119&amp;redirect=Dlog&amp;widgetTypeCall=true&amp;directAccess=false</t>
  </si>
  <si>
    <t>정동원, 무대도 입담도 ‘Show up’! 예능감까지 만렙 트롯돌</t>
  </si>
  <si>
    <t>https://blog.naver.com/PostView.naver?blogId=kstarfashion&amp;logNo=223902738956&amp;redirect=Dlog&amp;widgetTypeCall=true&amp;directAccess=false</t>
  </si>
  <si>
    <t>카마초</t>
  </si>
  <si>
    <t>5/12 - 6/3 대선</t>
  </si>
  <si>
    <t>https://blog.naver.com/PostView.naver?blogId=kama_ch0&amp;logNo=223902732644&amp;redirect=Dlog&amp;widgetTypeCall=true&amp;directAccess=false</t>
  </si>
  <si>
    <t>나솔 26기 영철 멘트 최선? 영자 차가운 반응뿐, 나는솔로</t>
  </si>
  <si>
    <t>https://blog.naver.com/PostView.naver?blogId=shushu9988&amp;logNo=223902498137&amp;redirect=Dlog&amp;widgetTypeCall=true&amp;directAccess=false</t>
  </si>
  <si>
    <t>https://blog.naver.com/PostView.naver?blogId=yang83529&amp;logNo=223902673927&amp;redirect=Dlog&amp;widgetTypeCall=true&amp;directAccess=false</t>
  </si>
  <si>
    <t>[대천여행/DAY1]1박2일: 본가야호텔/스카이바이크/전망대 카페/레이싱카트/션샤인조개구이</t>
  </si>
  <si>
    <t>https://blog.naver.com/PostView.naver?blogId=tlcjdrlfhr0011&amp;logNo=223902669968&amp;redirect=Dlog&amp;widgetTypeCall=true&amp;directAccess=false</t>
  </si>
  <si>
    <t>Miss Park</t>
  </si>
  <si>
    <t>250531 SBS 메가 콘서트 (공연 시작 전까지의 스펙타클했던 일정)</t>
  </si>
  <si>
    <t>https://blog.naver.com/PostView.naver?blogId=nalpark&amp;logNo=223902652206&amp;redirect=Dlog&amp;widgetTypeCall=true&amp;directAccess=false</t>
  </si>
  <si>
    <t>나는solo 26기 정숙 영호 말에 기분 나빠? 아웃 선언! 순자 영자 반응</t>
  </si>
  <si>
    <t>https://blog.naver.com/PostView.naver?blogId=shushu9988&amp;logNo=223902475711&amp;redirect=Dlog&amp;widgetTypeCall=true&amp;directAccess=false</t>
  </si>
  <si>
    <t>세상에 이런일이, 51년만에 연세대 응원단장 복귀한 74세 방송인 임성훈</t>
  </si>
  <si>
    <t>https://blog.naver.com/PostView.naver?blogId=koolap&amp;logNo=223902618431&amp;redirect=Dlog&amp;widgetTypeCall=true&amp;directAccess=false</t>
  </si>
  <si>
    <t>남궁민, '우리영화' 시청률 꼴찌 속 당당한 자신감…정통 멜로의 반전은 가능할까</t>
  </si>
  <si>
    <t>https://blog.naver.com/PostView.naver?blogId=apahghfej&amp;logNo=223902610462&amp;redirect=Dlog&amp;widgetTypeCall=true&amp;directAccess=false</t>
  </si>
  <si>
    <t>m</t>
  </si>
  <si>
    <t>iPhone 7</t>
  </si>
  <si>
    <t>https://blog.naver.com/PostView.naver?blogId=konukarain&amp;logNo=223902607885&amp;redirect=Dlog&amp;widgetTypeCall=true&amp;directAccess=false</t>
  </si>
  <si>
    <t>모래시계: 한국 현대사와 인간의 운명</t>
  </si>
  <si>
    <t>https://blog.naver.com/PostView.naver?blogId=hsj6807_&amp;logNo=223902607139&amp;redirect=Dlog&amp;widgetTypeCall=true&amp;directAccess=false</t>
  </si>
  <si>
    <t>데이트 맞아? 영숙 표정 굳게 만든 나는솔로 26기 경수 영철 말장난</t>
  </si>
  <si>
    <t>https://blog.naver.com/PostView.naver?blogId=shushu9988&amp;logNo=223902463304&amp;redirect=Dlog&amp;widgetTypeCall=true&amp;directAccess=false</t>
  </si>
  <si>
    <t>이슈이야기</t>
  </si>
  <si>
    <t>상황버섯 삼계탕, 생방송투데이 맛의 승부사 등극 비법 전격 공개… 대체 무슨 맛이길래? (+황금레시피, 건강, 보양식)</t>
  </si>
  <si>
    <t>https://blog.naver.com/PostView.naver?blogId=ovonews&amp;logNo=223902577980&amp;redirect=Dlog&amp;widgetTypeCall=true&amp;directAccess=false</t>
  </si>
  <si>
    <t>로드 투 외과의사 김건우, 이원정, 정신혜</t>
  </si>
  <si>
    <t>https://blog.naver.com/PostView.naver?blogId=youseok0&amp;logNo=223902577134&amp;redirect=Dlog&amp;widgetTypeCall=true&amp;directAccess=false</t>
  </si>
  <si>
    <t>QuietRich</t>
  </si>
  <si>
    <t>[SBS Biz 뉴스] 서울 '한강 벨트' 집값 다시 들썩…강력 부동산 규제 나올까?</t>
  </si>
  <si>
    <t>https://blog.naver.com/PostView.naver?blogId=quietrich&amp;logNo=223902568163&amp;redirect=Dlog&amp;widgetTypeCall=true&amp;directAccess=false</t>
  </si>
  <si>
    <t>옐</t>
  </si>
  <si>
    <t>[다이어트 기록] 한약 다이어트 45일차 -10kg 감량!!!</t>
  </si>
  <si>
    <t>https://blog.naver.com/PostView.naver?blogId=yelus10&amp;logNo=223902565116&amp;redirect=Dlog&amp;widgetTypeCall=true&amp;directAccess=false</t>
  </si>
  <si>
    <t>26기 광수 또 엄마 소환? 현숙 우리 엄마보다 예뻐, 나는솔로 수요일예능</t>
  </si>
  <si>
    <t>https://blog.naver.com/PostView.naver?blogId=shushu9988&amp;logNo=223902442687&amp;redirect=Dlog&amp;widgetTypeCall=true&amp;directAccess=false</t>
  </si>
  <si>
    <t>주</t>
  </si>
  <si>
    <t>결혼의 여신'드라마 인물분석 Ⅰ(강태욱과 송지혜)</t>
  </si>
  <si>
    <t>https://blog.naver.com/PostView.naver?blogId=stella815_&amp;logNo=223902537018&amp;redirect=Dlog&amp;widgetTypeCall=true&amp;directAccess=false</t>
  </si>
  <si>
    <t>투표록을 새로 작성했다네요? 날인까지 된 투표록이 발견되어 선관위에 찾아갔는데 똑같은 투표록이 있었다. 똑같이 만들꺼면 왜 새로 작성함? mnews.sbs.co.kr/news/</t>
  </si>
  <si>
    <t>https://blog.naver.com/PostView.naver?blogId=hwebs&amp;logNo=223902506721&amp;redirect=Dlog&amp;widgetTypeCall=true&amp;directAccess=false</t>
  </si>
  <si>
    <t>임영웅 가수 넘어 예능인으로? 하반기 방송가 긴장</t>
  </si>
  <si>
    <t>https://blog.naver.com/PostView.naver?blogId=vgbhjk6335&amp;logNo=223902488691&amp;redirect=Dlog&amp;widgetTypeCall=true&amp;directAccess=false</t>
  </si>
  <si>
    <t>임영웅 국민 히어로’ 섬에서 힐링 리얼리티…예능 복귀</t>
  </si>
  <si>
    <t>https://blog.naver.com/PostView.naver?blogId=vgbhjk6335&amp;logNo=223902478131&amp;redirect=Dlog&amp;widgetTypeCall=true&amp;directAccess=false</t>
  </si>
  <si>
    <t>임영웅 2년 만에 고정 예능을 선보인다</t>
  </si>
  <si>
    <t>https://blog.naver.com/PostView.naver?blogId=vgbhjk6335&amp;logNo=223902475870&amp;redirect=Dlog&amp;widgetTypeCall=true&amp;directAccess=false</t>
  </si>
  <si>
    <t>에이스</t>
  </si>
  <si>
    <t>임영웅  새 예능 섬마을 히어로 출연 확정</t>
  </si>
  <si>
    <t>https://blog.naver.com/PostView.naver?blogId=jjace3703&amp;logNo=223902374850&amp;redirect=Dlog&amp;widgetTypeCall=true&amp;directAccess=false</t>
  </si>
  <si>
    <t>네컬웅</t>
  </si>
  <si>
    <t>‘국민 히어로’ 임영웅 , 섬에서 힐링 리얼리티…예능 복귀</t>
  </si>
  <si>
    <t>https://blog.naver.com/PostView.naver?blogId=353yang4463&amp;logNo=223902415242&amp;redirect=Dlog&amp;widgetTypeCall=true&amp;directAccess=false</t>
  </si>
  <si>
    <t>소나기</t>
  </si>
  <si>
    <t>https://blog.naver.com/PostView.naver?blogId=narae21&amp;logNo=223902414200&amp;redirect=Dlog&amp;widgetTypeCall=true&amp;directAccess=false</t>
  </si>
  <si>
    <t>나는solo 26기 영호야 고백 갈겼어? 순자가 최종선택인 이유, 나는솔로</t>
  </si>
  <si>
    <t>https://blog.naver.com/PostView.naver?blogId=chummilmil99&amp;logNo=223902407319&amp;redirect=Dlog&amp;widgetTypeCall=true&amp;directAccess=false</t>
  </si>
  <si>
    <t>황정음 횡령 사건, 43억 전액 변제 완료로 마무리: 재산 처분과 사과까지</t>
  </si>
  <si>
    <t>https://blog.naver.com/PostView.naver?blogId=creta22&amp;logNo=223902380695&amp;redirect=Dlog&amp;widgetTypeCall=true&amp;directAccess=false</t>
  </si>
  <si>
    <t>제이나</t>
  </si>
  <si>
    <t>야당) 파주시 야당동 야당역 가성비맛집 푸짐한감자탕 파주야당맛집 청년감자탕순대국</t>
  </si>
  <si>
    <t>https://blog.naver.com/PostView.naver?blogId=jayna_daily&amp;logNo=223902358974&amp;redirect=Dlog&amp;widgetTypeCall=true&amp;directAccess=false</t>
  </si>
  <si>
    <t>임영웅, SBS와 손 잡고 새 예능 준비…"하반기 편성 목표" [공식입장]💎</t>
  </si>
  <si>
    <t>https://blog.naver.com/PostView.naver?blogId=phj7888&amp;logNo=223902356892&amp;redirect=Dlog&amp;widgetTypeCall=true&amp;directAccess=false</t>
  </si>
  <si>
    <t>“예능 하나만 안해” 임영웅의 약속 1년만에 SBS ‘섬마을 히어로’로 온다</t>
  </si>
  <si>
    <t>https://blog.naver.com/PostView.naver?blogId=newswa_official&amp;logNo=223902335980&amp;redirect=Dlog&amp;widgetTypeCall=true&amp;directAccess=false</t>
  </si>
  <si>
    <t>나는솔로 17기 옥순🩷24기 광수 오송역 세종 목격담? 나솔사계 현커 진짜일까, 그후 사랑은 계속된다</t>
  </si>
  <si>
    <t>https://blog.naver.com/PostView.naver?blogId=chummilmil99&amp;logNo=223902333214&amp;redirect=Dlog&amp;widgetTypeCall=true&amp;directAccess=false</t>
  </si>
  <si>
    <t>“국민멘토 가면 벗었다” 오은영 30년만의 민낯 고백 23일 공개</t>
  </si>
  <si>
    <t>https://blog.naver.com/PostView.naver?blogId=newswa_official&amp;logNo=223902323769&amp;redirect=Dlog&amp;widgetTypeCall=true&amp;directAccess=false</t>
  </si>
  <si>
    <t>출처 : SBS 뉴스 2건  [출처:중앙일보]1건 [속보] '급거 귀국' 트럼프 "이-이 휴전 때문 아냐…훨씬 큰것 있다"</t>
  </si>
  <si>
    <t>https://blog.naver.com/PostView.naver?blogId=ormaverh-m&amp;logNo=223902257050&amp;redirect=Dlog&amp;widgetTypeCall=true&amp;directAccess=false</t>
  </si>
  <si>
    <t>지구에 떨어진 잘생긴 외계인 - 별에서 온 그대</t>
  </si>
  <si>
    <t>https://blog.naver.com/PostView.naver?blogId=vpabnsdjr169&amp;logNo=223902220922&amp;redirect=Dlog&amp;widgetTypeCall=true&amp;directAccess=false</t>
  </si>
  <si>
    <t>정다경, ‘마중’으로 인기가요 접수</t>
  </si>
  <si>
    <t>https://blog.naver.com/PostView.naver?blogId=kstarfashion&amp;logNo=223902204189&amp;redirect=Dlog&amp;widgetTypeCall=true&amp;directAccess=false</t>
  </si>
  <si>
    <t>이봉원, 7억 빚 때문에 박미선과 이혼 위기… 대체 무슨 사고를 쳤길래 나중에 통보 (+충격 과거, 눈물 고백, 엇갈린 운명)</t>
  </si>
  <si>
    <t>https://blog.naver.com/PostView.naver?blogId=min5591ha&amp;logNo=223902174816&amp;redirect=Dlog&amp;widgetTypeCall=true&amp;directAccess=false</t>
  </si>
  <si>
    <t>국민 가수' 임영웅, 하반기 SBS 새 예능 '섬마을 히어로(가제)'로 팬들과 만난다…정규 앨범·콘서트 예고까지 '활발'</t>
  </si>
  <si>
    <t>https://blog.naver.com/PostView.naver?blogId=its_news&amp;logNo=223902128753&amp;redirect=Dlog&amp;widgetTypeCall=true&amp;directAccess=false</t>
  </si>
  <si>
    <t>우리영화 등장인물 출연진 시청률 몇부작 총정리</t>
  </si>
  <si>
    <t>https://blog.naver.com/PostView.naver?blogId=88labstory&amp;logNo=223902117409&amp;redirect=Dlog&amp;widgetTypeCall=true&amp;directAccess=false</t>
  </si>
  <si>
    <t>보코맘</t>
  </si>
  <si>
    <t>임영웅 예능 나온다…SBS "하반기 편성 목표로 제작 준비"[공식입장]</t>
  </si>
  <si>
    <t>https://blog.naver.com/PostView.naver?blogId=sujiumni&amp;logNo=223902096542&amp;redirect=Dlog&amp;widgetTypeCall=true&amp;directAccess=false</t>
  </si>
  <si>
    <t>츄리씌</t>
  </si>
  <si>
    <t>[야구] 불꽃야구 창단 첫 직관! 동국대전 관람 후기, 고척돔 422B P열, 329B D열</t>
  </si>
  <si>
    <t>https://blog.naver.com/PostView.naver?blogId=aicho&amp;logNo=223902094164&amp;redirect=Dlog&amp;widgetTypeCall=true&amp;directAccess=false</t>
  </si>
  <si>
    <t>웨이브 티빙 합병 더블 이용권 과연 의미 있을까 + 제외 콘텐츠의 함정</t>
  </si>
  <si>
    <t>https://blog.naver.com/PostView.naver?blogId=shoutbanana&amp;logNo=223902088925&amp;redirect=Dlog&amp;widgetTypeCall=true&amp;directAccess=false</t>
  </si>
  <si>
    <t>믿었던 매니저한테 전 재산 사기당하고 중국에서 인생 역전한 여배우</t>
  </si>
  <si>
    <t>https://blog.naver.com/PostView.naver?blogId=raspberry7322&amp;logNo=223902064648&amp;redirect=Dlog&amp;widgetTypeCall=true&amp;directAccess=false</t>
  </si>
  <si>
    <t>골드랜드리치</t>
  </si>
  <si>
    <t>이상일 용인시장, 초대형 반도체프로젝트 유치와 교통 인프라 확충 계획을 통해 첨단반도체산업의 메카를 꿈꾸는 용인시 다짐~~~풍경채어바니티도 응원합니다!!!</t>
  </si>
  <si>
    <t>https://blog.naver.com/PostView.naver?blogId=goldlandrich&amp;logNo=223901944361&amp;redirect=Dlog&amp;widgetTypeCall=true&amp;directAccess=false</t>
  </si>
  <si>
    <t>개그맨 조래훈 득남하고 스카이원교육 ‘자녀 행복한 교육 홍보대사’로 발탁</t>
  </si>
  <si>
    <t>https://blog.naver.com/PostView.naver?blogId=y7183919&amp;logNo=223902032233&amp;redirect=Dlog&amp;widgetTypeCall=true&amp;directAccess=false</t>
  </si>
  <si>
    <t>김탄</t>
  </si>
  <si>
    <t>라피네</t>
  </si>
  <si>
    <t>인천 아이소망산부인과/자궁근종수술/거대근종/단일공복강경</t>
  </si>
  <si>
    <t>https://blog.naver.com/PostView.naver?blogId=pooh3ve&amp;logNo=223902016196&amp;redirect=Dlog&amp;widgetTypeCall=true&amp;directAccess=false</t>
  </si>
  <si>
    <t>불새매</t>
  </si>
  <si>
    <t>https://blog.naver.com/PostView.naver?blogId=knicekjs&amp;logNo=223901980251&amp;redirect=Dlog&amp;widgetTypeCall=true&amp;directAccess=false</t>
  </si>
  <si>
    <t>남궁민, “혼자만 잘렸다” 고백…빛나기 전의 깊은 그림자</t>
  </si>
  <si>
    <t>https://blog.naver.com/PostView.naver?blogId=news1star&amp;logNo=223901971742&amp;redirect=Dlog&amp;widgetTypeCall=true&amp;directAccess=false</t>
  </si>
  <si>
    <t>지성스</t>
  </si>
  <si>
    <t>🎬 “이 사랑, 시한부라 더 찐하다”… ‘우리영화’ 1·2화 리뷰 – 절대 놓치면 안 될 힐링 멜로!</t>
  </si>
  <si>
    <t>https://blog.naver.com/PostView.naver?blogId=khun0828&amp;logNo=223901966871&amp;redirect=Dlog&amp;widgetTypeCall=true&amp;directAccess=false</t>
  </si>
  <si>
    <t>찌닝</t>
  </si>
  <si>
    <t>티빙 웨이브 합병 통합 더블이용권 요금제 비교해 보기</t>
  </si>
  <si>
    <t>https://blog.naver.com/PostView.naver?blogId=6135hj&amp;logNo=223901946129&amp;redirect=Dlog&amp;widgetTypeCall=true&amp;directAccess=false</t>
  </si>
  <si>
    <t>[공식 프리뷰] 더헤븐 마스터즈</t>
  </si>
  <si>
    <t>https://blog.naver.com/PostView.naver?blogId=klpgapr&amp;logNo=223901922639&amp;redirect=Dlog&amp;widgetTypeCall=true&amp;directAccess=false</t>
  </si>
  <si>
    <t>장영수 생활의달인 대구 노포 맛집 정체는 김초밥 막창구이 콩국수 … (상상초월 비법) 시래기떡볶이 군만두까지? (+노포, 대구맛집, 김초밥)</t>
  </si>
  <si>
    <t>https://blog.naver.com/PostView.naver?blogId=minha051126&amp;logNo=223901915661&amp;redirect=Dlog&amp;widgetTypeCall=true&amp;directAccess=false</t>
  </si>
  <si>
    <t>키캐라</t>
  </si>
  <si>
    <t>CU vs GS 편의점 샌드위치, 누가 진짜 섹시푸드?</t>
  </si>
  <si>
    <t>https://blog.naver.com/PostView.naver?blogId=kick_hera&amp;logNo=223901909558&amp;redirect=Dlog&amp;widgetTypeCall=true&amp;directAccess=false</t>
  </si>
  <si>
    <t>좋은날부동산중개법인</t>
  </si>
  <si>
    <t>용인 502조 반도체 투자,부동산 가격 2배 상승 전망</t>
  </si>
  <si>
    <t>https://blog.naver.com/PostView.naver?blogId=gooddayauctions&amp;logNo=223899254147&amp;redirect=Dlog&amp;widgetTypeCall=true&amp;directAccess=false</t>
  </si>
  <si>
    <t>[커피뉴스]공차코리아, SBS 금토드라마 ‘우리영화’ 제작 협찬</t>
  </si>
  <si>
    <t>https://blog.naver.com/PostView.naver?blogId=park-coffee&amp;logNo=223901866709&amp;redirect=Dlog&amp;widgetTypeCall=true&amp;directAccess=false</t>
  </si>
  <si>
    <t>제20회 부산국제매직페스티벌 매직 컨벤션 개최, 해운대 센텀 영화의전당, BIMF 6월 비오는날 부산 실내 공연 추천 가볼만한곳 행사</t>
  </si>
  <si>
    <t>https://blog.naver.com/PostView.naver?blogId=yak-bang&amp;logNo=223901587170&amp;redirect=Dlog&amp;widgetTypeCall=true&amp;directAccess=false</t>
  </si>
  <si>
    <t>후지산 분화의 가능성과  한국에 미치는 영향</t>
  </si>
  <si>
    <t>https://blog.naver.com/PostView.naver?blogId=cscg6472&amp;logNo=223901834272&amp;redirect=Dlog&amp;widgetTypeCall=true&amp;directAccess=false</t>
  </si>
  <si>
    <t>[브랜드 역사] 창호 나이스 브랜드 역사</t>
  </si>
  <si>
    <t>https://blog.naver.com/PostView.naver?blogId=msp3441&amp;logNo=223898354863&amp;redirect=Dlog&amp;widgetTypeCall=true&amp;directAccess=false</t>
  </si>
  <si>
    <t>해피람쥐</t>
  </si>
  <si>
    <t>공주 장순루 얼큰한 고추짬뽕 맛집 추천 여행 필수 코스 내돈내산 리뷰</t>
  </si>
  <si>
    <t>https://blog.naver.com/PostView.naver?blogId=ysnow504&amp;logNo=223901812149&amp;redirect=Dlog&amp;widgetTypeCall=true&amp;directAccess=false</t>
  </si>
  <si>
    <t>6. 17(화) 경찰관련기사</t>
  </si>
  <si>
    <t>https://blog.naver.com/PostView.naver?blogId=tobiaspia&amp;logNo=223901797423&amp;redirect=Dlog&amp;widgetTypeCall=true&amp;directAccess=false</t>
  </si>
  <si>
    <t>맥거피날</t>
  </si>
  <si>
    <t>남궁민 전여빈 주연의 SBS 로맨스 드라마 &lt;우리 영화&gt; 1화 정보 출연진 줄거리 결말 포토 시청률 재방송 예고편 디즈니플러스</t>
  </si>
  <si>
    <t>https://blog.naver.com/PostView.naver?blogId=macguffinal&amp;logNo=223901789618&amp;redirect=Dlog&amp;widgetTypeCall=true&amp;directAccess=false</t>
  </si>
  <si>
    <t>25.6.17.(화) 경찰 관련 기사 스크린</t>
  </si>
  <si>
    <t>https://blog.naver.com/PostView.naver?blogId=bugook789&amp;logNo=223901758927&amp;redirect=Dlog&amp;widgetTypeCall=true&amp;directAccess=false</t>
  </si>
  <si>
    <t>최여진♥김재욱, 영화 같은 크루즈 결혼식…2부는 줌바 댄스로 화려한 피날레 ('동상이몽2')</t>
  </si>
  <si>
    <t>https://blog.naver.com/PostView.naver?blogId=reviewjoa&amp;logNo=223901749834&amp;redirect=Dlog&amp;widgetTypeCall=true&amp;directAccess=false</t>
  </si>
  <si>
    <t>소소한 이야기</t>
  </si>
  <si>
    <t>다시 불꽃 야구로</t>
  </si>
  <si>
    <t>https://blog.naver.com/PostView.naver?blogId=so_sostory&amp;logNo=223901748171&amp;redirect=Dlog&amp;widgetTypeCall=true&amp;directAccess=false</t>
  </si>
  <si>
    <t>박서아 생활의달인 세차장 덕후…인스타 유튜브 대박 비법?! 987회 (+세차, 달인, 비법)</t>
  </si>
  <si>
    <t>https://blog.naver.com/PostView.naver?blogId=minha051126&amp;logNo=223901721401&amp;redirect=Dlog&amp;widgetTypeCall=true&amp;directAccess=false</t>
  </si>
  <si>
    <t>김계천 달인 황해도식 메밀냉면 인천 평정한 비법…987회 생활의달인 전격 공개 (+인천 냉면 맛집, 노포 냉면, 메밀 장인)</t>
  </si>
  <si>
    <t>https://blog.naver.com/PostView.naver?blogId=min5591ha&amp;logNo=223901717351&amp;redirect=Dlog&amp;widgetTypeCall=true&amp;directAccess=false</t>
  </si>
  <si>
    <t>부천 맛집 경악 8천원에 산더미 보쌈 정식 실화? 생방송투데이 막퍼주는집 … 도대체 얼만데요? (+가성비, 혜자, 오늘저녁)알겠습니다. 뉴스 기사 형식으로 재작성해 드리겠습니다.</t>
  </si>
  <si>
    <t>https://blog.naver.com/PostView.naver?blogId=min5591ha&amp;logNo=223901710346&amp;redirect=Dlog&amp;widgetTypeCall=true&amp;directAccess=false</t>
  </si>
  <si>
    <t>묵밥 달인… 금천구 현대시장 은둔 고수의 충격적인 비밀! 생활의 달인조차 혀를 내두른 그 맛 (+생활의달인, 묵밥, 금천구맛집)</t>
  </si>
  <si>
    <t>https://blog.naver.com/PostView.naver?blogId=min5591ha&amp;logNo=223901705839&amp;redirect=Dlog&amp;widgetTypeCall=true&amp;directAccess=false</t>
  </si>
  <si>
    <t>생활의달인 황해도식 메밀냉면 그 맛의 비밀…(육수, 면발, 장인정신) 대체 어디길래 전국구 난리 (+숨겨진 비법, 30년 전통, 눈물나는 사연)</t>
  </si>
  <si>
    <t>https://blog.naver.com/PostView.naver?blogId=min5591ha&amp;logNo=223901703073&amp;redirect=Dlog&amp;widgetTypeCall=true&amp;directAccess=false</t>
  </si>
  <si>
    <t>생활의달인, 황해도식 메밀냉면 비법 드디어 공개…그 맛의 비밀은 (+육수, 면, 장인정신)</t>
  </si>
  <si>
    <t>https://blog.naver.com/PostView.naver?blogId=ovonews&amp;logNo=223901688176&amp;redirect=Dlog&amp;widgetTypeCall=true&amp;directAccess=false</t>
  </si>
  <si>
    <t>내 인생을 송두리째 바꾼 세상에서 가장 아름다운 여행 1178가지 이유… 과연 그 이유는 (+여행, 인생, 아름다움)</t>
  </si>
  <si>
    <t>https://blog.naver.com/PostView.naver?blogId=ovonews&amp;logNo=223901648636&amp;redirect=Dlog&amp;widgetTypeCall=true&amp;directAccess=false</t>
  </si>
  <si>
    <t>2025 제5회 월드그랑프리슈프림모델콘테스트 국제심사위원 최종 확정</t>
  </si>
  <si>
    <t>https://blog.naver.com/PostView.naver?blogId=kbeautynews&amp;logNo=223901638747&amp;redirect=Dlog&amp;widgetTypeCall=true&amp;directAccess=false</t>
  </si>
  <si>
    <t>내 인생을 송두리째 바꿔놓은…세상에서 가장 아름다운 1178번째 여행 (+인생, 여행, 네이버블로그)</t>
  </si>
  <si>
    <t>https://blog.naver.com/PostView.naver?blogId=minha051126&amp;logNo=223901615644&amp;redirect=Dlog&amp;widgetTypeCall=true&amp;directAccess=false</t>
  </si>
  <si>
    <t>스타톡</t>
  </si>
  <si>
    <t>나는솔로 26기, 영숙의 데이트가 이게 뭐야? 영철X경수 술 내려놔!</t>
  </si>
  <si>
    <t>https://blog.naver.com/PostView.naver?blogId=macshorts&amp;logNo=223899909762&amp;redirect=Dlog&amp;widgetTypeCall=true&amp;directAccess=false</t>
  </si>
  <si>
    <t>6월 17일 롯데 vs 한화 프리뷰(1위 한화와 만나는 이순철 6연전의 시작)</t>
  </si>
  <si>
    <t>https://blog.naver.com/PostView.naver?blogId=chosimgiants&amp;logNo=223901572340&amp;redirect=Dlog&amp;widgetTypeCall=true&amp;directAccess=false</t>
  </si>
  <si>
    <t>songinee</t>
  </si>
  <si>
    <t>아좌좌</t>
  </si>
  <si>
    <t>https://blog.naver.com/PostView.naver?blogId=diaryformin&amp;logNo=223908079159&amp;redirect=Dlog&amp;widgetTypeCall=true&amp;directAccess=false</t>
  </si>
  <si>
    <t>연예박사</t>
  </si>
  <si>
    <t>김민경, 박하나♥김태술 결혼식서 '대성통곡' 포착! "또 남의 결혼식에서 울었네" 폭소</t>
  </si>
  <si>
    <t>https://blog.naver.com/PostView.naver?blogId=kshan5106052&amp;logNo=223908058137&amp;redirect=Dlog&amp;widgetTypeCall=true&amp;directAccess=false</t>
  </si>
  <si>
    <t>워런머핀</t>
  </si>
  <si>
    <t>250622 일일결산</t>
  </si>
  <si>
    <t>https://blog.naver.com/PostView.naver?blogId=blashmania&amp;logNo=223908039592&amp;redirect=Dlog&amp;widgetTypeCall=true&amp;directAccess=false</t>
  </si>
  <si>
    <t>윤종신 30년 크론병과 동행 그럼에도 환자로 살아간다</t>
  </si>
  <si>
    <t>https://blog.naver.com/PostView.naver?blogId=hhwjh&amp;logNo=223908036878&amp;redirect=Dlog&amp;widgetTypeCall=true&amp;directAccess=false</t>
  </si>
  <si>
    <t>고현정, 믿기 힘든 민낯 셀카…“어떤 날들”의 고요한 아름다움본문:</t>
  </si>
  <si>
    <t>https://blog.naver.com/PostView.naver?blogId=jericho0220&amp;logNo=223908031841&amp;redirect=Dlog&amp;widgetTypeCall=true&amp;directAccess=false</t>
  </si>
  <si>
    <t>[6월 2주차] 핑크가 싫어요</t>
  </si>
  <si>
    <t>https://blog.naver.com/PostView.naver?blogId=annamazing&amp;logNo=223908001350&amp;redirect=Dlog&amp;widgetTypeCall=true&amp;directAccess=false</t>
  </si>
  <si>
    <t>감자공주 랄</t>
  </si>
  <si>
    <t>수정 손칼국수 – 직접 만든 수제비 한 그릇의 위로</t>
  </si>
  <si>
    <t>https://blog.naver.com/PostView.naver?blogId=yuyuhall&amp;logNo=223907986175&amp;redirect=Dlog&amp;widgetTypeCall=true&amp;directAccess=false</t>
  </si>
  <si>
    <t>우리영화 4화 남궁민 전여빈 키스신 폭주에도 시청률 아직 + 5회 SBS금토드라마</t>
  </si>
  <si>
    <t>https://blog.naver.com/PostView.naver?blogId=euene1111&amp;logNo=223907984151&amp;redirect=Dlog&amp;widgetTypeCall=true&amp;directAccess=false</t>
  </si>
  <si>
    <t>250602-250622 언제 6월 말이 되었나요</t>
  </si>
  <si>
    <t>https://blog.naver.com/PostView.naver?blogId=jyeo_nie&amp;logNo=223907971494&amp;redirect=Dlog&amp;widgetTypeCall=true&amp;directAccess=false</t>
  </si>
  <si>
    <t>유선순위</t>
  </si>
  <si>
    <t>청량리 안경 &lt;으뜸플러스안경 청량리점&gt; 착한 가격 추천</t>
  </si>
  <si>
    <t>https://blog.naver.com/PostView.naver?blogId=yje1019&amp;logNo=223907944117&amp;redirect=Dlog&amp;widgetTypeCall=true&amp;directAccess=false</t>
  </si>
  <si>
    <t>나랑 별 보러 갈래? 지지고 볶는 여행 김원훈 "영식이 똥 먹었어" 24기 옥순 몽골, 시작과 동시에 기대되는 이유! 지볶행 16화 예고 한국인이 좋아하는 SBS 예능 프로그램</t>
  </si>
  <si>
    <t>https://blog.naver.com/PostView.naver?blogId=kws3128pdm&amp;logNo=223907931600&amp;redirect=Dlog&amp;widgetTypeCall=true&amp;directAccess=false</t>
  </si>
  <si>
    <t>stargonia</t>
  </si>
  <si>
    <t>포슬포슬한 생갈비가 맛있었던 강릉 갈비 맛집 - '강릉 택지골수제생갈비'</t>
  </si>
  <si>
    <t>https://blog.naver.com/PostView.naver?blogId=stargonia&amp;logNo=223907925420&amp;redirect=Dlog&amp;widgetTypeCall=true&amp;directAccess=false</t>
  </si>
  <si>
    <t>SE Kim</t>
  </si>
  <si>
    <t>KLPGA, 노승희 통산 3승 달성</t>
  </si>
  <si>
    <t>https://blog.naver.com/PostView.naver?blogId=sekim-1107&amp;logNo=223907901477&amp;redirect=Dlog&amp;widgetTypeCall=true&amp;directAccess=false</t>
  </si>
  <si>
    <t>권영태</t>
  </si>
  <si>
    <t>[코리아미래콜로키움 주간 브리핑] 한 페이지로 끝내는 안보외교북한 뉴스 (20250622)[안보외교북한]</t>
  </si>
  <si>
    <t>https://blog.naver.com/PostView.naver?blogId=kimdaeganda&amp;logNo=223907893209&amp;redirect=Dlog&amp;widgetTypeCall=true&amp;directAccess=false</t>
  </si>
  <si>
    <t>도아meein</t>
  </si>
  <si>
    <t>나는솔로 17기 옥순 차라리 데프콘 어때? 철벽에 답답한 영수 광수 영철, 그후 사랑은 계속된다</t>
  </si>
  <si>
    <t>https://blog.naver.com/PostView.naver?blogId=chummilmil99&amp;logNo=223907844832&amp;redirect=Dlog&amp;widgetTypeCall=true&amp;directAccess=false</t>
  </si>
  <si>
    <t>만듀</t>
  </si>
  <si>
    <t>새로움을 갈망해</t>
  </si>
  <si>
    <t>https://blog.naver.com/PostView.naver?blogId=sfacem818&amp;logNo=223907830782&amp;redirect=Dlog&amp;widgetTypeCall=true&amp;directAccess=false</t>
  </si>
  <si>
    <t>나는솔로 26기 상철 영자 현커? 나란히 앉은 다정한 모습 26순자 영숙 단체.모임 정숙은</t>
  </si>
  <si>
    <t>https://blog.naver.com/PostView.naver?blogId=porto7979&amp;logNo=223907829668&amp;redirect=Dlog&amp;widgetTypeCall=true&amp;directAccess=false</t>
  </si>
  <si>
    <t>옥순 발냄새 킁킁? 영식의 콜로세움 철벽, 몽골서 와르르! 나는솔로 24기 지볶행 후기</t>
  </si>
  <si>
    <t>https://blog.naver.com/PostView.naver?blogId=macshorts&amp;logNo=223907041277&amp;redirect=Dlog&amp;widgetTypeCall=true&amp;directAccess=false</t>
  </si>
  <si>
    <t>마띠</t>
  </si>
  <si>
    <t>[꼬꼬무] 180회: 시간과의 사투 - 운명을 건 6시간</t>
  </si>
  <si>
    <t>https://blog.naver.com/PostView.naver?blogId=lemon71sw&amp;logNo=223907799350&amp;redirect=Dlog&amp;widgetTypeCall=true&amp;directAccess=false</t>
  </si>
  <si>
    <t>아이 킬 유</t>
  </si>
  <si>
    <t>https://blog.naver.com/PostView.naver?blogId=theblock101&amp;logNo=223907790359&amp;redirect=Dlog&amp;widgetTypeCall=true&amp;directAccess=false</t>
  </si>
  <si>
    <t>아포짓</t>
  </si>
  <si>
    <t>여자배구 2군 리그를 위한 첫걸음 2025 한국실업배구연맹 &amp; 프로배구 퓨처스 챔프전 단양대회</t>
  </si>
  <si>
    <t>https://blog.naver.com/PostView.naver?blogId=outsidehitter&amp;logNo=223907781371&amp;redirect=Dlog&amp;widgetTypeCall=true&amp;directAccess=false</t>
  </si>
  <si>
    <t>박하나 김태술, 영화 같은 야외 결혼식</t>
  </si>
  <si>
    <t>https://blog.naver.com/PostView.naver?blogId=owen8591&amp;logNo=223907639079&amp;redirect=Dlog&amp;widgetTypeCall=true&amp;directAccess=false</t>
  </si>
  <si>
    <t>(중국) 시대의 변화에 따른, 관심이 필요하지 않을까? [게임/엔터/미디어]</t>
  </si>
  <si>
    <t>https://blog.naver.com/PostView.naver?blogId=ghdtjr1212&amp;logNo=223907771471&amp;redirect=Dlog&amp;widgetTypeCall=true&amp;directAccess=false</t>
  </si>
  <si>
    <t>나는solo 26기 순자야 알고 있었어? 영호가 나를 안좋아하는 이유, 나는솔로</t>
  </si>
  <si>
    <t>https://blog.naver.com/PostView.naver?blogId=chummilmil99&amp;logNo=223907740166&amp;redirect=Dlog&amp;widgetTypeCall=true&amp;directAccess=false</t>
  </si>
  <si>
    <t>2025년 6월 22일 일요일 SBS5번 인기가요 보다</t>
  </si>
  <si>
    <t>https://blog.naver.com/PostView.naver?blogId=ch921017&amp;logNo=223907701257&amp;redirect=Dlog&amp;widgetTypeCall=true&amp;directAccess=false</t>
  </si>
  <si>
    <t>용의주도신 신MD</t>
  </si>
  <si>
    <t>개인맛미슐랭</t>
  </si>
  <si>
    <t>우리영화 드라마 평론 – “하루라는 영화, 그 감정의 필름을 돌리며”</t>
  </si>
  <si>
    <t>https://blog.naver.com/PostView.naver?blogId=ljuul&amp;logNo=223907660074&amp;redirect=Dlog&amp;widgetTypeCall=true&amp;directAccess=false</t>
  </si>
  <si>
    <t>CH Yeom</t>
  </si>
  <si>
    <t>유니세프는 기후변화 운동도 한다</t>
  </si>
  <si>
    <t>https://blog.naver.com/PostView.naver?blogId=drhunny1&amp;logNo=223907650614&amp;redirect=Dlog&amp;widgetTypeCall=true&amp;directAccess=false</t>
  </si>
  <si>
    <t>보먹돼</t>
  </si>
  <si>
    <t>고속터미널 맛집! 일번지 육개장의 낙곱전골</t>
  </si>
  <si>
    <t>https://blog.naver.com/PostView.naver?blogId=prretty&amp;logNo=223907637858&amp;redirect=Dlog&amp;widgetTypeCall=true&amp;directAccess=false</t>
  </si>
  <si>
    <t>욜로주니</t>
  </si>
  <si>
    <t>[을지로] 평래옥</t>
  </si>
  <si>
    <t>https://blog.naver.com/PostView.naver?blogId=kimsj3469&amp;logNo=223907615510&amp;redirect=Dlog&amp;widgetTypeCall=true&amp;directAccess=false</t>
  </si>
  <si>
    <t>오늘녹차한잔</t>
  </si>
  <si>
    <t>0614) 포상휴가 4. 치앙마이 마지막 날</t>
  </si>
  <si>
    <t>https://blog.naver.com/PostView.naver?blogId=heeya_09&amp;logNo=223907596553&amp;redirect=Dlog&amp;widgetTypeCall=true&amp;directAccess=false</t>
  </si>
  <si>
    <t>이름모라고</t>
  </si>
  <si>
    <t>미용대회 우승!!! 시안부터 결과까지 이렇게 준비</t>
  </si>
  <si>
    <t>https://blog.naver.com/PostView.naver?blogId=ktapple125&amp;logNo=223907594534&amp;redirect=Dlog&amp;widgetTypeCall=true&amp;directAccess=false</t>
  </si>
  <si>
    <t>483. &lt;고재근 - She&gt; SBS 인기가요 순위 변동 차트</t>
  </si>
  <si>
    <t>https://blog.naver.com/PostView.naver?blogId=bloodypunch&amp;logNo=223907588929&amp;redirect=Dlog&amp;widgetTypeCall=true&amp;directAccess=false</t>
  </si>
  <si>
    <t>AHN sekwon</t>
  </si>
  <si>
    <t>안세권 사진(영상) 작가 전시약력. (서울 청계천, 서울 산동네 작업) Ahn sekwon</t>
  </si>
  <si>
    <t>https://blog.naver.com/PostView.naver?blogId=anseem&amp;logNo=223907580625&amp;redirect=Dlog&amp;widgetTypeCall=true&amp;directAccess=false</t>
  </si>
  <si>
    <t>샤이닝동동</t>
  </si>
  <si>
    <t>자격증취득부터 창업 등에 이.르.기.까.지. SBS아카데미뷰티스쿨 인천서구캠퍼스 인천 서구 미용학원</t>
  </si>
  <si>
    <t>https://blog.naver.com/PostView.naver?blogId=shining_dongdong&amp;logNo=223907570731&amp;redirect=Dlog&amp;widgetTypeCall=true&amp;directAccess=false</t>
  </si>
  <si>
    <t>썰전의 기록자</t>
  </si>
  <si>
    <t>목사로 변신한 개그맨 표인봉은 누구? (프로필 근황)</t>
  </si>
  <si>
    <t>https://blog.naver.com/PostView.naver?blogId=rozz0697&amp;logNo=223907551859&amp;redirect=Dlog&amp;widgetTypeCall=true&amp;directAccess=false</t>
  </si>
  <si>
    <t>진보 정권이 들어서면 왜 서울 아파트 가격이 오를까?</t>
  </si>
  <si>
    <t>https://blog.naver.com/PostView.naver?blogId=police1965&amp;logNo=223907535063&amp;redirect=Dlog&amp;widgetTypeCall=true&amp;directAccess=false</t>
  </si>
  <si>
    <t>미우새 윤시윤 집 위치 어디 크로스핏 단수 다이어트 차 자동차 재산 엄마 본명 리즈 김준호 신혼여행 울릉도 숙소 가격 크루즈 스포츠카 윤현민 최진혁</t>
  </si>
  <si>
    <t>https://blog.naver.com/PostView.naver?blogId=xxx2266_&amp;logNo=223907531033&amp;redirect=Dlog&amp;widgetTypeCall=true&amp;directAccess=false</t>
  </si>
  <si>
    <t>논산시 벌곡면 ‘온빛 자연휴양림’을 찾다</t>
  </si>
  <si>
    <t>https://blog.naver.com/PostView.naver?blogId=casj007&amp;logNo=223907527341&amp;redirect=Dlog&amp;widgetTypeCall=true&amp;directAccess=false</t>
  </si>
  <si>
    <t>조경태 "윤석열도 일반인처럼 체포하라"…국민의힘 내분 조짐</t>
  </si>
  <si>
    <t>https://blog.naver.com/PostView.naver?blogId=koolap&amp;logNo=223907526249&amp;redirect=Dlog&amp;widgetTypeCall=true&amp;directAccess=false</t>
  </si>
  <si>
    <t>wanderlust au</t>
  </si>
  <si>
    <t>이란 이스라엘 전쟁 | 미국의 이란 지하 핵시설 폭격</t>
  </si>
  <si>
    <t>https://blog.naver.com/PostView.naver?blogId=vyvy333&amp;logNo=223907525385&amp;redirect=Dlog&amp;widgetTypeCall=true&amp;directAccess=false</t>
  </si>
  <si>
    <t>26기 영호 슈데권 땄으면 현숙? 눈치 빠른 순자 반응, 나는솔로</t>
  </si>
  <si>
    <t>https://blog.naver.com/PostView.naver?blogId=shushu9988&amp;logNo=223907517137&amp;redirect=Dlog&amp;widgetTypeCall=true&amp;directAccess=false</t>
  </si>
  <si>
    <t>미노리</t>
  </si>
  <si>
    <t>2025년 상반기 최고 화제작 드라마 TOP5</t>
  </si>
  <si>
    <t>https://blog.naver.com/PostView.naver?blogId=m_nori&amp;logNo=223907489630&amp;redirect=Dlog&amp;widgetTypeCall=true&amp;directAccess=false</t>
  </si>
  <si>
    <t>KBO 2019년 신인드레프트. 원태인, 노시환, 송명기, 문보경, 이정용 등</t>
  </si>
  <si>
    <t>https://blog.naver.com/PostView.naver?blogId=abundious&amp;logNo=223907479741&amp;redirect=Dlog&amp;widgetTypeCall=true&amp;directAccess=false</t>
  </si>
  <si>
    <t>2020 한국시리즈 NC - 두산</t>
  </si>
  <si>
    <t>https://blog.naver.com/PostView.naver?blogId=abundious&amp;logNo=223907474229&amp;redirect=Dlog&amp;widgetTypeCall=true&amp;directAccess=false</t>
  </si>
  <si>
    <t>pej생각</t>
  </si>
  <si>
    <t>함양 현지인 맛집 달동네 식당~</t>
  </si>
  <si>
    <t>https://blog.naver.com/PostView.naver?blogId=pej00700&amp;logNo=223907462834&amp;redirect=Dlog&amp;widgetTypeCall=true&amp;directAccess=false</t>
  </si>
  <si>
    <t>송지효, 브랜드 잠옷 직접 착용하며 사업 근황 밝혀…“이제는 더 열심히”</t>
  </si>
  <si>
    <t>https://blog.naver.com/PostView.naver?blogId=news1star&amp;logNo=223907451734&amp;redirect=Dlog&amp;widgetTypeCall=true&amp;directAccess=false</t>
  </si>
  <si>
    <t>TV 동물농장 1227회</t>
  </si>
  <si>
    <t>https://blog.naver.com/PostView.naver?blogId=bizbank&amp;logNo=223907440779&amp;redirect=Dlog&amp;widgetTypeCall=true&amp;directAccess=false</t>
  </si>
  <si>
    <t>모부세</t>
  </si>
  <si>
    <t>버틸 수 있는 힘은 꾸준한 반복이다.</t>
  </si>
  <si>
    <t>https://blog.naver.com/PostView.naver?blogId=siwoo03&amp;logNo=223907431927&amp;redirect=Dlog&amp;widgetTypeCall=true&amp;directAccess=false</t>
  </si>
  <si>
    <t>SBS 드라마 추천 우리영화 4회 제하와 다음 격정의 키스</t>
  </si>
  <si>
    <t>https://blog.naver.com/PostView.naver?blogId=qksdydw12&amp;logNo=223907422912&amp;redirect=Dlog&amp;widgetTypeCall=true&amp;directAccess=false</t>
  </si>
  <si>
    <t>우리영화 4회 가랑비에 옷 젖듯 씬 넘버 30 키스 (SBS 드라마 추천)</t>
  </si>
  <si>
    <t>https://blog.naver.com/PostView.naver?blogId=ban1329&amp;logNo=223907404407&amp;redirect=Dlog&amp;widgetTypeCall=true&amp;directAccess=false</t>
  </si>
  <si>
    <t>귤먹자</t>
  </si>
  <si>
    <t>암사역 주민맛집 점심특선이 가성비 좋은 @풍촌코다리네 본점</t>
  </si>
  <si>
    <t>https://blog.naver.com/PostView.naver?blogId=torjdkdlel&amp;logNo=223907394660&amp;redirect=Dlog&amp;widgetTypeCall=true&amp;directAccess=false</t>
  </si>
  <si>
    <t>우리 영화 4회 줄거리 리뷰 4화 5회 결말 전여빈은 남궁민에게 키스하고!... 이설</t>
  </si>
  <si>
    <t>https://blog.naver.com/PostView.naver?blogId=ejtdltm&amp;logNo=223907353662&amp;redirect=Dlog&amp;widgetTypeCall=true&amp;directAccess=false</t>
  </si>
  <si>
    <t>드라마 우리영화 4회 줄거리 리뷰 : 빗 속 1분의 기적! 사랑을 모른다던 이제하 이다음에게 키스</t>
  </si>
  <si>
    <t>https://blog.naver.com/PostView.naver?blogId=ektha0108&amp;logNo=223907297863&amp;redirect=Dlog&amp;widgetTypeCall=true&amp;directAccess=false</t>
  </si>
  <si>
    <t>하늘쪽배</t>
  </si>
  <si>
    <t>🎬 [리뷰] ‘우리영화’ 4화 - 신예의 눈빛, 빗속의 키스, 그리고 묵직한 진심 + 5화 예고</t>
  </si>
  <si>
    <t>https://blog.naver.com/PostView.naver?blogId=roh119j&amp;logNo=223907292156&amp;redirect=Dlog&amp;widgetTypeCall=true&amp;directAccess=false</t>
  </si>
  <si>
    <t>style하다</t>
  </si>
  <si>
    <t>[혹시, 돈 얘기해도 될까요?] 실패와 좌절을 통해 성장하는 방법</t>
  </si>
  <si>
    <t>https://blog.naver.com/PostView.naver?blogId=style_hada&amp;logNo=223907270802&amp;redirect=Dlog&amp;widgetTypeCall=true&amp;directAccess=false</t>
  </si>
  <si>
    <t>강훈'과 사귄다던 지예은, "좋아하진 않아" 밀당 작렬 ('런닝맨')</t>
  </si>
  <si>
    <t>https://blog.naver.com/PostView.naver?blogId=atraxia123&amp;logNo=223907216612&amp;redirect=Dlog&amp;widgetTypeCall=true&amp;directAccess=false</t>
  </si>
  <si>
    <t>정보요정</t>
  </si>
  <si>
    <t>묻지마 살인 그것이 알고싶다 1448회 이지현 김성진 차철남 다만 악에서 구하소서 살인범의 플랜B</t>
  </si>
  <si>
    <t>https://blog.naver.com/PostView.naver?blogId=goatkisa&amp;logNo=223907175246&amp;redirect=Dlog&amp;widgetTypeCall=true&amp;directAccess=false</t>
  </si>
  <si>
    <t>Mongoose</t>
  </si>
  <si>
    <t>국내주식_카페24,SOOP</t>
  </si>
  <si>
    <t>https://blog.naver.com/PostView.naver?blogId=mongoose_96&amp;logNo=223907146800&amp;redirect=Dlog&amp;widgetTypeCall=true&amp;directAccess=false</t>
  </si>
  <si>
    <t>좋아해인</t>
  </si>
  <si>
    <t>한림산후조리원 라이프 기록</t>
  </si>
  <si>
    <t>https://blog.naver.com/PostView.naver?blogId=godls1224&amp;logNo=223907092535&amp;redirect=Dlog&amp;widgetTypeCall=true&amp;directAccess=false</t>
  </si>
  <si>
    <t>초혼 아니라 재혼고 괜찮아,,, 미우새 서장훈 흔든 배우 ‘장희진’ 프로필</t>
  </si>
  <si>
    <t>https://blog.naver.com/PostView.naver?blogId=universal_studeo&amp;logNo=223907090609&amp;redirect=Dlog&amp;widgetTypeCall=true&amp;directAccess=false</t>
  </si>
  <si>
    <t>그알 1448회 흉기 난동 살인 미스터리 서천 이지현 미아동 김성진 시흥 차철남</t>
  </si>
  <si>
    <t>https://blog.naver.com/PostView.naver?blogId=sirenmoon99&amp;logNo=223907041878&amp;redirect=Dlog&amp;widgetTypeCall=true&amp;directAccess=false</t>
  </si>
  <si>
    <t>나솔사계' 23기 영호의 역대급 플러팅 논란, 옥순 마음 흔들까?</t>
  </si>
  <si>
    <t>https://blog.naver.com/PostView.naver?blogId=macshorts&amp;logNo=223906254890&amp;redirect=Dlog&amp;widgetTypeCall=true&amp;directAccess=false</t>
  </si>
  <si>
    <t>이란 핵농축물질... 이미 숨겨놨다...</t>
  </si>
  <si>
    <t>https://blog.naver.com/PostView.naver?blogId=sabbaton&amp;logNo=223906985768&amp;redirect=Dlog&amp;widgetTypeCall=true&amp;directAccess=false</t>
  </si>
  <si>
    <t>강원도 영월 실내 가볼만한곳 체험형 놀거리 데이트 추천 아이랑 가기도 좋은 라디오스타박물관</t>
  </si>
  <si>
    <t>https://blog.naver.com/PostView.naver?blogId=silu_&amp;logNo=223906946309&amp;redirect=Dlog&amp;widgetTypeCall=true&amp;directAccess=false</t>
  </si>
  <si>
    <t>MSLION</t>
  </si>
  <si>
    <t>주식투자 필독서 40 - 차영주</t>
  </si>
  <si>
    <t>https://blog.naver.com/PostView.naver?blogId=uihansol&amp;logNo=223906935567&amp;redirect=Dlog&amp;widgetTypeCall=true&amp;directAccess=false</t>
  </si>
  <si>
    <t>25기 영철, 17기 옥순 아닌 19기 정숙과 현실 커플 된 이유</t>
  </si>
  <si>
    <t>https://blog.naver.com/PostView.naver?blogId=hhwjh&amp;logNo=223906925119&amp;redirect=Dlog&amp;widgetTypeCall=true&amp;directAccess=false</t>
  </si>
  <si>
    <t>초초</t>
  </si>
  <si>
    <t>개미핥기</t>
  </si>
  <si>
    <t>우리영화 전여빈 남궁민 이설 키스 장면 목격 3회 시청률</t>
  </si>
  <si>
    <t>https://blog.naver.com/PostView.naver?blogId=somedayview&amp;logNo=223906867418&amp;redirect=Dlog&amp;widgetTypeCall=true&amp;directAccess=false</t>
  </si>
  <si>
    <t>차철남·김성진·이지현, 이들은 왜 칼을 들었나…'그것이 알고 싶다' 추적 (+시흥, 미아동, 서천, 흉기살해, 그알)</t>
  </si>
  <si>
    <t>https://blog.naver.com/PostView.naver?blogId=minsimnews&amp;logNo=223906861895&amp;redirect=Dlog&amp;widgetTypeCall=true&amp;directAccess=false</t>
  </si>
  <si>
    <t>나솔사계 25기 영호 24기 정숙 현커 될까? 현재 댓글 반응</t>
  </si>
  <si>
    <t>https://blog.naver.com/PostView.naver?blogId=shushu9988&amp;logNo=223906800450&amp;redirect=Dlog&amp;widgetTypeCall=true&amp;directAccess=false</t>
  </si>
  <si>
    <t>불꽃야구 전용 플랫폼 오픈, 모든 회차 보는 방법 생겼다!</t>
  </si>
  <si>
    <t>https://blog.naver.com/PostView.naver?blogId=baekhw1&amp;logNo=223906780443&amp;redirect=Dlog&amp;widgetTypeCall=true&amp;directAccess=false</t>
  </si>
  <si>
    <t>우리영화 3회+4회~제하는 자신도 모르게 다음의 머리를 쓰다듬고~조금씩 서로에게 스며드는 제하 감독과 배우 이다음</t>
  </si>
  <si>
    <t>https://blog.naver.com/PostView.naver?blogId=ninano33&amp;logNo=223906777928&amp;redirect=Dlog&amp;widgetTypeCall=true&amp;directAccess=false</t>
  </si>
  <si>
    <t>나는솔로 26기 현숙 취했어? 광수 차 탔지만 최종선택 아니야</t>
  </si>
  <si>
    <t>https://blog.naver.com/PostView.naver?blogId=shushu9988&amp;logNo=223906676006&amp;redirect=Dlog&amp;widgetTypeCall=true&amp;directAccess=false</t>
  </si>
  <si>
    <t>SBS ‘TV동물농장’에서 최초 공개! 달콤한 팝콘 향 나는 희귀 동물 ‘빈투롱’</t>
  </si>
  <si>
    <t>https://blog.naver.com/PostView.naver?blogId=socerdjdj&amp;logNo=223906658422&amp;redirect=Dlog&amp;widgetTypeCall=true&amp;directAccess=false</t>
  </si>
  <si>
    <t>70명 신청했는데…김수민 전 아나운서, 북토크 현장서 전한 솔직한 심경은?</t>
  </si>
  <si>
    <t>https://blog.naver.com/PostView.naver?blogId=socerdjdj&amp;logNo=223906649616&amp;redirect=Dlog&amp;widgetTypeCall=true&amp;directAccess=false</t>
  </si>
  <si>
    <t>태즈</t>
  </si>
  <si>
    <t>우리영화.</t>
  </si>
  <si>
    <t>https://blog.naver.com/PostView.naver?blogId=rupinkimami&amp;logNo=223906597011&amp;redirect=Dlog&amp;widgetTypeCall=true&amp;directAccess=false</t>
  </si>
  <si>
    <t>수영복 입은 이 여자 누구냐…폼 미친 일상 근황 공개</t>
  </si>
  <si>
    <t>https://blog.naver.com/PostView.naver?blogId=hb_market_&amp;logNo=223897507137&amp;redirect=Dlog&amp;widgetTypeCall=true&amp;directAccess=false</t>
  </si>
  <si>
    <t>한우리</t>
  </si>
  <si>
    <t>[제주] 제주시맛집 제주공항맛집 대원가에서 비주얼 대박에 맛도 대박인 활전복해물탕의 매력에 빠지다.</t>
  </si>
  <si>
    <t>https://blog.naver.com/PostView.naver?blogId=pknsol&amp;logNo=223906586382&amp;redirect=Dlog&amp;widgetTypeCall=true&amp;directAccess=false</t>
  </si>
  <si>
    <t>‘나는 SOLO’ 26기, 최종 선택 앞두고 끝까지 ‘핑크빛 난기류’</t>
  </si>
  <si>
    <t>https://blog.naver.com/PostView.naver?blogId=kstarfashion&amp;logNo=223906563328&amp;redirect=Dlog&amp;widgetTypeCall=true&amp;directAccess=false</t>
  </si>
  <si>
    <t>Etoile</t>
  </si>
  <si>
    <t>[여름방학] 제주 여행 1-3 연돈</t>
  </si>
  <si>
    <t>https://blog.naver.com/PostView.naver?blogId=te99097&amp;logNo=223905440467&amp;redirect=Dlog&amp;widgetTypeCall=true&amp;directAccess=false</t>
  </si>
  <si>
    <t>밀러</t>
  </si>
  <si>
    <t>다시 바빠진 드라마 라이프 (미지의 서울, 우리영화, 굿보이, 노무사 노무진)</t>
  </si>
  <si>
    <t>https://blog.naver.com/PostView.naver?blogId=miller77&amp;logNo=223906526206&amp;redirect=Dlog&amp;widgetTypeCall=true&amp;directAccess=false</t>
  </si>
  <si>
    <t>이선빈 이광수 런닝맨 비화｜유튜브 ‘지편한세상’ 깜짝 전화 연결｜8년차 커플의 솔직한 고백과 연애 시작 이야기</t>
  </si>
  <si>
    <t>https://blog.naver.com/PostView.naver?blogId=luxblue83&amp;logNo=223906521970&amp;redirect=Dlog&amp;widgetTypeCall=true&amp;directAccess=false</t>
  </si>
  <si>
    <t>성산조프로</t>
  </si>
  <si>
    <t>맥콜*모나용평 오픈 with sbs golf 시합에 출전!!</t>
  </si>
  <si>
    <t>https://blog.naver.com/PostView.naver?blogId=ssgolfacademy&amp;logNo=223906512640&amp;redirect=Dlog&amp;widgetTypeCall=true&amp;directAccess=false</t>
  </si>
  <si>
    <t>현역 해병대, 비비탄 1시간 난사 강아지 사망 동물학대.. 예비역도 분노 결국 서명 운동까지</t>
  </si>
  <si>
    <t>https://blog.naver.com/PostView.naver?blogId=qmffndis777&amp;logNo=223906505486&amp;redirect=Dlog&amp;widgetTypeCall=true&amp;directAccess=false</t>
  </si>
  <si>
    <t>우화등선</t>
  </si>
  <si>
    <t>전국민에게 민생지원금</t>
  </si>
  <si>
    <t>https://blog.naver.com/PostView.naver?blogId=clearinghouse&amp;logNo=223906419571&amp;redirect=Dlog&amp;widgetTypeCall=true&amp;directAccess=false</t>
  </si>
  <si>
    <t>우리 영화 3회 줄거리 리뷰 3화 4회 결말 남궁민은 이설과 입맞추고!... 전여빈 이다음 이제하</t>
  </si>
  <si>
    <t>https://blog.naver.com/PostView.naver?blogId=ejtdltm&amp;logNo=223906405167&amp;redirect=Dlog&amp;widgetTypeCall=true&amp;directAccess=false</t>
  </si>
  <si>
    <t>대장</t>
  </si>
  <si>
    <t>동탄/마리에뜨</t>
  </si>
  <si>
    <t>https://blog.naver.com/PostView.naver?blogId=for40&amp;logNo=223901529089&amp;redirect=Dlog&amp;widgetTypeCall=true&amp;directAccess=false</t>
  </si>
  <si>
    <t>나는솔로 26기, 상철을 둘러싼 치열한 러브 배틀! 영자 vs 정숙, 누가 웃을까?</t>
  </si>
  <si>
    <t>https://blog.naver.com/PostView.naver?blogId=macshorts&amp;logNo=223905118010&amp;redirect=Dlog&amp;widgetTypeCall=true&amp;directAccess=false</t>
  </si>
  <si>
    <t>스이</t>
  </si>
  <si>
    <t>내가 배우고 싶은 것을 배운다는 것은</t>
  </si>
  <si>
    <t>https://blog.naver.com/PostView.naver?blogId=homseuihom&amp;logNo=223906381516&amp;redirect=Dlog&amp;widgetTypeCall=true&amp;directAccess=false</t>
  </si>
  <si>
    <t>우리영화 3화 줄거리 이다음 채서영 엇갈린 운명 3회 + 4화 sbs드라마</t>
  </si>
  <si>
    <t>https://blog.naver.com/PostView.naver?blogId=euene1111&amp;logNo=223906370517&amp;redirect=Dlog&amp;widgetTypeCall=true&amp;directAccess=false</t>
  </si>
  <si>
    <t>‘지볶행’ 24기 영식이 180도 변했다</t>
  </si>
  <si>
    <t>https://blog.naver.com/PostView.naver?blogId=atraxia123&amp;logNo=223906348308&amp;redirect=Dlog&amp;widgetTypeCall=true&amp;directAccess=false</t>
  </si>
  <si>
    <t>경제 단어 공부_20250620 (3)</t>
  </si>
  <si>
    <t>https://blog.naver.com/PostView.naver?blogId=tyu1100&amp;logNo=223906323105&amp;redirect=Dlog&amp;widgetTypeCall=true&amp;directAccess=false</t>
  </si>
  <si>
    <t>https://blog.naver.com/PostView.naver?blogId=yang83529&amp;logNo=223906321100&amp;redirect=Dlog&amp;widgetTypeCall=true&amp;directAccess=false</t>
  </si>
  <si>
    <t>시연맘</t>
  </si>
  <si>
    <t>부평시장맛집 부평꽈배기 대왕호떡&amp;꽈배기 '대왕호떡&amp;대왕꽈배기&amp;야채고로케'</t>
  </si>
  <si>
    <t>https://blog.naver.com/PostView.naver?blogId=motorola40&amp;logNo=223906320874&amp;redirect=Dlog&amp;widgetTypeCall=true&amp;directAccess=false</t>
  </si>
  <si>
    <t>콩이후야사랑</t>
  </si>
  <si>
    <t>25기 영철 19기 정숙 현커 목격담 뭐야? 나는솔로 그후 사랑은 계속된다</t>
  </si>
  <si>
    <t>https://blog.naver.com/PostView.naver?blogId=shushu9988&amp;logNo=223906182139&amp;redirect=Dlog&amp;widgetTypeCall=true&amp;directAccess=false</t>
  </si>
  <si>
    <t>[연신내] 국물이 진하고 깊은 연신내 라멘 맛집ㅣ멘야다이고미 본점</t>
  </si>
  <si>
    <t>https://blog.naver.com/PostView.naver?blogId=sye__0&amp;logNo=223906281806&amp;redirect=Dlog&amp;widgetTypeCall=true&amp;directAccess=false</t>
  </si>
  <si>
    <t>썸머르</t>
  </si>
  <si>
    <t>서울 간장게장 맛집 - 본가진미간장게장 잠실 한정식</t>
  </si>
  <si>
    <t>https://blog.naver.com/PostView.naver?blogId=summerr_rr&amp;logNo=223906265015&amp;redirect=Dlog&amp;widgetTypeCall=true&amp;directAccess=false</t>
  </si>
  <si>
    <t>로빈슨 2세(가상 세계)</t>
  </si>
  <si>
    <t>https://blog.naver.com/PostView.naver?blogId=kukyou&amp;logNo=223906230973&amp;redirect=Dlog&amp;widgetTypeCall=true&amp;directAccess=false</t>
  </si>
  <si>
    <t>지볶행 24기 영식 충격 폭로 내가 옥순 걷어찼다? 레전드 몽골행</t>
  </si>
  <si>
    <t>https://blog.naver.com/PostView.naver?blogId=lalabandlala&amp;logNo=223906221454&amp;redirect=Dlog&amp;widgetTypeCall=true&amp;directAccess=false</t>
  </si>
  <si>
    <t>오니 onnnie</t>
  </si>
  <si>
    <t>소바 맛집 찾는다면? 삼동 소바 방문기ㅣ 삼동 소바 서청주점</t>
  </si>
  <si>
    <t>https://blog.naver.com/PostView.naver?blogId=wonnnie-&amp;logNo=223906184003&amp;redirect=Dlog&amp;widgetTypeCall=true&amp;directAccess=false</t>
  </si>
  <si>
    <t>반병신</t>
  </si>
  <si>
    <t>유튜브 영상 만들때 음악이나 효과음, 편집들이 대단하다</t>
  </si>
  <si>
    <t>https://blog.naver.com/PostView.naver?blogId=nicole9262&amp;logNo=223906162683&amp;redirect=Dlog&amp;widgetTypeCall=true&amp;directAccess=false</t>
  </si>
  <si>
    <t>배우 이미숙, 이혼 18년 이후도 프리 라이프 “결혼? 글쎄요” 결혼과 공개</t>
  </si>
  <si>
    <t>https://blog.naver.com/PostView.naver?blogId=celebnews&amp;logNo=223906096933&amp;redirect=Dlog&amp;widgetTypeCall=true&amp;directAccess=false</t>
  </si>
  <si>
    <t>나는 솔로 26기 순자♥영호, 여지만 주는 그의 속마음은?</t>
  </si>
  <si>
    <t>https://blog.naver.com/PostView.naver?blogId=macshorts&amp;logNo=223905042292&amp;redirect=Dlog&amp;widgetTypeCall=true&amp;directAccess=false</t>
  </si>
  <si>
    <t>블마</t>
  </si>
  <si>
    <t>24기 옥순 찼다는 영식 결국 손절 선언 지지고 볶는 여행 지볶행</t>
  </si>
  <si>
    <t>https://blog.naver.com/PostView.naver?blogId=bloodmark&amp;logNo=223906083305&amp;redirect=Dlog&amp;widgetTypeCall=true&amp;directAccess=false</t>
  </si>
  <si>
    <t>우리영화 무슨병? 전여빈 시한부 병명 주인공 연기할까, 3회 SBS 금토드라마</t>
  </si>
  <si>
    <t>https://blog.naver.com/PostView.naver?blogId=chummilmil99&amp;logNo=223906077966&amp;redirect=Dlog&amp;widgetTypeCall=true&amp;directAccess=false</t>
  </si>
  <si>
    <t>민지</t>
  </si>
  <si>
    <t>원주(횡성)공항 근처 분위기있는 식당카페, 내돈내산 [ 남매카페 ]</t>
  </si>
  <si>
    <t>https://blog.naver.com/PostView.naver?blogId=gwj05031&amp;logNo=223906063639&amp;redirect=Dlog&amp;widgetTypeCall=true&amp;directAccess=false</t>
  </si>
  <si>
    <t>[중년러브]유치원가서 '흔들린 우정' 부른 아빠 '홍경민'</t>
  </si>
  <si>
    <t>https://blog.naver.com/PostView.naver?blogId=xonezoom&amp;logNo=223906057450&amp;redirect=Dlog&amp;widgetTypeCall=true&amp;directAccess=false</t>
  </si>
  <si>
    <t>도서출판 지성사</t>
  </si>
  <si>
    <t>AI는 민주주의 도구일까?</t>
  </si>
  <si>
    <t>https://blog.naver.com/PostView.naver?blogId=jisungsabook&amp;logNo=223906024345&amp;redirect=Dlog&amp;widgetTypeCall=true&amp;directAccess=false</t>
  </si>
  <si>
    <t>지미미</t>
  </si>
  <si>
    <t>즐겨듣는 라디오</t>
  </si>
  <si>
    <t>https://blog.naver.com/PostView.naver?blogId=jimimi-reco&amp;logNo=223905935500&amp;redirect=Dlog&amp;widgetTypeCall=true&amp;directAccess=false</t>
  </si>
  <si>
    <t>SBS TV동물농장, 국내에 단 3마리뿐! 달달한 팝콘 향이 나는 ‘빈투롱’</t>
  </si>
  <si>
    <t>https://blog.naver.com/PostView.naver?blogId=hmknews&amp;logNo=223905999314&amp;redirect=Dlog&amp;widgetTypeCall=true&amp;directAccess=false</t>
  </si>
  <si>
    <t>SBS 그것이 알고싶다, 다만 악에서 구하소서 - 살인마들의 플랜 B</t>
  </si>
  <si>
    <t>https://blog.naver.com/PostView.naver?blogId=hmknews&amp;logNo=223905996878&amp;redirect=Dlog&amp;widgetTypeCall=true&amp;directAccess=false</t>
  </si>
  <si>
    <t>나는솔로SOLO 26기 영숙 영수 현커설 진짜 최종커플 스포 둘이 사귀나?</t>
  </si>
  <si>
    <t>https://blog.naver.com/PostView.naver?blogId=schwabingstory&amp;logNo=223905984052&amp;redirect=Dlog&amp;widgetTypeCall=true&amp;directAccess=false</t>
  </si>
  <si>
    <t>인학당</t>
  </si>
  <si>
    <t>380조 날리고 20년도 날렸다...'아이없는 나라' 세계 1위</t>
  </si>
  <si>
    <t>https://blog.naver.com/PostView.naver?blogId=hic1013&amp;logNo=223905957606&amp;redirect=Dlog&amp;widgetTypeCall=true&amp;directAccess=false</t>
  </si>
  <si>
    <t>고양워치독</t>
  </si>
  <si>
    <t>킨텍스, 전시 넘어 글로벌 복합콘텐츠 플랫폼으로 영토 확장</t>
  </si>
  <si>
    <t>https://blog.naver.com/PostView.naver?blogId=gywatchdog&amp;logNo=223905955102&amp;redirect=Dlog&amp;widgetTypeCall=true&amp;directAccess=false</t>
  </si>
  <si>
    <t>나는솔로 6기 영숙 영철 둘째 득남 축하메시지 쇄도 셋째는?</t>
  </si>
  <si>
    <t>https://blog.naver.com/PostView.naver?blogId=porto7979&amp;logNo=223905939863&amp;redirect=Dlog&amp;widgetTypeCall=true&amp;directAccess=false</t>
  </si>
  <si>
    <t>Lotte Giants lover</t>
  </si>
  <si>
    <t>“웬디가 시구한다고? 사직에서 열리는 진짜 여름 축제, 크러시 페스티벌!”</t>
  </si>
  <si>
    <t>https://blog.naver.com/PostView.naver?blogId=lotte_giants4668&amp;logNo=223905918617&amp;redirect=Dlog&amp;widgetTypeCall=true&amp;directAccess=false</t>
  </si>
  <si>
    <t>26기 광수 나 같은 사람 구하기 힘들다고? 현숙 현커 가능할까, 나는솔로 예능추천</t>
  </si>
  <si>
    <t>https://blog.naver.com/PostView.naver?blogId=shushu9988&amp;logNo=223905876162&amp;redirect=Dlog&amp;widgetTypeCall=true&amp;directAccess=false</t>
  </si>
  <si>
    <t>다꾸다식</t>
  </si>
  <si>
    <t>[드라마 추천] 여름에 생각나는 드라마</t>
  </si>
  <si>
    <t>https://blog.naver.com/PostView.naver?blogId=seulgik12&amp;logNo=223905845609&amp;redirect=Dlog&amp;widgetTypeCall=true&amp;directAccess=false</t>
  </si>
  <si>
    <t>장희진·서장훈' 대놓고 플러팅 몸 좋고 재혼도 OK "핑크빛 분위기"</t>
  </si>
  <si>
    <t>https://blog.naver.com/PostView.naver?blogId=joayozzang&amp;logNo=223905759241&amp;redirect=Dlog&amp;widgetTypeCall=true&amp;directAccess=false</t>
  </si>
  <si>
    <t>정숙, 19기 고독 정식 확정… 대체 왜? 모태솔로 … 충격적인 이유 (+나는솔로, 결혼, 반전)</t>
  </si>
  <si>
    <t>https://blog.naver.com/PostView.naver?blogId=ovonews&amp;logNo=223905743151&amp;redirect=Dlog&amp;widgetTypeCall=true&amp;directAccess=false</t>
  </si>
  <si>
    <t>JIYOUUUU</t>
  </si>
  <si>
    <t>울산소바맛집 , 생활의 달인에 소개된 메밀소바 _ 0618</t>
  </si>
  <si>
    <t>https://blog.naver.com/PostView.naver?blogId=jyu_2023&amp;logNo=223903411309&amp;redirect=Dlog&amp;widgetTypeCall=true&amp;directAccess=false</t>
  </si>
  <si>
    <t>드라마 황후의 품격 정보 출연진 줄거리 리뷰</t>
  </si>
  <si>
    <t>https://blog.naver.com/PostView.naver?blogId=lit_raon&amp;logNo=223900682391&amp;redirect=Dlog&amp;widgetTypeCall=true&amp;directAccess=false</t>
  </si>
  <si>
    <t>17기 옥순 누나? 25기 영수 24기 광수 데이트, 영철은 왜 조용? 나솔사계</t>
  </si>
  <si>
    <t>https://blog.naver.com/PostView.naver?blogId=shushu9988&amp;logNo=223905637780&amp;redirect=Dlog&amp;widgetTypeCall=true&amp;directAccess=false</t>
  </si>
  <si>
    <t>나는솔로 19기 정숙 드디어 25기 영철과 손잡고 모솔 탈출 나솔사계 현커? 그후 사랑은 계속된다</t>
  </si>
  <si>
    <t>https://blog.naver.com/PostView.naver?blogId=chummilmil99&amp;logNo=223905629030&amp;redirect=Dlog&amp;widgetTypeCall=true&amp;directAccess=false</t>
  </si>
  <si>
    <t>나는솔로SOLO 26기 현숙 광수 최종커플 스포 현커 후 빛과 같이 결별한 이유?</t>
  </si>
  <si>
    <t>https://blog.naver.com/PostView.naver?blogId=schwabingstory&amp;logNo=223905628307&amp;redirect=Dlog&amp;widgetTypeCall=true&amp;directAccess=false</t>
  </si>
  <si>
    <t>KBO 2025.06.20(금) 삼성 라이온즈 : 롯데 자이언츠 프리뷰</t>
  </si>
  <si>
    <t>https://blog.naver.com/PostView.naver?blogId=k_reporter_&amp;logNo=223905605647&amp;redirect=Dlog&amp;widgetTypeCall=true&amp;directAccess=false</t>
  </si>
  <si>
    <t>"내연녀와 성관계 2시간 후 친구 딸 성폭행 목적 유인 살해"..&lt;2018 강진 여고생 삭발 살인사건의 전말&gt;</t>
  </si>
  <si>
    <t>https://blog.naver.com/PostView.naver?blogId=englishmaninty&amp;logNo=223905602650&amp;redirect=Dlog&amp;widgetTypeCall=true&amp;directAccess=false</t>
  </si>
  <si>
    <t>🐔20250621 🐨</t>
  </si>
  <si>
    <t>https://blog.naver.com/PostView.naver?blogId=psw140126&amp;logNo=223905598783&amp;redirect=Dlog&amp;widgetTypeCall=true&amp;directAccess=false</t>
  </si>
  <si>
    <t>호아플</t>
  </si>
  <si>
    <t>서울호서예술실용전문학교 2025학년도 1학기 장학금 수여식 현장!</t>
  </si>
  <si>
    <t>https://blog.naver.com/PostView.naver?blogId=shoseoart&amp;logNo=223905596319&amp;redirect=Dlog&amp;widgetTypeCall=true&amp;directAccess=false</t>
  </si>
  <si>
    <t>[나솔사계] 17기 옥순, 남출 3표받자 미소 "25기 영철 친근감들지만 정적길어"</t>
  </si>
  <si>
    <t>https://blog.naver.com/PostView.naver?blogId=goodlife_me&amp;logNo=223905595504&amp;redirect=Dlog&amp;widgetTypeCall=true&amp;directAccess=false</t>
  </si>
  <si>
    <t>나는솔로 26기 현숙 욕먹는이유? 26광수라이팅 부담 집착남 둘이 현커해라</t>
  </si>
  <si>
    <t>https://blog.naver.com/PostView.naver?blogId=porto7979&amp;logNo=223905587461&amp;redirect=Dlog&amp;widgetTypeCall=true&amp;directAccess=false</t>
  </si>
  <si>
    <t>파로스</t>
  </si>
  <si>
    <t>창원 진주 마산 김해 부산 결혼정보 회사 혼인성사 잘 된다는 이곳</t>
  </si>
  <si>
    <t>https://blog.naver.com/PostView.naver?blogId=duvisnet&amp;logNo=223905586838&amp;redirect=Dlog&amp;widgetTypeCall=true&amp;directAccess=false</t>
  </si>
  <si>
    <t>호텔방 진드기 수십 마리(대구). 투숙 일가족 4명 병원 치료받아...</t>
  </si>
  <si>
    <t>https://blog.naver.com/PostView.naver?blogId=bingoshim&amp;logNo=223905505454&amp;redirect=Dlog&amp;widgetTypeCall=true&amp;directAccess=false</t>
  </si>
  <si>
    <t>육상 카리나 김민지 솔로지옥5 출연 확정, 제2의 이관희?</t>
  </si>
  <si>
    <t>https://blog.naver.com/PostView.naver?blogId=allaboutball&amp;logNo=223905491588&amp;redirect=Dlog&amp;widgetTypeCall=true&amp;directAccess=false</t>
  </si>
  <si>
    <t>송파박 내부통제</t>
  </si>
  <si>
    <t>태영 손자회사 스튜디오프리즘, 증손회사 SBS 미디어넷 주식 소유...시정명령</t>
  </si>
  <si>
    <t>https://blog.naver.com/PostView.naver?blogId=songpha69&amp;logNo=223905485530&amp;redirect=Dlog&amp;widgetTypeCall=true&amp;directAccess=false</t>
  </si>
  <si>
    <t>공정위, 손자회사 행위제한규정 위반한 스튜디오프리즘 제재</t>
  </si>
  <si>
    <t>https://blog.naver.com/PostView.naver?blogId=infostock2018&amp;logNo=223905428511&amp;redirect=Dlog&amp;widgetTypeCall=true&amp;directAccess=false</t>
  </si>
  <si>
    <t>소득상위 10%는 15만원, 일반 국민은 최대 52만원 민생소비쿠폰 전격 해부</t>
  </si>
  <si>
    <t>https://blog.naver.com/PostView.naver?blogId=geonupapa&amp;logNo=223905419875&amp;redirect=Dlog&amp;widgetTypeCall=true&amp;directAccess=false</t>
  </si>
  <si>
    <t>티빙 웨이브 통합 가시화...더블이용권 출시+공정위 조건부 승인...넷플릭스-쿠팡 넘어설까? (리뷰)</t>
  </si>
  <si>
    <t>https://blog.naver.com/PostView.naver?blogId=jazzkid&amp;logNo=223905418579&amp;redirect=Dlog&amp;widgetTypeCall=true&amp;directAccess=false</t>
  </si>
  <si>
    <t>러닝메이트 (2025) 8부작 2025년 6월 19일</t>
  </si>
  <si>
    <t>https://blog.naver.com/PostView.naver?blogId=youseok0&amp;logNo=223905414436&amp;redirect=Dlog&amp;widgetTypeCall=true&amp;directAccess=false</t>
  </si>
  <si>
    <t>‘나솔사계’ 17기 옥순, 최종 선택 없던 이유는…“확신이 없었다”</t>
  </si>
  <si>
    <t>https://blog.naver.com/PostView.naver?blogId=reviewangel&amp;logNo=223905384336&amp;redirect=Dlog&amp;widgetTypeCall=true&amp;directAccess=false</t>
  </si>
  <si>
    <t>모세의 기적' 캠페인의 계기가 된 한 구조 현장, '꼬꼬무'에서 재조명</t>
  </si>
  <si>
    <t>https://blog.naver.com/PostView.naver?blogId=reviewjoa&amp;logNo=223905377458&amp;redirect=Dlog&amp;widgetTypeCall=true&amp;directAccess=false</t>
  </si>
  <si>
    <t>네비도</t>
  </si>
  <si>
    <t>[수원 tv방영 맛집] 수원 칼국수 맛집 -  행궁동의 &lt;행궁칼국수&gt;</t>
  </si>
  <si>
    <t>https://blog.naver.com/PostView.naver?blogId=suwon_hs&amp;logNo=223904748632&amp;redirect=Dlog&amp;widgetTypeCall=true&amp;directAccess=false</t>
  </si>
  <si>
    <t>많이 본 축구 뉴스</t>
  </si>
  <si>
    <t>https://blog.naver.com/PostView.naver?blogId=c1c1b1b1&amp;logNo=223905342712&amp;redirect=Dlog&amp;widgetTypeCall=true&amp;directAccess=false</t>
  </si>
  <si>
    <t>17기 옥순, 드디어 터졌다 인기 폭발 19기 정숙은 왜…?! 나솔사계 데이트 선택 결과 초토화 (+솔로민박, 로맨스, 반전)</t>
  </si>
  <si>
    <t>https://blog.naver.com/PostView.naver?blogId=ovonews&amp;logNo=223905334878&amp;redirect=Dlog&amp;widgetTypeCall=true&amp;directAccess=false</t>
  </si>
  <si>
    <t>2025 인카금융 슈퍼볼링 국제오픈 스페셜 매치 ‘조영선-김효미’ 우승</t>
  </si>
  <si>
    <t>https://blog.naver.com/PostView.naver?blogId=3658290&amp;logNo=223905298466&amp;redirect=Dlog&amp;widgetTypeCall=true&amp;directAccess=false</t>
  </si>
  <si>
    <t>17기 옥순, 드디어 올 것이 왔다 인기 폭발! 그런데 19기 정숙은… 충격의 0표? 나솔사계 데이트 선택 결과, 반전과 파란의 연속 (+나솔사계, 옥순, 정숙)</t>
  </si>
  <si>
    <t>https://blog.naver.com/PostView.naver?blogId=qoswlfdl-&amp;logNo=223905289658&amp;redirect=Dlog&amp;widgetTypeCall=true&amp;directAccess=false</t>
  </si>
  <si>
    <t>19기 정숙, 대체 무슨 일이? "나솔사계" 자장면 데이트…결국 고독정식 확정? (+외모 논란, 엇갈린 반응, 최종 선택)</t>
  </si>
  <si>
    <t>https://blog.naver.com/PostView.naver?blogId=qoswlfdl-&amp;logNo=223905280560&amp;redirect=Dlog&amp;widgetTypeCall=true&amp;directAccess=false</t>
  </si>
  <si>
    <t>tiver21</t>
  </si>
  <si>
    <t>[현장] 한국 언론사 최초 '이스라엘 입성'…"발사체 격추 소리" 현장 상황 / SBS 8뉴스........추잡스럽게 생색낼려면 이란수도 테헤란에 들어가서 내던가...</t>
  </si>
  <si>
    <t>https://blog.naver.com/PostView.naver?blogId=tiver21&amp;logNo=223905275469&amp;redirect=Dlog&amp;widgetTypeCall=true&amp;directAccess=false</t>
  </si>
  <si>
    <t>나는 솔로 26기 현숙의 광수 선택, 주입식 세뇌교육의 충격적 효과?</t>
  </si>
  <si>
    <t>https://blog.naver.com/PostView.naver?blogId=macshorts&amp;logNo=223905018501&amp;redirect=Dlog&amp;widgetTypeCall=true&amp;directAccess=false</t>
  </si>
  <si>
    <t>홀라</t>
  </si>
  <si>
    <t>남궁민 우리영화 등장 인물관계도 재방송 OTT 몇부작 드라마 일까?</t>
  </si>
  <si>
    <t>https://blog.naver.com/PostView.naver?blogId=me_travel&amp;logNo=223905046567&amp;redirect=Dlog&amp;widgetTypeCall=true&amp;directAccess=false</t>
  </si>
  <si>
    <t>생물학자</t>
  </si>
  <si>
    <t>V리그 여자배구 2025 - 2026 시즌 전력 변화 Preview 페퍼 저축은행</t>
  </si>
  <si>
    <t>https://blog.naver.com/PostView.naver?blogId=yujiniworld&amp;logNo=223905070611&amp;redirect=Dlog&amp;widgetTypeCall=true&amp;directAccess=false</t>
  </si>
  <si>
    <t>나는솔로 17기 옥순 나이 더 많아? 25기 영수 24기 광수야 누나라고 부르지마! 나솔사계 목요일예능</t>
  </si>
  <si>
    <t>https://blog.naver.com/PostView.naver?blogId=chummilmil99&amp;logNo=223905250672&amp;redirect=Dlog&amp;widgetTypeCall=true&amp;directAccess=false</t>
  </si>
  <si>
    <t>나솔사계 118회 17기 옥순 다대일 데이트 24기 정숙 25기 영호 해금강 모터보트 최커 기대 재방송</t>
  </si>
  <si>
    <t>https://blog.naver.com/PostView.naver?blogId=mlkway153&amp;logNo=223905247278&amp;redirect=Dlog&amp;widgetTypeCall=true&amp;directAccess=false</t>
  </si>
  <si>
    <t>도도한뮤즈</t>
  </si>
  <si>
    <t>오늘 6월17일~18 2025대한민국정원산업박람회진주에서 연주</t>
  </si>
  <si>
    <t>https://blog.naver.com/PostView.naver?blogId=jks6727&amp;logNo=223905240222&amp;redirect=Dlog&amp;widgetTypeCall=true&amp;directAccess=false</t>
  </si>
  <si>
    <t>꼬꼬무 180회 리뷰 좌우로 좀 비켜 주세요 모세의기적</t>
  </si>
  <si>
    <t>https://blog.naver.com/PostView.naver?blogId=sjh823&amp;logNo=223905231351&amp;redirect=Dlog&amp;widgetTypeCall=true&amp;directAccess=false</t>
  </si>
  <si>
    <t>꼬리에 꼬리를 무는 그날 이야기(줄여서 꼬꼬무) 제 180화 - 시간과의 사투 운명을 건 6시간 편 리뷰</t>
  </si>
  <si>
    <t>https://blog.naver.com/PostView.naver?blogId=ham6870&amp;logNo=223905230290&amp;redirect=Dlog&amp;widgetTypeCall=true&amp;directAccess=false</t>
  </si>
  <si>
    <t>머니버스</t>
  </si>
  <si>
    <t>🔥[나는 SOLO 26기] 광수, 순자 향한 집착과 강요…도 넘은 스킨쉽에 시청자들 '분노' 그리고 반전</t>
  </si>
  <si>
    <t>https://blog.naver.com/PostView.naver?blogId=deonbrow&amp;logNo=223911804555&amp;redirect=Dlog&amp;widgetTypeCall=true&amp;directAccess=false</t>
  </si>
  <si>
    <t>The GOM</t>
  </si>
  <si>
    <t>인간사 쩐의 전쟁</t>
  </si>
  <si>
    <t>https://blog.naver.com/PostView.naver?blogId=estpgom&amp;logNo=223911792074&amp;redirect=Dlog&amp;widgetTypeCall=true&amp;directAccess=false</t>
  </si>
  <si>
    <t>골때리는그녀들' 발라드림, 패했지만 6강 진출 vs 월드클라쓰, 이겼지만 멸망전 추락 (골때녀 리뷰)</t>
  </si>
  <si>
    <t>https://blog.naver.com/PostView.naver?blogId=jazzkid&amp;logNo=223911772627&amp;redirect=Dlog&amp;widgetTypeCall=true&amp;directAccess=false</t>
  </si>
  <si>
    <t>‘나는솔로’ 26기 광수, 여과없는 경솔 발언으로 뭇매...“현숙·정숙 집이 못살아서”</t>
  </si>
  <si>
    <t>https://blog.naver.com/PostView.naver?blogId=newswa_official&amp;logNo=223911695540&amp;redirect=Dlog&amp;widgetTypeCall=true&amp;directAccess=false</t>
  </si>
  <si>
    <t>홍스코스</t>
  </si>
  <si>
    <t>설탕이 다이어리 - SBS뉴스 출연</t>
  </si>
  <si>
    <t>https://blog.naver.com/PostView.naver?blogId=hongscos&amp;logNo=223911695455&amp;redirect=Dlog&amp;widgetTypeCall=true&amp;directAccess=false</t>
  </si>
  <si>
    <t>[속보] 법원, 김용현 전 국방부 장관 구속영장 전격 발부…‘12·3 비상계엄’ 수사 급물살</t>
  </si>
  <si>
    <t>https://blog.naver.com/PostView.naver?blogId=sisaissue&amp;logNo=223911677031&amp;redirect=Dlog&amp;widgetTypeCall=true&amp;directAccess=false</t>
  </si>
  <si>
    <t>진화한 공포가 돌아왔다… 영화 ‘28년 후’, 콘텐츠 통합 랭킹 1위</t>
  </si>
  <si>
    <t>https://blog.naver.com/PostView.naver?blogId=wemakenews&amp;logNo=223911666865&amp;redirect=Dlog&amp;widgetTypeCall=true&amp;directAccess=false</t>
  </si>
  <si>
    <t>하니</t>
  </si>
  <si>
    <t>부엉님 김재봉</t>
  </si>
  <si>
    <t>금오산 정상 올라야 친견하는 - 구미 금오산 마애여래입상</t>
  </si>
  <si>
    <t>https://blog.naver.com/PostView.naver?blogId=kjbpso&amp;logNo=223911647568&amp;redirect=Dlog&amp;widgetTypeCall=true&amp;directAccess=false</t>
  </si>
  <si>
    <t>류수영 "눈물이 날 것 같아" 결혼 8년 만에 마침내 ♡ 박하선 "포기했더니 드디어  레시피 를 담은 책을 발간하며 감동했다</t>
  </si>
  <si>
    <t>https://blog.naver.com/PostView.naver?blogId=ksm9663&amp;logNo=223911642045&amp;redirect=Dlog&amp;widgetTypeCall=true&amp;directAccess=false</t>
  </si>
  <si>
    <t>나는솔로 26기 207회: 광수의 폭주와 논란, 최종 선택의 대혼란!</t>
  </si>
  <si>
    <t>https://blog.naver.com/PostView.naver?blogId=macshorts&amp;logNo=223911619705&amp;redirect=Dlog&amp;widgetTypeCall=true&amp;directAccess=false</t>
  </si>
  <si>
    <t>“나솔 영철, 설마 그럴 리가?충격의 성폭행 논란 전말</t>
  </si>
  <si>
    <t>https://blog.naver.com/PostView.naver?blogId=macshorts&amp;logNo=223911586609&amp;redirect=Dlog&amp;widgetTypeCall=true&amp;directAccess=false</t>
  </si>
  <si>
    <t>진진아</t>
  </si>
  <si>
    <t>26기 정숙 저 싫어하세요? 나는솔로 비하인드 공개, 순자 경수 영숙</t>
  </si>
  <si>
    <t>https://blog.naver.com/PostView.naver?blogId=shushu9988&amp;logNo=223911436158&amp;redirect=Dlog&amp;widgetTypeCall=true&amp;directAccess=false</t>
  </si>
  <si>
    <t>망고스무디</t>
  </si>
  <si>
    <t>신성록 뮤지컬</t>
  </si>
  <si>
    <t>https://blog.naver.com/PostView.naver?blogId=qkrdudtnr97&amp;logNo=223911588218&amp;redirect=Dlog&amp;widgetTypeCall=true&amp;directAccess=false</t>
  </si>
  <si>
    <t>땃쥐</t>
  </si>
  <si>
    <t>나솔 26기 광수</t>
  </si>
  <si>
    <t>https://blog.naver.com/PostView.naver?blogId=yumi20501&amp;logNo=223911542456&amp;redirect=Dlog&amp;widgetTypeCall=true&amp;directAccess=false</t>
  </si>
  <si>
    <t>네잎 클로버</t>
  </si>
  <si>
    <t>♤~ [ - - SBS.뉴스 - - ] - - 😥 저렴한 가격으로 승부한다..!!?? ' 패션 - 계 - 육식 🦕 공룡 ' - 중국 🇨🇳알리/ 쉬인 - - 상륙..;;;😥</t>
  </si>
  <si>
    <t>https://blog.naver.com/PostView.naver?blogId=lucky7clover4&amp;logNo=223911532705&amp;redirect=Dlog&amp;widgetTypeCall=true&amp;directAccess=false</t>
  </si>
  <si>
    <t>이대표</t>
  </si>
  <si>
    <t>🗞️ “이사 전날 밤, 전 코바크린 덕분에 잠이 왔어요”- 파주입주청소</t>
  </si>
  <si>
    <t>https://blog.naver.com/PostView.naver?blogId=doehfltmzb&amp;logNo=223911520681&amp;redirect=Dlog&amp;widgetTypeCall=true&amp;directAccess=false</t>
  </si>
  <si>
    <t>나는솔로 26기 광수 드디어 입 열다 새벽까지 현숙에게… 대체 무슨 일이? (+데이트, 세뇌, 최종선택)</t>
  </si>
  <si>
    <t>https://blog.naver.com/PostView.naver?blogId=ovonews&amp;logNo=223911513479&amp;redirect=Dlog&amp;widgetTypeCall=true&amp;directAccess=false</t>
  </si>
  <si>
    <t>전여빈, 시한부 청춘의 찬란한 순간을 담다…‘우리영화’ 속 진정성 있는 연기로 시청자 울림</t>
  </si>
  <si>
    <t>https://blog.naver.com/PostView.naver?blogId=news1star&amp;logNo=223911459185&amp;redirect=Dlog&amp;widgetTypeCall=true&amp;directAccess=false</t>
  </si>
  <si>
    <t>치킨플러스</t>
  </si>
  <si>
    <t>[야구는 치고 달려라] 2025 KBO 6월 셋째주 프로야구 순위 리뷰 변수로 작용할 날씨, 장마로 쉬어가거나, 더위와 싸우거나 야구는 결국 이겨야 한다.</t>
  </si>
  <si>
    <t>https://blog.naver.com/PostView.naver?blogId=chickenplus__officia&amp;logNo=223911437372&amp;redirect=Dlog&amp;widgetTypeCall=true&amp;directAccess=false</t>
  </si>
  <si>
    <t>나는 솔로' 26기 광수, 출연자 비하 발언 논란…경솔한 인터뷰 내용에 비판 쇄도</t>
  </si>
  <si>
    <t>https://blog.naver.com/PostView.naver?blogId=apahghfej&amp;logNo=223911381108&amp;redirect=Dlog&amp;widgetTypeCall=true&amp;directAccess=false</t>
  </si>
  <si>
    <t>mr0226</t>
  </si>
  <si>
    <t>SBS 우리영화 202506</t>
  </si>
  <si>
    <t>https://blog.naver.com/PostView.naver?blogId=mr0226&amp;logNo=223911373135&amp;redirect=Dlog&amp;widgetTypeCall=true&amp;directAccess=false</t>
  </si>
  <si>
    <t>경기도, 전국에서 첫 '주 4.5일제' 시범사업 진행 / SBS / 실시간 e 뉴스</t>
  </si>
  <si>
    <t>https://blog.naver.com/PostView.naver?blogId=xman4776&amp;logNo=223911372228&amp;redirect=Dlog&amp;widgetTypeCall=true&amp;directAccess=false</t>
  </si>
  <si>
    <t>나는 솔로' 25기 출연 박씨, 성폭행 구속…스킨십 논란 재조명 (+영철, 준강간, 주차장, 마포, 박재홍, 인스타그램)</t>
  </si>
  <si>
    <t>https://blog.naver.com/PostView.naver?blogId=minsimnews&amp;logNo=223911361817&amp;redirect=Dlog&amp;widgetTypeCall=true&amp;directAccess=false</t>
  </si>
  <si>
    <t>“아이 갖고 싶어서”…이상민, 결혼 3개월 만에 혼인신고한 속사정</t>
  </si>
  <si>
    <t>https://blog.naver.com/PostView.naver?blogId=apahghfej&amp;logNo=223911361378&amp;redirect=Dlog&amp;widgetTypeCall=true&amp;directAccess=false</t>
  </si>
  <si>
    <t>나는솔로 26기 광수 현숙 세뇌 압박 새벽까지 최종선택 할거지?</t>
  </si>
  <si>
    <t>https://blog.naver.com/PostView.naver?blogId=odmwd2&amp;logNo=223911356542&amp;redirect=Dlog&amp;widgetTypeCall=true&amp;directAccess=false</t>
  </si>
  <si>
    <t>26기 광수 드디어 미쳤나 현숙 정숙 향한 충격 발언 "집안 수준이…" 역대급 막말 논란 (+나는솔로, 26기, 출연자 논란)</t>
  </si>
  <si>
    <t>https://blog.naver.com/PostView.naver?blogId=minha051126&amp;logNo=223911329931&amp;redirect=Dlog&amp;widgetTypeCall=true&amp;directAccess=false</t>
  </si>
  <si>
    <t>나는솔로 23기 영호야 너 뭐 돼? 21기 옥순한테 플러팅 좀 해봐요, 그후 사랑은 계속된다</t>
  </si>
  <si>
    <t>https://blog.naver.com/PostView.naver?blogId=chummilmil99&amp;logNo=223911326705&amp;redirect=Dlog&amp;widgetTypeCall=true&amp;directAccess=false</t>
  </si>
  <si>
    <t>우리영화 드라마 재방송 ott 다시보기 줄거리 요약</t>
  </si>
  <si>
    <t>https://blog.naver.com/PostView.naver?blogId=somedayview&amp;logNo=223911302409&amp;redirect=Dlog&amp;widgetTypeCall=true&amp;directAccess=false</t>
  </si>
  <si>
    <t>임팀장</t>
  </si>
  <si>
    <t>[ 불꽃야구 vs 인하대, 고척돔 직관 ] 고척돔 주차 꿀팁 및 음식점 추천, 백소정 / 불꽃야구 직관 티켓 예매, 불꽃야구 굿즈 ⚾️⊹ ‧₊˚🏟️ / 감독님 드디어 보았다 👀</t>
  </si>
  <si>
    <t>https://blog.naver.com/PostView.naver?blogId=dmsgod8866&amp;logNo=223911250548&amp;redirect=Dlog&amp;widgetTypeCall=true&amp;directAccess=false</t>
  </si>
  <si>
    <t>광수 “26기 전부 오냐오냐 자란 애들”…‘나솔’ 또 출연자 비하 논란</t>
  </si>
  <si>
    <t>https://blog.naver.com/PostView.naver?blogId=picklenews&amp;logNo=223911248265&amp;redirect=Dlog&amp;widgetTypeCall=true&amp;directAccess=false</t>
  </si>
  <si>
    <t>김홍도, 신윤복 일대기!' sbs 수목드라마 바람의 화원 등장인물 박신양 문근영 문채원 넷플릭스 2000년대 추억의 힐링 한국 사극 로맨스 종영 역사 코미디 드라마 추천</t>
  </si>
  <si>
    <t>https://blog.naver.com/PostView.naver?blogId=kws3128pdm&amp;logNo=223911177149&amp;redirect=Dlog&amp;widgetTypeCall=true&amp;directAccess=false</t>
  </si>
  <si>
    <t>모두도움</t>
  </si>
  <si>
    <t>나는솔로공식입장, 성폭행 구속 박씨 통편집 '책임 통감'</t>
  </si>
  <si>
    <t>https://blog.naver.com/PostView.naver?blogId=modudoum&amp;logNo=223911174935&amp;redirect=Dlog&amp;widgetTypeCall=true&amp;directAccess=false</t>
  </si>
  <si>
    <t>나는솔로 25기 영철 20대 여성 성폭행 혐의 체포 SNS 비공개</t>
  </si>
  <si>
    <t>https://blog.naver.com/PostView.naver?blogId=odmwd2&amp;logNo=223911169047&amp;redirect=Dlog&amp;widgetTypeCall=true&amp;directAccess=false</t>
  </si>
  <si>
    <t>나는솔로 ㅇㅊ, 성폭행 의혹으로 SNS 폐쇄 및 방송 통편집</t>
  </si>
  <si>
    <t>https://blog.naver.com/PostView.naver?blogId=forever4forest&amp;logNo=223911138695&amp;redirect=Dlog&amp;widgetTypeCall=true&amp;directAccess=false</t>
  </si>
  <si>
    <t>동상이몽2·배우 송재희 지소연 모델·직업·시험관·자녀·쌍둥이 성별·자격증·사업 광고대행사?⭐️집 아파트·프로필·해병대·가족·종교·차</t>
  </si>
  <si>
    <t>https://blog.naver.com/PostView.naver?blogId=lilycole2006&amp;logNo=223911129679&amp;redirect=Dlog&amp;widgetTypeCall=true&amp;directAccess=false</t>
  </si>
  <si>
    <t>나는 솔로' 성폭행 혐의 출연자, 결국 다시보기 중단…제작진 "책임 통감, 편집·삭제 조치"</t>
  </si>
  <si>
    <t>https://blog.naver.com/PostView.naver?blogId=lsb3002&amp;logNo=223911092054&amp;redirect=Dlog&amp;widgetTypeCall=true&amp;directAccess=false</t>
  </si>
  <si>
    <t>25기 영수 영철 광수 드디어 입 열다 나솔사계 단체 시청 후 … 충격 근황 공개 영철 비공개 전환 진짜 이유 (+나솔사계, 남출 근황, 시청 후기)</t>
  </si>
  <si>
    <t>https://blog.naver.com/PostView.naver?blogId=qoswlfdl-&amp;logNo=223911088258&amp;redirect=Dlog&amp;widgetTypeCall=true&amp;directAccess=false</t>
  </si>
  <si>
    <t>tom golf</t>
  </si>
  <si>
    <t>나는솔로 17기 옥순, 통편집 이유는 25기 영철 구속 때문? … 축구선수 박재홍까지 불똥 튄 충격적인 진실 (+나는솔로, 옥순, 영철)</t>
  </si>
  <si>
    <t>https://blog.naver.com/PostView.naver?blogId=qoswlfdl-&amp;logNo=223911076075&amp;redirect=Dlog&amp;widgetTypeCall=true&amp;directAccess=false</t>
  </si>
  <si>
    <t>o떤딘이o</t>
  </si>
  <si>
    <t>관평동맛집 미몽 대전관평점 – 대전유성맛집 중식으로 딱인 곳관평동중식 찾는다면 여기부터 체크하세요</t>
  </si>
  <si>
    <t>https://blog.naver.com/PostView.naver?blogId=mooagongja&amp;logNo=223911070381&amp;redirect=Dlog&amp;widgetTypeCall=true&amp;directAccess=false</t>
  </si>
  <si>
    <t>이문세 그녀의 웃음 소리뿐 너는 무슨말을 말을 했던가</t>
  </si>
  <si>
    <t>https://blog.naver.com/PostView.naver?blogId=bara25&amp;logNo=223911052386&amp;redirect=Dlog&amp;widgetTypeCall=true&amp;directAccess=false</t>
  </si>
  <si>
    <t>자몽</t>
  </si>
  <si>
    <t>불꽃야구 두번째 직관</t>
  </si>
  <si>
    <t>https://blog.naver.com/PostView.naver?blogId=twilight_cat&amp;logNo=223911042789&amp;redirect=Dlog&amp;widgetTypeCall=true&amp;directAccess=false</t>
  </si>
  <si>
    <t>충성</t>
  </si>
  <si>
    <t>https://blog.naver.com/PostView.naver?blogId=dy981212&amp;logNo=223911037721&amp;redirect=Dlog&amp;widgetTypeCall=true&amp;directAccess=false</t>
  </si>
  <si>
    <t>나는솔로 박모씨 구속 최대한 방송 편집 삭제 예정</t>
  </si>
  <si>
    <t>https://blog.naver.com/PostView.naver?blogId=pkeunyoo&amp;logNo=223911011309&amp;redirect=Dlog&amp;widgetTypeCall=true&amp;directAccess=false</t>
  </si>
  <si>
    <t>태정지기</t>
  </si>
  <si>
    <t>“나는 솔로” 25기 A씨 음주운전 논란 심층 분석</t>
  </si>
  <si>
    <t>https://blog.naver.com/PostView.naver?blogId=wjsenghks1567&amp;logNo=223911010367&amp;redirect=Dlog&amp;widgetTypeCall=true&amp;directAccess=false</t>
  </si>
  <si>
    <t>배우 류준열, UAA 전속계약 소속 아티스트 라인업</t>
  </si>
  <si>
    <t>https://blog.naver.com/PostView.naver?blogId=88labstory&amp;logNo=223910981429&amp;redirect=Dlog&amp;widgetTypeCall=true&amp;directAccess=false</t>
  </si>
  <si>
    <t>이경규 “공황장애 약 먹고 운전…내 실수였다” 첫 입장 (+약물운전, 절도오해, 공황장애, 예능대부, 인스타그램)</t>
  </si>
  <si>
    <t>https://blog.naver.com/PostView.naver?blogId=minsimnews&amp;logNo=223910979704&amp;redirect=Dlog&amp;widgetTypeCall=true&amp;directAccess=false</t>
  </si>
  <si>
    <t>‘나는 솔로’ 25기 박재홍, 성폭행 의혹 중심에…SNS 돌연 비공개 전환</t>
  </si>
  <si>
    <t>https://blog.naver.com/PostView.naver?blogId=yunys4303&amp;logNo=223910966924&amp;redirect=Dlog&amp;widgetTypeCall=true&amp;directAccess=false</t>
  </si>
  <si>
    <t>뽀둥이</t>
  </si>
  <si>
    <t>용리단길점심맛집 용산타코 맛집을 찾는다면 더타코부스 신용산점</t>
  </si>
  <si>
    <t>https://blog.naver.com/PostView.naver?blogId=happyluckybora&amp;logNo=223910966234&amp;redirect=Dlog&amp;widgetTypeCall=true&amp;directAccess=false</t>
  </si>
  <si>
    <t>뽀기뽁뽁</t>
  </si>
  <si>
    <t>day824) 무속 열풍?</t>
  </si>
  <si>
    <t>https://blog.naver.com/PostView.naver?blogId=yanink&amp;logNo=223910932934&amp;redirect=Dlog&amp;widgetTypeCall=true&amp;directAccess=false</t>
  </si>
  <si>
    <t>원당캐릭터그리기학원, 내 그림이 달라지기 시작했다</t>
  </si>
  <si>
    <t>https://blog.naver.com/PostView.naver?blogId=minyanioe&amp;logNo=223910909370&amp;redirect=Dlog&amp;widgetTypeCall=true&amp;directAccess=false</t>
  </si>
  <si>
    <t>상범이</t>
  </si>
  <si>
    <t>LG 스마트폰 업데이트 서버 폐쇄</t>
  </si>
  <si>
    <t>https://blog.naver.com/PostView.naver?blogId=sangbum000&amp;logNo=223910877287&amp;redirect=Dlog&amp;widgetTypeCall=true&amp;directAccess=false</t>
  </si>
  <si>
    <t>시호</t>
  </si>
  <si>
    <t>코미디언 김준호 김지민 커플 서울 강남의 5성급 그랜드 인터컨티넨탈 파르나스 호텔 최소 8000만 원 '억 소리' 나는 예식 성대한 결혼식을 올린다!!</t>
  </si>
  <si>
    <t>https://blog.naver.com/PostView.naver?blogId=sh435500&amp;logNo=223910415091&amp;redirect=Dlog&amp;widgetTypeCall=true&amp;directAccess=false</t>
  </si>
  <si>
    <t>전지현 강동원 배우에 '아가씨' 작가까지? 디플 북극성 기대 이유</t>
  </si>
  <si>
    <t>https://blog.naver.com/PostView.naver?blogId=jeje-_-&amp;logNo=223910816367&amp;redirect=Dlog&amp;widgetTypeCall=true&amp;directAccess=false</t>
  </si>
  <si>
    <t>임채원변호사, 2025 대한민국 충효 대상 수상</t>
  </si>
  <si>
    <t>https://blog.naver.com/PostView.naver?blogId=goldizzim&amp;logNo=223910809033&amp;redirect=Dlog&amp;widgetTypeCall=true&amp;directAccess=false</t>
  </si>
  <si>
    <t>원피스 1153화 로키의 탄생편 짧은 스포일러의 장</t>
  </si>
  <si>
    <t>https://blog.naver.com/PostView.naver?blogId=ham6870&amp;logNo=223910788957&amp;redirect=Dlog&amp;widgetTypeCall=true&amp;directAccess=false</t>
  </si>
  <si>
    <t>걸스데이 민아, 걸그룹 이미지 벗고 굴착기 도전… 숨겨둔 … 반전 매력 폭발?! (+자격증, 인스타, 나무위키)</t>
  </si>
  <si>
    <t>https://blog.naver.com/PostView.naver?blogId=ovonews&amp;logNo=223910788618&amp;redirect=Dlog&amp;widgetTypeCall=true&amp;directAccess=false</t>
  </si>
  <si>
    <t>YH</t>
  </si>
  <si>
    <t>[가산디지털단지 맛집] 김명태 매운갈비찜 가산점 : 명태조림</t>
  </si>
  <si>
    <t>https://blog.naver.com/PostView.naver?blogId=largo--&amp;logNo=223910779061&amp;redirect=Dlog&amp;widgetTypeCall=true&amp;directAccess=false</t>
  </si>
  <si>
    <t>우리영화 4화 남궁민 전여빈 키스신이 다했다</t>
  </si>
  <si>
    <t>https://blog.naver.com/PostView.naver?blogId=jeje-_-&amp;logNo=223910206883&amp;redirect=Dlog&amp;widgetTypeCall=true&amp;directAccess=false</t>
  </si>
  <si>
    <t>쏘랭이</t>
  </si>
  <si>
    <t>KLPGA, "맥콜.모나용평 오픈 with SBS Golf" 개최 소식</t>
  </si>
  <si>
    <t>https://blog.naver.com/PostView.naver?blogId=pib1022&amp;logNo=223910756825&amp;redirect=Dlog&amp;widgetTypeCall=true&amp;directAccess=false</t>
  </si>
  <si>
    <t>김태희, 올케 절친과 골프 고깃집까지</t>
  </si>
  <si>
    <t>https://blog.naver.com/PostView.naver?blogId=owen8591&amp;logNo=223910374948&amp;redirect=Dlog&amp;widgetTypeCall=true&amp;directAccess=false</t>
  </si>
  <si>
    <t>자생자결</t>
  </si>
  <si>
    <t>[사건사고]나는 솔로 출연자  25기 영철 성폭행 혐의로 구속</t>
  </si>
  <si>
    <t>https://blog.naver.com/PostView.naver?blogId=sungjin8754&amp;logNo=223910745527&amp;redirect=Dlog&amp;widgetTypeCall=true&amp;directAccess=false</t>
  </si>
  <si>
    <t>25기 나는솔로 영철, 그녀의 SNS 폐쇄 이유… 충격적인 박 씨 성폭행 논란? (+인스타, 나무위키, 작품활동)</t>
  </si>
  <si>
    <t>https://blog.naver.com/PostView.naver?blogId=ovonews&amp;logNo=223910723941&amp;redirect=Dlog&amp;widgetTypeCall=true&amp;directAccess=false</t>
  </si>
  <si>
    <t>성병 논란 이어 성폭행까지? '나는 솔로' 주요 논란 총정리</t>
  </si>
  <si>
    <t>https://blog.naver.com/PostView.naver?blogId=now_movie&amp;logNo=223910696936&amp;redirect=Dlog&amp;widgetTypeCall=true&amp;directAccess=false</t>
  </si>
  <si>
    <t>25기 나는 솔로 영철, 그녀를… 성폭행 혐의 충격 구속? (+데이트 폭력, 진실 공방, 출연자 논란)</t>
  </si>
  <si>
    <t>https://blog.naver.com/PostView.naver?blogId=ovonews&amp;logNo=223910652190&amp;redirect=Dlog&amp;widgetTypeCall=true&amp;directAccess=false</t>
  </si>
  <si>
    <t>미소요정</t>
  </si>
  <si>
    <t>홍일품 홍대게장무한리필, 맛과 친절 모두 갖춘 최강 맛집!</t>
  </si>
  <si>
    <t>https://blog.naver.com/PostView.naver?blogId=ug9fdu0pitt&amp;logNo=223908466378&amp;redirect=Dlog&amp;widgetTypeCall=true&amp;directAccess=false</t>
  </si>
  <si>
    <t>나는 솔로 26기: 상철의 최종 선택, 영자 vs 정숙 누가 될까?</t>
  </si>
  <si>
    <t>https://blog.naver.com/PostView.naver?blogId=macshorts&amp;logNo=223909183165&amp;redirect=Dlog&amp;widgetTypeCall=true&amp;directAccess=false</t>
  </si>
  <si>
    <t>자체 플랫폼을 오픈한 불꽃야구, 유튜브 문제 해결의 실마리</t>
  </si>
  <si>
    <t>https://blog.naver.com/PostView.naver?blogId=skyss99&amp;logNo=223910623468&amp;redirect=Dlog&amp;widgetTypeCall=true&amp;directAccess=false</t>
  </si>
  <si>
    <t>박주호 외국인 아내, ‘너 나은이가 너 같은 사람 만나면 좋겠어?’…아내의 말에 인생 바뀐 박주호</t>
  </si>
  <si>
    <t>https://blog.naver.com/PostView.naver?blogId=apahghfej&amp;logNo=223910616264&amp;redirect=Dlog&amp;widgetTypeCall=true&amp;directAccess=false</t>
  </si>
  <si>
    <t>스윙맨</t>
  </si>
  <si>
    <t>퇴직연금 의무화와 퇴직연금공단</t>
  </si>
  <si>
    <t>https://blog.naver.com/PostView.naver?blogId=holblack&amp;logNo=223910616617&amp;redirect=Dlog&amp;widgetTypeCall=true&amp;directAccess=false</t>
  </si>
  <si>
    <t>"또 터졌다" 나는솔로 출연자, 성폭행 혐의 구속…끊이지 않는 논란</t>
  </si>
  <si>
    <t>https://blog.naver.com/PostView.naver?blogId=apahghfej&amp;logNo=223910587840&amp;redirect=Dlog&amp;widgetTypeCall=true&amp;directAccess=false</t>
  </si>
  <si>
    <t>하원미, 헌팅포차 고백! “♥추신수 은퇴 후 하고 싶은 거 다 해봤다” 🍻</t>
  </si>
  <si>
    <t>https://blog.naver.com/PostView.naver?blogId=entoday1025&amp;logNo=223910572361&amp;redirect=Dlog&amp;widgetTypeCall=true&amp;directAccess=false</t>
  </si>
  <si>
    <t>체육부장</t>
  </si>
  <si>
    <t>대구 요리 맛의 승부사… 그 비법, 서초구에서 밝혀진다!? 생방송투데이 긴급 취재 (+맛집, 비법, 대구)</t>
  </si>
  <si>
    <t>https://blog.naver.com/PostView.naver?blogId=minha051126&amp;logNo=223910551989&amp;redirect=Dlog&amp;widgetTypeCall=true&amp;directAccess=false</t>
  </si>
  <si>
    <t>유루루</t>
  </si>
  <si>
    <t>M.B.G.A(make 바이오 great again!)</t>
  </si>
  <si>
    <t>https://blog.naver.com/PostView.naver?blogId=youlooloo&amp;logNo=223910547819&amp;redirect=Dlog&amp;widgetTypeCall=true&amp;directAccess=false</t>
  </si>
  <si>
    <t>‘나는 솔로’ 90년생 25기 영철, ‘나솔사계’ 출연 중 돌연 SNS 비공개</t>
  </si>
  <si>
    <t>https://blog.naver.com/PostView.naver?blogId=atraxia123&amp;logNo=223910542929&amp;redirect=Dlog&amp;widgetTypeCall=true&amp;directAccess=false</t>
  </si>
  <si>
    <t>미우새 윤시윤 모범택시 시즌3 역대급 캐릭터 암시?</t>
  </si>
  <si>
    <t>https://blog.naver.com/PostView.naver?blogId=ddo-play&amp;logNo=223910502123&amp;redirect=Dlog&amp;widgetTypeCall=true&amp;directAccess=false</t>
  </si>
  <si>
    <t>‘태권도 도시’ 춘천, 7월 세계태권도문화축제·코리아오픈으로 후끈</t>
  </si>
  <si>
    <t>https://blog.naver.com/PostView.naver?blogId=mooyepaper&amp;logNo=223910456994&amp;redirect=Dlog&amp;widgetTypeCall=true&amp;directAccess=false</t>
  </si>
  <si>
    <t>김다영 아나운서, 배성재 사로잡은 웨딩 사진…포장마차 소주 데이트 비하인드 스토리 (+배성재, 김다영 아나운서, 웨딩사진)</t>
  </si>
  <si>
    <t>https://blog.naver.com/PostView.naver?blogId=minha051126&amp;logNo=223910454075&amp;redirect=Dlog&amp;widgetTypeCall=true&amp;directAccess=false</t>
  </si>
  <si>
    <t>15</t>
  </si>
  <si>
    <t>250624</t>
  </si>
  <si>
    <t>https://blog.naver.com/PostView.naver?blogId=jyej015&amp;logNo=223910429980&amp;redirect=Dlog&amp;widgetTypeCall=true&amp;directAccess=false</t>
  </si>
  <si>
    <t>"면접인가요?" 나솔사계 118화, 17기 옥순의 다대일 데이트가 남긴 것</t>
  </si>
  <si>
    <t>https://blog.naver.com/PostView.naver?blogId=macshorts&amp;logNo=223907516647&amp;redirect=Dlog&amp;widgetTypeCall=true&amp;directAccess=false</t>
  </si>
  <si>
    <t>女배우, '10세 연상' 남편과 이혼 발표…</t>
  </si>
  <si>
    <t>https://blog.naver.com/PostView.naver?blogId=raspberry7322&amp;logNo=223909878669&amp;redirect=Dlog&amp;widgetTypeCall=true&amp;directAccess=false</t>
  </si>
  <si>
    <t>kehy2kk</t>
  </si>
  <si>
    <t>나는솔로 와 나솔사계 성폭행 남성 출연자, 25기 영철?정체 밝혀져...</t>
  </si>
  <si>
    <t>https://blog.naver.com/PostView.naver?blogId=kehy2k&amp;logNo=223910375289&amp;redirect=Dlog&amp;widgetTypeCall=true&amp;directAccess=false</t>
  </si>
  <si>
    <t>나는솔로' 10기 정숙,벌금 700만원 선고..폭행 등 혐의</t>
  </si>
  <si>
    <t>https://blog.naver.com/PostView.naver?blogId=bnmjkl20&amp;logNo=223910359630&amp;redirect=Dlog&amp;widgetTypeCall=true&amp;directAccess=false</t>
  </si>
  <si>
    <t>2화) 내 남자의 여자 : 잘못 했으면 웃지 말고 사과를 해</t>
  </si>
  <si>
    <t>https://blog.naver.com/PostView.naver?blogId=freespace-1&amp;logNo=223909197165&amp;redirect=Dlog&amp;widgetTypeCall=true&amp;directAccess=false</t>
  </si>
  <si>
    <t>나는솔로 나솔사계에 출연한 30대 성폭행범 박씨 누구? 제작진 입장 통편집 하겠다.</t>
  </si>
  <si>
    <t>https://blog.naver.com/PostView.naver?blogId=lalabandlala&amp;logNo=223910341296&amp;redirect=Dlog&amp;widgetTypeCall=true&amp;directAccess=false</t>
  </si>
  <si>
    <t>EditorK</t>
  </si>
  <si>
    <t>나는솔로' 출연 30대 남성 구속 준강간 성폭행 인스타 직업 학교 확산</t>
  </si>
  <si>
    <t>https://blog.naver.com/PostView.naver?blogId=mock2578&amp;logNo=223910332495&amp;redirect=Dlog&amp;widgetTypeCall=true&amp;directAccess=false</t>
  </si>
  <si>
    <t>나는솔로 출연자 성폭행 혐의로 긴급 체포 / 준강간 여자친구 과거사진 나솔사계 / 인스타그램 나솔사계 출연 제작진 25기영철 축구지도자 박재홍 주차장에서 20대 여성을 성폭행</t>
  </si>
  <si>
    <t>https://blog.naver.com/PostView.naver?blogId=mousezz12&amp;logNo=223910331768&amp;redirect=Dlog&amp;widgetTypeCall=true&amp;directAccess=false</t>
  </si>
  <si>
    <t>나솔사계 통편집 예고! 나는솔로 출연진 성폭행 혐의 구속 제작진 입장문</t>
  </si>
  <si>
    <t>https://blog.naver.com/PostView.naver?blogId=polianna825&amp;logNo=223910316492&amp;redirect=Dlog&amp;widgetTypeCall=true&amp;directAccess=false</t>
  </si>
  <si>
    <t>윤시윤 다이어트 뭐길래, 모범택시3 아직 멀었는데 주목받는 이유</t>
  </si>
  <si>
    <t>https://blog.naver.com/PostView.naver?blogId=chummilmil99&amp;logNo=223910312448&amp;redirect=Dlog&amp;widgetTypeCall=true&amp;directAccess=false</t>
  </si>
  <si>
    <t>나는솔로 10기 정숙, 뺨 6대 폭행에 벌금 700만원…법원 “공적 책임 무겁다”</t>
  </si>
  <si>
    <t>https://blog.naver.com/PostView.naver?blogId=picklenews&amp;logNo=223910301886&amp;redirect=Dlog&amp;widgetTypeCall=true&amp;directAccess=false</t>
  </si>
  <si>
    <t>희낙이</t>
  </si>
  <si>
    <t>[Ott 현명한 소비] 티빙+웨이브 더블 이용권 출시 기념 더블슬림 구독하기</t>
  </si>
  <si>
    <t>https://blog.naver.com/PostView.naver?blogId=rarity012&amp;logNo=223910288695&amp;redirect=Dlog&amp;widgetTypeCall=true&amp;directAccess=false</t>
  </si>
  <si>
    <t>에디터</t>
  </si>
  <si>
    <t>나는 솔로10기 정숙, 가품 이어 폭행,택시 시비로 뺨 6대 때려 벌금형</t>
  </si>
  <si>
    <t>https://blog.naver.com/PostView.naver?blogId=ljs1214mn&amp;logNo=223910286266&amp;redirect=Dlog&amp;widgetTypeCall=true&amp;directAccess=false</t>
  </si>
  <si>
    <t>나는솔로 출연자 박씨 정체 누구 준강가ㄴ 혐의 입건</t>
  </si>
  <si>
    <t>https://blog.naver.com/PostView.naver?blogId=pkeunyoo&amp;logNo=223910246925&amp;redirect=Dlog&amp;widgetTypeCall=true&amp;directAccess=false</t>
  </si>
  <si>
    <t>한울</t>
  </si>
  <si>
    <t>교대양꼬치 맛집 '한성양꼬치 교대2호점'</t>
  </si>
  <si>
    <t>https://blog.naver.com/PostView.naver?blogId=sung59222&amp;logNo=223910210444&amp;redirect=Dlog&amp;widgetTypeCall=true&amp;directAccess=false</t>
  </si>
  <si>
    <t>나는 솔로' 성폭행 혐의 남자가 25기 영철?!</t>
  </si>
  <si>
    <t>https://blog.naver.com/PostView.naver?blogId=alsgidz_pooh&amp;logNo=223910201913&amp;redirect=Dlog&amp;widgetTypeCall=true&amp;directAccess=false</t>
  </si>
  <si>
    <t>serider</t>
  </si>
  <si>
    <t>백종원 골목식당 출연 후 악플에 폐업한 사장</t>
  </si>
  <si>
    <t>https://blog.naver.com/PostView.naver?blogId=to-do-leader&amp;logNo=223910195025&amp;redirect=Dlog&amp;widgetTypeCall=true&amp;directAccess=false</t>
  </si>
  <si>
    <t>뿌까</t>
  </si>
  <si>
    <t>[나는솔로25기 긴급속보] 나솔25기 아카라카 신촌발바리 영철 SNS비공개 전환한 사연은 성범죄 연루 의혹</t>
  </si>
  <si>
    <t>https://blog.naver.com/PostView.naver?blogId=vivapucca&amp;logNo=223910192377&amp;redirect=Dlog&amp;widgetTypeCall=true&amp;directAccess=false</t>
  </si>
  <si>
    <t>달무늬책갈피</t>
  </si>
  <si>
    <t>커넥션 드라마, 범죄 스릴러의 새로운 물결과 친구의 비극적 우정</t>
  </si>
  <si>
    <t>https://blog.naver.com/PostView.naver?blogId=opinion8801&amp;logNo=223910192470&amp;redirect=Dlog&amp;widgetTypeCall=true&amp;directAccess=false</t>
  </si>
  <si>
    <t>[문화] '나는 솔로' 남성 출연자, 성폭행 혐의로 구속... 제작진 "확인 중"</t>
  </si>
  <si>
    <t>https://blog.naver.com/PostView.naver?blogId=parkcckr&amp;logNo=223910171073&amp;redirect=Dlog&amp;widgetTypeCall=true&amp;directAccess=false</t>
  </si>
  <si>
    <t>‘나는 SOLO’ 출연자, 주차장서 여성 준강간 혐의로 구속</t>
  </si>
  <si>
    <t>https://blog.naver.com/PostView.naver?blogId=mkm1226&amp;logNo=223910161320&amp;redirect=Dlog&amp;widgetTypeCall=true&amp;directAccess=false</t>
  </si>
  <si>
    <t>생방송투데이 혈관 건강을 지키는 콜레스테롤 수치 관리법 (3505회 요약)</t>
  </si>
  <si>
    <t>https://blog.naver.com/PostView.naver?blogId=hm_33&amp;logNo=223910158082&amp;redirect=Dlog&amp;widgetTypeCall=true&amp;directAccess=false</t>
  </si>
  <si>
    <t>나는솔로 25기 영철, 성폭행 구속설 확산…스킨십 논란까지 여론 폭발 (+직업, 나이)</t>
  </si>
  <si>
    <t>https://blog.naver.com/PostView.naver?blogId=picklenews&amp;logNo=223910148556&amp;redirect=Dlog&amp;widgetTypeCall=true&amp;directAccess=false</t>
  </si>
  <si>
    <t>[실시간 이슈] 나는솔로 성폭행 누구,나솔 25기 영철,퇴직금,카카오게임즈,전지현</t>
  </si>
  <si>
    <t>https://blog.naver.com/PostView.naver?blogId=junhoda1004&amp;logNo=223910145670&amp;redirect=Dlog&amp;widgetTypeCall=true&amp;directAccess=false</t>
  </si>
  <si>
    <t>나는솔로 10기 정숙, 뺨 6대 때리고 벌금 700만원…법원 “죄질 불량” (+나솔사계, 폭행 전력, 10기 출연, 대구 시비, 인스타그램)</t>
  </si>
  <si>
    <t>https://blog.naver.com/PostView.naver?blogId=minsimnews&amp;logNo=223910136427&amp;redirect=Dlog&amp;widgetTypeCall=true&amp;directAccess=false</t>
  </si>
  <si>
    <t>나는 솔로 출연자 성폭행 혐의로 구속, 누구야 ???</t>
  </si>
  <si>
    <t>https://blog.naver.com/PostView.naver?blogId=ilh0024&amp;logNo=223910133864&amp;redirect=Dlog&amp;widgetTypeCall=true&amp;directAccess=false</t>
  </si>
  <si>
    <t>입주청소 피해 증가… ‘추가 요금 청구’ 소비자 불만 커져후불제 입주청소 ‘코바크린’ 주목… 신뢰받는 이유는? - 의정부입주청소</t>
  </si>
  <si>
    <t>https://blog.naver.com/PostView.naver?blogId=myhoho88&amp;logNo=223910117696&amp;redirect=Dlog&amp;widgetTypeCall=true&amp;directAccess=false</t>
  </si>
  <si>
    <t>학천별</t>
  </si>
  <si>
    <t>1970년대 신안 바다에 보물선 있었던 거 앎?</t>
  </si>
  <si>
    <t>https://blog.naver.com/PostView.naver?blogId=smilinga&amp;logNo=223910044832&amp;redirect=Dlog&amp;widgetTypeCall=true&amp;directAccess=false</t>
  </si>
  <si>
    <t>아자비</t>
  </si>
  <si>
    <t>강다니엘 에피소드 활동</t>
  </si>
  <si>
    <t>https://blog.naver.com/PostView.naver?blogId=hjlim109&amp;logNo=223910043520&amp;redirect=Dlog&amp;widgetTypeCall=true&amp;directAccess=false</t>
  </si>
  <si>
    <t>사탄</t>
  </si>
  <si>
    <t>나는솔로 성폭행 혐의는 25기 영철이었나?</t>
  </si>
  <si>
    <t>https://blog.naver.com/PostView.naver?blogId=66satan6&amp;logNo=223910036132&amp;redirect=Dlog&amp;widgetTypeCall=true&amp;directAccess=false</t>
  </si>
  <si>
    <t>나는솔로 男 출연자 준강간 구속…주차장 성폭행 현행범 체포 충격</t>
  </si>
  <si>
    <t>https://blog.naver.com/PostView.naver?blogId=picklenews&amp;logNo=223910007622&amp;redirect=Dlog&amp;widgetTypeCall=true&amp;directAccess=false</t>
  </si>
  <si>
    <t>녹주고우</t>
  </si>
  <si>
    <t>텔레비전에 내가 나왔으면,</t>
  </si>
  <si>
    <t>https://blog.naver.com/PostView.naver?blogId=sks-0804&amp;logNo=223909924995&amp;redirect=Dlog&amp;widgetTypeCall=true&amp;directAccess=false</t>
  </si>
  <si>
    <t>나는 솔로' 출연진 남성 출연자 준강간 혐의로 구속, 박 모씨는 누구?</t>
  </si>
  <si>
    <t>https://blog.naver.com/PostView.naver?blogId=khjdjfeod3&amp;logNo=223909921476&amp;redirect=Dlog&amp;widgetTypeCall=true&amp;directAccess=false</t>
  </si>
  <si>
    <t>나는솔로 출연자, 성폭행 혐의로 긴급 체포</t>
  </si>
  <si>
    <t>https://blog.naver.com/PostView.naver?blogId=nimy07&amp;logNo=223909884795&amp;redirect=Dlog&amp;widgetTypeCall=true&amp;directAccess=false</t>
  </si>
  <si>
    <t>생활의 달인 후추 소금빵 에그타르트 원주 막국수_988회 정보</t>
  </si>
  <si>
    <t>https://blog.naver.com/PostView.naver?blogId=zephyros0&amp;logNo=223909715490&amp;redirect=Dlog&amp;widgetTypeCall=true&amp;directAccess=false</t>
  </si>
  <si>
    <t>나는솔로 25기 영철 갑작스런 인스타 비공개 "왜?"…축구선수 박재홍 누구? (+나솔, 성폭행 혐의, 마포, 주차장, 준강간, 인스타그램)</t>
  </si>
  <si>
    <t>https://blog.naver.com/PostView.naver?blogId=minsimnews&amp;logNo=223909874221&amp;redirect=Dlog&amp;widgetTypeCall=true&amp;directAccess=false</t>
  </si>
  <si>
    <t>나는솔로 출연한 남성, 성폭행 혐의, 준강간, 구속, 누구?</t>
  </si>
  <si>
    <t>https://blog.naver.com/PostView.naver?blogId=insidenews7&amp;logNo=223909867424&amp;redirect=Dlog&amp;widgetTypeCall=true&amp;directAccess=false</t>
  </si>
  <si>
    <t>안빈수분 흥부</t>
  </si>
  <si>
    <t>나는 솔로 30대 남성 출연자 박씨 서울 마포구 서교동 주차장 20대 여성 성폭행 혐의 체포</t>
  </si>
  <si>
    <t>https://blog.naver.com/PostView.naver?blogId=sbkim527&amp;logNo=223909861664&amp;redirect=Dlog&amp;widgetTypeCall=true&amp;directAccess=false</t>
  </si>
  <si>
    <t>나는솔로 출연자 성폭행 혐의로 구속, 30대 박씨 누구? (+25기 영철, 마포, 주차장, 준강간, 인스타그램)</t>
  </si>
  <si>
    <t>https://blog.naver.com/PostView.naver?blogId=minsimnews&amp;logNo=223909840503&amp;redirect=Dlog&amp;widgetTypeCall=true&amp;directAccess=false</t>
  </si>
  <si>
    <t>나는 솔로' 및 '나솔사계' 출연 30대 남성, 20대 여성 성폭행 혐의로 긴급 체포 및 구속</t>
  </si>
  <si>
    <t>https://blog.naver.com/PostView.naver?blogId=lsb3002&amp;logNo=223909837992&amp;redirect=Dlog&amp;widgetTypeCall=true&amp;directAccess=false</t>
  </si>
  <si>
    <t>‘나는 솔로’ 출연자 30대 박모씨, 20대 여성 성폭행 혐의로 구속…시청자 충격</t>
  </si>
  <si>
    <t>https://blog.naver.com/PostView.naver?blogId=yunys4303&amp;logNo=223909814265&amp;redirect=Dlog&amp;widgetTypeCall=true&amp;directAccess=false</t>
  </si>
  <si>
    <t>나솔 남자 출연자 준강간 혐의긴급 체포</t>
  </si>
  <si>
    <t>https://blog.naver.com/PostView.naver?blogId=yumi20501&amp;logNo=223909813010&amp;redirect=Dlog&amp;widgetTypeCall=true&amp;directAccess=false</t>
  </si>
  <si>
    <t>26기 정숙 질투 폭발? 영자 상철 최커 라방 현커 되나, 나는솔로</t>
  </si>
  <si>
    <t>https://blog.naver.com/PostView.naver?blogId=shushu9988&amp;logNo=223909802364&amp;redirect=Dlog&amp;widgetTypeCall=true&amp;directAccess=false</t>
  </si>
  <si>
    <t>"주차장서 성폭행"⋯'나는 솔로' 男 출연자, 준강간 혐의로 구속+25기 축구선수 영철?박씨라고 하니 이분만 생각나네</t>
  </si>
  <si>
    <t>https://blog.naver.com/PostView.naver?blogId=newlun&amp;logNo=223909791636&amp;redirect=Dlog&amp;widgetTypeCall=true&amp;directAccess=false</t>
  </si>
  <si>
    <t>차우민, 두 번째 팬미팅 ‘WRITTEN BY, 쉼표’ 개최…여름 한가운데 따뜻한 교감의 시간 예고</t>
  </si>
  <si>
    <t>https://blog.naver.com/PostView.naver?blogId=news1star&amp;logNo=223909785397&amp;redirect=Dlog&amp;widgetTypeCall=true&amp;directAccess=false</t>
  </si>
  <si>
    <t>나는 솔로' 이미지와 실제 극과 극 30대男 출연자 "준강간 혐의 구속"</t>
  </si>
  <si>
    <t>https://blog.naver.com/PostView.naver?blogId=joayozzang&amp;logNo=223909774702&amp;redirect=Dlog&amp;widgetTypeCall=true&amp;directAccess=false</t>
  </si>
  <si>
    <t>역사해체 정학장</t>
  </si>
  <si>
    <t>#아부 의 예술 arts of flattery</t>
  </si>
  <si>
    <t>https://blog.naver.com/PostView.naver?blogId=chungfam&amp;logNo=223909773770&amp;redirect=Dlog&amp;widgetTypeCall=true&amp;directAccess=false</t>
  </si>
  <si>
    <t>sbs 성남영 멘토</t>
  </si>
  <si>
    <t>광주게임UI/UX학원 3분이면 선택 기준이 달라지는 이유!</t>
  </si>
  <si>
    <t>https://blog.naver.com/PostView.naver?blogId=myong712&amp;logNo=223909763451&amp;redirect=Dlog&amp;widgetTypeCall=true&amp;directAccess=false</t>
  </si>
  <si>
    <t>배우 송재희, 연극 &lt;임대아파트&gt; ‘유정호’ 역으로 무대 복귀</t>
  </si>
  <si>
    <t>https://blog.naver.com/PostView.naver?blogId=seenedom&amp;logNo=223909746958&amp;redirect=Dlog&amp;widgetTypeCall=true&amp;directAccess=false</t>
  </si>
  <si>
    <t>‘백종원의 골목식당’ 빌런 7년 후… 원테이블, 악플에 무너진 삶 ‘오은영 스테이’서 고백</t>
  </si>
  <si>
    <t>https://blog.naver.com/PostView.naver?blogId=underwind-&amp;logNo=223909734939&amp;redirect=Dlog&amp;widgetTypeCall=true&amp;directAccess=false</t>
  </si>
  <si>
    <t>호로그</t>
  </si>
  <si>
    <t>목동 행복한백화점 맛집 추천! 일본 정통 돈까스 모모야 솔직리뷰</t>
  </si>
  <si>
    <t>https://blog.naver.com/PostView.naver?blogId=dhfbska11&amp;logNo=223909727354&amp;redirect=Dlog&amp;widgetTypeCall=true&amp;directAccess=false</t>
  </si>
  <si>
    <t>최우식, 블루 셔츠에 로퍼까지, 프렌치 감성 제대로 살린 공항 패션</t>
  </si>
  <si>
    <t>https://blog.naver.com/PostView.naver?blogId=kstarfashion&amp;logNo=223909717266&amp;redirect=Dlog&amp;widgetTypeCall=true&amp;directAccess=false</t>
  </si>
  <si>
    <t>yammi</t>
  </si>
  <si>
    <t>나는솔로 성폭행혐의 체포 누구일까 ? 25기</t>
  </si>
  <si>
    <t>https://blog.naver.com/PostView.naver?blogId=lovemi_yammi&amp;logNo=223909689615&amp;redirect=Dlog&amp;widgetTypeCall=true&amp;directAccess=false</t>
  </si>
  <si>
    <t>나는솔로 나솔 성폭행 혐의 체포 나는솔로 박씨누구일까 ?</t>
  </si>
  <si>
    <t>https://blog.naver.com/PostView.naver?blogId=lovemi_yammi&amp;logNo=223909674797&amp;redirect=Dlog&amp;widgetTypeCall=true&amp;directAccess=false</t>
  </si>
  <si>
    <t>나는 SOLO' 26기 영수·영숙, 5년 만의 애프터는 결국 파국? "뭔가 삐그덕 하는 느낌"</t>
  </si>
  <si>
    <t>https://blog.naver.com/PostView.naver?blogId=qjtejrjf&amp;logNo=223909200351&amp;redirect=Dlog&amp;widgetTypeCall=true&amp;directAccess=false</t>
  </si>
  <si>
    <t>독자 플랫폼으로 홀로서기…‘불꽃야구’, 스튜디오C1 통해 본격 행보 시작</t>
  </si>
  <si>
    <t>https://blog.naver.com/PostView.naver?blogId=news1star&amp;logNo=223909588384&amp;redirect=Dlog&amp;widgetTypeCall=true&amp;directAccess=false</t>
  </si>
  <si>
    <t>[공식 프리뷰] 맥콜 · 모나 용평 오픈 with SBS Golf</t>
  </si>
  <si>
    <t>https://blog.naver.com/PostView.naver?blogId=klpgapr&amp;logNo=223909568180&amp;redirect=Dlog&amp;widgetTypeCall=true&amp;directAccess=false</t>
  </si>
  <si>
    <t>백종원 골목식당' 출연했던 '원테이블' 결국 폐업…“악플에 상처, 나를 잃어버렸다” (오은영 스테이)</t>
  </si>
  <si>
    <t>https://blog.naver.com/PostView.naver?blogId=issuereview&amp;logNo=223909533272&amp;redirect=Dlog&amp;widgetTypeCall=true&amp;directAccess=false</t>
  </si>
  <si>
    <t>25.6.24.(화) 경찰 관련 기사 스크린</t>
  </si>
  <si>
    <t>https://blog.naver.com/PostView.naver?blogId=bugook789&amp;logNo=223909515625&amp;redirect=Dlog&amp;widgetTypeCall=true&amp;directAccess=false</t>
  </si>
  <si>
    <t>J sun</t>
  </si>
  <si>
    <t>문산 베이커리 카페 소풍농월 &amp; sbs전원마을 산책</t>
  </si>
  <si>
    <t>https://blog.naver.com/PostView.naver?blogId=jmsun2359&amp;logNo=223909504748&amp;redirect=Dlog&amp;widgetTypeCall=true&amp;directAccess=false</t>
  </si>
  <si>
    <t>2025.06.24(화) 국내 뉴스(경제, AI·암호화폐, 환경·안전)</t>
  </si>
  <si>
    <t>https://blog.naver.com/PostView.naver?blogId=namjuny&amp;logNo=223909490667&amp;redirect=Dlog&amp;widgetTypeCall=true&amp;directAccess=false</t>
  </si>
  <si>
    <t>‘나는솔로’ 26기 광수의 집착? 현숙의 썩어가는 마음과 영식의 진중한 매력</t>
  </si>
  <si>
    <t>https://blog.naver.com/PostView.naver?blogId=macshorts&amp;logNo=223907876510&amp;redirect=Dlog&amp;widgetTypeCall=true&amp;directAccess=false</t>
  </si>
  <si>
    <t>반짝왕자</t>
  </si>
  <si>
    <t>홍일품, 홍대게장무한리필에서 알밥과 게장 조합의 진수를!</t>
  </si>
  <si>
    <t>https://blog.naver.com/PostView.naver?blogId=iqc1w9gro7n&amp;logNo=223906875316&amp;redirect=Dlog&amp;widgetTypeCall=true&amp;directAccess=false</t>
  </si>
  <si>
    <t>생활의달인 에그타르트, 포르투갈 코임브라에서 온 충격적인 맛의 비밀… 알고보니 성북구 @@맛집?! (+에그타르트, 코임브라, 성북구맛집)</t>
  </si>
  <si>
    <t>https://blog.naver.com/PostView.naver?blogId=ovonews&amp;logNo=223909361821&amp;redirect=Dlog&amp;widgetTypeCall=true&amp;directAccess=false</t>
  </si>
  <si>
    <t>WAIKIKI</t>
  </si>
  <si>
    <t>고기맛집 밀면맛집! 조선본갈비밀면 진주혁신도시점</t>
  </si>
  <si>
    <t>https://blog.naver.com/PostView.naver?blogId=seungjuworld&amp;logNo=223909337686&amp;redirect=Dlog&amp;widgetTypeCall=true&amp;directAccess=false</t>
  </si>
  <si>
    <t>[단독] 김수현, 김새론 유족·가세연 김세의 '무고 혐의'로 고소</t>
  </si>
  <si>
    <t>https://blog.naver.com/PostView.naver?blogId=atraxia123&amp;logNo=223909308176&amp;redirect=Dlog&amp;widgetTypeCall=true&amp;directAccess=false</t>
  </si>
  <si>
    <t>250623 SBS 생활의 달인 988회</t>
  </si>
  <si>
    <t>https://blog.naver.com/PostView.naver?blogId=spring_hmong&amp;logNo=223909279776&amp;redirect=Dlog&amp;widgetTypeCall=true&amp;directAccess=false</t>
  </si>
  <si>
    <t>3주차 경제용어 2</t>
  </si>
  <si>
    <t>https://blog.naver.com/PostView.naver?blogId=kyuhaeart&amp;logNo=223909245370&amp;redirect=Dlog&amp;widgetTypeCall=true&amp;directAccess=false</t>
  </si>
  <si>
    <t>나는솔로 26기: 영수의 이미지 관리와 영숙의 눈치없는 설렘</t>
  </si>
  <si>
    <t>https://blog.naver.com/PostView.naver?blogId=macshorts&amp;logNo=223907640173&amp;redirect=Dlog&amp;widgetTypeCall=true&amp;directAccess=false</t>
  </si>
  <si>
    <t>하얀 봄</t>
  </si>
  <si>
    <t>어머니에 저녁</t>
  </si>
  <si>
    <t>https://blog.naver.com/PostView.naver?blogId=kysd000007&amp;logNo=223909176428&amp;redirect=Dlog&amp;widgetTypeCall=true&amp;directAccess=false</t>
  </si>
  <si>
    <t>탤런트최상훈</t>
  </si>
  <si>
    <t>https://blog.naver.com/PostView.naver?blogId=yang83529&amp;logNo=223909157268&amp;redirect=Dlog&amp;widgetTypeCall=true&amp;directAccess=false</t>
  </si>
  <si>
    <t>소여니</t>
  </si>
  <si>
    <t>안녕은 영원한 헤어짐은 아니겠지요</t>
  </si>
  <si>
    <t>https://blog.naver.com/PostView.naver?blogId=a_piacere33&amp;logNo=223909130183&amp;redirect=Dlog&amp;widgetTypeCall=true&amp;directAccess=false</t>
  </si>
  <si>
    <t>예알</t>
  </si>
  <si>
    <t>호주 멜버른 4시간 시내 투어(빅토리아 주립도서관, 호시우 레인)</t>
  </si>
  <si>
    <t>https://blog.naver.com/PostView.naver?blogId=nobilito_formosus&amp;logNo=223909098972&amp;redirect=Dlog&amp;widgetTypeCall=true&amp;directAccess=false</t>
  </si>
  <si>
    <t>쀼</t>
  </si>
  <si>
    <t>찐 곱창 맛집 대림역소곱창 땡돌이한우곱창</t>
  </si>
  <si>
    <t>https://blog.naver.com/PostView.naver?blogId=booboo-diary&amp;logNo=223909025921&amp;redirect=Dlog&amp;widgetTypeCall=true&amp;directAccess=false</t>
  </si>
  <si>
    <t>생활의 달인, 988회 역대급 달인들의 향연 후추 소금빵…에그타르트…원주 막국수 TOP2 정체는 과연? 중고차 뷔페 달인까지 (+숨겨진 비법, 눈물겨운 노력, 인생역전)</t>
  </si>
  <si>
    <t>https://blog.naver.com/PostView.naver?blogId=ovonews&amp;logNo=223909010095&amp;redirect=Dlog&amp;widgetTypeCall=true&amp;directAccess=false</t>
  </si>
  <si>
    <t>JTBC와 갈등 중 ‘불꽃야구’ 생중계…다시보기 방법은?</t>
  </si>
  <si>
    <t>https://blog.naver.com/PostView.naver?blogId=newswa_official&amp;logNo=223908908585&amp;redirect=Dlog&amp;widgetTypeCall=true&amp;directAccess=false</t>
  </si>
  <si>
    <t>송지효, ‘직접 입고 방송 등장’…속옷 브랜드 근황 말하다 눈시울 붉힌 이유(+짐종국 | 브랜드매출 | 착용샷 | 진심고백)</t>
  </si>
  <si>
    <t>https://blog.naver.com/PostView.naver?blogId=hosunews&amp;logNo=223908897271&amp;redirect=Dlog&amp;widgetTypeCall=true&amp;directAccess=false</t>
  </si>
  <si>
    <t>유쿵쿵</t>
  </si>
  <si>
    <t>64. 교양이를 부탁해[경제·전쟁·패권 편](스브스프리미엄, 한동훈)</t>
  </si>
  <si>
    <t>https://blog.naver.com/PostView.naver?blogId=hivro1991&amp;logNo=223908890424&amp;redirect=Dlog&amp;widgetTypeCall=true&amp;directAccess=false</t>
  </si>
  <si>
    <t>드디어 올라왔구나? SBS 월화드라마 샐러리맨 초한지 출연진 이범수 김서형 정겨운 요즘 다시 볼만한 넷플릭스 추천작 한국 범죄 스릴러 재벌 월요일 화요일 방영 드라마 추천</t>
  </si>
  <si>
    <t>https://blog.naver.com/PostView.naver?blogId=kws3128pdm&amp;logNo=223908883015&amp;redirect=Dlog&amp;widgetTypeCall=true&amp;directAccess=false</t>
  </si>
  <si>
    <t>슈퍼스타 강다니엘!8월 9~10일 &lt;ACT:NEW EPISODE&gt;콘서트 개최, 올림픽공원 올림픽홀♡이온음료같은 청량한 매력의 아이돌-아이돌픽♡27일 오후6시 ENA K팝업차트쇼♡</t>
  </si>
  <si>
    <t>https://blog.naver.com/PostView.naver?blogId=siniljang21&amp;logNo=223908839673&amp;redirect=Dlog&amp;widgetTypeCall=true&amp;directAccess=false</t>
  </si>
  <si>
    <t>‘불꽃야구’ 다시보기 어디서? 스튜디오C1 자체 플랫폼 공개 (+유튜브, JTBC, 최강야구, 법적분쟁)</t>
  </si>
  <si>
    <t>https://blog.naver.com/PostView.naver?blogId=minsimnews&amp;logNo=223908820877&amp;redirect=Dlog&amp;widgetTypeCall=true&amp;directAccess=false</t>
  </si>
  <si>
    <t>나는solo 26기 영수야 박제는 부담스러워? 영숙 최종선택 고민하는 이유, 나는솔로</t>
  </si>
  <si>
    <t>https://blog.naver.com/PostView.naver?blogId=chummilmil99&amp;logNo=223908783667&amp;redirect=Dlog&amp;widgetTypeCall=true&amp;directAccess=false</t>
  </si>
  <si>
    <t>강다니엘 "사랑에 미치면…상상초월" 컬투쇼 발칵 뒤집은 연애관 고백 (+Episode 신곡, 솔직 발언, 가치관)</t>
  </si>
  <si>
    <t>https://blog.naver.com/PostView.naver?blogId=min5591ha&amp;logNo=223908740536&amp;redirect=Dlog&amp;widgetTypeCall=true&amp;directAccess=false</t>
  </si>
  <si>
    <t>벽소</t>
  </si>
  <si>
    <t>밤을 아름답게 수놓은 불꽃축제  02</t>
  </si>
  <si>
    <t>https://blog.naver.com/PostView.naver?blogId=abc768700&amp;logNo=223908736994&amp;redirect=Dlog&amp;widgetTypeCall=true&amp;directAccess=false</t>
  </si>
  <si>
    <t>ihy2943</t>
  </si>
  <si>
    <t>[광주 컴퓨터활용능력, 블로그] 국민내일배움, 광주컴퓨터기술학원 추천</t>
  </si>
  <si>
    <t>https://blog.naver.com/PostView.naver?blogId=ihy2943&amp;logNo=223908724832&amp;redirect=Dlog&amp;widgetTypeCall=true&amp;directAccess=false</t>
  </si>
  <si>
    <t>행복하다운</t>
  </si>
  <si>
    <t>윤시윤, 하루 만에 5kg ‘단수 다이어트’ 성공! 모범택시3서 전혀 다른 모습 예고(전참시)</t>
  </si>
  <si>
    <t>https://blog.naver.com/PostView.naver?blogId=twinbeauty&amp;logNo=223908721723&amp;redirect=Dlog&amp;widgetTypeCall=true&amp;directAccess=false</t>
  </si>
  <si>
    <t>톡톡톡</t>
  </si>
  <si>
    <t>그것이 알고싶다. 1448화 다만 악에서 구하소서 - 살인마들의 플랜 B 리뷰</t>
  </si>
  <si>
    <t>https://blog.naver.com/PostView.naver?blogId=yjswoo&amp;logNo=223908711239&amp;redirect=Dlog&amp;widgetTypeCall=true&amp;directAccess=false</t>
  </si>
  <si>
    <t>맑은호수</t>
  </si>
  <si>
    <t>김준호</t>
  </si>
  <si>
    <t>https://blog.naver.com/PostView.naver?blogId=xenophix&amp;logNo=223908701225&amp;redirect=Dlog&amp;widgetTypeCall=true&amp;directAccess=false</t>
  </si>
  <si>
    <t>츄츄</t>
  </si>
  <si>
    <t>2025년 4월</t>
  </si>
  <si>
    <t>https://blog.naver.com/PostView.naver?blogId=zzzs_p&amp;logNo=223908674288&amp;redirect=Dlog&amp;widgetTypeCall=true&amp;directAccess=false</t>
  </si>
  <si>
    <t>이혼전문변호사 이혼 가장 잘 하는 방법</t>
  </si>
  <si>
    <t>https://blog.naver.com/PostView.naver?blogId=hj___holic&amp;logNo=223908671740&amp;redirect=Dlog&amp;widgetTypeCall=true&amp;directAccess=false</t>
  </si>
  <si>
    <t>비꼬센세</t>
  </si>
  <si>
    <t>경제가 안 좋은데 자산이 오르는 기묘한 풍경</t>
  </si>
  <si>
    <t>https://blog.naver.com/PostView.naver?blogId=bikkosensei&amp;logNo=223908633983&amp;redirect=Dlog&amp;widgetTypeCall=true&amp;directAccess=false</t>
  </si>
  <si>
    <t>풋사과</t>
  </si>
  <si>
    <t>6월 셋째주 이야기</t>
  </si>
  <si>
    <t>https://blog.naver.com/PostView.naver?blogId=dawinday&amp;logNo=223908410270&amp;redirect=Dlog&amp;widgetTypeCall=true&amp;directAccess=false</t>
  </si>
  <si>
    <t>화이트래빗 은결실장</t>
  </si>
  <si>
    <t>제130회 구미시 '야은아카데미'  양준혁 무료강연 ... 뛰어라 지금이 마지막인 것처럼 !</t>
  </si>
  <si>
    <t>https://blog.naver.com/PostView.naver?blogId=vulbai&amp;logNo=223908609967&amp;redirect=Dlog&amp;widgetTypeCall=true&amp;directAccess=false</t>
  </si>
  <si>
    <t>NBlack</t>
  </si>
  <si>
    <t>건강, 인간의 기본</t>
  </si>
  <si>
    <t>https://blog.naver.com/PostView.naver?blogId=nblack2025&amp;logNo=223908609232&amp;redirect=Dlog&amp;widgetTypeCall=true&amp;directAccess=false</t>
  </si>
  <si>
    <t>입산수도</t>
  </si>
  <si>
    <t>역사적 한컷 -후세인과 카다피의 만남</t>
  </si>
  <si>
    <t>https://blog.naver.com/PostView.naver?blogId=newasura1&amp;logNo=223908600618&amp;redirect=Dlog&amp;widgetTypeCall=true&amp;directAccess=false</t>
  </si>
  <si>
    <t>김준호 49세 충격 고백 김지민과 드디어 쌍둥이 조짐… 대체 무슨 일 빨리 낳아야 하는 이유는 (+미우새, 결혼, 2세)</t>
  </si>
  <si>
    <t>https://blog.naver.com/PostView.naver?blogId=qoswlfdl-&amp;logNo=223908558521&amp;redirect=Dlog&amp;widgetTypeCall=true&amp;directAccess=false</t>
  </si>
  <si>
    <t>춘천미대실기학원에서 찾은 내 방향, 내 손 안의 확신</t>
  </si>
  <si>
    <t>https://blog.naver.com/PostView.naver?blogId=minyanioe&amp;logNo=223908556262&amp;redirect=Dlog&amp;widgetTypeCall=true&amp;directAccess=false</t>
  </si>
  <si>
    <t>우리영화 3화 4화 후기 호불호 극과극 완성도 높지만 낮은 시청률</t>
  </si>
  <si>
    <t>https://blog.naver.com/PostView.naver?blogId=shoutbanana&amp;logNo=223908540362&amp;redirect=Dlog&amp;widgetTypeCall=true&amp;directAccess=false</t>
  </si>
  <si>
    <t>꿈을그리는 계획가</t>
  </si>
  <si>
    <t>[일상] 구의역맛집 '더타코부스 구의광장점' 소개</t>
  </si>
  <si>
    <t>https://blog.naver.com/PostView.naver?blogId=charming_pma&amp;logNo=223908485080&amp;redirect=Dlog&amp;widgetTypeCall=true&amp;directAccess=false</t>
  </si>
  <si>
    <t>다올</t>
  </si>
  <si>
    <t>첫 여름, 완주, 2025, 무제</t>
  </si>
  <si>
    <t>https://blog.naver.com/PostView.naver?blogId=happy_daol&amp;logNo=223908464299&amp;redirect=Dlog&amp;widgetTypeCall=true&amp;directAccess=false</t>
  </si>
  <si>
    <t>autodiary1</t>
  </si>
  <si>
    <t>로터스 엘레트라 R, SBS 인기 예능 '미운 우리새끼' 차량 협찬</t>
  </si>
  <si>
    <t>https://blog.naver.com/PostView.naver?blogId=autodiary1&amp;logNo=223908429727&amp;redirect=Dlog&amp;widgetTypeCall=true&amp;directAccess=false</t>
  </si>
  <si>
    <t>6월 3주차 이차전지 산업동향 및 분석</t>
  </si>
  <si>
    <t>https://blog.naver.com/PostView.naver?blogId=batterybye&amp;logNo=223908406546&amp;redirect=Dlog&amp;widgetTypeCall=true&amp;directAccess=false</t>
  </si>
  <si>
    <t>유재석 자필 반성문 1조의 남자 패가망신 예능 그 이상의 진심 런닝맨</t>
  </si>
  <si>
    <t>https://blog.naver.com/PostView.naver?blogId=hhwjh&amp;logNo=223908336971&amp;redirect=Dlog&amp;widgetTypeCall=true&amp;directAccess=false</t>
  </si>
  <si>
    <t>자유로이유하</t>
  </si>
  <si>
    <t>SBS 금토 드라마 [우리 영화]</t>
  </si>
  <si>
    <t>https://blog.naver.com/PostView.naver?blogId=iloveyosjch&amp;logNo=223908321346&amp;redirect=Dlog&amp;widgetTypeCall=true&amp;directAccess=false</t>
  </si>
  <si>
    <t>토니짱</t>
  </si>
  <si>
    <t>소득상위 10% 건강보험료 기준 금액, 연봉. 소득별 건보료 조회 방법 정리</t>
  </si>
  <si>
    <t>https://blog.naver.com/PostView.naver?blogId=starry365&amp;logNo=223908290148&amp;redirect=Dlog&amp;widgetTypeCall=true&amp;directAccess=false</t>
  </si>
  <si>
    <t>뉴스정리: 슬슬 관세협상을 생각해야 할때</t>
  </si>
  <si>
    <t>https://blog.naver.com/PostView.naver?blogId=rhapwm126&amp;logNo=223908200053&amp;redirect=Dlog&amp;widgetTypeCall=true&amp;directAccess=false</t>
  </si>
  <si>
    <t>나솔사계 한 번 더 특집  눈치 없는 25기 영철, 17기 옥순 떠나 19기 정숙에게 간다?</t>
  </si>
  <si>
    <t>https://blog.naver.com/PostView.naver?blogId=macshorts&amp;logNo=223906655553&amp;redirect=Dlog&amp;widgetTypeCall=true&amp;directAccess=false</t>
  </si>
  <si>
    <t>박성웅, 신은정과 결혼 18년 차에 새 출발</t>
  </si>
  <si>
    <t>https://blog.naver.com/PostView.naver?blogId=owen8591&amp;logNo=223907654032&amp;redirect=Dlog&amp;widgetTypeCall=true&amp;directAccess=false</t>
  </si>
  <si>
    <t>고지우, 맥콜·모나 용평 오픈 우승…54홀 최저타 타이 기록</t>
  </si>
  <si>
    <t>https://blog.naver.com/PostView.naver?blogId=isop0315&amp;logNo=223915939034&amp;redirect=Dlog&amp;widgetTypeCall=true&amp;directAccess=false</t>
  </si>
  <si>
    <t>아요이</t>
  </si>
  <si>
    <t>인천 영종도 디저트 추천 ‘도너츠윤’</t>
  </si>
  <si>
    <t>https://blog.naver.com/PostView.naver?blogId=ayoung0307&amp;logNo=223915931856&amp;redirect=Dlog&amp;widgetTypeCall=true&amp;directAccess=false</t>
  </si>
  <si>
    <t>우선 읽는다</t>
  </si>
  <si>
    <t>요즘 보고 읽은 것들</t>
  </si>
  <si>
    <t>https://blog.naver.com/PostView.naver?blogId=rainusan&amp;logNo=223915893372&amp;redirect=Dlog&amp;widgetTypeCall=true&amp;directAccess=false</t>
  </si>
  <si>
    <t>탤런트송기윤 이미영</t>
  </si>
  <si>
    <t>https://blog.naver.com/PostView.naver?blogId=yang83529&amp;logNo=223915885227&amp;redirect=Dlog&amp;widgetTypeCall=true&amp;directAccess=false</t>
  </si>
  <si>
    <t>냥집사의 B급 감성</t>
  </si>
  <si>
    <t>미운 우리 새끼' 이상민·이동건·김희철, 이혼 전문 변호사(박은주 양나래 박민철) 앞에 선 이유는?</t>
  </si>
  <si>
    <t>https://blog.naver.com/PostView.naver?blogId=marya0605&amp;logNo=223915876015&amp;redirect=Dlog&amp;widgetTypeCall=true&amp;directAccess=false</t>
  </si>
  <si>
    <t>예삡삐</t>
  </si>
  <si>
    <t>요즘 다시보는 드라마 이야기 겸 잡담</t>
  </si>
  <si>
    <t>https://blog.naver.com/PostView.naver?blogId=lyeji0505&amp;logNo=223915873191&amp;redirect=Dlog&amp;widgetTypeCall=true&amp;directAccess=false</t>
  </si>
  <si>
    <t>몽골 초원에서 터진 염소똥 먹방?! 영식-옥순 커플의 충격적인 갈등</t>
  </si>
  <si>
    <t>https://blog.naver.com/PostView.naver?blogId=macshorts&amp;logNo=223915853864&amp;redirect=Dlog&amp;widgetTypeCall=true&amp;directAccess=false</t>
  </si>
  <si>
    <t>https://blog.naver.com/PostView.naver?blogId=yang83529&amp;logNo=223915854811&amp;redirect=Dlog&amp;widgetTypeCall=true&amp;directAccess=false</t>
  </si>
  <si>
    <t>KLPGA, 고지우 통산 3승 달성</t>
  </si>
  <si>
    <t>https://blog.naver.com/PostView.naver?blogId=sekim-1107&amp;logNo=223915679577&amp;redirect=Dlog&amp;widgetTypeCall=true&amp;directAccess=false</t>
  </si>
  <si>
    <t>이진우의 다시 만난 경제</t>
  </si>
  <si>
    <t>https://blog.naver.com/PostView.naver?blogId=anna-book&amp;logNo=223915658586&amp;redirect=Dlog&amp;widgetTypeCall=true&amp;directAccess=false</t>
  </si>
  <si>
    <t>로다</t>
  </si>
  <si>
    <t>“야구 레전드의 선택, 팬심을 흔들다: 이종범의 ‘최강야구’ 행과 그 후폭풍”</t>
  </si>
  <si>
    <t>https://blog.naver.com/PostView.naver?blogId=rodasports&amp;logNo=223915650221&amp;redirect=Dlog&amp;widgetTypeCall=true&amp;directAccess=false</t>
  </si>
  <si>
    <t>남궁민 전여빈, 우리영화 5.4% 최고, 시청률 상승 비결은?</t>
  </si>
  <si>
    <t>https://blog.naver.com/PostView.naver?blogId=minhee0628&amp;logNo=223915626852&amp;redirect=Dlog&amp;widgetTypeCall=true&amp;directAccess=false</t>
  </si>
  <si>
    <t>나는솔로 21기 옥순아 왜 울어? 영수 영호 관심 없는데 김칫국 원샷, 그후 사랑은 계속된다</t>
  </si>
  <si>
    <t>https://blog.naver.com/PostView.naver?blogId=chummilmil99&amp;logNo=223915607617&amp;redirect=Dlog&amp;widgetTypeCall=true&amp;directAccess=false</t>
  </si>
  <si>
    <t>이번 주 더트롯쇼 1위는 대체 누구…?! 설마했던 이 가수가 드디어?! (+임영웅, 영탁, 장윤정)</t>
  </si>
  <si>
    <t>https://blog.naver.com/PostView.naver?blogId=qoswlfdl-&amp;logNo=223915596791&amp;redirect=Dlog&amp;widgetTypeCall=true&amp;directAccess=false</t>
  </si>
  <si>
    <t>맥콜·모나 용평 오픈 개막 !전우리 이재운 프로가 10번 홀에서 대회 첫 티샷을 준비하고 있다.이소영 장하나 김수지 홍진영2 정지효 한진선...첫 홀에서 버디 성공 박주영 이동은</t>
  </si>
  <si>
    <t>https://blog.naver.com/PostView.naver?blogId=kimjajoong&amp;logNo=223915536153&amp;redirect=Dlog&amp;widgetTypeCall=true&amp;directAccess=false</t>
  </si>
  <si>
    <t>이상민, 결혼 3개월 만에 이혼 전문 변호사와 만남…김희철 발언도 충격</t>
  </si>
  <si>
    <t>https://blog.naver.com/PostView.naver?blogId=sjsskypa&amp;logNo=223915516399&amp;redirect=Dlog&amp;widgetTypeCall=true&amp;directAccess=false</t>
  </si>
  <si>
    <t>luv</t>
  </si>
  <si>
    <t>[성남 약국] 창고형 약국 ‘메가팩토리’ 방문 후기!</t>
  </si>
  <si>
    <t>https://blog.naver.com/PostView.naver?blogId=luv-log_&amp;logNo=223915478484&amp;redirect=Dlog&amp;widgetTypeCall=true&amp;directAccess=false</t>
  </si>
  <si>
    <t>26기 현숙 인스타에 댓글 남긴 광수? 40일 만남 해명, 나는솔로</t>
  </si>
  <si>
    <t>https://blog.naver.com/PostView.naver?blogId=shushu9988&amp;logNo=223915475309&amp;redirect=Dlog&amp;widgetTypeCall=true&amp;directAccess=false</t>
  </si>
  <si>
    <t>두도지</t>
  </si>
  <si>
    <t>함백산 트레일러닝</t>
  </si>
  <si>
    <t>https://blog.naver.com/PostView.naver?blogId=dudeojikim&amp;logNo=223915474850&amp;redirect=Dlog&amp;widgetTypeCall=true&amp;directAccess=false</t>
  </si>
  <si>
    <t>드라마 우리영화 5·6회 줄거리 후기</t>
  </si>
  <si>
    <t>https://blog.naver.com/PostView.naver?blogId=hhwjh&amp;logNo=223915426292&amp;redirect=Dlog&amp;widgetTypeCall=true&amp;directAccess=false</t>
  </si>
  <si>
    <t>이상민, 결혼 3개월 만에 변호사 만나</t>
  </si>
  <si>
    <t>https://blog.naver.com/PostView.naver?blogId=fortenball&amp;logNo=223915420791&amp;redirect=Dlog&amp;widgetTypeCall=true&amp;directAccess=false</t>
  </si>
  <si>
    <t>46년만의 수학여행..설악산</t>
  </si>
  <si>
    <t>https://blog.naver.com/PostView.naver?blogId=hodong21&amp;logNo=223915417308&amp;redirect=Dlog&amp;widgetTypeCall=true&amp;directAccess=false</t>
  </si>
  <si>
    <t>배우 이윤성 연기, 예능 그리고 백화점에서의 특별한 만남</t>
  </si>
  <si>
    <t>https://blog.naver.com/PostView.naver?blogId=ditco00&amp;logNo=223915383006&amp;redirect=Dlog&amp;widgetTypeCall=true&amp;directAccess=false</t>
  </si>
  <si>
    <t>사부작</t>
  </si>
  <si>
    <t>『판교타코맛집』더타코부스 분당판교역점-비리아 타코,감바스 부리또,햄치즈 퀘사디아.</t>
  </si>
  <si>
    <t>https://blog.naver.com/PostView.naver?blogId=kazuyyy&amp;logNo=223915361357&amp;redirect=Dlog&amp;widgetTypeCall=true&amp;directAccess=false</t>
  </si>
  <si>
    <t>JTBC 최강야구 감독 이종범 선임 논란 이유</t>
  </si>
  <si>
    <t>https://blog.naver.com/PostView.naver?blogId=kjd110802&amp;logNo=223915301244&amp;redirect=Dlog&amp;widgetTypeCall=true&amp;directAccess=false</t>
  </si>
  <si>
    <t>TV 동물농장 1228회</t>
  </si>
  <si>
    <t>https://blog.naver.com/PostView.naver?blogId=bizbank&amp;logNo=223915298224&amp;redirect=Dlog&amp;widgetTypeCall=true&amp;directAccess=false</t>
  </si>
  <si>
    <t>jjyull</t>
  </si>
  <si>
    <t>조째즈 와이프는 미인이었다.</t>
  </si>
  <si>
    <t>https://blog.naver.com/PostView.naver?blogId=jjyull&amp;logNo=223915289944&amp;redirect=Dlog&amp;widgetTypeCall=true&amp;directAccess=false</t>
  </si>
  <si>
    <t>"사람을 숯불 위에 올려 불 고문, 전신화상ㅡ다발성 장기부전.. 결국 사망" 정신 나간 무속인 이모, 살인 혐의 구속 &lt;충격적인 인천 숯불 퇴마 살인 사건의 전말&gt;</t>
  </si>
  <si>
    <t>https://blog.naver.com/PostView.naver?blogId=englishmaninty&amp;logNo=223915226502&amp;redirect=Dlog&amp;widgetTypeCall=true&amp;directAccess=false</t>
  </si>
  <si>
    <t>공유돌이</t>
  </si>
  <si>
    <t>포항 여행 가볼 만한 곳 삼국유사 설화 연오랑세오녀테마공원</t>
  </si>
  <si>
    <t>https://blog.naver.com/PostView.naver?blogId=r00326&amp;logNo=223915256567&amp;redirect=Dlog&amp;widgetTypeCall=true&amp;directAccess=false</t>
  </si>
  <si>
    <t>‘우리영화’ 전여빈, 숨겨온 시한부 비밀…남궁민의 냉정한 고백에 눈물</t>
  </si>
  <si>
    <t>https://blog.naver.com/PostView.naver?blogId=sungoldcokr&amp;logNo=223915252547&amp;redirect=Dlog&amp;widgetTypeCall=true&amp;directAccess=false</t>
  </si>
  <si>
    <t>안경언니</t>
  </si>
  <si>
    <t>우산으로 얼굴 가리더니 '쓱' 편의점 들어왔는데 주머니에 '불룩'…흉기 소지 뿌리 뽑으려면 (현장영상) / SBS</t>
  </si>
  <si>
    <t>https://blog.naver.com/PostView.naver?blogId=aa99zizini83&amp;logNo=223904116900&amp;redirect=Dlog&amp;widgetTypeCall=true&amp;directAccess=false</t>
  </si>
  <si>
    <t>SBS 화요 예능 틈만나면 27회 철원편 게스트 세븐틴 호시 민규</t>
  </si>
  <si>
    <t>https://blog.naver.com/PostView.naver?blogId=riosniper114&amp;logNo=223915188892&amp;redirect=Dlog&amp;widgetTypeCall=true&amp;directAccess=false</t>
  </si>
  <si>
    <t>우리 영화 6회 줄거리 리뷰 6화 7회 결말 남궁민은 노이즈 마케팅을 고백하고!... 전여빈 이설</t>
  </si>
  <si>
    <t>https://blog.naver.com/PostView.naver?blogId=ejtdltm&amp;logNo=223915182219&amp;redirect=Dlog&amp;widgetTypeCall=true&amp;directAccess=false</t>
  </si>
  <si>
    <t>미우새·터보 출신 방송인 김종국 프로필 가족 형·엄마 어머니? 아버지 조카·대학·데뷔·김종국 집 재산 62억 논현동 아파트 전액 현금 매입 신혼집 결혼설?</t>
  </si>
  <si>
    <t>https://blog.naver.com/PostView.naver?blogId=lilycole2006&amp;logNo=223915151654&amp;redirect=Dlog&amp;widgetTypeCall=true&amp;directAccess=false</t>
  </si>
  <si>
    <t>미운 우리 새끼·뮤지컬 배우 정영주 프로필·집 아파트·부모님·아빠·아버지 직업·UDT 출신·엄마·전남편 이혼·자녀·교통사고</t>
  </si>
  <si>
    <t>https://blog.naver.com/PostView.naver?blogId=lilycole2006&amp;logNo=223915144172&amp;redirect=Dlog&amp;widgetTypeCall=true&amp;directAccess=false</t>
  </si>
  <si>
    <t>나솔사계' 21기 옥순의 김칫국 원샷과 17기 옥순♥24기 광수 결혼 소문?</t>
  </si>
  <si>
    <t>https://blog.naver.com/PostView.naver?blogId=macshorts&amp;logNo=223915010523&amp;redirect=Dlog&amp;widgetTypeCall=true&amp;directAccess=false</t>
  </si>
  <si>
    <t>25년 6월 K-POP 여성 브랜드 평가 순위 베스트 5! 블랙핑크 제니 3개월 연속 쾌거</t>
  </si>
  <si>
    <t>https://blog.naver.com/PostView.naver?blogId=tmrlahxhdbal&amp;logNo=223915100335&amp;redirect=Dlog&amp;widgetTypeCall=true&amp;directAccess=false</t>
  </si>
  <si>
    <t>웨이브 연예프로그램 추천: 연애는 직진 이현이 이석훈 송해나, 신들린 연애 신동엽 유인나 출연진 방영 종료 한국 예능</t>
  </si>
  <si>
    <t>https://blog.naver.com/PostView.naver?blogId=kws3128pdm&amp;logNo=223915052783&amp;redirect=Dlog&amp;widgetTypeCall=true&amp;directAccess=false</t>
  </si>
  <si>
    <t>typhoon</t>
  </si>
  <si>
    <t>시간을 따라 걷는 우리네  전통 문화의 숨결을 찾아서...   익산 북부지역 둘러보기</t>
  </si>
  <si>
    <t>https://blog.naver.com/PostView.naver?blogId=ohs1443&amp;logNo=223915043819&amp;redirect=Dlog&amp;widgetTypeCall=true&amp;directAccess=false</t>
  </si>
  <si>
    <t>송악488</t>
  </si>
  <si>
    <t>강원도 고성 여행 : 금강산 건봉사, 화진포 응봉</t>
  </si>
  <si>
    <t>https://blog.naver.com/PostView.naver?blogId=songak488&amp;logNo=223915029608&amp;redirect=Dlog&amp;widgetTypeCall=true&amp;directAccess=false</t>
  </si>
  <si>
    <t>Emily</t>
  </si>
  <si>
    <t>칠곡 다부터널 괴담, 단순한 이야기가 아니었다... 숨겨진 역사적 배경은? 궁금한 이야기y</t>
  </si>
  <si>
    <t>https://blog.naver.com/PostView.naver?blogId=sponge_bobs&amp;logNo=223915027888&amp;redirect=Dlog&amp;widgetTypeCall=true&amp;directAccess=false</t>
  </si>
  <si>
    <t>게으른 나의 취향</t>
  </si>
  <si>
    <t>케이팝 데몬 헌터스: 전 세계를 사로잡은 K-팝 판타지 애니메이션</t>
  </si>
  <si>
    <t>https://blog.naver.com/PostView.naver?blogId=drunken_lazy_moon&amp;logNo=223915024941&amp;redirect=Dlog&amp;widgetTypeCall=true&amp;directAccess=false</t>
  </si>
  <si>
    <t>https://blog.naver.com/PostView.naver?blogId=yang83529&amp;logNo=223915007047&amp;redirect=Dlog&amp;widgetTypeCall=true&amp;directAccess=false</t>
  </si>
  <si>
    <t>250628</t>
  </si>
  <si>
    <t>https://blog.naver.com/PostView.naver?blogId=naeun331&amp;logNo=223915003856&amp;redirect=Dlog&amp;widgetTypeCall=true&amp;directAccess=false</t>
  </si>
  <si>
    <t>라차도치</t>
  </si>
  <si>
    <t>종로포토샵학원 : 친구랑같이 수강한 생생후기</t>
  </si>
  <si>
    <t>https://blog.naver.com/PostView.naver?blogId=hr7592&amp;logNo=223915000669&amp;redirect=Dlog&amp;widgetTypeCall=true&amp;directAccess=false</t>
  </si>
  <si>
    <t>그것이 알고 싶다 1449회</t>
  </si>
  <si>
    <t>https://blog.naver.com/PostView.naver?blogId=bizbank&amp;logNo=223914993847&amp;redirect=Dlog&amp;widgetTypeCall=true&amp;directAccess=false</t>
  </si>
  <si>
    <t>조카 살해한 무속인? 그것이 알고싶다 1449회 인천 부평 숯불 살인사건, 악귀 퇴마 무당 그알 레전드</t>
  </si>
  <si>
    <t>https://blog.naver.com/PostView.naver?blogId=chummilmil99&amp;logNo=223914977048&amp;redirect=Dlog&amp;widgetTypeCall=true&amp;directAccess=false</t>
  </si>
  <si>
    <t>그것이 알고싶다 숯불 퇴마 인천 고깃집 어디? 그알 레전드 1449회</t>
  </si>
  <si>
    <t>https://blog.naver.com/PostView.naver?blogId=shushu9988&amp;logNo=223914937629&amp;redirect=Dlog&amp;widgetTypeCall=true&amp;directAccess=false</t>
  </si>
  <si>
    <t>17기 옥순 24기 광수 드디어…! 나솔사계 초토화시킨 핑크빛 급진전! 경리 쐐기 박았다 시청자 반응 폭발 (+나솔사계, 럽스타그램, 결혼임박)</t>
  </si>
  <si>
    <t>https://blog.naver.com/PostView.naver?blogId=minha051126&amp;logNo=223914961834&amp;redirect=Dlog&amp;widgetTypeCall=true&amp;directAccess=false</t>
  </si>
  <si>
    <t>엄지공주</t>
  </si>
  <si>
    <t>순천 여행(2025.6.6.~6.8.)</t>
  </si>
  <si>
    <t>https://blog.naver.com/PostView.naver?blogId=ttackji93&amp;logNo=223914958729&amp;redirect=Dlog&amp;widgetTypeCall=true&amp;directAccess=false</t>
  </si>
  <si>
    <t>남궁민 우리영화 운명의 5회 시청률</t>
  </si>
  <si>
    <t>https://blog.naver.com/PostView.naver?blogId=somedayview&amp;logNo=223914951756&amp;redirect=Dlog&amp;widgetTypeCall=true&amp;directAccess=false</t>
  </si>
  <si>
    <t>nun</t>
  </si>
  <si>
    <t>인터넷 커뮤니티 활동자 비율에 대하여</t>
  </si>
  <si>
    <t>https://blog.naver.com/PostView.naver?blogId=nuni0427&amp;logNo=223914944932&amp;redirect=Dlog&amp;widgetTypeCall=true&amp;directAccess=false</t>
  </si>
  <si>
    <t>어제는 끝났고, 내일은 멀었고, 오늘은 아직 모른다.</t>
  </si>
  <si>
    <t>https://blog.naver.com/PostView.naver?blogId=277cherryade&amp;logNo=223914937502&amp;redirect=Dlog&amp;widgetTypeCall=true&amp;directAccess=false</t>
  </si>
  <si>
    <t>스윗데이지드림</t>
  </si>
  <si>
    <t>홍일품의 홍대게장무한리필, 웨이팅 없이 맘껏 즐기세요!</t>
  </si>
  <si>
    <t>https://blog.naver.com/PostView.naver?blogId=yo7g25pn6i6&amp;logNo=223911491050&amp;redirect=Dlog&amp;widgetTypeCall=true&amp;directAccess=false</t>
  </si>
  <si>
    <t>쌍방울그룹 대북송금 사건에 깊이 관여한 의혹을 받고 있는 KH그룹 배상윤 회장이 SBS TV를 . 김상수</t>
  </si>
  <si>
    <t>https://blog.naver.com/PostView.naver?blogId=kimdaisuke&amp;logNo=223914897246&amp;redirect=Dlog&amp;widgetTypeCall=true&amp;directAccess=false</t>
  </si>
  <si>
    <t>남궁민 전여빈 드디어…! 시청률 5.1% 찍은 역대급 로맨스, 대체 무슨 일? (+우리영화, 시청률, 본격화)</t>
  </si>
  <si>
    <t>https://blog.naver.com/PostView.naver?blogId=min5591ha&amp;logNo=223914887690&amp;redirect=Dlog&amp;widgetTypeCall=true&amp;directAccess=false</t>
  </si>
  <si>
    <t>summerlady</t>
  </si>
  <si>
    <t>뮤지컬 매디슨 카운티의 다리 _ 광림아트센터 BBCH홀 / 내돈내산 후기 _ 잔잔잔잔한 뮤지컬을 좋아한다면 추천.</t>
  </si>
  <si>
    <t>https://blog.naver.com/PostView.naver?blogId=summerlady708&amp;logNo=223914880043&amp;redirect=Dlog&amp;widgetTypeCall=true&amp;directAccess=false</t>
  </si>
  <si>
    <t>해피라니</t>
  </si>
  <si>
    <t>그것이알고싶다 인천 숯불 퇴마 살인사건 충격의 전말 범인은 이모였다.</t>
  </si>
  <si>
    <t>https://blog.naver.com/PostView.naver?blogId=qhrfks1004&amp;logNo=223914869567&amp;redirect=Dlog&amp;widgetTypeCall=true&amp;directAccess=false</t>
  </si>
  <si>
    <t>단기과열지정종목 매매법 (연속하락2) #7 (한국석유), #8 (흥아해운)</t>
  </si>
  <si>
    <t>https://blog.naver.com/PostView.naver?blogId=theus76&amp;logNo=223914856634&amp;redirect=Dlog&amp;widgetTypeCall=true&amp;directAccess=false</t>
  </si>
  <si>
    <t>*고지우 4타차 단독선두-2025 KLPGA 투어 "맥콜 모나파크 오픈 with SBS Golf"-2라운드*</t>
  </si>
  <si>
    <t>https://blog.naver.com/PostView.naver?blogId=k3565512&amp;logNo=223914845973&amp;redirect=Dlog&amp;widgetTypeCall=true&amp;directAccess=false</t>
  </si>
  <si>
    <t>버디 폭격기 고지우, 맥콜.모나용평 오픈 2R 버디쇼 펼치며 와이어 투 와이어 우승 정조준 !</t>
  </si>
  <si>
    <t>https://blog.naver.com/PostView.naver?blogId=pib1022&amp;logNo=223914843616&amp;redirect=Dlog&amp;widgetTypeCall=true&amp;directAccess=false</t>
  </si>
  <si>
    <t>잇티프</t>
  </si>
  <si>
    <t>[용리단길점심맛집] 신용산역 타코 맛집, 더 타코부스 신용산점에서 멕시코를 먹고 오다:)</t>
  </si>
  <si>
    <t>https://blog.naver.com/PostView.naver?blogId=doraemong210&amp;logNo=223914839672&amp;redirect=Dlog&amp;widgetTypeCall=true&amp;directAccess=false</t>
  </si>
  <si>
    <t>신경 쓰이는 드라마 우리영화, 이규원 책방 5회 × 6화 전여빈 고백</t>
  </si>
  <si>
    <t>https://blog.naver.com/PostView.naver?blogId=naamoo65&amp;logNo=223914819015&amp;redirect=Dlog&amp;widgetTypeCall=true&amp;directAccess=false</t>
  </si>
  <si>
    <t>숯불로 고문당해 30대 여성 사망…CCTV 속 충격적 진실</t>
  </si>
  <si>
    <t>https://blog.naver.com/PostView.naver?blogId=yfish66&amp;logNo=223914790936&amp;redirect=Dlog&amp;widgetTypeCall=true&amp;directAccess=false</t>
  </si>
  <si>
    <t>최이든</t>
  </si>
  <si>
    <t>종범신과 양신, 왜 프로야구 감독이 되지 못했을까?</t>
  </si>
  <si>
    <t>https://blog.naver.com/PostView.naver?blogId=bnbsoccer2&amp;logNo=223914784010&amp;redirect=Dlog&amp;widgetTypeCall=true&amp;directAccess=false</t>
  </si>
  <si>
    <t>나는솔로SOLO 26기 영호 갑자기 얼굴 표정 굳어진 이유 라방 (ft. 26현숙 영식 현커 환승이별)</t>
  </si>
  <si>
    <t>https://blog.naver.com/PostView.naver?blogId=schwabingstory&amp;logNo=223914683448&amp;redirect=Dlog&amp;widgetTypeCall=true&amp;directAccess=false</t>
  </si>
  <si>
    <t>선미</t>
  </si>
  <si>
    <t>최강야구 시즌4 이종범 감독 욕은 먹지만, 멤버가 김태균 윤석민?!(ft. 불꽃야구)</t>
  </si>
  <si>
    <t>https://blog.naver.com/PostView.naver?blogId=treewg&amp;logNo=223914701356&amp;redirect=Dlog&amp;widgetTypeCall=true&amp;directAccess=false</t>
  </si>
  <si>
    <t>우리영화 이다음 병 미토콘드리아 동력부족증후군? 남궁민 시청률 자신했는데, 은호 5회 SBS 금토드라마</t>
  </si>
  <si>
    <t>https://blog.naver.com/PostView.naver?blogId=chummilmil99&amp;logNo=223914653674&amp;redirect=Dlog&amp;widgetTypeCall=true&amp;directAccess=false</t>
  </si>
  <si>
    <t>나인스타즈</t>
  </si>
  <si>
    <t>나는솔로 2기 순자, 역대급 콜라병 몸매 풀파티 공개…인스타 폭발 직전! 대체 무슨 일 (+프로필, 나무위키, 작품활동)</t>
  </si>
  <si>
    <t>https://blog.naver.com/PostView.naver?blogId=minha051126&amp;logNo=223914628693&amp;redirect=Dlog&amp;widgetTypeCall=true&amp;directAccess=false</t>
  </si>
  <si>
    <t>489. &lt;X-Large - You&gt; SBS 인기가요 순위 변동 차트</t>
  </si>
  <si>
    <t>https://blog.naver.com/PostView.naver?blogId=bloodypunch&amp;logNo=223914602076&amp;redirect=Dlog&amp;widgetTypeCall=true&amp;directAccess=false</t>
  </si>
  <si>
    <t>jinsimsil1004</t>
  </si>
  <si>
    <t>야구인가, 예능인가?</t>
  </si>
  <si>
    <t>https://blog.naver.com/PostView.naver?blogId=jinsimsil1004&amp;logNo=223914536101&amp;redirect=Dlog&amp;widgetTypeCall=true&amp;directAccess=false</t>
  </si>
  <si>
    <t>뭉이</t>
  </si>
  <si>
    <t>[군자 맛집] 능동국시 - 직장인 점심메뉴, 혼밥 추천, 사골국수의 달인이 있는 가성비 맛집</t>
  </si>
  <si>
    <t>https://blog.naver.com/PostView.naver?blogId=meow_ee&amp;logNo=223914508298&amp;redirect=Dlog&amp;widgetTypeCall=true&amp;directAccess=false</t>
  </si>
  <si>
    <t>Papillon</t>
  </si>
  <si>
    <t>[공식입장] '나는 솔로' 제작진 "성폭행 혐의 출연자…최대한 편집·삭제할 것"</t>
  </si>
  <si>
    <t>https://blog.naver.com/PostView.naver?blogId=mpeg9497&amp;logNo=223914464433&amp;redirect=Dlog&amp;widgetTypeCall=true&amp;directAccess=false</t>
  </si>
  <si>
    <t>이재영</t>
  </si>
  <si>
    <t>나는 솔로 26기. 영식과 현숙 현커(현실커플)이 되다.</t>
  </si>
  <si>
    <t>https://blog.naver.com/PostView.naver?blogId=naeblog&amp;logNo=223914450234&amp;redirect=Dlog&amp;widgetTypeCall=true&amp;directAccess=false</t>
  </si>
  <si>
    <t>심일</t>
  </si>
  <si>
    <t>김건희 가계도</t>
  </si>
  <si>
    <t>https://blog.naver.com/PostView.naver?blogId=simil_lim&amp;logNo=223914433454&amp;redirect=Dlog&amp;widgetTypeCall=true&amp;directAccess=false</t>
  </si>
  <si>
    <t>화이트앤그린피치</t>
  </si>
  <si>
    <t>홍일품, 무한리필 홍대간장게장 맛집 추천!</t>
  </si>
  <si>
    <t>https://blog.naver.com/PostView.naver?blogId=04pohpos0g4&amp;logNo=223911950209&amp;redirect=Dlog&amp;widgetTypeCall=true&amp;directAccess=false</t>
  </si>
  <si>
    <t>이아진</t>
  </si>
  <si>
    <t>#61. 결핍 그리고 열등감</t>
  </si>
  <si>
    <t>https://blog.naver.com/PostView.naver?blogId=zinstuart&amp;logNo=223914238405&amp;redirect=Dlog&amp;widgetTypeCall=true&amp;directAccess=false</t>
  </si>
  <si>
    <t>우리 영화 5회 줄거리 리뷰 5화 6회 결말 내가 좋아하면 이상하죠?... 남궁민 전여빈 이설</t>
  </si>
  <si>
    <t>https://blog.naver.com/PostView.naver?blogId=ejtdltm&amp;logNo=223914224019&amp;redirect=Dlog&amp;widgetTypeCall=true&amp;directAccess=false</t>
  </si>
  <si>
    <t>우리영화 5화 줄거리 고백한 이다음 병명 5회 + 6화 sbs드라마</t>
  </si>
  <si>
    <t>https://blog.naver.com/PostView.naver?blogId=euene1111&amp;logNo=223914214389&amp;redirect=Dlog&amp;widgetTypeCall=true&amp;directAccess=false</t>
  </si>
  <si>
    <t>배우 최성국 신혼집에서 만난 ‘까르마 매트리스’, SBS &lt;좋은아침 하우스&gt; 등장</t>
  </si>
  <si>
    <t>https://blog.naver.com/PostView.naver?blogId=wemakenews&amp;logNo=223914210915&amp;redirect=Dlog&amp;widgetTypeCall=true&amp;directAccess=false</t>
  </si>
  <si>
    <t>착한여우</t>
  </si>
  <si>
    <t>이재명 정부 부동산 정책 6월 28일 바로 시행 주담대 제한 스트레스 DRL 서울 집값 전망 세종 집값은? 지방 소도시 집값 예상</t>
  </si>
  <si>
    <t>https://blog.naver.com/PostView.naver?blogId=es1578&amp;logNo=223914180611&amp;redirect=Dlog&amp;widgetTypeCall=true&amp;directAccess=false</t>
  </si>
  <si>
    <t>이종범, KT 떠나 '최강야구' 새 시즌 감독 유력…법적 갈등 속 방송가 본격 재편 조짐</t>
  </si>
  <si>
    <t>https://blog.naver.com/PostView.naver?blogId=news1star&amp;logNo=223914167923&amp;redirect=Dlog&amp;widgetTypeCall=true&amp;directAccess=false</t>
  </si>
  <si>
    <t>연극 킬링시저 ; "이 모든 건 너의 선택이었다."</t>
  </si>
  <si>
    <t>https://blog.naver.com/PostView.naver?blogId=tolerance55&amp;logNo=223914158575&amp;redirect=Dlog&amp;widgetTypeCall=true&amp;directAccess=false</t>
  </si>
  <si>
    <t>파트너 행정사</t>
  </si>
  <si>
    <t>종각 근처 위찜 조개해산물,갈비찜 맛집</t>
  </si>
  <si>
    <t>https://blog.naver.com/PostView.naver?blogId=bmwh2020&amp;logNo=223914141980&amp;redirect=Dlog&amp;widgetTypeCall=true&amp;directAccess=false</t>
  </si>
  <si>
    <t>불꽃야구 VS 최강야구 이종범 감독선임으로 끝을 향하나?</t>
  </si>
  <si>
    <t>https://blog.naver.com/PostView.naver?blogId=neo2538&amp;logNo=223914137499&amp;redirect=Dlog&amp;widgetTypeCall=true&amp;directAccess=false</t>
  </si>
  <si>
    <t>‘나솔사계’ 옥순 특집, 태안에서 포착된 뜨거운 로맨스!</t>
  </si>
  <si>
    <t>https://blog.naver.com/PostView.naver?blogId=macshorts&amp;logNo=223914109544&amp;redirect=Dlog&amp;widgetTypeCall=true&amp;directAccess=false</t>
  </si>
  <si>
    <t>8M 환기구에 빠진 고양이… 대체 무슨 일이? 리트리버 바다의 눈물겨운 캐나다 입양 대작전 (+구조, 감동, 국경)</t>
  </si>
  <si>
    <t>https://blog.naver.com/PostView.naver?blogId=ovonews&amp;logNo=223914129957&amp;redirect=Dlog&amp;widgetTypeCall=true&amp;directAccess=false</t>
  </si>
  <si>
    <t>대북송금 사건 조작' 증언 파문…민주당 "재수사해야"</t>
  </si>
  <si>
    <t>https://blog.naver.com/PostView.naver?blogId=poongkyung1205&amp;logNo=223914128253&amp;redirect=Dlog&amp;widgetTypeCall=true&amp;directAccess=false</t>
  </si>
  <si>
    <t>탤런트박근형</t>
  </si>
  <si>
    <t>https://blog.naver.com/PostView.naver?blogId=yang83529&amp;logNo=223914114958&amp;redirect=Dlog&amp;widgetTypeCall=true&amp;directAccess=false</t>
  </si>
  <si>
    <t>인천 숯불 살인사건, 악귀에 홀린 밤의 진실… 그는 왜 숯불에 타올랐나? (+그것이 알고 싶다, 퇴마, 미스터리)</t>
  </si>
  <si>
    <t>https://blog.naver.com/PostView.naver?blogId=ovonews&amp;logNo=223914113555&amp;redirect=Dlog&amp;widgetTypeCall=true&amp;directAccess=false</t>
  </si>
  <si>
    <t>다랑이</t>
  </si>
  <si>
    <t>동탄 타코 맛집 더타코부스</t>
  </si>
  <si>
    <t>https://blog.naver.com/PostView.naver?blogId=ghkdtjdrp&amp;logNo=223914104970&amp;redirect=Dlog&amp;widgetTypeCall=true&amp;directAccess=false</t>
  </si>
  <si>
    <t>경주 한우물의법칙, 생방송투데이 연잎 숙성 닭갈비… 비법은 OO?! 안 먹어본 사람은 있어도 한 번만 먹은 사람은 없다는 마성의 맛 (+맛집, 위치, 가격)</t>
  </si>
  <si>
    <t>https://blog.naver.com/PostView.naver?blogId=qoswlfdl-&amp;logNo=223914055111&amp;redirect=Dlog&amp;widgetTypeCall=true&amp;directAccess=false</t>
  </si>
  <si>
    <t>&lt;우리영화&gt;에서 전여빈과 소울메이트 역할을 맡은 오경화, 현실 친구의 모습 완벽 소화</t>
  </si>
  <si>
    <t>https://blog.naver.com/PostView.naver?blogId=withinnews&amp;logNo=223914027867&amp;redirect=Dlog&amp;widgetTypeCall=true&amp;directAccess=false</t>
  </si>
  <si>
    <t>clemens</t>
  </si>
  <si>
    <t>[1일1드로잉_어도비프레스코] 65. 어쩌면 해피엔딩 (Maybe Happy Ending)</t>
  </si>
  <si>
    <t>https://blog.naver.com/PostView.naver?blogId=clemens_tine&amp;logNo=223913902467&amp;redirect=Dlog&amp;widgetTypeCall=true&amp;directAccess=false</t>
  </si>
  <si>
    <t>감성주파수101</t>
  </si>
  <si>
    <t>🎵제목《우리영화》 OST Part.3  [Piece of Me] – Sam Ock | 그 손끝의 따스함, 마음이 흔들렸다🎬</t>
  </si>
  <si>
    <t>https://blog.naver.com/PostView.naver?blogId=frequency101&amp;logNo=223913870422&amp;redirect=Dlog&amp;widgetTypeCall=true&amp;directAccess=false</t>
  </si>
  <si>
    <t>11년 전 초호화 캐스팅 드라마, 넷플릭스 TOP10 … 대체 왜? 숨겨진 뒷이야기 전격 공개 (+반전, 흥행, 떡상)</t>
  </si>
  <si>
    <t>https://blog.naver.com/PostView.naver?blogId=min5591ha&amp;logNo=223913854192&amp;redirect=Dlog&amp;widgetTypeCall=true&amp;directAccess=false</t>
  </si>
  <si>
    <t>글로리아</t>
  </si>
  <si>
    <t>교육 동기생 소식(9)</t>
  </si>
  <si>
    <t>https://blog.naver.com/PostView.naver?blogId=dayer55&amp;logNo=223913840037&amp;redirect=Dlog&amp;widgetTypeCall=true&amp;directAccess=false</t>
  </si>
  <si>
    <t>SBS 그것이 알고싶다, 기이한 악귀(惡鬼)의 밤 - 인천 숯불 퇴마 살인 사건</t>
  </si>
  <si>
    <t>https://blog.naver.com/PostView.naver?blogId=hmknews&amp;logNo=223913832259&amp;redirect=Dlog&amp;widgetTypeCall=true&amp;directAccess=false</t>
  </si>
  <si>
    <t>SBS 동물농장TV, 새끼 리트리버가 캐나다로 떠난 사연</t>
  </si>
  <si>
    <t>https://blog.naver.com/PostView.naver?blogId=hmknews&amp;logNo=223913830487&amp;redirect=Dlog&amp;widgetTypeCall=true&amp;directAccess=false</t>
  </si>
  <si>
    <t>방진독수리</t>
  </si>
  <si>
    <t>진짜 야구보다 예능 야구를 택한 이종범? 최강야구 합류로 KT 코치 사퇴?</t>
  </si>
  <si>
    <t>https://blog.naver.com/PostView.naver?blogId=again99_go_v2&amp;logNo=223913830985&amp;redirect=Dlog&amp;widgetTypeCall=true&amp;directAccess=false</t>
  </si>
  <si>
    <t>테슬라 로보택시 뉴스중</t>
  </si>
  <si>
    <t>https://blog.naver.com/PostView.naver?blogId=jdwndz&amp;logNo=223913807370&amp;redirect=Dlog&amp;widgetTypeCall=true&amp;directAccess=false</t>
  </si>
  <si>
    <t>이지훈 변호사</t>
  </si>
  <si>
    <t>아트테크 사기 피해, 모닝와이드 통해 실체 드러나다.</t>
  </si>
  <si>
    <t>https://blog.naver.com/PostView.naver?blogId=simplykgnr&amp;logNo=223913789066&amp;redirect=Dlog&amp;widgetTypeCall=true&amp;directAccess=false</t>
  </si>
  <si>
    <t>원피스 1153화 로키 사상 최악의 날 메인 스포일러 장</t>
  </si>
  <si>
    <t>https://blog.naver.com/PostView.naver?blogId=ham6870&amp;logNo=223913765645&amp;redirect=Dlog&amp;widgetTypeCall=true&amp;directAccess=false</t>
  </si>
  <si>
    <t>‘나는솔로’ 25기 영철, 성폭행 혐의로 구속…나솔사계 출연분 통편집 (+준강간, 주차장, 마포, 인스타그램)</t>
  </si>
  <si>
    <t>https://blog.naver.com/PostView.naver?blogId=minsimnews&amp;logNo=223913745940&amp;redirect=Dlog&amp;widgetTypeCall=true&amp;directAccess=false</t>
  </si>
  <si>
    <t>강호순 자백영상 첫 공개…“숨긴 살인 하나 더 있다” 충격 고백</t>
  </si>
  <si>
    <t>https://blog.naver.com/PostView.naver?blogId=picklenews&amp;logNo=223913634275&amp;redirect=Dlog&amp;widgetTypeCall=true&amp;directAccess=false</t>
  </si>
  <si>
    <t>무당 이모의 끔찍한 숯불 고문 사건</t>
  </si>
  <si>
    <t>https://blog.naver.com/PostView.naver?blogId=fortenball&amp;logNo=223913632485&amp;redirect=Dlog&amp;widgetTypeCall=true&amp;directAccess=false</t>
  </si>
  <si>
    <t>김호중 노래 '나의 사람아', 클래식 대중화의 꿈을 그린 천재 테너의 첫 싱글 앨범 [나의 사람아] 타이틀곡</t>
  </si>
  <si>
    <t>https://blog.naver.com/PostView.naver?blogId=4181kim&amp;logNo=223913624334&amp;redirect=Dlog&amp;widgetTypeCall=true&amp;directAccess=false</t>
  </si>
  <si>
    <t>꼬꼬무 육군 상사 염순덕 피살 사건 꼬리에 꼬리를 무는 그날이야기 181회</t>
  </si>
  <si>
    <t>https://blog.naver.com/PostView.naver?blogId=kmlink&amp;logNo=223913616217&amp;redirect=Dlog&amp;widgetTypeCall=true&amp;directAccess=false</t>
  </si>
  <si>
    <t>또또부</t>
  </si>
  <si>
    <t>집 밖은 너무 더운 여름, 에어컨 밑에서 여름을 지워줄 시리즈 추천!</t>
  </si>
  <si>
    <t>https://blog.naver.com/PostView.naver?blogId=ddobakddobak&amp;logNo=223913610077&amp;redirect=Dlog&amp;widgetTypeCall=true&amp;directAccess=false</t>
  </si>
  <si>
    <t>노무현 전 대통령 ‘박연차 게이트와 논두렁 시계’ 사건의 진실</t>
  </si>
  <si>
    <t>https://blog.naver.com/PostView.naver?blogId=xingfucoco&amp;logNo=223913569844&amp;redirect=Dlog&amp;widgetTypeCall=true&amp;directAccess=false</t>
  </si>
  <si>
    <t>488. &lt;S - 없니?&gt; SBS 인기가요 순위 변동 차트</t>
  </si>
  <si>
    <t>https://blog.naver.com/PostView.naver?blogId=bloodypunch&amp;logNo=223913553675&amp;redirect=Dlog&amp;widgetTypeCall=true&amp;directAccess=false</t>
  </si>
  <si>
    <t>영화 '여름이 지나가면', 소년 배우들의 빛나는 연기 앙상블 화제</t>
  </si>
  <si>
    <t>https://blog.naver.com/PostView.naver?blogId=seenedom&amp;logNo=223913538162&amp;redirect=Dlog&amp;widgetTypeCall=true&amp;directAccess=false</t>
  </si>
  <si>
    <t>나솔사계 통편집 진짜네? 사라진 25기 영철 분량 댓글 반응</t>
  </si>
  <si>
    <t>https://blog.naver.com/PostView.naver?blogId=shushu9988&amp;logNo=223913490480&amp;redirect=Dlog&amp;widgetTypeCall=true&amp;directAccess=false</t>
  </si>
  <si>
    <t>인천 숯불 퇴마 살인사건 재조명… 70대 이모가 조카에 "악귀 씌였다" 고문 살인 (+그알, 퇴마, 숯불, 다발성 장기부전)</t>
  </si>
  <si>
    <t>https://blog.naver.com/PostView.naver?blogId=minsimnews&amp;logNo=223913440975&amp;redirect=Dlog&amp;widgetTypeCall=true&amp;directAccess=false</t>
  </si>
  <si>
    <t>19기 정숙, 도대체 무슨 일? 나솔사계 통편집…25기 영철 후폭풍은 상상 초월! 방송 편집 논란+MC 의상 변경까지? (+숨겨진 진실, 제작진 해명, 시청자 반응)</t>
  </si>
  <si>
    <t>https://blog.naver.com/PostView.naver?blogId=qoswlfdl-&amp;logNo=223913414642&amp;redirect=Dlog&amp;widgetTypeCall=true&amp;directAccess=false</t>
  </si>
  <si>
    <t>맥콜 모나 용평 오픈 with SBS Golf 우승상금, '김수지, 문정민 부진에서 벗아나야 해'</t>
  </si>
  <si>
    <t>https://blog.naver.com/PostView.naver?blogId=total_feel&amp;logNo=223913399031&amp;redirect=Dlog&amp;widgetTypeCall=true&amp;directAccess=false</t>
  </si>
  <si>
    <t>오토레이싱</t>
  </si>
  <si>
    <t>코리아둘레길 DMZ 구간 ‘DMZ PEACE TRAIL 200K’ 개최</t>
  </si>
  <si>
    <t>https://blog.naver.com/PostView.naver?blogId=autosport&amp;logNo=223913390521&amp;redirect=Dlog&amp;widgetTypeCall=true&amp;directAccess=false</t>
  </si>
  <si>
    <t>나솔사계21기 영숙 김치국 24기 영수 정숙 선택했다</t>
  </si>
  <si>
    <t>https://blog.naver.com/PostView.naver?blogId=pkeunyoo&amp;logNo=223913383969&amp;redirect=Dlog&amp;widgetTypeCall=true&amp;directAccess=false</t>
  </si>
  <si>
    <t>나는야</t>
  </si>
  <si>
    <t>&lt; 브람스를 좋아하세요? &gt; (2020)</t>
  </si>
  <si>
    <t>https://blog.naver.com/PostView.naver?blogId=whoareyou_itsmeee&amp;logNo=223910961079&amp;redirect=Dlog&amp;widgetTypeCall=true&amp;directAccess=false</t>
  </si>
  <si>
    <t>나솔사계 21기 옥순 눈물 25기 영철 통편집 씁쓸한 반전 진심도 편집됐다</t>
  </si>
  <si>
    <t>https://blog.naver.com/PostView.naver?blogId=hhwjh&amp;logNo=223913296120&amp;redirect=Dlog&amp;widgetTypeCall=true&amp;directAccess=false</t>
  </si>
  <si>
    <t>honesty0820</t>
  </si>
  <si>
    <t>2025년 대한민국을 빛낸 인물 &amp; 브랜드 대상 수상 - 스포츠조선</t>
  </si>
  <si>
    <t>https://blog.naver.com/PostView.naver?blogId=honesty0820&amp;logNo=223913293641&amp;redirect=Dlog&amp;widgetTypeCall=true&amp;directAccess=false</t>
  </si>
  <si>
    <t>별농</t>
  </si>
  <si>
    <t>나는솔로 25기 영철 본명 박재홍 성폭행 의혹</t>
  </si>
  <si>
    <t>https://blog.naver.com/PostView.naver?blogId=dreamwiz79&amp;logNo=223913283822&amp;redirect=Dlog&amp;widgetTypeCall=true&amp;directAccess=false</t>
  </si>
  <si>
    <t>6. 27(금) 경찰관련기사</t>
  </si>
  <si>
    <t>https://blog.naver.com/PostView.naver?blogId=tobiaspia&amp;logNo=223913280320&amp;redirect=Dlog&amp;widgetTypeCall=true&amp;directAccess=false</t>
  </si>
  <si>
    <t>나는 SOLO 26기</t>
  </si>
  <si>
    <t>https://blog.naver.com/PostView.naver?blogId=ioiuioiu1004&amp;logNo=223913261103&amp;redirect=Dlog&amp;widgetTypeCall=true&amp;directAccess=false</t>
  </si>
  <si>
    <t>경찰관련 기사 스크린</t>
  </si>
  <si>
    <t>https://blog.naver.com/PostView.naver?blogId=approach999&amp;logNo=223913259631&amp;redirect=Dlog&amp;widgetTypeCall=true&amp;directAccess=false</t>
  </si>
  <si>
    <t>나솔사계, 000의 충격 고백 "사실 저는…" 엇갈린 선택의 최종 결과는? (+데이트, 반전, 솔직)</t>
  </si>
  <si>
    <t>https://blog.naver.com/PostView.naver?blogId=minha051126&amp;logNo=223913252031&amp;redirect=Dlog&amp;widgetTypeCall=true&amp;directAccess=false</t>
  </si>
  <si>
    <t>IHope</t>
  </si>
  <si>
    <t>《 SBS 세상에 이런 일이》, 비닐하우스에 사는 아내 편을 보았다.</t>
  </si>
  <si>
    <t>https://blog.naver.com/PostView.naver?blogId=ihope076&amp;logNo=223913225713&amp;redirect=Dlog&amp;widgetTypeCall=true&amp;directAccess=false</t>
  </si>
  <si>
    <t>2025년 6월 27일(금) 경제뉴스 읽기</t>
  </si>
  <si>
    <t>https://blog.naver.com/PostView.naver?blogId=stablehope&amp;logNo=223913217058&amp;redirect=Dlog&amp;widgetTypeCall=true&amp;directAccess=false</t>
  </si>
  <si>
    <t>허파파</t>
  </si>
  <si>
    <t>2025년 6월 27일 금요일 새벽 경제읽기</t>
  </si>
  <si>
    <t>https://blog.naver.com/PostView.naver?blogId=congka18&amp;logNo=223913210628&amp;redirect=Dlog&amp;widgetTypeCall=true&amp;directAccess=false</t>
  </si>
  <si>
    <t>김건희 27일 오늘 퇴원, 특검 소환하면 성실히 임한다.</t>
  </si>
  <si>
    <t>https://blog.naver.com/PostView.naver?blogId=zeenokim&amp;logNo=223913207693&amp;redirect=Dlog&amp;widgetTypeCall=true&amp;directAccess=false</t>
  </si>
  <si>
    <t>25기 영수, 17기 옥순과 꿀 데이트 후… 충격 반전! 24기 정숙에게 "나 너 좋아해" 직진 고백?! (+솔로나라, 로맨스, 삼각관계)</t>
  </si>
  <si>
    <t>https://blog.naver.com/PostView.naver?blogId=jeju0520-&amp;logNo=223913156038&amp;redirect=Dlog&amp;widgetTypeCall=true&amp;directAccess=false</t>
  </si>
  <si>
    <t>별이빛나는밤</t>
  </si>
  <si>
    <t>홍일품의 홍대간장게장, 양념게장 무한리필의 맛!</t>
  </si>
  <si>
    <t>https://blog.naver.com/PostView.naver?blogId=mz1yu2jcsra&amp;logNo=223910290813&amp;redirect=Dlog&amp;widgetTypeCall=true&amp;directAccess=false</t>
  </si>
  <si>
    <t>6/26 장마감 (원전 -&gt; 반도체 ?)</t>
  </si>
  <si>
    <t>https://blog.naver.com/PostView.naver?blogId=not_money_wisdom&amp;logNo=223913118819&amp;redirect=Dlog&amp;widgetTypeCall=true&amp;directAccess=false</t>
  </si>
  <si>
    <t>나솔사계' 25기 영철, 대체 무슨 짓을… 출연자 성폭행 혐의 구속! 방송 통편집 초강수 (+나솔사계, 영철, 성폭행)</t>
  </si>
  <si>
    <t>https://blog.naver.com/PostView.naver?blogId=jeju0520-&amp;logNo=223913109961&amp;redirect=Dlog&amp;widgetTypeCall=true&amp;directAccess=false</t>
  </si>
  <si>
    <t>김호중 노래 '잊지 말아요', 김호중 장르의 듀엣곡으로 재해석된 감성 발라드의 애절함이 심금을 울린다.</t>
  </si>
  <si>
    <t>https://blog.naver.com/PostView.naver?blogId=4181kim&amp;logNo=223913104454&amp;redirect=Dlog&amp;widgetTypeCall=true&amp;directAccess=false</t>
  </si>
  <si>
    <t>나솔 사계(편집의 힘👊)</t>
  </si>
  <si>
    <t>https://blog.naver.com/PostView.naver?blogId=cometruefang1&amp;logNo=223913061608&amp;redirect=Dlog&amp;widgetTypeCall=true&amp;directAccess=false</t>
  </si>
  <si>
    <t>나는 솔로 27기 출연자 직업 나이 거주지 유출 꽃남 대거 등장! 옥순 특집</t>
  </si>
  <si>
    <t>https://blog.naver.com/PostView.naver?blogId=hhwjh&amp;logNo=223913061850&amp;redirect=Dlog&amp;widgetTypeCall=true&amp;directAccess=false</t>
  </si>
  <si>
    <t>익숙한 하루하루 속에서, 낯선 마음이 자주 고개를 들었다</t>
  </si>
  <si>
    <t>https://blog.naver.com/PostView.naver?blogId=judaze&amp;logNo=223912990731&amp;redirect=Dlog&amp;widgetTypeCall=true&amp;directAccess=false</t>
  </si>
  <si>
    <t>오서연</t>
  </si>
  <si>
    <t>랑종</t>
  </si>
  <si>
    <t>https://blog.naver.com/PostView.naver?blogId=welcome5tion&amp;logNo=223912975575&amp;redirect=Dlog&amp;widgetTypeCall=true&amp;directAccess=false</t>
  </si>
  <si>
    <t>엘리제</t>
  </si>
  <si>
    <t>한국 영화나 드라마에서 '오컬트' 장르가 본격적으로 등장하고 발전한 시점</t>
  </si>
  <si>
    <t>https://blog.naver.com/PostView.naver?blogId=jjmmjj1223&amp;logNo=223912974884&amp;redirect=Dlog&amp;widgetTypeCall=true&amp;directAccess=false</t>
  </si>
  <si>
    <t>와!진짜? 세상에 이런일이 시즌 2 5화(21화) - 그 땐 그랬지 시간 여행이자 추억의 회고 편 리뷰</t>
  </si>
  <si>
    <t>https://blog.naver.com/PostView.naver?blogId=ham6870&amp;logNo=223912966800&amp;redirect=Dlog&amp;widgetTypeCall=true&amp;directAccess=false</t>
  </si>
  <si>
    <t>Heyo</t>
  </si>
  <si>
    <t>[제주도 맛집/제주시 맛집/제주 금오름 맛집/제주도 파스타 맛집/제주도 양식 맛집/제주시 한림 맛집] 아니따 파스타 한림금악본점</t>
  </si>
  <si>
    <t>https://blog.naver.com/PostView.naver?blogId=heyday_922&amp;logNo=223912961800&amp;redirect=Dlog&amp;widgetTypeCall=true&amp;directAccess=false</t>
  </si>
  <si>
    <t>행복한하늘</t>
  </si>
  <si>
    <t>홍일품, 홍대간장게장 맛집에서 게장 무한리필 즐기기!</t>
  </si>
  <si>
    <t>https://blog.naver.com/PostView.naver?blogId=9is8yrjqv0q&amp;logNo=223909763991&amp;redirect=Dlog&amp;widgetTypeCall=true&amp;directAccess=false</t>
  </si>
  <si>
    <t>나는솔로 26기 현커 영식 현숙 충격 대반전</t>
  </si>
  <si>
    <t>https://blog.naver.com/PostView.naver?blogId=yangtom79&amp;logNo=223912935677&amp;redirect=Dlog&amp;widgetTypeCall=true&amp;directAccess=false</t>
  </si>
  <si>
    <t>6/22 SBS 인기가요 하츠투하츠 사전녹화 + 이서MC 본방송 방청 갔다왔다.</t>
  </si>
  <si>
    <t>https://blog.naver.com/PostView.naver?blogId=conix&amp;logNo=223912933497&amp;redirect=Dlog&amp;widgetTypeCall=true&amp;directAccess=false</t>
  </si>
  <si>
    <t>슈정</t>
  </si>
  <si>
    <t>강원도 양양 여행 메밀막국수 맛집 &lt;상운 메밀촌&gt; 솔직 후기</t>
  </si>
  <si>
    <t>https://blog.naver.com/PostView.naver?blogId=n1yangssu&amp;logNo=223912922534&amp;redirect=Dlog&amp;widgetTypeCall=true&amp;directAccess=false</t>
  </si>
  <si>
    <t>꼬꼬무 염상사 범인, 꼬리에 꼬리를 무는 이야기 시즌3 181회, 염순덕 피살사건 홍준위 이경위 이중사</t>
  </si>
  <si>
    <t>https://blog.naver.com/PostView.naver?blogId=chummilmil99&amp;logNo=223912922970&amp;redirect=Dlog&amp;widgetTypeCall=true&amp;directAccess=false</t>
  </si>
  <si>
    <t>나는솔로 26기 현숙 영식 현커 됐다! 판교 커플 인스타 근황</t>
  </si>
  <si>
    <t>https://blog.naver.com/PostView.naver?blogId=shushu9988&amp;logNo=223912814244&amp;redirect=Dlog&amp;widgetTypeCall=true&amp;directAccess=false</t>
  </si>
  <si>
    <t>나는솔로 26기 현숙 영식 현커 충격 환승이별 26광수 왕따설</t>
  </si>
  <si>
    <t>https://blog.naver.com/PostView.naver?blogId=porto7979&amp;logNo=223912797812&amp;redirect=Dlog&amp;widgetTypeCall=true&amp;directAccess=false</t>
  </si>
  <si>
    <t>아보카도 숙성 고기 그 맛의 비밀…(상상초월) 맛보면 기절?! 생방송투데이 극찬 레시피 (+숙성, 아보카도, 고기)</t>
  </si>
  <si>
    <t>https://blog.naver.com/PostView.naver?blogId=min5591ha&amp;logNo=223912790526&amp;redirect=Dlog&amp;widgetTypeCall=true&amp;directAccess=false</t>
  </si>
  <si>
    <t>26기 광수, 대체 왜?…'나는 솔로' 출연 후 폭풍 뒷담화, 욕먹는 진짜 이유 (+데이트, 선택, 최종)</t>
  </si>
  <si>
    <t>https://blog.naver.com/PostView.naver?blogId=ovonews&amp;logNo=223912772545&amp;redirect=Dlog&amp;widgetTypeCall=true&amp;directAccess=false</t>
  </si>
  <si>
    <t>현숙 광수 드디어…! 나는솔로 26기 충격 결말, 영식 현숙 현커 반전 라방 풀 스토리 최초 공개 (+결혼, 스포, 뒷이야기)</t>
  </si>
  <si>
    <t>https://blog.naver.com/PostView.naver?blogId=min5591ha&amp;logNo=223912491738&amp;redirect=Dlog&amp;widgetTypeCall=true&amp;directAccess=false</t>
  </si>
  <si>
    <t>나솔 26기 현숙 이름 본명 회사 한동대 변호사 영호 현커</t>
  </si>
  <si>
    <t>https://blog.naver.com/PostView.naver?blogId=homenews_&amp;logNo=223912488098&amp;redirect=Dlog&amp;widgetTypeCall=true&amp;directAccess=false</t>
  </si>
  <si>
    <t>프리디와이</t>
  </si>
  <si>
    <t>"나는솔로 26기, 이게 진짜 리얼 연애?!" 최종 커플의 배신! 현커는 따로 있었다?</t>
  </si>
  <si>
    <t>https://blog.naver.com/PostView.naver?blogId=kiki46200&amp;logNo=223912258302&amp;redirect=Dlog&amp;widgetTypeCall=true&amp;directAccess=false</t>
  </si>
  <si>
    <t>raykim</t>
  </si>
  <si>
    <t>[엔터·레저·미디어] 드디어 갖춰진 판 (이화정 책임연구원 풀버전)ㅣBest Analyst 2025 하반기 산업전망세미나</t>
  </si>
  <si>
    <t>https://blog.naver.com/PostView.naver?blogId=freekyj72&amp;logNo=223912448308&amp;redirect=Dlog&amp;widgetTypeCall=true&amp;directAccess=false</t>
  </si>
  <si>
    <t>나솔 26기 정숙 해명 눈치가 없었을 뿐? 순자 시원한 팩폭 솔로리액션, 나는솔로</t>
  </si>
  <si>
    <t>https://blog.naver.com/PostView.naver?blogId=chummilmil99&amp;logNo=223912376174&amp;redirect=Dlog&amp;widgetTypeCall=true&amp;directAccess=false</t>
  </si>
  <si>
    <t>송인규</t>
  </si>
  <si>
    <t>SLR 규제 완화와 해석</t>
  </si>
  <si>
    <t>https://blog.naver.com/PostView.naver?blogId=tda1616&amp;logNo=223912353936&amp;redirect=Dlog&amp;widgetTypeCall=true&amp;directAccess=false</t>
  </si>
  <si>
    <t>바로헤어 시흥점</t>
  </si>
  <si>
    <t>487. &lt;# - Sweety&gt; SBS 인기가요 순위 변동 차트</t>
  </si>
  <si>
    <t>https://blog.naver.com/PostView.naver?blogId=bloodypunch&amp;logNo=223912332113&amp;redirect=Dlog&amp;widgetTypeCall=true&amp;directAccess=false</t>
  </si>
  <si>
    <t>나는솔로 26기 최종커플 상철정숙 광수현숙 반전선택 진짜 이름은</t>
  </si>
  <si>
    <t>https://blog.naver.com/PostView.naver?blogId=pkeunyoo&amp;logNo=223912315902&amp;redirect=Dlog&amp;widgetTypeCall=true&amp;directAccess=false</t>
  </si>
  <si>
    <t>나는솔로 26기 광수 최종커플 현커 스포 최악의 빌런 등극 남규홍PD 극대노 동기출연자 저격 불화설</t>
  </si>
  <si>
    <t>https://blog.naver.com/PostView.naver?blogId=porto7979&amp;logNo=223912302766&amp;redirect=Dlog&amp;widgetTypeCall=true&amp;directAccess=false</t>
  </si>
  <si>
    <t>나는solo 27기 옥순이야? 촬영지 정읍 예고편 남자 출연진 꽃남특집, 나는솔로</t>
  </si>
  <si>
    <t>https://blog.naver.com/PostView.naver?blogId=chummilmil99&amp;logNo=223912293111&amp;redirect=Dlog&amp;widgetTypeCall=true&amp;directAccess=false</t>
  </si>
  <si>
    <t>[신보소개] 더 트롯쇼 라이벌 대전 EP.4 (음악듣기/가사)</t>
  </si>
  <si>
    <t>https://blog.naver.com/PostView.naver?blogId=danalenter&amp;logNo=223911154470&amp;redirect=Dlog&amp;widgetTypeCall=true&amp;directAccess=false</t>
  </si>
  <si>
    <t>느리게 걷는 달팽이</t>
  </si>
  <si>
    <t>10.</t>
  </si>
  <si>
    <t>https://blog.naver.com/PostView.naver?blogId=chokko1979&amp;logNo=223912241822&amp;redirect=Dlog&amp;widgetTypeCall=true&amp;directAccess=false</t>
  </si>
  <si>
    <t>보령시, 2025년 상반기 적극행정 우수사례 5건 선정</t>
  </si>
  <si>
    <t>https://blog.naver.com/PostView.naver?blogId=seosanpost&amp;logNo=223912241975&amp;redirect=Dlog&amp;widgetTypeCall=true&amp;directAccess=false</t>
  </si>
  <si>
    <t>물결</t>
  </si>
  <si>
    <t>모터로이드</t>
  </si>
  <si>
    <t>"이 덩치에 제로백 2.95초?" 인기 예능에 등장한 하이퍼 전기 SUV '엘레트라 R'은 어떤 차일까</t>
  </si>
  <si>
    <t>https://blog.naver.com/PostView.naver?blogId=motoroidkorea&amp;logNo=223911905881&amp;redirect=Dlog&amp;widgetTypeCall=true&amp;directAccess=false</t>
  </si>
  <si>
    <t>민미</t>
  </si>
  <si>
    <t>[GOLF] 맥콜·모나 용평 오픈 with SBS Golf 티켓 셔틀 갤러리안내</t>
  </si>
  <si>
    <t>https://blog.naver.com/PostView.naver?blogId=tobemy&amp;logNo=223912104686&amp;redirect=Dlog&amp;widgetTypeCall=true&amp;directAccess=false</t>
  </si>
  <si>
    <t>도봉</t>
  </si>
  <si>
    <t>성적 급상승 공부법의 비밀</t>
  </si>
  <si>
    <t>https://blog.naver.com/PostView.naver?blogId=dong200a&amp;logNo=223905938717&amp;redirect=Dlog&amp;widgetTypeCall=true&amp;directAccess=false</t>
  </si>
  <si>
    <t>굿파트너2에서 남지현 한유리를 볼수 없다고?</t>
  </si>
  <si>
    <t>https://blog.naver.com/PostView.naver?blogId=js2y86&amp;logNo=223911787253&amp;redirect=Dlog&amp;widgetTypeCall=true&amp;directAccess=false</t>
  </si>
  <si>
    <t>나는솔로 26기, 광수 현숙 드디어…! 정숙 상철은 대체 왜? 최종 커플 단 2쌍의 충격적인 결말 (+프로필, 인스타, 나무위키)</t>
  </si>
  <si>
    <t>https://blog.naver.com/PostView.naver?blogId=ovonews&amp;logNo=223912048979&amp;redirect=Dlog&amp;widgetTypeCall=true&amp;directAccess=false</t>
  </si>
  <si>
    <t>권성동, 대북송금 조작수사에 거래 녹취</t>
  </si>
  <si>
    <t>https://blog.naver.com/PostView.naver?blogId=mrsanahi&amp;logNo=223912045606&amp;redirect=Dlog&amp;widgetTypeCall=true&amp;directAccess=false</t>
  </si>
  <si>
    <t>예레미야</t>
  </si>
  <si>
    <t>K 무당의 전성시대</t>
  </si>
  <si>
    <t>https://blog.naver.com/PostView.naver?blogId=esedae&amp;logNo=223912045425&amp;redirect=Dlog&amp;widgetTypeCall=true&amp;directAccess=false</t>
  </si>
  <si>
    <t>나는 솔로 26기 광수 현숙 상철 정숙 최종 커플 예측 불허의 반전 드라마</t>
  </si>
  <si>
    <t>https://blog.naver.com/PostView.naver?blogId=geonupapa&amp;logNo=223912038294&amp;redirect=Dlog&amp;widgetTypeCall=true&amp;directAccess=false</t>
  </si>
  <si>
    <t>브로콜리아저씨Bro</t>
  </si>
  <si>
    <t>🤯 “광며들었다!”… ‘나솔 26기’ 역대급 반전! 현숙의 최종 선택은?!</t>
  </si>
  <si>
    <t>https://blog.naver.com/PostView.naver?blogId=llikllik&amp;logNo=223912025680&amp;redirect=Dlog&amp;widgetTypeCall=true&amp;directAccess=false</t>
  </si>
  <si>
    <t>신</t>
  </si>
  <si>
    <t>하고 싶은 말들</t>
  </si>
  <si>
    <t>https://blog.naver.com/PostView.naver?blogId=coldnighter&amp;logNo=223912023837&amp;redirect=Dlog&amp;widgetTypeCall=true&amp;directAccess=false</t>
  </si>
  <si>
    <t>드디어 쌍방울 사건의 진실이 밝혀질듯... "이재명과 무관", 권성동도 적극개입 의심</t>
  </si>
  <si>
    <t>https://blog.naver.com/PostView.naver?blogId=ckim49&amp;logNo=223912018514&amp;redirect=Dlog&amp;widgetTypeCall=true&amp;directAccess=false</t>
  </si>
  <si>
    <t>푸른언덕</t>
  </si>
  <si>
    <t>사랑침례교회 목회자초청 교제모임</t>
  </si>
  <si>
    <t>https://blog.naver.com/PostView.naver?blogId=notandy&amp;logNo=223912018731&amp;redirect=Dlog&amp;widgetTypeCall=true&amp;directAccess=false</t>
  </si>
  <si>
    <t>성산일출봉 통갈치구이 맛집 성산바다, 뼈없는 갈치조림 밥도둑</t>
  </si>
  <si>
    <t>https://blog.naver.com/PostView.naver?blogId=crash205&amp;logNo=223911983421&amp;redirect=Dlog&amp;widgetTypeCall=true&amp;directAccess=false</t>
  </si>
  <si>
    <t>2025년 6월 26일 목요일 새벽 경제읽기</t>
  </si>
  <si>
    <t>https://blog.naver.com/PostView.naver?blogId=congka18&amp;logNo=223911967479&amp;redirect=Dlog&amp;widgetTypeCall=true&amp;directAccess=false</t>
  </si>
  <si>
    <t>나는 SOLO' 26기, 상철♥정숙·광수♥현숙 최종 커플…뜻밖의 반전</t>
  </si>
  <si>
    <t>https://blog.naver.com/PostView.naver?blogId=reviewjoa&amp;logNo=223911951307&amp;redirect=Dlog&amp;widgetTypeCall=true&amp;directAccess=false</t>
  </si>
  <si>
    <t>Slow rock</t>
  </si>
  <si>
    <t>까치성산 이름에 얽힌 전설이 있는,  제천 작성산</t>
  </si>
  <si>
    <t>https://blog.naver.com/PostView.naver?blogId=lhh6106&amp;logNo=223911579236&amp;redirect=Dlog&amp;widgetTypeCall=true&amp;directAccess=false</t>
  </si>
  <si>
    <t>박성광 아내 이솔이, "카페인 끊어야 할 때…나이듦이 속상" 솔직 고백에 안타까움</t>
  </si>
  <si>
    <t>https://blog.naver.com/PostView.naver?blogId=lsb3002&amp;logNo=223911909666&amp;redirect=Dlog&amp;widgetTypeCall=true&amp;directAccess=false</t>
  </si>
  <si>
    <t>문정Lemuria</t>
  </si>
  <si>
    <t>AI 가짜 댓글 공해</t>
  </si>
  <si>
    <t>https://blog.naver.com/PostView.naver?blogId=hjh21moo&amp;logNo=223911906986&amp;redirect=Dlog&amp;widgetTypeCall=true&amp;directAccess=false</t>
  </si>
  <si>
    <t>나는 솔로' 26기 상철, 영자 아닌 정숙 선택…삼각관계 종결에 희비 엇갈려</t>
  </si>
  <si>
    <t>https://blog.naver.com/PostView.naver?blogId=lsb3002&amp;logNo=223911900164&amp;redirect=Dlog&amp;widgetTypeCall=true&amp;directAccess=false</t>
  </si>
  <si>
    <t>26기 상철, 영자 버리고 정숙에게 올인… "망치… 그 후" 충격 고백 (+러브라인, 반전, 최종선택)</t>
  </si>
  <si>
    <t>https://blog.naver.com/PostView.naver?blogId=minha051126&amp;logNo=223911899031&amp;redirect=Dlog&amp;widgetTypeCall=true&amp;directAccess=false</t>
  </si>
  <si>
    <t>사실 엔플라잉 공방도 다녀왔어요</t>
  </si>
  <si>
    <t>https://blog.naver.com/PostView.naver?blogId=moojihye&amp;logNo=223911898553&amp;redirect=Dlog&amp;widgetTypeCall=true&amp;directAccess=false</t>
  </si>
  <si>
    <t>광며들기' 전엔 달랐다? 현숙의 속마음 고백…“광수, 좋은데 부담돼” 😶</t>
  </si>
  <si>
    <t>https://blog.naver.com/PostView.naver?blogId=enterhong77&amp;logNo=223911858672&amp;redirect=Dlog&amp;widgetTypeCall=true&amp;directAccess=false</t>
  </si>
  <si>
    <t>중구 맛집 인생식당…반마리 백숙에 숨겨진 눈물 없이 볼 수 없는 온정 스토리 (+생방송투데이, 감동, 힐링)</t>
  </si>
  <si>
    <t>https://blog.naver.com/PostView.naver?blogId=jeju0520-&amp;logNo=223911839904&amp;redirect=Dlog&amp;widgetTypeCall=true&amp;directAccess=false</t>
  </si>
  <si>
    <t>uvolery</t>
  </si>
  <si>
    <t>6월 일기</t>
  </si>
  <si>
    <t>https://blog.naver.com/PostView.naver?blogId=ah_0_choi&amp;logNo=223917258783&amp;redirect=Dlog&amp;widgetTypeCall=true&amp;directAccess=false</t>
  </si>
  <si>
    <t>베이비몬스터 아사 ‘모자 속 치명적인 미모’[포토엔HD]</t>
  </si>
  <si>
    <t>https://blog.naver.com/PostView.naver?blogId=aodaisyou1&amp;logNo=223917244071&amp;redirect=Dlog&amp;widgetTypeCall=true&amp;directAccess=false</t>
  </si>
  <si>
    <t>하용</t>
  </si>
  <si>
    <t>6월</t>
  </si>
  <si>
    <t>https://blog.naver.com/PostView.naver?blogId=yhy80060&amp;logNo=223917236120&amp;redirect=Dlog&amp;widgetTypeCall=true&amp;directAccess=false</t>
  </si>
  <si>
    <t>불꽃야구 또 한 번의 파격적 선택, 전국투어 연속 직관(경기일, 예매일, 예매사이트).feat 연전연승</t>
  </si>
  <si>
    <t>https://blog.naver.com/PostView.naver?blogId=agentwannabe&amp;logNo=223917220238&amp;redirect=Dlog&amp;widgetTypeCall=true&amp;directAccess=false</t>
  </si>
  <si>
    <t>나는솔로 26기 - 현숙이 광수를 최종 선택한 이유. ( 실험에서 입력값을 잘못 넣으면 결과는 최악이 된다.)</t>
  </si>
  <si>
    <t>https://blog.naver.com/PostView.naver?blogId=goodbyefriends&amp;logNo=223917218328&amp;redirect=Dlog&amp;widgetTypeCall=true&amp;directAccess=false</t>
  </si>
  <si>
    <t>‘나는솔로 출연자, 성폭행 혐의로 경찰에 체포: 방송사 반응은?</t>
  </si>
  <si>
    <t>https://blog.naver.com/PostView.naver?blogId=dbghwns2&amp;logNo=223917183983&amp;redirect=Dlog&amp;widgetTypeCall=true&amp;directAccess=false</t>
  </si>
  <si>
    <t>이상민, 재혼 3개월 만에 이혼 전문 변호사 만난 이유는?</t>
  </si>
  <si>
    <t>https://blog.naver.com/PostView.naver?blogId=dbghwns2&amp;logNo=223917142244&amp;redirect=Dlog&amp;widgetTypeCall=true&amp;directAccess=false</t>
  </si>
  <si>
    <t>이은지·아이들 미연, '대결! 팽봉팽봉' 마지막 영업에서 활약…"행복한 추억될 것"</t>
  </si>
  <si>
    <t>https://blog.naver.com/PostView.naver?blogId=withinnews&amp;logNo=223917044369&amp;redirect=Dlog&amp;widgetTypeCall=true&amp;directAccess=false</t>
  </si>
  <si>
    <t>이상민 재혼녀 , 초고속 혼인신고 이유는 2세 때문 ? + 미우새 돌싱포맨</t>
  </si>
  <si>
    <t>https://blog.naver.com/PostView.naver?blogId=euene1111&amp;logNo=223917005472&amp;redirect=Dlog&amp;widgetTypeCall=true&amp;directAccess=false</t>
  </si>
  <si>
    <t>맛있고 건강한 뉴욕스타일의 멕시칸요리 성수역맛집 더타코부스 성수점</t>
  </si>
  <si>
    <t>https://blog.naver.com/PostView.naver?blogId=cute8437&amp;logNo=223916982455&amp;redirect=Dlog&amp;widgetTypeCall=true&amp;directAccess=false</t>
  </si>
  <si>
    <t>김종국, 62억 빌라 매입 “결혼 준비 맞다”…여친 공개는 NO, 신혼집 의혹 인정</t>
  </si>
  <si>
    <t>https://blog.naver.com/PostView.naver?blogId=apahghfej&amp;logNo=223916954161&amp;redirect=Dlog&amp;widgetTypeCall=true&amp;directAccess=false</t>
  </si>
  <si>
    <t>"이혼도 말렸다" 이동건X조윤희, 비하인드 공개한 변호사 ('미우새')</t>
  </si>
  <si>
    <t>https://blog.naver.com/PostView.naver?blogId=apahghfej&amp;logNo=223916925339&amp;redirect=Dlog&amp;widgetTypeCall=true&amp;directAccess=false</t>
  </si>
  <si>
    <t>이재명 조폭 연루설 SBS 그것이 알고 싶다 방송 논란 성남 국제마피아파와의 관계 진실은?</t>
  </si>
  <si>
    <t>https://blog.naver.com/PostView.naver?blogId=qnzjn8&amp;logNo=223916909057&amp;redirect=Dlog&amp;widgetTypeCall=true&amp;directAccess=false</t>
  </si>
  <si>
    <t>동탄 납치 살인  김은진 사망 사건의 진실 그것이 알고 싶다 1445회 유서와 23시간 녹취록</t>
  </si>
  <si>
    <t>https://blog.naver.com/PostView.naver?blogId=qnzjn8&amp;logNo=223916913245&amp;redirect=Dlog&amp;widgetTypeCall=true&amp;directAccess=false</t>
  </si>
  <si>
    <t>영식♥현숙, 나는솔로 26기 커플…방송 끝나고 더 뜨거워진 현실 로맨스! 대체 무슨 일이? (+인스타, 나무위키, 프로필)</t>
  </si>
  <si>
    <t>https://blog.naver.com/PostView.naver?blogId=qoswlfdl-&amp;logNo=223916890727&amp;redirect=Dlog&amp;widgetTypeCall=true&amp;directAccess=false</t>
  </si>
  <si>
    <t>SunJune</t>
  </si>
  <si>
    <t>25년 6월 30일 상한가</t>
  </si>
  <si>
    <t>https://blog.naver.com/PostView.naver?blogId=dlaco8056&amp;logNo=223916878369&amp;redirect=Dlog&amp;widgetTypeCall=true&amp;directAccess=false</t>
  </si>
  <si>
    <t>편집장</t>
  </si>
  <si>
    <t>[신곡 발표] 가수 김지연, 애절한 성인 감성 발라드로 귀환… 신곡 ‘가슴이 말해 주겠죠’ 7월1일 공개</t>
  </si>
  <si>
    <t>https://blog.naver.com/PostView.naver?blogId=kangs567&amp;logNo=223916861446&amp;redirect=Dlog&amp;widgetTypeCall=true&amp;directAccess=false</t>
  </si>
  <si>
    <t>산타클로스</t>
  </si>
  <si>
    <t>지드래곤, 산타클로스 투표 1위</t>
  </si>
  <si>
    <t>https://blog.naver.com/PostView.naver?blogId=chnam71&amp;logNo=223916844680&amp;redirect=Dlog&amp;widgetTypeCall=true&amp;directAccess=false</t>
  </si>
  <si>
    <t>박하나 김태술 부부, 결혼식 전 농구 감독 해임 미안 (동상이몽 395회 나이 직업 프로필)</t>
  </si>
  <si>
    <t>https://blog.naver.com/PostView.naver?blogId=k202109&amp;logNo=223916747675&amp;redirect=Dlog&amp;widgetTypeCall=true&amp;directAccess=false</t>
  </si>
  <si>
    <t>시청자 세상 충격 고백 1373회 폭염 장마…숨겨진 진실은? (+여름, 날씨, 재난)</t>
  </si>
  <si>
    <t>https://blog.naver.com/PostView.naver?blogId=qoswlfdl-&amp;logNo=223916723249&amp;redirect=Dlog&amp;widgetTypeCall=true&amp;directAccess=false</t>
  </si>
  <si>
    <t>빡주</t>
  </si>
  <si>
    <t>케이팝 데몬헌터스 한국인 애니메이터 제작 후기 &amp; 소니에서 받은 선물!</t>
  </si>
  <si>
    <t>https://blog.naver.com/PostView.naver?blogId=1014bjh&amp;logNo=223916721704&amp;redirect=Dlog&amp;widgetTypeCall=true&amp;directAccess=false</t>
  </si>
  <si>
    <t>2025/06/30 매매일지</t>
  </si>
  <si>
    <t>https://blog.naver.com/PostView.naver?blogId=kdacll11&amp;logNo=223916719848&amp;redirect=Dlog&amp;widgetTypeCall=true&amp;directAccess=false</t>
  </si>
  <si>
    <t>생활의 달인 989회 역대급 달인들 총집합 부산 샐러드빵 찹쌀 단팥빵 장인의 비법… 망고 빙수, 부침개 김밥, 소개팅, 미용 가위, 햄버거 달인까지 (+부산, 샐러드빵, 햄버거)</t>
  </si>
  <si>
    <t>https://blog.naver.com/PostView.naver?blogId=qoswlfdl-&amp;logNo=223916707275&amp;redirect=Dlog&amp;widgetTypeCall=true&amp;directAccess=false</t>
  </si>
  <si>
    <t>날고싶은커피향</t>
  </si>
  <si>
    <t>najobgo</t>
  </si>
  <si>
    <t>[칼럼]인공지능 요술램프를 들고 우리가 주인공이 되어 즐거운 주문을 넣어보자.</t>
  </si>
  <si>
    <t>https://blog.naver.com/PostView.naver?blogId=najobgo&amp;logNo=223916700067&amp;redirect=Dlog&amp;widgetTypeCall=true&amp;directAccess=false</t>
  </si>
  <si>
    <t>250630 동상이몽 2 - 너는 내 운명 395회 예고 / 박하나♥김태술 결혼 앞두고 위기, “자극적 보도에…”</t>
  </si>
  <si>
    <t>https://blog.naver.com/PostView.naver?blogId=kbmbc_8919&amp;logNo=223916670960&amp;redirect=Dlog&amp;widgetTypeCall=true&amp;directAccess=false</t>
  </si>
  <si>
    <t>쀼쀼</t>
  </si>
  <si>
    <t>대구 팔공산 맛집 / 특별한 메뉴가 생각날 땐 팔공산 돌짬뽕 (feat.돌짜장)</t>
  </si>
  <si>
    <t>https://blog.naver.com/PostView.naver?blogId=pan9151&amp;logNo=223916658784&amp;redirect=Dlog&amp;widgetTypeCall=true&amp;directAccess=false</t>
  </si>
  <si>
    <t>스카이블루웨이브</t>
  </si>
  <si>
    <t>홍일품에서 만나는 홍대 간장게장 무한리필의 진수</t>
  </si>
  <si>
    <t>https://blog.naver.com/PostView.naver?blogId=sadmfoa5ens&amp;logNo=223913493295&amp;redirect=Dlog&amp;widgetTypeCall=true&amp;directAccess=false</t>
  </si>
  <si>
    <t>3liner</t>
  </si>
  <si>
    <t>전력 관련주들이 다시 주목 받다.</t>
  </si>
  <si>
    <t>https://blog.naver.com/PostView.naver?blogId=3linestock&amp;logNo=223916618155&amp;redirect=Dlog&amp;widgetTypeCall=true&amp;directAccess=false</t>
  </si>
  <si>
    <t>kcarbon</t>
  </si>
  <si>
    <t>25년 6월 미디어 속 탄소산업 동향</t>
  </si>
  <si>
    <t>https://blog.naver.com/PostView.naver?blogId=kcarbon&amp;logNo=223916581878&amp;redirect=Dlog&amp;widgetTypeCall=true&amp;directAccess=false</t>
  </si>
  <si>
    <t>더원 사랑아 매력적인 허스키한 목소리</t>
  </si>
  <si>
    <t>https://blog.naver.com/PostView.naver?blogId=cling9082&amp;logNo=223916581189&amp;redirect=Dlog&amp;widgetTypeCall=true&amp;directAccess=false</t>
  </si>
  <si>
    <t>🔥‘그것이 알고 싶다’ 인천 숯불 퇴마 살인사건, 악귀 퇴치인가 끔찍한 고문인가(1449회)</t>
  </si>
  <si>
    <t>https://blog.naver.com/PostView.naver?blogId=dew2by_&amp;logNo=223916547523&amp;redirect=Dlog&amp;widgetTypeCall=true&amp;directAccess=false</t>
  </si>
  <si>
    <t>🔥최강야구 김태균 윤석민 합류? 불꽃야구도 긴장해야 할 이유</t>
  </si>
  <si>
    <t>https://blog.naver.com/PostView.naver?blogId=dew2by_&amp;logNo=223916518582&amp;redirect=Dlog&amp;widgetTypeCall=true&amp;directAccess=false</t>
  </si>
  <si>
    <t>491. &lt;이기찬 - 또 한번 사랑은 가고&gt; SBS 인기가요 순위 변동 차트</t>
  </si>
  <si>
    <t>https://blog.naver.com/PostView.naver?blogId=bloodypunch&amp;logNo=223916489458&amp;redirect=Dlog&amp;widgetTypeCall=true&amp;directAccess=false</t>
  </si>
  <si>
    <t>사샤</t>
  </si>
  <si>
    <t>‘4살에 7kg’ 미라 된 채 사망…이날도 친모는 성매매</t>
  </si>
  <si>
    <t>https://blog.naver.com/PostView.naver?blogId=jack080119&amp;logNo=223916402781&amp;redirect=Dlog&amp;widgetTypeCall=true&amp;directAccess=false</t>
  </si>
  <si>
    <t>나는솔로 26기 현숙 광수 입장문 발표 40일 연애 실체 새빨간 거짓말? 사과문까지 일파만파</t>
  </si>
  <si>
    <t>https://blog.naver.com/PostView.naver?blogId=porto7979&amp;logNo=223916401254&amp;redirect=Dlog&amp;widgetTypeCall=true&amp;directAccess=false</t>
  </si>
  <si>
    <t>윤시윤, 드라마 역 만들기 위해 하루 만에 약 5kg 감량… 촬영 비하인드도 공개</t>
  </si>
  <si>
    <t>https://blog.naver.com/PostView.naver?blogId=tmrlahxhdbal&amp;logNo=223916376228&amp;redirect=Dlog&amp;widgetTypeCall=true&amp;directAccess=false</t>
  </si>
  <si>
    <t>"몸무게 7kg 4살 딸, 폭행 당해 숨지는 순간까지 “엄마 배고파요. 밥 주세요”…결국 사망" 이날도 친모는 성매매를 할 수 밖에 없었다..</t>
  </si>
  <si>
    <t>https://blog.naver.com/PostView.naver?blogId=englishmaninty&amp;logNo=223916374216&amp;redirect=Dlog&amp;widgetTypeCall=true&amp;directAccess=false</t>
  </si>
  <si>
    <t>나무나루주인</t>
  </si>
  <si>
    <t>부동산 시장동향 (2025.06.30.)</t>
  </si>
  <si>
    <t>https://blog.naver.com/PostView.naver?blogId=namunaruzuin&amp;logNo=223916353724&amp;redirect=Dlog&amp;widgetTypeCall=true&amp;directAccess=false</t>
  </si>
  <si>
    <t>가수 김희철 프로필 나이 키 미우새 이혼 재산분활 소신발언</t>
  </si>
  <si>
    <t>https://blog.naver.com/PostView.naver?blogId=ansuransur&amp;logNo=223916347718&amp;redirect=Dlog&amp;widgetTypeCall=true&amp;directAccess=false</t>
  </si>
  <si>
    <t>자각몽</t>
  </si>
  <si>
    <t>사유지연 효과</t>
  </si>
  <si>
    <t>https://blog.naver.com/PostView.naver?blogId=zenogre&amp;logNo=223913279148&amp;redirect=Dlog&amp;widgetTypeCall=true&amp;directAccess=false</t>
  </si>
  <si>
    <t>https://blog.naver.com/PostView.naver?blogId=approach999&amp;logNo=223916226347&amp;redirect=Dlog&amp;widgetTypeCall=true&amp;directAccess=false</t>
  </si>
  <si>
    <t>부동산쟁이</t>
  </si>
  <si>
    <t>부동산 뉴스</t>
  </si>
  <si>
    <t>https://blog.naver.com/PostView.naver?blogId=m2171&amp;logNo=223916224355&amp;redirect=Dlog&amp;widgetTypeCall=true&amp;directAccess=false</t>
  </si>
  <si>
    <t>“초강력 대출 규제, 서울 아파트 74% 영향권…고액 영끌 타격 f. 삼프로TV 권순우 취재팀장 [뉴스3]” 의 영상 요약</t>
  </si>
  <si>
    <t>https://blog.naver.com/PostView.naver?blogId=lucidjun&amp;logNo=223916205630&amp;redirect=Dlog&amp;widgetTypeCall=true&amp;directAccess=false</t>
  </si>
  <si>
    <t>맨스아로마</t>
  </si>
  <si>
    <t>2025.6.30 장전 주식 뉴스 (체코원전,한전기술,폭싹속았수다,팬엔터테인먼트,가상화폐,다날,K뷰티,화장품,콜마홀딩스,소고기,관세,오징어게임)</t>
  </si>
  <si>
    <t>https://blog.naver.com/PostView.naver?blogId=mans_aroma&amp;logNo=223916205486&amp;redirect=Dlog&amp;widgetTypeCall=true&amp;directAccess=false</t>
  </si>
  <si>
    <t>나솔사계' 17기 옥순X24기 광수, '핑크빛 직진' 예고! "저는 옥순님으로 클리어해졌다"</t>
  </si>
  <si>
    <t>https://blog.naver.com/PostView.naver?blogId=lsb3002&amp;logNo=223916204451&amp;redirect=Dlog&amp;widgetTypeCall=true&amp;directAccess=false</t>
  </si>
  <si>
    <t>YPH</t>
  </si>
  <si>
    <t>주요경제지 뉴스 요약 Daily E-News FY25-6-30(Mon)</t>
  </si>
  <si>
    <t>https://blog.naver.com/PostView.naver?blogId=pyo8248&amp;logNo=223916195039&amp;redirect=Dlog&amp;widgetTypeCall=true&amp;directAccess=false</t>
  </si>
  <si>
    <t>6. 30(월) 경찰관련기사</t>
  </si>
  <si>
    <t>https://blog.naver.com/PostView.naver?blogId=tobiaspia&amp;logNo=223916184483&amp;redirect=Dlog&amp;widgetTypeCall=true&amp;directAccess=false</t>
  </si>
  <si>
    <t>"요즘 중고 거래 앱, 새로운 만남의 창구로…의외의 부작용도"</t>
  </si>
  <si>
    <t>https://blog.naver.com/PostView.naver?blogId=tvreview&amp;logNo=223916171224&amp;redirect=Dlog&amp;widgetTypeCall=true&amp;directAccess=false</t>
  </si>
  <si>
    <t>이상민, 결혼 3개월 만에 '이혼 전문 변호사' 만남?</t>
  </si>
  <si>
    <t>https://blog.naver.com/PostView.naver?blogId=mpeg9497&amp;logNo=223915796126&amp;redirect=Dlog&amp;widgetTypeCall=true&amp;directAccess=false</t>
  </si>
  <si>
    <t>나는솔로 21기 옥순, 역대급 수영복 자태 공개! 인스타 초토화… 대체 무슨 일이? (+비주얼, 프로필, 나무위키)</t>
  </si>
  <si>
    <t>https://blog.naver.com/PostView.naver?blogId=jeju0520-&amp;logNo=223916102715&amp;redirect=Dlog&amp;widgetTypeCall=true&amp;directAccess=false</t>
  </si>
  <si>
    <t>임영웅 그가 길을 열면 영웅시대가 함께 그 길을 완성한다(브랜드평판 6월 스타부문)</t>
  </si>
  <si>
    <t>https://blog.naver.com/PostView.naver?blogId=kimkh8631&amp;logNo=223916086842&amp;redirect=Dlog&amp;widgetTypeCall=true&amp;directAccess=false</t>
  </si>
  <si>
    <t>"시원하게 사형 내려 주이소" 조롱한 남성…법원, 사형 선고 / SBS / 스브스픽</t>
  </si>
  <si>
    <t>https://blog.naver.com/PostView.naver?blogId=yjhyjhy&amp;logNo=223916075739&amp;redirect=Dlog&amp;widgetTypeCall=true&amp;directAccess=false</t>
  </si>
  <si>
    <t>hkyung___</t>
  </si>
  <si>
    <t>익산빵집 추천 풍성제과 동산동 대표 수제빵 맛집</t>
  </si>
  <si>
    <t>https://blog.naver.com/PostView.naver?blogId=hkyung___&amp;logNo=223916072440&amp;redirect=Dlog&amp;widgetTypeCall=true&amp;directAccess=false</t>
  </si>
  <si>
    <t>*고지우 와이어 투 와이어 우승-2025 KLPGA 투어 "맥콜 모나파크 오픈 with SBS Golf"*</t>
  </si>
  <si>
    <t>https://blog.naver.com/PostView.naver?blogId=k3565512&amp;logNo=223916028790&amp;redirect=Dlog&amp;widgetTypeCall=true&amp;directAccess=false</t>
  </si>
  <si>
    <t>인천 숯불 퇴마 살인사건 범인은 무당 이모? 그것이 알고싶다 1449회 충격의 진실</t>
  </si>
  <si>
    <t>https://blog.naver.com/PostView.naver?blogId=qnzjn8&amp;logNo=223915872648&amp;redirect=Dlog&amp;widgetTypeCall=true&amp;directAccess=false</t>
  </si>
  <si>
    <t>나라라코끼리</t>
  </si>
  <si>
    <t>그것이 알고싶다, 숯불 퇴마</t>
  </si>
  <si>
    <t>https://blog.naver.com/PostView.naver?blogId=bestian&amp;logNo=223916019570&amp;redirect=Dlog&amp;widgetTypeCall=true&amp;directAccess=false</t>
  </si>
  <si>
    <t>[우리영화/마지막과 다음 사이/정보,줄거리,출연진,메이킹]</t>
  </si>
  <si>
    <t>https://blog.naver.com/PostView.naver?blogId=50000thoughts&amp;logNo=223915998279&amp;redirect=Dlog&amp;widgetTypeCall=true&amp;directAccess=false</t>
  </si>
  <si>
    <t>[방탄소년단 뷔] (해외매체 SK POP 기사전문) 스트리트 코너를 상징적으로 만드는 것부터 바이럴 뉴스 기사까지: 방탄소년단 태형의 '국보' 타이틀을 증명하는 순간들</t>
  </si>
  <si>
    <t>https://blog.naver.com/PostView.naver?blogId=ysyangel59&amp;logNo=223915994733&amp;redirect=Dlog&amp;widgetTypeCall=true&amp;directAccess=false</t>
  </si>
  <si>
    <t>시아</t>
  </si>
  <si>
    <t>인천 송림동 도보 탐방 – 성냥공장에서 류현진 거리까지, 근현대사를 걷다</t>
  </si>
  <si>
    <t>https://blog.naver.com/PostView.naver?blogId=photo-essay&amp;logNo=223915668131&amp;redirect=Dlog&amp;widgetTypeCall=true&amp;directAccess=false</t>
  </si>
  <si>
    <t>KBS</t>
  </si>
  <si>
    <t>그림일기 961. 과자를 많이 먹고 싶다</t>
  </si>
  <si>
    <t>https://blog.naver.com/PostView.naver?blogId=sonok444&amp;logNo=223887683222&amp;redirect=Dlog&amp;widgetTypeCall=true&amp;directAccess=false</t>
  </si>
  <si>
    <t>고구마깡</t>
  </si>
  <si>
    <t>2024.10~2025.06</t>
  </si>
  <si>
    <t>https://blog.naver.com/PostView.naver?blogId=sweetpo_tat_o&amp;logNo=223887677655&amp;redirect=Dlog&amp;widgetTypeCall=true&amp;directAccess=false</t>
  </si>
  <si>
    <t>JB19</t>
  </si>
  <si>
    <t>5월을 달린 방나니</t>
  </si>
  <si>
    <t>https://blog.naver.com/PostView.naver?blogId=jb__19&amp;logNo=223887638944&amp;redirect=Dlog&amp;widgetTypeCall=true&amp;directAccess=false</t>
  </si>
  <si>
    <t>사랑해</t>
  </si>
  <si>
    <t>[여수 이순신광장]디저트  맛집 여수당(해풍쑥 초코파이, 쑥아이스크림)</t>
  </si>
  <si>
    <t>https://blog.naver.com/PostView.naver?blogId=cutedud82&amp;logNo=223887635008&amp;redirect=Dlog&amp;widgetTypeCall=true&amp;directAccess=false</t>
  </si>
  <si>
    <t>난초재롱이</t>
  </si>
  <si>
    <t>작년과는 다른 여름이 되길, 새로운 도약</t>
  </si>
  <si>
    <t>https://blog.naver.com/PostView.naver?blogId=ekthf6175&amp;logNo=223887620731&amp;redirect=Dlog&amp;widgetTypeCall=true&amp;directAccess=false</t>
  </si>
  <si>
    <t>졍</t>
  </si>
  <si>
    <t>[청주 우암산] 삼일공원-우암산정상-청주향교</t>
  </si>
  <si>
    <t>https://blog.naver.com/PostView.naver?blogId=wldud8022&amp;logNo=223887609579&amp;redirect=Dlog&amp;widgetTypeCall=true&amp;directAccess=false</t>
  </si>
  <si>
    <t>면스판</t>
  </si>
  <si>
    <t>국악 신동에서 퓨전 예술가로 — 이자람과 송소희 비교</t>
  </si>
  <si>
    <t>https://blog.naver.com/PostView.naver?blogId=techwriting&amp;logNo=223887593441&amp;redirect=Dlog&amp;widgetTypeCall=true&amp;directAccess=false</t>
  </si>
  <si>
    <t>이랑</t>
  </si>
  <si>
    <t>우리말 겨루기 예선 접수 방법과 예심 참가 후기</t>
  </si>
  <si>
    <t>https://blog.naver.com/PostView.naver?blogId=hyj4986&amp;logNo=223887576570&amp;redirect=Dlog&amp;widgetTypeCall=true&amp;directAccess=false</t>
  </si>
  <si>
    <t>윗</t>
  </si>
  <si>
    <t>2025.06.03_[OSEN] 박보검,'미소가 아름다워'</t>
  </si>
  <si>
    <t>https://blog.naver.com/PostView.naver?blogId=withbogum616&amp;logNo=223887556975&amp;redirect=Dlog&amp;widgetTypeCall=true&amp;directAccess=false</t>
  </si>
  <si>
    <t>링고MJ맘</t>
  </si>
  <si>
    <t>KBS 음악실 초대석 - 테너 존 노 + 피아니스트 조영훈_기록용_20250528</t>
  </si>
  <si>
    <t>https://blog.naver.com/PostView.naver?blogId=pingu96&amp;logNo=223887526595&amp;redirect=Dlog&amp;widgetTypeCall=true&amp;directAccess=false</t>
  </si>
  <si>
    <t>새생명면역아카데미.6월23일.월요일.오후2시.송파구.올림픽로76.제이타워14층.송파구올림픽로76.종합운동장역.1번출구180m.사거리건너.선수촌병원빌딩14층(버거킹햄버거소재건물)</t>
  </si>
  <si>
    <t>https://blog.naver.com/PostView.naver?blogId=sunwoo803&amp;logNo=223887520381&amp;redirect=Dlog&amp;widgetTypeCall=true&amp;directAccess=false</t>
  </si>
  <si>
    <t>blackblackbb</t>
  </si>
  <si>
    <t>06.03일기</t>
  </si>
  <si>
    <t>https://blog.naver.com/PostView.naver?blogId=blackblackbb&amp;logNo=223887506379&amp;redirect=Dlog&amp;widgetTypeCall=true&amp;directAccess=false</t>
  </si>
  <si>
    <t>아긔천사</t>
  </si>
  <si>
    <t>오늘은 대통령선거일이다.</t>
  </si>
  <si>
    <t>https://blog.naver.com/PostView.naver?blogId=mjs6609&amp;logNo=223887503946&amp;redirect=Dlog&amp;widgetTypeCall=true&amp;directAccess=false</t>
  </si>
  <si>
    <t>freenova</t>
  </si>
  <si>
    <t>제21대 대선&amp;Meeting</t>
  </si>
  <si>
    <t>https://blog.naver.com/PostView.naver?blogId=ingk7&amp;logNo=223887487622&amp;redirect=Dlog&amp;widgetTypeCall=true&amp;directAccess=false</t>
  </si>
  <si>
    <t>정은지 이준영 한밤 데이트 24시 헬스클럽 로맨스 본격 시작｜첫눈 떡볶이｜마음의 거리 좁히는 밤</t>
  </si>
  <si>
    <t>https://blog.naver.com/PostView.naver?blogId=luxblue83&amp;logNo=223887482081&amp;redirect=Dlog&amp;widgetTypeCall=true&amp;directAccess=false</t>
  </si>
  <si>
    <t>이토</t>
  </si>
  <si>
    <t>오롯이 나만을 위한 시간을 보낸 하루~</t>
  </si>
  <si>
    <t>https://blog.naver.com/PostView.naver?blogId=bunnybunny_2&amp;logNo=223887477650&amp;redirect=Dlog&amp;widgetTypeCall=true&amp;directAccess=false</t>
  </si>
  <si>
    <t>SAN</t>
  </si>
  <si>
    <t>함께 하는 수밖에 없다(통합, 협력).</t>
  </si>
  <si>
    <t>https://blog.naver.com/PostView.naver?blogId=sansann00&amp;logNo=223887417245&amp;redirect=Dlog&amp;widgetTypeCall=true&amp;directAccess=false</t>
  </si>
  <si>
    <t>저작권료 달 5천만 원 버는 아내 덕에 백수로 사는 유명 개그맨</t>
  </si>
  <si>
    <t>https://blog.naver.com/PostView.naver?blogId=atraxia123&amp;logNo=223886028109&amp;redirect=Dlog&amp;widgetTypeCall=true&amp;directAccess=false</t>
  </si>
  <si>
    <t>부여군/부여문화원, ‘2025 제23회 부여서동연꽃축제’ 개최</t>
  </si>
  <si>
    <t>https://blog.naver.com/PostView.naver?blogId=photojr&amp;logNo=223887319929&amp;redirect=Dlog&amp;widgetTypeCall=true&amp;directAccess=false</t>
  </si>
  <si>
    <t>박윤재, 뺑소니로 아들 사망…알고보니 "불륜녀 사주?" 충격</t>
  </si>
  <si>
    <t>https://blog.naver.com/PostView.naver?blogId=minsimnews&amp;logNo=223887313200&amp;redirect=Dlog&amp;widgetTypeCall=true&amp;directAccess=false</t>
  </si>
  <si>
    <t>명랑한 유언 ★★★☆</t>
  </si>
  <si>
    <t>https://blog.naver.com/PostView.naver?blogId=ohtoto82&amp;logNo=223887305790&amp;redirect=Dlog&amp;widgetTypeCall=true&amp;directAccess=false</t>
  </si>
  <si>
    <t>선명화</t>
  </si>
  <si>
    <t>전현무 사주. 술월의 무토</t>
  </si>
  <si>
    <t>https://blog.naver.com/PostView.naver?blogId=clickhms&amp;logNo=223887303901&amp;redirect=Dlog&amp;widgetTypeCall=true&amp;directAccess=false</t>
  </si>
  <si>
    <t>소공메</t>
  </si>
  <si>
    <t>공조: 주여사 구출작전, KBS 성우님들이 준비한 연기 공연 3×3 프로젝트</t>
  </si>
  <si>
    <t>https://blog.naver.com/PostView.naver?blogId=enjoybee&amp;logNo=223887270510&amp;redirect=Dlog&amp;widgetTypeCall=true&amp;directAccess=false</t>
  </si>
  <si>
    <t>행복한 부사</t>
  </si>
  <si>
    <t>아침 루틴의 활력소, 조정식의 FM대행진-우리모두 씩씩이가 되어 보아요!</t>
  </si>
  <si>
    <t>https://blog.naver.com/PostView.naver?blogId=hangbusa&amp;logNo=223887263385&amp;redirect=Dlog&amp;widgetTypeCall=true&amp;directAccess=false</t>
  </si>
  <si>
    <t>bird two</t>
  </si>
  <si>
    <t>25년 5월 : 열린 3종 경기</t>
  </si>
  <si>
    <t>https://blog.naver.com/PostView.naver?blogId=seui0710&amp;logNo=223887239385&amp;redirect=Dlog&amp;widgetTypeCall=true&amp;directAccess=false</t>
  </si>
  <si>
    <t>아침마당' 이제훈 시그널2 촬영중 기대감 당부</t>
  </si>
  <si>
    <t>https://blog.naver.com/PostView.naver?blogId=wwioa__&amp;logNo=223887237992&amp;redirect=Dlog&amp;widgetTypeCall=true&amp;directAccess=false</t>
  </si>
  <si>
    <t>선출의스포츠톡</t>
  </si>
  <si>
    <t>두산 이승엽 감독 자진사퇴, 두산 팬들 ‘허슬두’ 다시 부활할 감독은 누구?</t>
  </si>
  <si>
    <t>https://blog.naver.com/PostView.naver?blogId=tmxk7729&amp;logNo=223887235342&amp;redirect=Dlog&amp;widgetTypeCall=true&amp;directAccess=false</t>
  </si>
  <si>
    <t>솔약국집 아들들 54회 결말 리뷰 등장인물 출연진 정보 _손현주 이필모 지창욱 드라마</t>
  </si>
  <si>
    <t>https://blog.naver.com/PostView.naver?blogId=sentence_0423&amp;logNo=223887219656&amp;redirect=Dlog&amp;widgetTypeCall=true&amp;directAccess=false</t>
  </si>
  <si>
    <t>미루치</t>
  </si>
  <si>
    <t>제21대 대통령선거일, KBS 대선 개표방송 잠실 석촌호수에서 준비 ( 대통령선거 최종투표율 79.4%, 역대 최고 ), 이재명 대통령 당선 확실</t>
  </si>
  <si>
    <t>https://blog.naver.com/PostView.naver?blogId=kw0250&amp;logNo=223887210844&amp;redirect=Dlog&amp;widgetTypeCall=true&amp;directAccess=false</t>
  </si>
  <si>
    <t>sweetone80</t>
  </si>
  <si>
    <t>김문수 후보, “이준석 찍으면 이재명이 된다”… 전략투표 없인 정권 못 지킨다</t>
  </si>
  <si>
    <t>https://blog.naver.com/PostView.naver?blogId=sweetone80&amp;logNo=223887183386&amp;redirect=Dlog&amp;widgetTypeCall=true&amp;directAccess=false</t>
  </si>
  <si>
    <t>장동윤 장르불문 연기 예측 불가한 변신의 역사</t>
  </si>
  <si>
    <t>https://blog.naver.com/PostView.naver?blogId=wwioa__&amp;logNo=223887178196&amp;redirect=Dlog&amp;widgetTypeCall=true&amp;directAccess=false</t>
  </si>
  <si>
    <t>부산의사나이</t>
  </si>
  <si>
    <t>김문수 “독재 막아야…이준석 찍으면 이재명 도와”</t>
  </si>
  <si>
    <t>https://blog.naver.com/PostView.naver?blogId=zagalchi-&amp;logNo=223887170200&amp;redirect=Dlog&amp;widgetTypeCall=true&amp;directAccess=false</t>
  </si>
  <si>
    <t>린찌</t>
  </si>
  <si>
    <t>[일상 기록] 전주 공연/ 소확행의 날들/ 러닝/ 웨딩 준비/ 웨딩포토/ 내 일상</t>
  </si>
  <si>
    <t>https://blog.naver.com/PostView.naver?blogId=linjji7409&amp;logNo=223887151717&amp;redirect=Dlog&amp;widgetTypeCall=true&amp;directAccess=false</t>
  </si>
  <si>
    <t>령이</t>
  </si>
  <si>
    <t>5월 담양 여행 후기 (메타프로방스, 메타세콰이어길)</t>
  </si>
  <si>
    <t>https://blog.naver.com/PostView.naver?blogId=jrja2&amp;logNo=223887086290&amp;redirect=Dlog&amp;widgetTypeCall=true&amp;directAccess=false</t>
  </si>
  <si>
    <t>밝고당찬</t>
  </si>
  <si>
    <t>브람스3,4(KBS,정명훈)</t>
  </si>
  <si>
    <t>https://blog.naver.com/PostView.naver?blogId=hiacinths1&amp;logNo=223887063216&amp;redirect=Dlog&amp;widgetTypeCall=true&amp;directAccess=false</t>
  </si>
  <si>
    <t>41세' 이제훈 "결혼? 작품만큼 중요…이광기 딸 같은 결혼 원해" (아침마당)</t>
  </si>
  <si>
    <t>https://blog.naver.com/PostView.naver?blogId=lsb3002&amp;logNo=223887063164&amp;redirect=Dlog&amp;widgetTypeCall=true&amp;directAccess=false</t>
  </si>
  <si>
    <t>대한뉴스방송</t>
  </si>
  <si>
    <t>한국열린사이버대학교(OCU) 장애학생지원센터, '장애인역량강화 아카데미' 개강식 개최</t>
  </si>
  <si>
    <t>https://blog.naver.com/PostView.naver?blogId=mosb&amp;logNo=223887001138&amp;redirect=Dlog&amp;widgetTypeCall=true&amp;directAccess=false</t>
  </si>
  <si>
    <t>실버인생</t>
  </si>
  <si>
    <t>KBS 다큐 인사이트 '인생 정원' - 오산 서랑 저수지 '아내의 정원'</t>
  </si>
  <si>
    <t>https://blog.naver.com/PostView.naver?blogId=idreamer77&amp;logNo=223886980002&amp;redirect=Dlog&amp;widgetTypeCall=true&amp;directAccess=false</t>
  </si>
  <si>
    <t>스포츠마스터</t>
  </si>
  <si>
    <t>KBO 리그 NC 다이노스 vs LG 트윈스 경기 분석</t>
  </si>
  <si>
    <t>https://blog.naver.com/PostView.naver?blogId=1234dlrudxor&amp;logNo=223886242771&amp;redirect=Dlog&amp;widgetTypeCall=true&amp;directAccess=false</t>
  </si>
  <si>
    <t>여매</t>
  </si>
  <si>
    <t>[25년 첫! 직장인일기55] 작년 크리스마스 이후로 25년 상반기 지나서 쓰는 일기;;</t>
  </si>
  <si>
    <t>https://blog.naver.com/PostView.naver?blogId=love122600&amp;logNo=223886972621&amp;redirect=Dlog&amp;widgetTypeCall=true&amp;directAccess=false</t>
  </si>
  <si>
    <t>KBO 한화 이글스 vs KT 위즈 경기 분석</t>
  </si>
  <si>
    <t>https://blog.naver.com/PostView.naver?blogId=1234dlrudxor&amp;logNo=223886245040&amp;redirect=Dlog&amp;widgetTypeCall=true&amp;directAccess=false</t>
  </si>
  <si>
    <t>몬데레아</t>
  </si>
  <si>
    <t>KBS국악관현악단 40. 그리고 내일 2(5월 감사음악회)</t>
  </si>
  <si>
    <t>https://blog.naver.com/PostView.naver?blogId=songrea88&amp;logNo=223886954389&amp;redirect=Dlog&amp;widgetTypeCall=true&amp;directAccess=false</t>
  </si>
  <si>
    <t>개그우먼 김숙, 전성기 시절 방송가에서 사라졌던 이유 고백</t>
  </si>
  <si>
    <t>https://blog.naver.com/PostView.naver?blogId=krsongc2&amp;logNo=223886932174&amp;redirect=Dlog&amp;widgetTypeCall=true&amp;directAccess=false</t>
  </si>
  <si>
    <t>노무사 노무진 정경호 수영 최수영 엄마 아버지 박정수 갤러리 MBTI</t>
  </si>
  <si>
    <t>https://blog.naver.com/PostView.naver?blogId=lucky1977&amp;logNo=223886932111&amp;redirect=Dlog&amp;widgetTypeCall=true&amp;directAccess=false</t>
  </si>
  <si>
    <t>KBS &lt;독수리 5형제를 부탁해!&gt; 시청률 21.9%…자체 최고 기록 경신</t>
  </si>
  <si>
    <t>https://blog.naver.com/PostView.naver?blogId=withinnews&amp;logNo=223886923647&amp;redirect=Dlog&amp;widgetTypeCall=true&amp;directAccess=false</t>
  </si>
  <si>
    <t>6월 3일, 과거의 오늘</t>
  </si>
  <si>
    <t>https://blog.naver.com/PostView.naver?blogId=gudtjs070&amp;logNo=223847256122&amp;redirect=Dlog&amp;widgetTypeCall=true&amp;directAccess=false</t>
  </si>
  <si>
    <t>2025년 6월3일 화요일  KBS19번 인간극장 우도의 연인보다</t>
  </si>
  <si>
    <t>https://blog.naver.com/PostView.naver?blogId=ch921017&amp;logNo=223886895546&amp;redirect=Dlog&amp;widgetTypeCall=true&amp;directAccess=false</t>
  </si>
  <si>
    <t>Sunny</t>
  </si>
  <si>
    <t>자유인</t>
  </si>
  <si>
    <t>그곳에 가면 - 치즈의 고장 전북 임실을 가다 (1)</t>
  </si>
  <si>
    <t>https://blog.naver.com/PostView.naver?blogId=bryan013&amp;logNo=223886458328&amp;redirect=Dlog&amp;widgetTypeCall=true&amp;directAccess=false</t>
  </si>
  <si>
    <t>이재명, 선거법 위반 대형 자백 “대법 소통, 기각을 파기 환송 황당”…국민의힘 “사법부 내통 자백, 삼권분립 파괴, 사법농단”</t>
  </si>
  <si>
    <t>https://blog.naver.com/PostView.naver?blogId=frtydhwang&amp;logNo=223886805491&amp;redirect=Dlog&amp;widgetTypeCall=true&amp;directAccess=false</t>
  </si>
  <si>
    <t>변덕퀸</t>
  </si>
  <si>
    <t>신명'이라는 영화</t>
  </si>
  <si>
    <t>https://blog.naver.com/PostView.naver?blogId=dong5969&amp;logNo=223886773793&amp;redirect=Dlog&amp;widgetTypeCall=true&amp;directAccess=false</t>
  </si>
  <si>
    <t>뚜벅이 계룡댁</t>
  </si>
  <si>
    <t>아빠의 지하실에서</t>
  </si>
  <si>
    <t>https://blog.naver.com/PostView.naver?blogId=77kimsowi&amp;logNo=223886769832&amp;redirect=Dlog&amp;widgetTypeCall=true&amp;directAccess=false</t>
  </si>
  <si>
    <t>3dkou</t>
  </si>
  <si>
    <t>헌신의 결과는 초라했다. '독립운동을 하면 3대가 망한다'는 자조는 끊임없이 현실 속에서 증명됐다 | KBS 20170606 방송</t>
  </si>
  <si>
    <t>https://blog.naver.com/PostView.naver?blogId=3dkou&amp;logNo=223886749456&amp;redirect=Dlog&amp;widgetTypeCall=true&amp;directAccess=false</t>
  </si>
  <si>
    <t>원경에서 모자였던 차주영 x 이준영 이번엔 로맨스드라마 ? 후아유</t>
  </si>
  <si>
    <t>https://blog.naver.com/PostView.naver?blogId=euene1111&amp;logNo=223886742904&amp;redirect=Dlog&amp;widgetTypeCall=true&amp;directAccess=false</t>
  </si>
  <si>
    <t>소쩍소쩍</t>
  </si>
  <si>
    <t>동양 고전문학 관련 언론 보도와 의의</t>
  </si>
  <si>
    <t>https://blog.naver.com/PostView.naver?blogId=njsh1230&amp;logNo=223886689583&amp;redirect=Dlog&amp;widgetTypeCall=true&amp;directAccess=false</t>
  </si>
  <si>
    <t>겨울참새</t>
  </si>
  <si>
    <t>국회의사당에 가다 (2025.5.24.)</t>
  </si>
  <si>
    <t>https://blog.naver.com/PostView.naver?blogId=ooiaei116&amp;logNo=223886439756&amp;redirect=Dlog&amp;widgetTypeCall=true&amp;directAccess=false</t>
  </si>
  <si>
    <t>카므라</t>
  </si>
  <si>
    <t>대출금리는 언제 내려갈까?</t>
  </si>
  <si>
    <t>https://blog.naver.com/PostView.naver?blogId=kamura119&amp;logNo=223886674572&amp;redirect=Dlog&amp;widgetTypeCall=true&amp;directAccess=false</t>
  </si>
  <si>
    <t>아트센터인천 2025 작곡가 시리즈/차이콥스키Ⅱ</t>
  </si>
  <si>
    <t>https://blog.naver.com/PostView.naver?blogId=bakcho&amp;logNo=223886670802&amp;redirect=Dlog&amp;widgetTypeCall=true&amp;directAccess=false</t>
  </si>
  <si>
    <t>해양생물 카리나리아 크리스타타 Carinaria cristata 제주 세기알해변에서 발견!! 출처 cs and kbs</t>
  </si>
  <si>
    <t>https://blog.naver.com/PostView.naver?blogId=holedays&amp;logNo=223886651492&amp;redirect=Dlog&amp;widgetTypeCall=true&amp;directAccess=false</t>
  </si>
  <si>
    <t>지엉씨</t>
  </si>
  <si>
    <t>https://blog.naver.com/PostView.naver?blogId=upsupport0924&amp;logNo=223886641861&amp;redirect=Dlog&amp;widgetTypeCall=true&amp;directAccess=false</t>
  </si>
  <si>
    <t>뚤집사</t>
  </si>
  <si>
    <t>[문제집 추천]공기업 경영학 인강 전수환 객관식 경영학 2900제</t>
  </si>
  <si>
    <t>https://blog.naver.com/PostView.naver?blogId=truezi&amp;logNo=223886632044&amp;redirect=Dlog&amp;widgetTypeCall=true&amp;directAccess=false</t>
  </si>
  <si>
    <t>여왕의집 박윤재 분위기</t>
  </si>
  <si>
    <t>https://blog.naver.com/PostView.naver?blogId=wwioa__&amp;logNo=223886621595&amp;redirect=Dlog&amp;widgetTypeCall=true&amp;directAccess=false</t>
  </si>
  <si>
    <t>에피소드 오브 이스트블루 더빙 반가운 KBS판 성우진</t>
  </si>
  <si>
    <t>https://blog.naver.com/PostView.naver?blogId=flytothemoon__&amp;logNo=223880448599&amp;redirect=Dlog&amp;widgetTypeCall=true&amp;directAccess=false</t>
  </si>
  <si>
    <t>JUNE</t>
  </si>
  <si>
    <t>[견학] 서울경찰청 방문기🚓 교통정보센터, 112치안종합상황실, 사격장</t>
  </si>
  <si>
    <t>https://blog.naver.com/PostView.naver?blogId=imxueun&amp;logNo=223886576819&amp;redirect=Dlog&amp;widgetTypeCall=true&amp;directAccess=false</t>
  </si>
  <si>
    <t>현주</t>
  </si>
  <si>
    <t>2025년 5월 마지막 일상</t>
  </si>
  <si>
    <t>https://blog.naver.com/PostView.naver?blogId=ujnoeyh&amp;logNo=223886366360&amp;redirect=Dlog&amp;widgetTypeCall=true&amp;directAccess=false</t>
  </si>
  <si>
    <t>짱별</t>
  </si>
  <si>
    <t>넘어지면 또 일어서면 돼</t>
  </si>
  <si>
    <t>https://blog.naver.com/PostView.naver?blogId=bluestar406&amp;logNo=223886551280&amp;redirect=Dlog&amp;widgetTypeCall=true&amp;directAccess=false</t>
  </si>
  <si>
    <t>2025.6.2. 스크랩</t>
  </si>
  <si>
    <t>https://blog.naver.com/PostView.naver?blogId=bnm2370&amp;logNo=223886533633&amp;redirect=Dlog&amp;widgetTypeCall=true&amp;directAccess=false</t>
  </si>
  <si>
    <t>지맹</t>
  </si>
  <si>
    <t>5월 정산😭</t>
  </si>
  <si>
    <t>https://blog.naver.com/PostView.naver?blogId=jimaeng9oo&amp;logNo=223886508417&amp;redirect=Dlog&amp;widgetTypeCall=true&amp;directAccess=false</t>
  </si>
  <si>
    <t>You Tu Be</t>
  </si>
  <si>
    <t>https://blog.naver.com/PostView.naver?blogId=yeskim83&amp;logNo=223886466765&amp;redirect=Dlog&amp;widgetTypeCall=true&amp;directAccess=false</t>
  </si>
  <si>
    <t>달파란</t>
  </si>
  <si>
    <t>2006년 KBS 대하드라마 서울 1945 노덕술</t>
  </si>
  <si>
    <t>https://blog.naver.com/PostView.naver?blogId=coverdale9&amp;logNo=223885845359&amp;redirect=Dlog&amp;widgetTypeCall=true&amp;directAccess=false</t>
  </si>
  <si>
    <t>semi</t>
  </si>
  <si>
    <t>250409 개그콘서트 방청 후기</t>
  </si>
  <si>
    <t>https://blog.naver.com/PostView.naver?blogId=dusik_zip&amp;logNo=223886444694&amp;redirect=Dlog&amp;widgetTypeCall=true&amp;directAccess=false</t>
  </si>
  <si>
    <t>wwJ</t>
  </si>
  <si>
    <t>20250602, 세상의 모든음악</t>
  </si>
  <si>
    <t>https://blog.naver.com/PostView.naver?blogId=2020_walkwithjesus&amp;logNo=223886379517&amp;redirect=Dlog&amp;widgetTypeCall=true&amp;directAccess=false</t>
  </si>
  <si>
    <t>이름없음</t>
  </si>
  <si>
    <t>작곡가 시리즈 &lt;차이콥스키&gt; Ⅱ</t>
  </si>
  <si>
    <t>https://blog.naver.com/PostView.naver?blogId=bluesky210&amp;logNo=223886045346&amp;redirect=Dlog&amp;widgetTypeCall=true&amp;directAccess=false</t>
  </si>
  <si>
    <t>사농공상</t>
  </si>
  <si>
    <t>강태공 같은 사공이 될지어다</t>
  </si>
  <si>
    <t>https://blog.naver.com/PostView.naver?blogId=govl3589&amp;logNo=223886369469&amp;redirect=Dlog&amp;widgetTypeCall=true&amp;directAccess=false</t>
  </si>
  <si>
    <t>쫑</t>
  </si>
  <si>
    <t>JB금융그룹</t>
  </si>
  <si>
    <t>[2025년 6월 2일]</t>
  </si>
  <si>
    <t>https://blog.naver.com/PostView.naver?blogId=jbfinancialgroup&amp;logNo=223886302721&amp;redirect=Dlog&amp;widgetTypeCall=true&amp;directAccess=false</t>
  </si>
  <si>
    <t>프레이</t>
  </si>
  <si>
    <t>부산남천 모모스커피 도모헌 ,회장님댁으로 유명한 감성카페</t>
  </si>
  <si>
    <t>https://blog.naver.com/PostView.naver?blogId=sldkqm7&amp;logNo=223885849606&amp;redirect=Dlog&amp;widgetTypeCall=true&amp;directAccess=false</t>
  </si>
  <si>
    <t>행사비 많이 받는 트로트 가수</t>
  </si>
  <si>
    <t>https://blog.naver.com/PostView.naver?blogId=wwioa__&amp;logNo=223886243327&amp;redirect=Dlog&amp;widgetTypeCall=true&amp;directAccess=false</t>
  </si>
  <si>
    <t>inews1</t>
  </si>
  <si>
    <t>구미아시아육상경기대회 기념 음악회 전석 매진 속 성료</t>
  </si>
  <si>
    <t>https://blog.naver.com/PostView.naver?blogId=inews1&amp;logNo=223886237309&amp;redirect=Dlog&amp;widgetTypeCall=true&amp;directAccess=false</t>
  </si>
  <si>
    <t>도서출판 선인</t>
  </si>
  <si>
    <t>국가의 운명을 바꾼 카리스마 개인숭배</t>
  </si>
  <si>
    <t>https://blog.naver.com/PostView.naver?blogId=suninbook&amp;logNo=223886225410&amp;redirect=Dlog&amp;widgetTypeCall=true&amp;directAccess=false</t>
  </si>
  <si>
    <t>천하람이 유시민을 '이재명 낙선 운동'이라고 언급한 이유</t>
  </si>
  <si>
    <t>https://blog.naver.com/PostView.naver?blogId=newyorkmanhattan&amp;logNo=223886200835&amp;redirect=Dlog&amp;widgetTypeCall=true&amp;directAccess=false</t>
  </si>
  <si>
    <t>알리에서 부품이 5일 만에 와요" 수많은 제조업 숙련공들은 이제 어디서 일해야 하나... 무너지는 제조업, 경제의 뿌리가 흔들리고 있다 | 추적 60분 KBS 250530 방송</t>
  </si>
  <si>
    <t>https://blog.naver.com/PostView.naver?blogId=xman4776&amp;logNo=223886196235&amp;redirect=Dlog&amp;widgetTypeCall=true&amp;directAccess=false</t>
  </si>
  <si>
    <t>드라마 미녀와 순정남 정보 출연진 줄거리 리뷰</t>
  </si>
  <si>
    <t>https://blog.naver.com/PostView.naver?blogId=lit_raon&amp;logNo=223886069611&amp;redirect=Dlog&amp;widgetTypeCall=true&amp;directAccess=false</t>
  </si>
  <si>
    <t>한국 AI 영화 ‘춘(CHOON)’, 스웨덴 국제영화제 최고상 수상</t>
  </si>
  <si>
    <t>https://blog.naver.com/PostView.naver?blogId=kmts9&amp;logNo=223886131335&amp;redirect=Dlog&amp;widgetTypeCall=true&amp;directAccess=false</t>
  </si>
  <si>
    <t>예술가 W</t>
  </si>
  <si>
    <t>언론꾼들의 부정선거 말장난</t>
  </si>
  <si>
    <t>https://blog.naver.com/PostView.naver?blogId=professorw&amp;logNo=223886126666&amp;redirect=Dlog&amp;widgetTypeCall=true&amp;directAccess=false</t>
  </si>
  <si>
    <t>세정TV</t>
  </si>
  <si>
    <t>물고기의 지능은 인간의 상상 이상으로 높다. (KBS 환경스페셜 아이 엠 피쉬)</t>
  </si>
  <si>
    <t>https://blog.naver.com/PostView.naver?blogId=sirius18&amp;logNo=223886121809&amp;redirect=Dlog&amp;widgetTypeCall=true&amp;directAccess=false</t>
  </si>
  <si>
    <t>eco</t>
  </si>
  <si>
    <t>애기공주</t>
  </si>
  <si>
    <t>지금 화가 머리 끝까지 뻗쳤으니까 개진상 부리기 전에 당장 끝내.</t>
  </si>
  <si>
    <t>https://blog.naver.com/PostView.naver?blogId=jyjin0318&amp;logNo=223886057412&amp;redirect=Dlog&amp;widgetTypeCall=true&amp;directAccess=false</t>
  </si>
  <si>
    <t>[2025 반 클라이번 콩쿠르] 파이널리스트 6명  및 파이널 일정(6/3~6/7)</t>
  </si>
  <si>
    <t>https://blog.naver.com/PostView.naver?blogId=dbw03071&amp;logNo=223886048084&amp;redirect=Dlog&amp;widgetTypeCall=true&amp;directAccess=false</t>
  </si>
  <si>
    <t>“돈 없이는 못사는 사람들이 봐야하는 영상｜뇌 과학자가 말하는 '우리가 이토록 돈에 집착하는 이유’｜뇌로보는 인간 - 돈｜#골라듄다큐” 의 영상 요약</t>
  </si>
  <si>
    <t>https://blog.naver.com/PostView.naver?blogId=lucidjun&amp;logNo=223885988335&amp;redirect=Dlog&amp;widgetTypeCall=true&amp;directAccess=false</t>
  </si>
  <si>
    <t>YNews</t>
  </si>
  <si>
    <t>‘최정수박사한자속독 낙후된 교육을 대혁신하다’</t>
  </si>
  <si>
    <t>https://blog.naver.com/PostView.naver?blogId=myangelleemy&amp;logNo=223885968554&amp;redirect=Dlog&amp;widgetTypeCall=true&amp;directAccess=false</t>
  </si>
  <si>
    <t>민주당 김민석, 김문수는 윤석열, 비판, 리박스쿨 손효숙 대표는 누구, 프로필, 인맥</t>
  </si>
  <si>
    <t>https://blog.naver.com/PostView.naver?blogId=insidenews7&amp;logNo=223885932293&amp;redirect=Dlog&amp;widgetTypeCall=true&amp;directAccess=false</t>
  </si>
  <si>
    <t>김민석 "국힘 방어막 필요한 이준석, 단일화 가능성 높다"</t>
  </si>
  <si>
    <t>https://blog.naver.com/PostView.naver?blogId=weekly0430&amp;logNo=223885893485&amp;redirect=Dlog&amp;widgetTypeCall=true&amp;directAccess=false</t>
  </si>
  <si>
    <t>잰</t>
  </si>
  <si>
    <t>[2025 ABC 프로젝트 멘토링 5기] 프로젝트 2주차</t>
  </si>
  <si>
    <t>https://blog.naver.com/PostView.naver?blogId=masuri0713&amp;logNo=223885886046&amp;redirect=Dlog&amp;widgetTypeCall=true&amp;directAccess=false</t>
  </si>
  <si>
    <t>주돌이</t>
  </si>
  <si>
    <t>올해는 다르다! 2025 시즌 개막</t>
  </si>
  <si>
    <t>https://blog.naver.com/PostView.naver?blogId=jjuha921&amp;logNo=223885878355&amp;redirect=Dlog&amp;widgetTypeCall=true&amp;directAccess=false</t>
  </si>
  <si>
    <t>김지연 이세창 그땐 몰랐다? 이혼 10년 후 밝혀진 반전…숫자가 말해주는 궁합의 비밀</t>
  </si>
  <si>
    <t>https://blog.naver.com/PostView.naver?blogId=stonesam3&amp;logNo=223885864244&amp;redirect=Dlog&amp;widgetTypeCall=true&amp;directAccess=false</t>
  </si>
  <si>
    <t>이정 "신장암에 전재산 사기까지…8년 전 은퇴 결심했었다" 충격 고백 (+미스터트롯3 | 천록담 | 제주도 | 아내 응원)</t>
  </si>
  <si>
    <t>https://blog.naver.com/PostView.naver?blogId=hosunews&amp;logNo=223885863278&amp;redirect=Dlog&amp;widgetTypeCall=true&amp;directAccess=false</t>
  </si>
  <si>
    <t>하영아, 본가 냉장고는 5대!?최근 시작한 자취생활 모습 공개</t>
  </si>
  <si>
    <t>https://blog.naver.com/PostView.naver?blogId=tmrlahxhdbal&amp;logNo=223885823329&amp;redirect=Dlog&amp;widgetTypeCall=true&amp;directAccess=false</t>
  </si>
  <si>
    <t>미래엔, KBS ‘우리말 겨루기’ 여름방학 특집 사제 대결 후원. 총상금 4500만 원</t>
  </si>
  <si>
    <t>https://blog.naver.com/PostView.naver?blogId=krl424&amp;logNo=223885776767&amp;redirect=Dlog&amp;widgetTypeCall=true&amp;directAccess=false</t>
  </si>
  <si>
    <t>토순이</t>
  </si>
  <si>
    <t>청라해신탕 청라다슬기해신탕 신.선.함.&amp;건.강.함. 가득-!!</t>
  </si>
  <si>
    <t>https://blog.naver.com/PostView.naver?blogId=shinuh38&amp;logNo=223885774024&amp;redirect=Dlog&amp;widgetTypeCall=true&amp;directAccess=false</t>
  </si>
  <si>
    <t>삼성페이 결제 오류 발생 – 일부 사용자 결제 장애</t>
  </si>
  <si>
    <t>https://blog.naver.com/PostView.naver?blogId=newyorkmanhattan&amp;logNo=223885763376&amp;redirect=Dlog&amp;widgetTypeCall=true&amp;directAccess=false</t>
  </si>
  <si>
    <t>워라밸직장인</t>
  </si>
  <si>
    <t>신중동감자탕 단체회식하기 좋은 이대표감자탕</t>
  </si>
  <si>
    <t>https://blog.naver.com/PostView.naver?blogId=worklife123&amp;logNo=223885749431&amp;redirect=Dlog&amp;widgetTypeCall=true&amp;directAccess=false</t>
  </si>
  <si>
    <t>유명 유튜브 무속 콘텐츠의 비밀? 점집의 광고 수단이 된 유튜브,쩐과 무당, 당신을 노리는 무속 비즈니스 | 추적60분 1407회 KBS 250418 방송</t>
  </si>
  <si>
    <t>https://blog.naver.com/PostView.naver?blogId=redrose117&amp;logNo=223885745154&amp;redirect=Dlog&amp;widgetTypeCall=true&amp;directAccess=false</t>
  </si>
  <si>
    <t>김기해, 군백기 중에도 열일…이제훈X유해진과 케미→영화 '소주전쟁' 출연</t>
  </si>
  <si>
    <t>https://blog.naver.com/PostView.naver?blogId=gyment&amp;logNo=223885464847&amp;redirect=Dlog&amp;widgetTypeCall=true&amp;directAccess=false</t>
  </si>
  <si>
    <t>이정, 신장암·전 재산 사기 딛고 트로트 재도전…눈물의 은퇴 고백</t>
  </si>
  <si>
    <t>https://blog.naver.com/PostView.naver?blogId=lsb3002&amp;logNo=223885738709&amp;redirect=Dlog&amp;widgetTypeCall=true&amp;directAccess=false</t>
  </si>
  <si>
    <t>짐 로저스 이재명 지지 논란과 그의 투자 철학</t>
  </si>
  <si>
    <t>https://blog.naver.com/PostView.naver?blogId=creta22&amp;logNo=223885727316&amp;redirect=Dlog&amp;widgetTypeCall=true&amp;directAccess=false</t>
  </si>
  <si>
    <t>오뎅</t>
  </si>
  <si>
    <t>장염 업고 튀어</t>
  </si>
  <si>
    <t>https://blog.naver.com/PostView.naver?blogId=oxxhx_&amp;logNo=223885672255&amp;redirect=Dlog&amp;widgetTypeCall=true&amp;directAccess=false</t>
  </si>
  <si>
    <t>2025년 6월2일 월요일 KBS19번 인간극장 우도의 연인 1부 보다</t>
  </si>
  <si>
    <t>https://blog.naver.com/PostView.naver?blogId=ch921017&amp;logNo=223885604606&amp;redirect=Dlog&amp;widgetTypeCall=true&amp;directAccess=false</t>
  </si>
  <si>
    <t>교육부 없애야 교육이 산다</t>
  </si>
  <si>
    <t>https://blog.naver.com/PostView.naver?blogId=echoxy&amp;logNo=223885574969&amp;redirect=Dlog&amp;widgetTypeCall=true&amp;directAccess=false</t>
  </si>
  <si>
    <t>민생 붕괴, 더 이상 버틸 수 없다 - 대선 기획 1부 | 추적60분 KBS</t>
  </si>
  <si>
    <t>https://blog.naver.com/PostView.naver?blogId=ys4217&amp;logNo=223885524075&amp;redirect=Dlog&amp;widgetTypeCall=true&amp;directAccess=false</t>
  </si>
  <si>
    <t>언제나 너였어</t>
  </si>
  <si>
    <t>헨리, 런던에서 케이팝의 저력 보여준다 (feat. 사우스바이사우스웨스트 런던 공연)</t>
  </si>
  <si>
    <t>https://blog.naver.com/PostView.naver?blogId=kithong&amp;logNo=223885505816&amp;redirect=Dlog&amp;widgetTypeCall=true&amp;directAccess=false</t>
  </si>
  <si>
    <t>센</t>
  </si>
  <si>
    <t>이번건 좀 길다 많이</t>
  </si>
  <si>
    <t>https://blog.naver.com/PostView.naver?blogId=saeeun2003&amp;logNo=223885503153&amp;redirect=Dlog&amp;widgetTypeCall=true&amp;directAccess=false</t>
  </si>
  <si>
    <t>금과 은(투에이스) - '빗속을 둘이서'[콘서트 7080(2005)]</t>
  </si>
  <si>
    <t>https://blog.naver.com/PostView.naver?blogId=inzzang9807&amp;logNo=223885502690&amp;redirect=Dlog&amp;widgetTypeCall=true&amp;directAccess=false</t>
  </si>
  <si>
    <t>뱃살친구</t>
  </si>
  <si>
    <t>정용진 형님은 뭔가 알고있다</t>
  </si>
  <si>
    <t>https://blog.naver.com/PostView.naver?blogId=loveman02_&amp;logNo=223885494315&amp;redirect=Dlog&amp;widgetTypeCall=true&amp;directAccess=false</t>
  </si>
  <si>
    <t>사랑해요</t>
  </si>
  <si>
    <t>드라마보며 열불나긴 첨이다</t>
  </si>
  <si>
    <t>https://blog.naver.com/PostView.naver?blogId=ayi2007&amp;logNo=223885490984&amp;redirect=Dlog&amp;widgetTypeCall=true&amp;directAccess=false</t>
  </si>
  <si>
    <t>강단재</t>
  </si>
  <si>
    <t>eunoia</t>
  </si>
  <si>
    <t>차라리 내가 단단해지길 바라게 돼</t>
  </si>
  <si>
    <t>https://blog.naver.com/PostView.naver?blogId=chaebone&amp;logNo=223885453158&amp;redirect=Dlog&amp;widgetTypeCall=true&amp;directAccess=false</t>
  </si>
  <si>
    <t>초연</t>
  </si>
  <si>
    <t>https://blog.naver.com/PostView.naver?blogId=bagchoyeon200&amp;logNo=223885441272&amp;redirect=Dlog&amp;widgetTypeCall=true&amp;directAccess=false</t>
  </si>
  <si>
    <t>서울 미카엘 대천사</t>
  </si>
  <si>
    <t>찔레꽃  - 이연실</t>
  </si>
  <si>
    <t>https://blog.naver.com/PostView.naver?blogId=wtjin2&amp;logNo=223885428142&amp;redirect=Dlog&amp;widgetTypeCall=true&amp;directAccess=false</t>
  </si>
  <si>
    <t>온</t>
  </si>
  <si>
    <t>&lt;울지마 톤즈&gt;를 보고 자꾸 눈물이 났다</t>
  </si>
  <si>
    <t>https://blog.naver.com/PostView.naver?blogId=on_inspiration&amp;logNo=223885427521&amp;redirect=Dlog&amp;widgetTypeCall=true&amp;directAccess=false</t>
  </si>
  <si>
    <t>‘늘봄학교-이박스쿨-프리덤칼리지’ 사태 ― 무엇이 어떻게 문제인가</t>
  </si>
  <si>
    <t>https://blog.naver.com/PostView.naver?blogId=anchorus&amp;logNo=223885416848&amp;redirect=Dlog&amp;widgetTypeCall=true&amp;directAccess=false</t>
  </si>
  <si>
    <t>행복한사람</t>
  </si>
  <si>
    <t>KBS다큐 돈의 힘 1편</t>
  </si>
  <si>
    <t>https://blog.naver.com/PostView.naver?blogId=yychoi51&amp;logNo=223885414729&amp;redirect=Dlog&amp;widgetTypeCall=true&amp;directAccess=false</t>
  </si>
  <si>
    <t>noho</t>
  </si>
  <si>
    <t>외갓집</t>
  </si>
  <si>
    <t>https://blog.naver.com/PostView.naver?blogId=sang_on_&amp;logNo=223885387872&amp;redirect=Dlog&amp;widgetTypeCall=true&amp;directAccess=false</t>
  </si>
  <si>
    <t>빛의 향기</t>
  </si>
  <si>
    <t>천록담 이정, 신장암 투병 +전재산 사기 고백.. 트로트로 다시 일어섰다.. 나무위키, 프로필, 인스타, 사당귀리뷰</t>
  </si>
  <si>
    <t>https://blog.naver.com/PostView.naver?blogId=jjmgo_&amp;logNo=223885356704&amp;redirect=Dlog&amp;widgetTypeCall=true&amp;directAccess=false</t>
  </si>
  <si>
    <t>신길댁</t>
  </si>
  <si>
    <t>보라매공원 옆 동작구민체육센터 토요일 2시 자유수영후기</t>
  </si>
  <si>
    <t>https://blog.naver.com/PostView.naver?blogId=bokdol1001&amp;logNo=223885344642&amp;redirect=Dlog&amp;widgetTypeCall=true&amp;directAccess=false</t>
  </si>
  <si>
    <t>해브어굿데이</t>
  </si>
  <si>
    <t>https://blog.naver.com/PostView.naver?blogId=kju2686&amp;logNo=223885338790&amp;redirect=Dlog&amp;widgetTypeCall=true&amp;directAccess=false</t>
  </si>
  <si>
    <t>별빛흑기사</t>
  </si>
  <si>
    <t>[별빛-에세이] 또 하루의 시작이다.</t>
  </si>
  <si>
    <t>https://blog.naver.com/PostView.naver?blogId=nabarun&amp;logNo=223885324267&amp;redirect=Dlog&amp;widgetTypeCall=true&amp;directAccess=false</t>
  </si>
  <si>
    <t>re정일상</t>
  </si>
  <si>
    <t>울산 가볼만한곳 울산KBS홀 : 스포츠 명품 아울렛 페어 브랜드행사</t>
  </si>
  <si>
    <t>https://blog.naver.com/PostView.naver?blogId=happy_day_0&amp;logNo=223885319316&amp;redirect=Dlog&amp;widgetTypeCall=true&amp;directAccess=false</t>
  </si>
  <si>
    <t>윰인</t>
  </si>
  <si>
    <t>돌아가고싶다, 4월!</t>
  </si>
  <si>
    <t>https://blog.naver.com/PostView.naver?blogId=krameel_&amp;logNo=223885313847&amp;redirect=Dlog&amp;widgetTypeCall=true&amp;directAccess=false</t>
  </si>
  <si>
    <t>봄길가을하늘</t>
  </si>
  <si>
    <t>2025.6.1.일(음5.6.)_카페에서</t>
  </si>
  <si>
    <t>https://blog.naver.com/PostView.naver?blogId=with_nani&amp;logNo=223885292003&amp;redirect=Dlog&amp;widgetTypeCall=true&amp;directAccess=false</t>
  </si>
  <si>
    <t>투덜이</t>
  </si>
  <si>
    <t>목포-신안 일주일 살기 3일차</t>
  </si>
  <si>
    <t>https://blog.naver.com/PostView.naver?blogId=mylvgh&amp;logNo=223885282035&amp;redirect=Dlog&amp;widgetTypeCall=true&amp;directAccess=false</t>
  </si>
  <si>
    <t>힌드로</t>
  </si>
  <si>
    <t>[공연] 밤베르크심포니 &amp; 김봄소리 (믿고 듣는 밤심)</t>
  </si>
  <si>
    <t>https://blog.naver.com/PostView.naver?blogId=hindro&amp;logNo=223885272210&amp;redirect=Dlog&amp;widgetTypeCall=true&amp;directAccess=false</t>
  </si>
  <si>
    <t>https://blog.naver.com/PostView.naver?blogId=yang83529&amp;logNo=223885268733&amp;redirect=Dlog&amp;widgetTypeCall=true&amp;directAccess=false</t>
  </si>
  <si>
    <t>꿈을 주는 사람</t>
  </si>
  <si>
    <t>드라마  독수리 오 형제를 부탁해.</t>
  </si>
  <si>
    <t>https://blog.naver.com/PostView.naver?blogId=maie2002&amp;logNo=223885265827&amp;redirect=Dlog&amp;widgetTypeCall=true&amp;directAccess=false</t>
  </si>
  <si>
    <t>북한 환율은 왜 다시 뛰고 있나?</t>
  </si>
  <si>
    <t>https://blog.naver.com/PostView.naver?blogId=sg9182&amp;logNo=223885236462&amp;redirect=Dlog&amp;widgetTypeCall=true&amp;directAccess=false</t>
  </si>
  <si>
    <t>젬니</t>
  </si>
  <si>
    <t>칵테일, 러브, 좀비</t>
  </si>
  <si>
    <t>https://blog.naver.com/PostView.naver?blogId=kimgemini1020&amp;logNo=223885231226&amp;redirect=Dlog&amp;widgetTypeCall=true&amp;directAccess=false</t>
  </si>
  <si>
    <t>https://blog.naver.com/PostView.naver?blogId=yang83529&amp;logNo=223885225172&amp;redirect=Dlog&amp;widgetTypeCall=true&amp;directAccess=false</t>
  </si>
  <si>
    <t>빙눈설</t>
  </si>
  <si>
    <t>벌써 5월</t>
  </si>
  <si>
    <t>https://blog.naver.com/PostView.naver?blogId=dbstjf0401&amp;logNo=223885211060&amp;redirect=Dlog&amp;widgetTypeCall=true&amp;directAccess=false</t>
  </si>
  <si>
    <t>거제도 가볼만한곳 거제 가족 여행 코스 6월 여행지 추천</t>
  </si>
  <si>
    <t>https://blog.naver.com/PostView.naver?blogId=rina_1020&amp;logNo=223884844585&amp;redirect=Dlog&amp;widgetTypeCall=true&amp;directAccess=false</t>
  </si>
  <si>
    <t>연지</t>
  </si>
  <si>
    <t>https://blog.naver.com/PostView.naver?blogId=syg0914&amp;logNo=223885189878&amp;redirect=Dlog&amp;widgetTypeCall=true&amp;directAccess=false</t>
  </si>
  <si>
    <t>이상훈 《한복 입은 남자》</t>
  </si>
  <si>
    <t>https://blog.naver.com/PostView.naver?blogId=freemanmin9&amp;logNo=223884180639&amp;redirect=Dlog&amp;widgetTypeCall=true&amp;directAccess=false</t>
  </si>
  <si>
    <t>gaia</t>
  </si>
  <si>
    <t>사업일기 : 두려움을 이겨내고</t>
  </si>
  <si>
    <t>https://blog.naver.com/PostView.naver?blogId=aengo79&amp;logNo=223885160970&amp;redirect=Dlog&amp;widgetTypeCall=true&amp;directAccess=false</t>
  </si>
  <si>
    <t>로컬아키비스트</t>
  </si>
  <si>
    <t>우리나라 최초의 소 보험</t>
  </si>
  <si>
    <t>https://blog.naver.com/PostView.naver?blogId=archive_kimsidong&amp;logNo=223885157548&amp;redirect=Dlog&amp;widgetTypeCall=true&amp;directAccess=false</t>
  </si>
  <si>
    <t>독수리 오형제를 부탁해 강소연 재등장? 36회 한수연 오천수 ♥ 문미순 주말드라마 추천</t>
  </si>
  <si>
    <t>https://blog.naver.com/PostView.naver?blogId=chummilmil99&amp;logNo=223885156302&amp;redirect=Dlog&amp;widgetTypeCall=true&amp;directAccess=false</t>
  </si>
  <si>
    <t>아멜리에</t>
  </si>
  <si>
    <t>독수리 5형제를 부탁해 36회@ 54회 연장! 오천수 전처 한수연 재등장! 마광숙 연애 공개 ft.37회 예고 줄거리</t>
  </si>
  <si>
    <t>https://blog.naver.com/PostView.naver?blogId=ameliepink&amp;logNo=223885142725&amp;redirect=Dlog&amp;widgetTypeCall=true&amp;directAccess=false</t>
  </si>
  <si>
    <t>seul</t>
  </si>
  <si>
    <t>Weekly : My HBD😋</t>
  </si>
  <si>
    <t>https://blog.naver.com/PostView.naver?blogId=tmfrl9361&amp;logNo=223885131484&amp;redirect=Dlog&amp;widgetTypeCall=true&amp;directAccess=false</t>
  </si>
  <si>
    <t>"아내가 샤워를 3분도 안해..위생관념 차이 심해"..국제결혼 남편, 라오스 아내 고민 토로</t>
  </si>
  <si>
    <t>https://blog.naver.com/PostView.naver?blogId=atraxia123&amp;logNo=223885094145&amp;redirect=Dlog&amp;widgetTypeCall=true&amp;directAccess=false</t>
  </si>
  <si>
    <t>약한앵두</t>
  </si>
  <si>
    <t>2025.05.31 지리산 노고단~반야봉</t>
  </si>
  <si>
    <t>https://blog.naver.com/PostView.naver?blogId=oligoenergy&amp;logNo=223885068632&amp;redirect=Dlog&amp;widgetTypeCall=true&amp;directAccess=false</t>
  </si>
  <si>
    <t>료이키텐카이</t>
  </si>
  <si>
    <t>Swim Log #1 [ 2025 안산시수영연맹 회장배 전국마스터즈 수영대회, 야키토리쇼몽, 생활맥주 ]</t>
  </si>
  <si>
    <t>https://blog.naver.com/PostView.naver?blogId=high_cookie&amp;logNo=223885061815&amp;redirect=Dlog&amp;widgetTypeCall=true&amp;directAccess=false</t>
  </si>
  <si>
    <t>이슈 픽 쌤과 함께 사계절이 시한폭탄? 기후 채찌질이 시작됐다 에코 아포칼립스 정수종 교수 6월 1일 233회 출연진 방송시간 정보</t>
  </si>
  <si>
    <t>https://blog.naver.com/PostView.naver?blogId=qhrjtmhey&amp;logNo=223885043787&amp;redirect=Dlog&amp;widgetTypeCall=true&amp;directAccess=false</t>
  </si>
  <si>
    <t>singjiwon</t>
  </si>
  <si>
    <t>이사</t>
  </si>
  <si>
    <t>https://blog.naver.com/PostView.naver?blogId=singjiwon&amp;logNo=223885032580&amp;redirect=Dlog&amp;widgetTypeCall=true&amp;directAccess=false</t>
  </si>
  <si>
    <t>도남</t>
  </si>
  <si>
    <t>6월의 언덕</t>
  </si>
  <si>
    <t>https://blog.naver.com/PostView.naver?blogId=cwh765&amp;logNo=223885015463&amp;redirect=Dlog&amp;widgetTypeCall=true&amp;directAccess=false</t>
  </si>
  <si>
    <t>꼬맹이</t>
  </si>
  <si>
    <t>울산 여행 :: 풍자 또간집 찐 육즙 만두 맛집 함경면옥 웨이팅</t>
  </si>
  <si>
    <t>https://blog.naver.com/PostView.naver?blogId=suin17&amp;logNo=223885007252&amp;redirect=Dlog&amp;widgetTypeCall=true&amp;directAccess=false</t>
  </si>
  <si>
    <t>스킬짱</t>
  </si>
  <si>
    <t>기본사회 30년 시대, 옷수선인이 감당할 사회적 역할</t>
  </si>
  <si>
    <t>https://blog.naver.com/PostView.naver?blogId=skillchang&amp;logNo=223885003655&amp;redirect=Dlog&amp;widgetTypeCall=true&amp;directAccess=false</t>
  </si>
  <si>
    <t>인공지능이 정말 인류에 해가 될까?</t>
  </si>
  <si>
    <t>https://blog.naver.com/PostView.naver?blogId=45jihoon&amp;logNo=223885001698&amp;redirect=Dlog&amp;widgetTypeCall=true&amp;directAccess=false</t>
  </si>
  <si>
    <t>대한민국이 중국과 일본과 교류를 단절하면 일어나는 일들?</t>
  </si>
  <si>
    <t>https://blog.naver.com/PostView.naver?blogId=45jihoon&amp;logNo=223884990707&amp;redirect=Dlog&amp;widgetTypeCall=true&amp;directAccess=false</t>
  </si>
  <si>
    <t>유버맨쉬youbermensch</t>
  </si>
  <si>
    <t>인코칭 홍의숙 회장님의 강연, 행복한 에너지로 만드는 최고의 성과</t>
  </si>
  <si>
    <t>https://blog.naver.com/PostView.naver?blogId=youbermensh&amp;logNo=223884989253&amp;redirect=Dlog&amp;widgetTypeCall=true&amp;directAccess=false</t>
  </si>
  <si>
    <t>웃음양</t>
  </si>
  <si>
    <t>손 큰 할머니의 만두 만들기_채인선 글/이억배 그림/재미마주</t>
  </si>
  <si>
    <t>https://blog.naver.com/PostView.naver?blogId=yang9600&amp;logNo=223884965905&amp;redirect=Dlog&amp;widgetTypeCall=true&amp;directAccess=false</t>
  </si>
  <si>
    <t>headwrkr</t>
  </si>
  <si>
    <t>푸르구나</t>
  </si>
  <si>
    <t>https://blog.naver.com/PostView.naver?blogId=wellbecool&amp;logNo=223884959069&amp;redirect=Dlog&amp;widgetTypeCall=true&amp;directAccess=false</t>
  </si>
  <si>
    <t>민주</t>
  </si>
  <si>
    <t>시험 치고 놀고 공부하고 시험 치고 놀고 공부하고 시험치는 일상</t>
  </si>
  <si>
    <t>https://blog.naver.com/PostView.naver?blogId=monologg&amp;logNo=223884952527&amp;redirect=Dlog&amp;widgetTypeCall=true&amp;directAccess=false</t>
  </si>
  <si>
    <t>백혈병 완치! 배우 최성원은 누구? (프로필)</t>
  </si>
  <si>
    <t>https://blog.naver.com/PostView.naver?blogId=rozz0697&amp;logNo=223884925038&amp;redirect=Dlog&amp;widgetTypeCall=true&amp;directAccess=false</t>
  </si>
  <si>
    <t>리바나</t>
  </si>
  <si>
    <t>[06/01] 금융 / 은행</t>
  </si>
  <si>
    <t>https://blog.naver.com/PostView.naver?blogId=rebyny&amp;logNo=223884915201&amp;redirect=Dlog&amp;widgetTypeCall=true&amp;directAccess=false</t>
  </si>
  <si>
    <t>정경호 스타일의 이야기가 시작된다. 노무진노무사</t>
  </si>
  <si>
    <t>https://blog.naver.com/PostView.naver?blogId=bbobbny&amp;logNo=223883795619&amp;redirect=Dlog&amp;widgetTypeCall=true&amp;directAccess=false</t>
  </si>
  <si>
    <t>"초등학생이 더 빨라…창피해" 해설자 분노케 한 대학육상 경기...어느 육상 해설자의 분노 “앞으로 이 종목은 중계하지 맙시다”</t>
  </si>
  <si>
    <t>https://blog.naver.com/PostView.naver?blogId=croaton6219&amp;logNo=223884856593&amp;redirect=Dlog&amp;widgetTypeCall=true&amp;directAccess=false</t>
  </si>
  <si>
    <t>물들래</t>
  </si>
  <si>
    <t>봄나들이 토크 - 서울문화 예술교육센터 용산</t>
  </si>
  <si>
    <t>https://blog.naver.com/PostView.naver?blogId=aprilnov&amp;logNo=223884847505&amp;redirect=Dlog&amp;widgetTypeCall=true&amp;directAccess=false</t>
  </si>
  <si>
    <t>밥풀</t>
  </si>
  <si>
    <t>2025 보령머드축제 정보! 꿀팁! 알아보기</t>
  </si>
  <si>
    <t>https://blog.naver.com/PostView.naver?blogId=qmffhrmoi&amp;logNo=223884844580&amp;redirect=Dlog&amp;widgetTypeCall=true&amp;directAccess=false</t>
  </si>
  <si>
    <t>JinRy</t>
  </si>
  <si>
    <t>중국 건설업에 이어 자동차 산업도 무너지고 있다</t>
  </si>
  <si>
    <t>https://blog.naver.com/PostView.naver?blogId=zizon_gamer&amp;logNo=223884842270&amp;redirect=Dlog&amp;widgetTypeCall=true&amp;directAccess=false</t>
  </si>
  <si>
    <t>파타고니아</t>
  </si>
  <si>
    <t>실크로드 천산남로 여행-1. 유라시아 동서 문명 교류 통로인 실크로드. 실크로드 천산남로 여행.</t>
  </si>
  <si>
    <t>https://blog.naver.com/PostView.naver?blogId=kosanja1&amp;logNo=223884841674&amp;redirect=Dlog&amp;widgetTypeCall=true&amp;directAccess=false</t>
  </si>
  <si>
    <t>남기다</t>
  </si>
  <si>
    <t>5월 한 달간 나의 생활비</t>
  </si>
  <si>
    <t>https://blog.naver.com/PostView.naver?blogId=10001028&amp;logNo=223884829085&amp;redirect=Dlog&amp;widgetTypeCall=true&amp;directAccess=false</t>
  </si>
  <si>
    <t>mani57356</t>
  </si>
  <si>
    <t>BAC No.24 광주 무등산</t>
  </si>
  <si>
    <t>https://blog.naver.com/PostView.naver?blogId=mani57356&amp;logNo=223884784830&amp;redirect=Dlog&amp;widgetTypeCall=true&amp;directAccess=false</t>
  </si>
  <si>
    <t>대한민국 스타 5월 브랜드순위 1위 손흥민,2위 방탄,3위 임영웅,7위 이정후</t>
  </si>
  <si>
    <t>https://blog.naver.com/PostView.naver?blogId=wjdwlrtjd&amp;logNo=223884772556&amp;redirect=Dlog&amp;widgetTypeCall=true&amp;directAccess=false</t>
  </si>
  <si>
    <t>peterhoon</t>
  </si>
  <si>
    <t>5월의 출근길 풍경</t>
  </si>
  <si>
    <t>https://blog.naver.com/PostView.naver?blogId=peterhoo&amp;logNo=223884725798&amp;redirect=Dlog&amp;widgetTypeCall=true&amp;directAccess=false</t>
  </si>
  <si>
    <t>[거기 그곳] BTS도 다녀간 'FOREVER' 그 곳… 제천으로 가볼까</t>
  </si>
  <si>
    <t>https://blog.naver.com/PostView.naver?blogId=dwyun60&amp;logNo=223884704500&amp;redirect=Dlog&amp;widgetTypeCall=true&amp;directAccess=false</t>
  </si>
  <si>
    <t>Rookie Tracker</t>
  </si>
  <si>
    <t>2025년 6월 1일 한화 이글스 vs NC 다이노스 프리뷰: 황준서 시즌 두 번째 등판, 창원에서 좋은 모습 이어갈까?</t>
  </si>
  <si>
    <t>https://blog.naver.com/PostView.naver?blogId=jakxcvv&amp;logNo=223884693855&amp;redirect=Dlog&amp;widgetTypeCall=true&amp;directAccess=false</t>
  </si>
  <si>
    <t>6월 1일, 과거의 오늘</t>
  </si>
  <si>
    <t>https://blog.naver.com/PostView.naver?blogId=gudtjs070&amp;logNo=223846824193&amp;redirect=Dlog&amp;widgetTypeCall=true&amp;directAccess=false</t>
  </si>
  <si>
    <t>"한지민보다 언니가 더 예뻐"…지상렬, 한지민 친언니 결혼식 사회 본 사연 ('살림남')</t>
  </si>
  <si>
    <t>https://blog.naver.com/PostView.naver?blogId=tvreview&amp;logNo=223884684520&amp;redirect=Dlog&amp;widgetTypeCall=true&amp;directAccess=false</t>
  </si>
  <si>
    <t>손열음 피아노 연주</t>
  </si>
  <si>
    <t>https://blog.naver.com/PostView.naver?blogId=rose4526565&amp;logNo=223884442791&amp;redirect=Dlog&amp;widgetTypeCall=true&amp;directAccess=false</t>
  </si>
  <si>
    <t>EDDY</t>
  </si>
  <si>
    <t>부자 유출의 심각함</t>
  </si>
  <si>
    <t>https://blog.naver.com/PostView.naver?blogId=sumlama&amp;logNo=223878976558&amp;redirect=Dlog&amp;widgetTypeCall=true&amp;directAccess=false</t>
  </si>
  <si>
    <t>2025년 6월1일 6월의첫날일요일 KBS27번 영상 앨범산 보다</t>
  </si>
  <si>
    <t>https://blog.naver.com/PostView.naver?blogId=ch921017&amp;logNo=223884667021&amp;redirect=Dlog&amp;widgetTypeCall=true&amp;directAccess=false</t>
  </si>
  <si>
    <t>도원풍수이재원교수</t>
  </si>
  <si>
    <t>하스돕</t>
  </si>
  <si>
    <t>싱그러운 5월, 춘천·가평 남이섬을 산책하다.</t>
  </si>
  <si>
    <t>https://blog.naver.com/PostView.naver?blogId=issim1&amp;logNo=223884635477&amp;redirect=Dlog&amp;widgetTypeCall=true&amp;directAccess=false</t>
  </si>
  <si>
    <t>안관주변호사</t>
  </si>
  <si>
    <t>차이코프스키, 바이올린 협주곡을 듣고.</t>
  </si>
  <si>
    <t>https://blog.naver.com/PostView.naver?blogId=goal5403&amp;logNo=223884634494&amp;redirect=Dlog&amp;widgetTypeCall=true&amp;directAccess=false</t>
  </si>
  <si>
    <t>어처구니의 진실</t>
  </si>
  <si>
    <t>백사장 세모래밭에 칠성단을 (  )고?</t>
  </si>
  <si>
    <t>https://blog.naver.com/PostView.naver?blogId=kangsn70&amp;logNo=223884615689&amp;redirect=Dlog&amp;widgetTypeCall=true&amp;directAccess=false</t>
  </si>
  <si>
    <t>한지민 친언니 화제 | 지상렬 결혼 사회 비하인드 스토리 공개</t>
  </si>
  <si>
    <t>https://blog.naver.com/PostView.naver?blogId=ahssberl&amp;logNo=223884610413&amp;redirect=Dlog&amp;widgetTypeCall=true&amp;directAccess=false</t>
  </si>
  <si>
    <t>아랑가(ArangGA)-1104. 빗물</t>
  </si>
  <si>
    <t>https://blog.naver.com/PostView.naver?blogId=ycy519444&amp;logNo=223884606711&amp;redirect=Dlog&amp;widgetTypeCall=true&amp;directAccess=false</t>
  </si>
  <si>
    <t>워킹맘 앨리</t>
  </si>
  <si>
    <t>키위북스 창작그림책 아픈아이 마음 달래기 좋은 유아그림책</t>
  </si>
  <si>
    <t>https://blog.naver.com/PostView.naver?blogId=alialicee&amp;logNo=223884569393&amp;redirect=Dlog&amp;widgetTypeCall=true&amp;directAccess=false</t>
  </si>
  <si>
    <t>지영지렁</t>
  </si>
  <si>
    <t>🐍💙 5월의 일상 💙🐍</t>
  </si>
  <si>
    <t>https://blog.naver.com/PostView.naver?blogId=jiyoung0515515&amp;logNo=223884539611&amp;redirect=Dlog&amp;widgetTypeCall=true&amp;directAccess=false</t>
  </si>
  <si>
    <t>이재명 “‘댓글조작’ 리박스쿨? 반란행위 아니냐…책임 물어야”</t>
  </si>
  <si>
    <t>https://blog.naver.com/PostView.naver?blogId=findingflow1&amp;logNo=223884539312&amp;redirect=Dlog&amp;widgetTypeCall=true&amp;directAccess=false</t>
  </si>
  <si>
    <t>아나운서사랑</t>
  </si>
  <si>
    <t>봄뫼</t>
  </si>
  <si>
    <t>더부티크로그</t>
  </si>
  <si>
    <t>왜 블루보틀과 팀홀튼은 한국에서 고전할까?</t>
  </si>
  <si>
    <t>https://blog.naver.com/PostView.naver?blogId=the-boutique-log&amp;logNo=223891819966&amp;redirect=Dlog&amp;widgetTypeCall=true&amp;directAccess=false</t>
  </si>
  <si>
    <t>센트럴 골드</t>
  </si>
  <si>
    <t>2025년 태풍에 미리 대비합시다.</t>
  </si>
  <si>
    <t>https://blog.naver.com/PostView.naver?blogId=goldland690&amp;logNo=223891787245&amp;redirect=Dlog&amp;widgetTypeCall=true&amp;directAccess=false</t>
  </si>
  <si>
    <t>하늘다래</t>
  </si>
  <si>
    <t>트랜스지방섭취하면 단명하는 이유</t>
  </si>
  <si>
    <t>https://blog.naver.com/PostView.naver?blogId=ycythy&amp;logNo=223891781051&amp;redirect=Dlog&amp;widgetTypeCall=true&amp;directAccess=false</t>
  </si>
  <si>
    <t>소소한담</t>
  </si>
  <si>
    <t>앤드류</t>
  </si>
  <si>
    <t>먹민이</t>
  </si>
  <si>
    <t>경대 북문 맛집 고니식탁 경북대 한식 유자두루치기</t>
  </si>
  <si>
    <t>https://blog.naver.com/PostView.naver?blogId=dgskyroad&amp;logNo=223891737773&amp;redirect=Dlog&amp;widgetTypeCall=true&amp;directAccess=false</t>
  </si>
  <si>
    <t>글방지기</t>
  </si>
  <si>
    <t>[KBS경제세미나] 손자병법의 전술이 트럼프 대통령의 전략과 어떻게 닮아 있을지? 임용한 KJ인문경영연구</t>
  </si>
  <si>
    <t>https://blog.naver.com/PostView.naver?blogId=drone101&amp;logNo=223891731080&amp;redirect=Dlog&amp;widgetTypeCall=true&amp;directAccess=false</t>
  </si>
  <si>
    <t>고랑</t>
  </si>
  <si>
    <t>나드리김밥카페 예천점</t>
  </si>
  <si>
    <t>https://blog.naver.com/PostView.naver?blogId=stoner323&amp;logNo=223891712809&amp;redirect=Dlog&amp;widgetTypeCall=true&amp;directAccess=false</t>
  </si>
  <si>
    <t>시니어 막내' 목진석, 데뷔 무대에서 우승</t>
  </si>
  <si>
    <t>https://blog.naver.com/PostView.naver?blogId=ibisall&amp;logNo=223891696858&amp;redirect=Dlog&amp;widgetTypeCall=true&amp;directAccess=false</t>
  </si>
  <si>
    <t>KBS교향악단 / 정명훈의 브람스 Ⅲ, Ⅳ</t>
  </si>
  <si>
    <t>https://blog.naver.com/PostView.naver?blogId=bakcho&amp;logNo=223891685668&amp;redirect=Dlog&amp;widgetTypeCall=true&amp;directAccess=false</t>
  </si>
  <si>
    <t>날다고양이</t>
  </si>
  <si>
    <t>충북 보은군, 직화구이전문 '용궁식당' 밥 먹으러 갔는데 불맛나는 술안주가 나온 날</t>
  </si>
  <si>
    <t>https://blog.naver.com/PostView.naver?blogId=apapership&amp;logNo=223891675729&amp;redirect=Dlog&amp;widgetTypeCall=true&amp;directAccess=false</t>
  </si>
  <si>
    <t>어얼리 early</t>
  </si>
  <si>
    <t>[트럼프2.0시대] 트럼프 시대, 글로벌 위기를 예측한 책</t>
  </si>
  <si>
    <t>https://blog.naver.com/PostView.naver?blogId=pagepath&amp;logNo=223890754369&amp;redirect=Dlog&amp;widgetTypeCall=true&amp;directAccess=false</t>
  </si>
  <si>
    <t>[인간극장] 우리 집 왕빠 첫째 송애경 둘째 미경 셋째 은경 막내 대권 씨 남매 나이 세무사 사무실 일산 어디 갑상샘암 6123회 6124회 6125회 6126회 6127회</t>
  </si>
  <si>
    <t>https://blog.naver.com/PostView.naver?blogId=pirin888&amp;logNo=223891631444&amp;redirect=Dlog&amp;widgetTypeCall=true&amp;directAccess=false</t>
  </si>
  <si>
    <t>송대권 세무사</t>
  </si>
  <si>
    <t>"KBS 1TV 인간극장 '우리 집 왕빠'(5부작) 줄거리" ["KBS 1TV, 2025년 6월 9일(월) 아침 7시 50분 방영"]</t>
  </si>
  <si>
    <t>https://blog.naver.com/PostView.naver?blogId=jadam_tax&amp;logNo=223891619107&amp;redirect=Dlog&amp;widgetTypeCall=true&amp;directAccess=false</t>
  </si>
  <si>
    <t>독수리 오형제를 부탁해 술도가 나와라? 37회 천수 전처 ♥ 오흥수 주말드라마 추천</t>
  </si>
  <si>
    <t>https://blog.naver.com/PostView.naver?blogId=chummilmil99&amp;logNo=223891601987&amp;redirect=Dlog&amp;widgetTypeCall=true&amp;directAccess=false</t>
  </si>
  <si>
    <t>인정</t>
  </si>
  <si>
    <t>브람스 교향곡 3,4</t>
  </si>
  <si>
    <t>https://blog.naver.com/PostView.naver?blogId=suninj99&amp;logNo=223891595723&amp;redirect=Dlog&amp;widgetTypeCall=true&amp;directAccess=false</t>
  </si>
  <si>
    <t>도롱도롱이</t>
  </si>
  <si>
    <t>3월 일상 털기_1</t>
  </si>
  <si>
    <t>https://blog.naver.com/PostView.naver?blogId=dororong_bbou&amp;logNo=223891570997&amp;redirect=Dlog&amp;widgetTypeCall=true&amp;directAccess=false</t>
  </si>
  <si>
    <t>지서기</t>
  </si>
  <si>
    <t>2025년 새해가 밝았어. 해돋이 보러가자</t>
  </si>
  <si>
    <t>https://blog.naver.com/PostView.naver?blogId=towensufromdad&amp;logNo=223891544622&amp;redirect=Dlog&amp;widgetTypeCall=true&amp;directAccess=false</t>
  </si>
  <si>
    <t>이찬원 캠퍼스 커플 고백｜군대 기다려준 첫사랑 이야기｜'방판뮤직'에서 전한 풋풋한 청춘의 기억</t>
  </si>
  <si>
    <t>https://blog.naver.com/PostView.naver?blogId=luxblue83&amp;logNo=223891542940&amp;redirect=Dlog&amp;widgetTypeCall=true&amp;directAccess=false</t>
  </si>
  <si>
    <t>이순실, 위고비 효과 無 고백…“난 식욕만 더 좋아져” 폭소 ('사당귀')</t>
  </si>
  <si>
    <t>https://blog.naver.com/PostView.naver?blogId=apahghfej&amp;logNo=223891515294&amp;redirect=Dlog&amp;widgetTypeCall=true&amp;directAccess=false</t>
  </si>
  <si>
    <t>#제주오라CC(ft.관리는 글쎄?).제주 투어 시작~</t>
  </si>
  <si>
    <t>https://blog.naver.com/PostView.naver?blogId=rockorea&amp;logNo=223891479071&amp;redirect=Dlog&amp;widgetTypeCall=true&amp;directAccess=false</t>
  </si>
  <si>
    <t>주핳하ㅏ</t>
  </si>
  <si>
    <t>우다라탕탕 5월</t>
  </si>
  <si>
    <t>https://blog.naver.com/PostView.naver?blogId=rlawngk7735&amp;logNo=223891451456&amp;redirect=Dlog&amp;widgetTypeCall=true&amp;directAccess=false</t>
  </si>
  <si>
    <t>모바일큰손</t>
  </si>
  <si>
    <t>부산 산복도로</t>
  </si>
  <si>
    <t>https://blog.naver.com/PostView.naver?blogId=lottoeshop&amp;logNo=223891449992&amp;redirect=Dlog&amp;widgetTypeCall=true&amp;directAccess=false</t>
  </si>
  <si>
    <t>충청매거진</t>
  </si>
  <si>
    <t>고명성 개인전, 삶의 ‘흔적’으로 그려지다</t>
  </si>
  <si>
    <t>https://blog.naver.com/PostView.naver?blogId=ccm3363&amp;logNo=223891424966&amp;redirect=Dlog&amp;widgetTypeCall=true&amp;directAccess=false</t>
  </si>
  <si>
    <t>KBO 2025.06.07(토) NC 다이노스 : 삼성 라이온즈 프리뷰 및 예측, 분석</t>
  </si>
  <si>
    <t>https://blog.naver.com/PostView.naver?blogId=k_reporter_&amp;logNo=223891410725&amp;redirect=Dlog&amp;widgetTypeCall=true&amp;directAccess=false</t>
  </si>
  <si>
    <t>“42세의 도전” 이미도, 드라마 촬영 병행하며 보디빌딩 대회 출전까지</t>
  </si>
  <si>
    <t>https://blog.naver.com/PostView.naver?blogId=apahghfej&amp;logNo=223891394845&amp;redirect=Dlog&amp;widgetTypeCall=true&amp;directAccess=false</t>
  </si>
  <si>
    <t>MARS</t>
  </si>
  <si>
    <t>세종시 단독주택 세종의사당 예정지</t>
  </si>
  <si>
    <t>https://blog.naver.com/PostView.naver?blogId=2gowego&amp;logNo=223891385818&amp;redirect=Dlog&amp;widgetTypeCall=true&amp;directAccess=false</t>
  </si>
  <si>
    <t>jdpblr</t>
  </si>
  <si>
    <t>부산기행</t>
  </si>
  <si>
    <t>https://blog.naver.com/PostView.naver?blogId=jdpblr&amp;logNo=223891335448&amp;redirect=Dlog&amp;widgetTypeCall=true&amp;directAccess=false</t>
  </si>
  <si>
    <t>일곱</t>
  </si>
  <si>
    <t>https://blog.naver.com/PostView.naver?blogId=dorog79&amp;logNo=223891332458&amp;redirect=Dlog&amp;widgetTypeCall=true&amp;directAccess=false</t>
  </si>
  <si>
    <t>사공</t>
  </si>
  <si>
    <t>2주 정도 밀린 이야기 (2)</t>
  </si>
  <si>
    <t>https://blog.naver.com/PostView.naver?blogId=afternema08&amp;logNo=223891318328&amp;redirect=Dlog&amp;widgetTypeCall=true&amp;directAccess=false</t>
  </si>
  <si>
    <t>하낫</t>
  </si>
  <si>
    <t>https://blog.naver.com/PostView.naver?blogId=dorog79&amp;logNo=223891299945&amp;redirect=Dlog&amp;widgetTypeCall=true&amp;directAccess=false</t>
  </si>
  <si>
    <t>김문정 아나운서</t>
  </si>
  <si>
    <t>2025년 6월7일 토요일 KBS19번 인간극장 우도의 연인 5부 보다</t>
  </si>
  <si>
    <t>https://blog.naver.com/PostView.naver?blogId=ch921017&amp;logNo=223891233335&amp;redirect=Dlog&amp;widgetTypeCall=true&amp;directAccess=false</t>
  </si>
  <si>
    <t>미술관옆산책로</t>
  </si>
  <si>
    <t>KBS교향악단 X 정명훈의 브람스 III, IV _ 롯데콘서트홀</t>
  </si>
  <si>
    <t>https://blog.naver.com/PostView.naver?blogId=yg12210&amp;logNo=223891204347&amp;redirect=Dlog&amp;widgetTypeCall=true&amp;directAccess=false</t>
  </si>
  <si>
    <t>날라리</t>
  </si>
  <si>
    <t>못말리는 결혼(2007, Unstoppable Marriage)</t>
  </si>
  <si>
    <t>https://blog.naver.com/PostView.naver?blogId=nalraly10&amp;logNo=223891196899&amp;redirect=Dlog&amp;widgetTypeCall=true&amp;directAccess=false</t>
  </si>
  <si>
    <t>juju</t>
  </si>
  <si>
    <t>더시즌즈 박보검의 칸타빌레 방청신청 당첨 후기💗 | 자유석 60번대, 신청 사연 꿀팁</t>
  </si>
  <si>
    <t>https://blog.naver.com/PostView.naver?blogId=zxc279&amp;logNo=223891194432&amp;redirect=Dlog&amp;widgetTypeCall=true&amp;directAccess=false</t>
  </si>
  <si>
    <t>더미하우스</t>
  </si>
  <si>
    <t>[EBS 다큐] 숙식 제공한다는 말에 하나 둘 모인 외국인. 생각보다 인기 많다는 한국 시골살이｜해외 반응｜한국기행｜#골라듄다큐</t>
  </si>
  <si>
    <t>https://blog.naver.com/PostView.naver?blogId=sparkling_15&amp;logNo=223891185797&amp;redirect=Dlog&amp;widgetTypeCall=true&amp;directAccess=false</t>
  </si>
  <si>
    <t>도전하는 빵그리</t>
  </si>
  <si>
    <t>직장병행 2주마다 자격증 공부하고 시험치기. 이게되네?</t>
  </si>
  <si>
    <t>https://blog.naver.com/PostView.naver?blogId=donkey_22&amp;logNo=223891166587&amp;redirect=Dlog&amp;widgetTypeCall=true&amp;directAccess=false</t>
  </si>
  <si>
    <t>한사람</t>
  </si>
  <si>
    <t>‘아델’ 노래 “내 사랑을 느껴보세요”</t>
  </si>
  <si>
    <t>https://blog.naver.com/PostView.naver?blogId=himoon25&amp;logNo=223887097105&amp;redirect=Dlog&amp;widgetTypeCall=true&amp;directAccess=false</t>
  </si>
  <si>
    <t>향산</t>
  </si>
  <si>
    <t>滄珠香山의 放吾齋 日記 2025. 6. 7. 土</t>
  </si>
  <si>
    <t>https://blog.naver.com/PostView.naver?blogId=lestofilos&amp;logNo=223891143921&amp;redirect=Dlog&amp;widgetTypeCall=true&amp;directAccess=false</t>
  </si>
  <si>
    <t>드라마 미지의 서울 등장인물, 제작사, 시청률 총정리</t>
  </si>
  <si>
    <t>https://blog.naver.com/PostView.naver?blogId=global55kr&amp;logNo=223885982327&amp;redirect=Dlog&amp;widgetTypeCall=true&amp;directAccess=false</t>
  </si>
  <si>
    <t>그냥 선생</t>
  </si>
  <si>
    <t>정치의 흐름</t>
  </si>
  <si>
    <t>https://blog.naver.com/PostView.naver?blogId=socoolsogood&amp;logNo=223891104815&amp;redirect=Dlog&amp;widgetTypeCall=true&amp;directAccess=false</t>
  </si>
  <si>
    <t>KWAN</t>
  </si>
  <si>
    <t>《박시백의 고려사》 - ① 천하 통일과 고려의 개막</t>
  </si>
  <si>
    <t>https://blog.naver.com/PostView.naver?blogId=leegener&amp;logNo=223873920578&amp;redirect=Dlog&amp;widgetTypeCall=true&amp;directAccess=false</t>
  </si>
  <si>
    <t>{ 알고듣는 추억노래} 215화  🍒편지🍒         2025.6.7</t>
  </si>
  <si>
    <t>https://blog.naver.com/PostView.naver?blogId=goldsea59&amp;logNo=223891089447&amp;redirect=Dlog&amp;widgetTypeCall=true&amp;directAccess=false</t>
  </si>
  <si>
    <t>탄이</t>
  </si>
  <si>
    <t>[삼태지맥] 무룡산~기령</t>
  </si>
  <si>
    <t>https://blog.naver.com/PostView.naver?blogId=tanyi2020&amp;logNo=223891082149&amp;redirect=Dlog&amp;widgetTypeCall=true&amp;directAccess=false</t>
  </si>
  <si>
    <t>yerin_h1</t>
  </si>
  <si>
    <t>3년지기에게</t>
  </si>
  <si>
    <t>https://blog.naver.com/PostView.naver?blogId=yerin_h1&amp;logNo=223891047299&amp;redirect=Dlog&amp;widgetTypeCall=true&amp;directAccess=false</t>
  </si>
  <si>
    <t>박태환 국가대표 시절 새벽 4시 기상 고백 쫓기듯 살았던 비하인드 편스토랑</t>
  </si>
  <si>
    <t>https://blog.naver.com/PostView.naver?blogId=qnzjn8&amp;logNo=223890845327&amp;redirect=Dlog&amp;widgetTypeCall=true&amp;directAccess=false</t>
  </si>
  <si>
    <t>봄의 오후</t>
  </si>
  <si>
    <t>2025-3 KBS 교향악단 제 810회 정기연주회. 2025.01.24</t>
  </si>
  <si>
    <t>https://blog.naver.com/PostView.naver?blogId=like_zinnia&amp;logNo=223891012974&amp;redirect=Dlog&amp;widgetTypeCall=true&amp;directAccess=false</t>
  </si>
  <si>
    <t>왕경태</t>
  </si>
  <si>
    <t>[SFC] 에어리어 88,エリア88 (1991)</t>
  </si>
  <si>
    <t>https://blog.naver.com/PostView.naver?blogId=wggvg&amp;logNo=223890991950&amp;redirect=Dlog&amp;widgetTypeCall=true&amp;directAccess=false</t>
  </si>
  <si>
    <t>사업가</t>
  </si>
  <si>
    <t>미니멀 생활</t>
  </si>
  <si>
    <t>https://blog.naver.com/PostView.naver?blogId=pjhs8630871&amp;logNo=223890959964&amp;redirect=Dlog&amp;widgetTypeCall=true&amp;directAccess=false</t>
  </si>
  <si>
    <t>42세' 이미도, 드라마 촬영 중 보디빌더 대회 출전…"병행 쉽지 않았다" 소감</t>
  </si>
  <si>
    <t>https://blog.naver.com/PostView.naver?blogId=atraxia123&amp;logNo=223890904647&amp;redirect=Dlog&amp;widgetTypeCall=true&amp;directAccess=false</t>
  </si>
  <si>
    <t>[리뷰] KBS교향악단 X 정명훈의 브람스 III, IV</t>
  </si>
  <si>
    <t>https://blog.naver.com/PostView.naver?blogId=rabtle&amp;logNo=223890894093&amp;redirect=Dlog&amp;widgetTypeCall=true&amp;directAccess=false</t>
  </si>
  <si>
    <t>KBS한국어능력시험 D-9</t>
  </si>
  <si>
    <t>https://blog.naver.com/PostView.naver?blogId=handamvibe&amp;logNo=223890879994&amp;redirect=Dlog&amp;widgetTypeCall=true&amp;directAccess=false</t>
  </si>
  <si>
    <t>순두부</t>
  </si>
  <si>
    <t>불후의 명곡 야구스타 특집 방청 후기⚾✨(9회말 2아웃 역전송 특집)</t>
  </si>
  <si>
    <t>https://blog.naver.com/PostView.naver?blogId=whitee90&amp;logNo=223890878457&amp;redirect=Dlog&amp;widgetTypeCall=true&amp;directAccess=false</t>
  </si>
  <si>
    <t>이준석 의원, '여성 신체폭력' 발언, 결국 부메랑 되나</t>
  </si>
  <si>
    <t>https://blog.naver.com/PostView.naver?blogId=mitra1004&amp;logNo=223890823853&amp;redirect=Dlog&amp;widgetTypeCall=true&amp;directAccess=false</t>
  </si>
  <si>
    <t>🔥 박지윤 "1억 학비에 어금니 악물어!" 혼자 감당하는 엄마의 눈물나는 현실</t>
  </si>
  <si>
    <t>https://blog.naver.com/PostView.naver?blogId=owell-&amp;logNo=223890678189&amp;redirect=Dlog&amp;widgetTypeCall=true&amp;directAccess=false</t>
  </si>
  <si>
    <t>스모킹건 97회 피로회복제 놓고가오 보령 청산가리 살인사건</t>
  </si>
  <si>
    <t>https://blog.naver.com/PostView.naver?blogId=tobao0318&amp;logNo=223890802020&amp;redirect=Dlog&amp;widgetTypeCall=true&amp;directAccess=false</t>
  </si>
  <si>
    <t>lov</t>
  </si>
  <si>
    <t>TV 수신료 면제 신청</t>
  </si>
  <si>
    <t>https://blog.naver.com/PostView.naver?blogId=lovers999&amp;logNo=223890796022&amp;redirect=Dlog&amp;widgetTypeCall=true&amp;directAccess=false</t>
  </si>
  <si>
    <t>효효</t>
  </si>
  <si>
    <t>아들 없을 때 혼자 만의 시간을 보내다</t>
  </si>
  <si>
    <t>https://blog.naver.com/PostView.naver?blogId=hoyki123&amp;logNo=223890791427&amp;redirect=Dlog&amp;widgetTypeCall=true&amp;directAccess=false</t>
  </si>
  <si>
    <t>작가 조연주</t>
  </si>
  <si>
    <t>아산맛집, 온양온천 전통시장 맛집, 미영이네팥죽, 미영이네 냉이&amp;깻잎 떡볶이</t>
  </si>
  <si>
    <t>https://blog.naver.com/PostView.naver?blogId=beautypearl0410&amp;logNo=223890767849&amp;redirect=Dlog&amp;widgetTypeCall=true&amp;directAccess=false</t>
  </si>
  <si>
    <t>jhs196</t>
  </si>
  <si>
    <t>2025년 육상 여자중학 200m 이야기3(손예린, 최태연, 권하람, 이지원)</t>
  </si>
  <si>
    <t>https://blog.naver.com/PostView.naver?blogId=jhs196&amp;logNo=223890749935&amp;redirect=Dlog&amp;widgetTypeCall=true&amp;directAccess=false</t>
  </si>
  <si>
    <t>아마데우스 오리지널 리마스터링(재개봉)-신이시여. 저에게는 왜.</t>
  </si>
  <si>
    <t>https://blog.naver.com/PostView.naver?blogId=like_zinnia&amp;logNo=223890729819&amp;redirect=Dlog&amp;widgetTypeCall=true&amp;directAccess=false</t>
  </si>
  <si>
    <t>masansee</t>
  </si>
  <si>
    <t>🚀이재명 대통령 취임사 핵심 정리 &amp; 투자 포인트 탐구!🕵️‍♂️</t>
  </si>
  <si>
    <t>https://blog.naver.com/PostView.naver?blogId=masansee&amp;logNo=223890713820&amp;redirect=Dlog&amp;widgetTypeCall=true&amp;directAccess=false</t>
  </si>
  <si>
    <t>artmaan</t>
  </si>
  <si>
    <t>2025.06.05 KBS교향악단-정명훈</t>
  </si>
  <si>
    <t>https://blog.naver.com/PostView.naver?blogId=artmaan&amp;logNo=223890701518&amp;redirect=Dlog&amp;widgetTypeCall=true&amp;directAccess=false</t>
  </si>
  <si>
    <t>쉰</t>
  </si>
  <si>
    <t>chapter 1 도약하기 (3)</t>
  </si>
  <si>
    <t>https://blog.naver.com/PostView.naver?blogId=ktime828&amp;logNo=223876439561&amp;redirect=Dlog&amp;widgetTypeCall=true&amp;directAccess=false</t>
  </si>
  <si>
    <t>2025 KBS교향악단 마스터즈 시리즈 Ⅱ, 정명훈의 브람스 III &amp; IV, 2025.06.05</t>
  </si>
  <si>
    <t>https://blog.naver.com/PostView.naver?blogId=lucky_moon58&amp;logNo=223890678792&amp;redirect=Dlog&amp;widgetTypeCall=true&amp;directAccess=false</t>
  </si>
  <si>
    <t>june</t>
  </si>
  <si>
    <t>출판인으로서의 박정민</t>
  </si>
  <si>
    <t>https://blog.naver.com/PostView.naver?blogId=jun2bae&amp;logNo=223890631170&amp;redirect=Dlog&amp;widgetTypeCall=true&amp;directAccess=false</t>
  </si>
  <si>
    <t>윈도우95</t>
  </si>
  <si>
    <t>개그맨 故 양종철 출연 쇼 비디오 자키-도시의 천사들 (1988.07.03)</t>
  </si>
  <si>
    <t>https://blog.naver.com/PostView.naver?blogId=memorist87&amp;logNo=223890613839&amp;redirect=Dlog&amp;widgetTypeCall=true&amp;directAccess=false</t>
  </si>
  <si>
    <t>긍정연</t>
  </si>
  <si>
    <t>[전주 효자동 신시가지 우동 맛집] 형제면소 | 쫄깃한 자가제면과 바삭한 튀김까지 완벽한 최애 우동집</t>
  </si>
  <si>
    <t>https://blog.naver.com/PostView.naver?blogId=jungyeonee&amp;logNo=223890595230&amp;redirect=Dlog&amp;widgetTypeCall=true&amp;directAccess=false</t>
  </si>
  <si>
    <t>미스트롯 원년 멤버 총출동! '우리가 다시 한 번: 첫정' 콘서트 – 6월 12일 티켓 오픈, 7월 12일 공연</t>
  </si>
  <si>
    <t>https://blog.naver.com/PostView.naver?blogId=musicalorchestra&amp;logNo=223890115328&amp;redirect=Dlog&amp;widgetTypeCall=true&amp;directAccess=false</t>
  </si>
  <si>
    <t>바람과풍경</t>
  </si>
  <si>
    <t>교토의 숙소 '미야코 호텔 교토 하치조'</t>
  </si>
  <si>
    <t>https://blog.naver.com/PostView.naver?blogId=uneven08&amp;logNo=223890584520&amp;redirect=Dlog&amp;widgetTypeCall=true&amp;directAccess=false</t>
  </si>
  <si>
    <t>E계인 코딩냥</t>
  </si>
  <si>
    <t>2025년 kBS 드라마 공모전</t>
  </si>
  <si>
    <t>https://blog.naver.com/PostView.naver?blogId=wayhome17&amp;logNo=223890548750&amp;redirect=Dlog&amp;widgetTypeCall=true&amp;directAccess=false</t>
  </si>
  <si>
    <t>자유로운 영혼</t>
  </si>
  <si>
    <t>즐겁고 가슴찡한 여행 - 고성</t>
  </si>
  <si>
    <t>https://blog.naver.com/PostView.naver?blogId=imfreesoul&amp;logNo=223890515700&amp;redirect=Dlog&amp;widgetTypeCall=true&amp;directAccess=false</t>
  </si>
  <si>
    <t>탱고</t>
  </si>
  <si>
    <t>[공유] ■옥수수밭 물 주다 발견한 무덤, 뭔가 심상치 않다.. | KBS 20091017 방송</t>
  </si>
  <si>
    <t>https://blog.naver.com/PostView.naver?blogId=buhyungwoo&amp;logNo=223890514250&amp;redirect=Dlog&amp;widgetTypeCall=true&amp;directAccess=false</t>
  </si>
  <si>
    <t>진실을 쫓는 자들</t>
  </si>
  <si>
    <t>https://blog.naver.com/PostView.naver?blogId=flammette&amp;logNo=223890460039&amp;redirect=Dlog&amp;widgetTypeCall=true&amp;directAccess=false</t>
  </si>
  <si>
    <t>므즈</t>
  </si>
  <si>
    <t>에덴의 이동 경로, 한국→서쪽→한국</t>
  </si>
  <si>
    <t>https://blog.naver.com/PostView.naver?blogId=snowaster&amp;logNo=223890432805&amp;redirect=Dlog&amp;widgetTypeCall=true&amp;directAccess=false</t>
  </si>
  <si>
    <t>&lt;24시 헬스클럽&gt; 왓 더 유치, KBS 수목 코믹극 망조의 연장선</t>
  </si>
  <si>
    <t>https://blog.naver.com/PostView.naver?blogId=rnbist&amp;logNo=223890428631&amp;redirect=Dlog&amp;widgetTypeCall=true&amp;directAccess=false</t>
  </si>
  <si>
    <t>samcheonpo kim</t>
  </si>
  <si>
    <t>사천시 남양초등학교</t>
  </si>
  <si>
    <t>https://blog.naver.com/PostView.naver?blogId=3004people&amp;logNo=223890405112&amp;redirect=Dlog&amp;widgetTypeCall=true&amp;directAccess=false</t>
  </si>
  <si>
    <t>상상이</t>
  </si>
  <si>
    <t>광화문 맛집 룸 소고기코스요리 전문 분위기 맛 모두 좋은 모도우 광화문점</t>
  </si>
  <si>
    <t>https://blog.naver.com/PostView.naver?blogId=sangsang_0606&amp;logNo=223890405003&amp;redirect=Dlog&amp;widgetTypeCall=true&amp;directAccess=false</t>
  </si>
  <si>
    <t>com2ustory</t>
  </si>
  <si>
    <t>컴투스와 6월 트렌드 몰아보기 [미리 보는 7월 콘텐츠 캘린더, 이달의 밈 (고양이 그림자, 미사폐인, 전남친 토스트) 이달의 트렌드 말차]</t>
  </si>
  <si>
    <t>https://blog.naver.com/PostView.naver?blogId=com2ustory&amp;logNo=223889263787&amp;redirect=Dlog&amp;widgetTypeCall=true&amp;directAccess=false</t>
  </si>
  <si>
    <t>메멘토모리</t>
  </si>
  <si>
    <t>멋지다?</t>
  </si>
  <si>
    <t>https://blog.naver.com/PostView.naver?blogId=leewoo7&amp;logNo=223890352079&amp;redirect=Dlog&amp;widgetTypeCall=true&amp;directAccess=false</t>
  </si>
  <si>
    <t>딘</t>
  </si>
  <si>
    <t>KBS교향악단 x 정명훈의 브람스 3,4(250605)</t>
  </si>
  <si>
    <t>https://blog.naver.com/PostView.naver?blogId=macroeconomic&amp;logNo=223890339426&amp;redirect=Dlog&amp;widgetTypeCall=true&amp;directAccess=false</t>
  </si>
  <si>
    <t>대부도 사또횟집 사또조개구이</t>
  </si>
  <si>
    <t>https://blog.naver.com/PostView.naver?blogId=choij1234&amp;logNo=223890332357&amp;redirect=Dlog&amp;widgetTypeCall=true&amp;directAccess=false</t>
  </si>
  <si>
    <t>미스트롯1 멤버 5년만에 완전체  콘서트 ‘첫정’…송가인, 정미애등 출격</t>
  </si>
  <si>
    <t>https://blog.naver.com/PostView.naver?blogId=yunys4303&amp;logNo=223890327127&amp;redirect=Dlog&amp;widgetTypeCall=true&amp;directAccess=false</t>
  </si>
  <si>
    <t>강변연가</t>
  </si>
  <si>
    <t>明見萬理, " 달콤창고 "</t>
  </si>
  <si>
    <t>https://blog.naver.com/PostView.naver?blogId=egp3108&amp;logNo=223890304943&amp;redirect=Dlog&amp;widgetTypeCall=true&amp;directAccess=false</t>
  </si>
  <si>
    <t>운파</t>
  </si>
  <si>
    <t>내가 본 미국 미국인</t>
  </si>
  <si>
    <t>https://blog.naver.com/PostView.naver?blogId=hongsoungin&amp;logNo=223890302048&amp;redirect=Dlog&amp;widgetTypeCall=true&amp;directAccess=false</t>
  </si>
  <si>
    <t>안톤</t>
  </si>
  <si>
    <t>소방차</t>
  </si>
  <si>
    <t>https://blog.naver.com/PostView.naver?blogId=arpuer&amp;logNo=223890302060&amp;redirect=Dlog&amp;widgetTypeCall=true&amp;directAccess=false</t>
  </si>
  <si>
    <t>개혁에 속도 조절론을 꺼내는 인간이 세작이다.</t>
  </si>
  <si>
    <t>https://blog.naver.com/PostView.naver?blogId=amos_amos&amp;logNo=223890252199&amp;redirect=Dlog&amp;widgetTypeCall=true&amp;directAccess=false</t>
  </si>
  <si>
    <t>오늘보다 나은 내일</t>
  </si>
  <si>
    <t>난리 vs 난리굿 vs 굿</t>
  </si>
  <si>
    <t>https://blog.naver.com/PostView.naver?blogId=hes123123&amp;logNo=223869071837&amp;redirect=Dlog&amp;widgetTypeCall=true&amp;directAccess=false</t>
  </si>
  <si>
    <t>cretiaoh</t>
  </si>
  <si>
    <t>다시찿은 제천역(나팔박)</t>
  </si>
  <si>
    <t>https://blog.naver.com/PostView.naver?blogId=cretiaoh&amp;logNo=223890246397&amp;redirect=Dlog&amp;widgetTypeCall=true&amp;directAccess=false</t>
  </si>
  <si>
    <t>2025년 6월6일 금 요일 현충 일 KBS19번 인간극장 우도의 연인 4부 보다</t>
  </si>
  <si>
    <t>https://blog.naver.com/PostView.naver?blogId=ch921017&amp;logNo=223890246099&amp;redirect=Dlog&amp;widgetTypeCall=true&amp;directAccess=false</t>
  </si>
  <si>
    <t>아랑가(ArangGA)-1124. 부산 갈매기</t>
  </si>
  <si>
    <t>https://blog.naver.com/PostView.naver?blogId=ycy519444&amp;logNo=223890236990&amp;redirect=Dlog&amp;widgetTypeCall=true&amp;directAccess=false</t>
  </si>
  <si>
    <t>KBS교향악단 제814회 정기연주회 - 인천 관람 후기</t>
  </si>
  <si>
    <t>https://blog.naver.com/PostView.naver?blogId=haesoriya&amp;logNo=223889906904&amp;redirect=Dlog&amp;widgetTypeCall=true&amp;directAccess=false</t>
  </si>
  <si>
    <t>유동아빠</t>
  </si>
  <si>
    <t>브람스 교향곡 3번&amp;4번, KBS교향악단(정명훈 지휘)</t>
  </si>
  <si>
    <t>https://blog.naver.com/PostView.naver?blogId=jang9235&amp;logNo=223890227450&amp;redirect=Dlog&amp;widgetTypeCall=true&amp;directAccess=false</t>
  </si>
  <si>
    <t>kingdrow</t>
  </si>
  <si>
    <t>비웨사 다니엘  가사마 개인 첫 금메달</t>
  </si>
  <si>
    <t>https://blog.naver.com/PostView.naver?blogId=kingdrow&amp;logNo=223890226043&amp;redirect=Dlog&amp;widgetTypeCall=true&amp;directAccess=false</t>
  </si>
  <si>
    <t>이찬원 초대가수 'KBS 전국노래자랑 인천 동구 편' 8월 24일 방송</t>
  </si>
  <si>
    <t>https://blog.naver.com/PostView.naver?blogId=zukero7&amp;logNo=223890225388&amp;redirect=Dlog&amp;widgetTypeCall=true&amp;directAccess=false</t>
  </si>
  <si>
    <t>아랑가(ArangGA)-1123. 사랑이여</t>
  </si>
  <si>
    <t>https://blog.naver.com/PostView.naver?blogId=ycy519444&amp;logNo=223890218781&amp;redirect=Dlog&amp;widgetTypeCall=true&amp;directAccess=false</t>
  </si>
  <si>
    <t>happy</t>
  </si>
  <si>
    <t>(250605) kbs교향악단 마스터즈 시리즈 II, 정명훈의 브람스3,4</t>
  </si>
  <si>
    <t>https://blog.naver.com/PostView.naver?blogId=happy00062&amp;logNo=223890217064&amp;redirect=Dlog&amp;widgetTypeCall=true&amp;directAccess=false</t>
  </si>
  <si>
    <t>北 좌초 구축함, 물에 뜬 모습 첫 포착… 배수 작업 마쳤나</t>
  </si>
  <si>
    <t>https://blog.naver.com/PostView.naver?blogId=nsunday&amp;logNo=223890204825&amp;redirect=Dlog&amp;widgetTypeCall=true&amp;directAccess=false</t>
  </si>
  <si>
    <t>별빛처럼</t>
  </si>
  <si>
    <t>포항 내연산 문수봉 삼지봉 은폭포 소금강전망대 보경사 코스</t>
  </si>
  <si>
    <t>https://blog.naver.com/PostView.naver?blogId=elkjbc&amp;logNo=223889993125&amp;redirect=Dlog&amp;widgetTypeCall=true&amp;directAccess=false</t>
  </si>
  <si>
    <t>(837) ’바그너‘ 최후의 오페라 ’파르지팔‘</t>
  </si>
  <si>
    <t>https://blog.naver.com/PostView.naver?blogId=lllllhj1&amp;logNo=223880657327&amp;redirect=Dlog&amp;widgetTypeCall=true&amp;directAccess=false</t>
  </si>
  <si>
    <t>장애란</t>
  </si>
  <si>
    <t>충북도(도지사 김영환), 2025제2회 미디어파사드 전시행사 '그밤,빛이춤추다'-6월4~8일(일)까지 오후8시~9시20분 국가등록문화재 충북도청 본관.잔디광장</t>
  </si>
  <si>
    <t>https://blog.naver.com/PostView.naver?blogId=aeran0704&amp;logNo=223890161041&amp;redirect=Dlog&amp;widgetTypeCall=true&amp;directAccess=false</t>
  </si>
  <si>
    <t>KBS 대하드라마 삼국기 "이제부터 일본(日本)이라 부르도록 하라!"</t>
  </si>
  <si>
    <t>https://blog.naver.com/PostView.naver?blogId=sotaebo0043&amp;logNo=223890143106&amp;redirect=Dlog&amp;widgetTypeCall=true&amp;directAccess=false</t>
  </si>
  <si>
    <t>(이벤트)KBS 교향악단 * 정명훈 지휘자 +피아니스트 선우예권</t>
  </si>
  <si>
    <t>https://blog.naver.com/PostView.naver?blogId=like_zinnia&amp;logNo=223890140688&amp;redirect=Dlog&amp;widgetTypeCall=true&amp;directAccess=false</t>
  </si>
  <si>
    <t>이윤의 바이올린 독주회(리사이틀)</t>
  </si>
  <si>
    <t>https://blog.naver.com/PostView.naver?blogId=hohoart&amp;logNo=223890122353&amp;redirect=Dlog&amp;widgetTypeCall=true&amp;directAccess=false</t>
  </si>
  <si>
    <t>까까은</t>
  </si>
  <si>
    <t>5월 일상</t>
  </si>
  <si>
    <t>https://blog.naver.com/PostView.naver?blogId=5243rkdms&amp;logNo=223890115983&amp;redirect=Dlog&amp;widgetTypeCall=true&amp;directAccess=false</t>
  </si>
  <si>
    <t>2025 KBS 교향악단 마스터즈 시리즈 2-정명훈의 브람스 3, 4</t>
  </si>
  <si>
    <t>https://blog.naver.com/PostView.naver?blogId=like_zinnia&amp;logNo=223890102071&amp;redirect=Dlog&amp;widgetTypeCall=true&amp;directAccess=false</t>
  </si>
  <si>
    <t>장지민의</t>
  </si>
  <si>
    <t>5월이 끝나따…</t>
  </si>
  <si>
    <t>https://blog.naver.com/PostView.naver?blogId=jangjm0315&amp;logNo=223890101546&amp;redirect=Dlog&amp;widgetTypeCall=true&amp;directAccess=false</t>
  </si>
  <si>
    <t>"잘 먹었습니다~" 실속만 쏙! 정우의 센스 폭발…'슈돌' 김준호 삼부자 생일상 케미</t>
  </si>
  <si>
    <t>https://blog.naver.com/PostView.naver?blogId=apahghfej&amp;logNo=223890080749&amp;redirect=Dlog&amp;widgetTypeCall=true&amp;directAccess=false</t>
  </si>
  <si>
    <t>덜 자란 어른</t>
  </si>
  <si>
    <t>[정명훈 지휘] KBS 교향악단-브람스</t>
  </si>
  <si>
    <t>https://blog.naver.com/PostView.naver?blogId=window_102&amp;logNo=223890073280&amp;redirect=Dlog&amp;widgetTypeCall=true&amp;directAccess=false</t>
  </si>
  <si>
    <t>j1yun</t>
  </si>
  <si>
    <t>#15</t>
  </si>
  <si>
    <t>https://blog.naver.com/PostView.naver?blogId=julie102923&amp;logNo=223890038292&amp;redirect=Dlog&amp;widgetTypeCall=true&amp;directAccess=false</t>
  </si>
  <si>
    <t>돌핀</t>
  </si>
  <si>
    <t>파주 아이들과 가볼만한곳, 활판인쇄박물관 책 만들기 체험, 카페 보리책놀이터</t>
  </si>
  <si>
    <t>https://blog.naver.com/PostView.naver?blogId=dolphin_28&amp;logNo=223890036961&amp;redirect=Dlog&amp;widgetTypeCall=true&amp;directAccess=false</t>
  </si>
  <si>
    <t>잘될운명</t>
  </si>
  <si>
    <t>[매일글쓰기41] 연휴시작</t>
  </si>
  <si>
    <t>https://blog.naver.com/PostView.naver?blogId=onlyyj1706&amp;logNo=223890018736&amp;redirect=Dlog&amp;widgetTypeCall=true&amp;directAccess=false</t>
  </si>
  <si>
    <t>[공연] KBS교향악단 정명훈의 브람스 교향곡 3, 4번</t>
  </si>
  <si>
    <t>https://blog.naver.com/PostView.naver?blogId=hindro&amp;logNo=223890008926&amp;redirect=Dlog&amp;widgetTypeCall=true&amp;directAccess=false</t>
  </si>
  <si>
    <t>2025년 육상 여자중학 100m 이야기3(손예린, 왕서윤, 권제희, 최연아)</t>
  </si>
  <si>
    <t>https://blog.naver.com/PostView.naver?blogId=jhs196&amp;logNo=223889980437&amp;redirect=Dlog&amp;widgetTypeCall=true&amp;directAccess=false</t>
  </si>
  <si>
    <t>헤더</t>
  </si>
  <si>
    <t>tv 수신료 없애기</t>
  </si>
  <si>
    <t>https://blog.naver.com/PostView.naver?blogId=25vike&amp;logNo=223889431883&amp;redirect=Dlog&amp;widgetTypeCall=true&amp;directAccess=false</t>
  </si>
  <si>
    <t>&lt;정명훈과 비르투오지&gt;, 7월 3일 공연..바이올리니스트 클라라 주미 강과 김재영 등 아티스트와 무대</t>
  </si>
  <si>
    <t>https://blog.naver.com/PostView.naver?blogId=withinnews&amp;logNo=223889967535&amp;redirect=Dlog&amp;widgetTypeCall=true&amp;directAccess=false</t>
  </si>
  <si>
    <t>정명훈 &amp; KBS 교향악단- 브람스 교향곡 3번과 4번</t>
  </si>
  <si>
    <t>https://blog.naver.com/PostView.naver?blogId=thebluebreeze&amp;logNo=223889964763&amp;redirect=Dlog&amp;widgetTypeCall=true&amp;directAccess=false</t>
  </si>
  <si>
    <t>[2025.5.31] 인천시립교향악단 기획연주회 &lt;2025 가족 음악회&gt;</t>
  </si>
  <si>
    <t>https://blog.naver.com/PostView.naver?blogId=yskimeng&amp;logNo=223889953811&amp;redirect=Dlog&amp;widgetTypeCall=true&amp;directAccess=false</t>
  </si>
  <si>
    <t>김성현</t>
  </si>
  <si>
    <t>정명훈의 브람스</t>
  </si>
  <si>
    <t>https://blog.naver.com/PostView.naver?blogId=classicandme&amp;logNo=223889945092&amp;redirect=Dlog&amp;widgetTypeCall=true&amp;directAccess=false</t>
  </si>
  <si>
    <t>김준띵</t>
  </si>
  <si>
    <t>5월 : 얼레벌레</t>
  </si>
  <si>
    <t>https://blog.naver.com/PostView.naver?blogId=kwnsaud&amp;logNo=223889930602&amp;redirect=Dlog&amp;widgetTypeCall=true&amp;directAccess=false</t>
  </si>
  <si>
    <t>보도 옥창호 PRESS</t>
  </si>
  <si>
    <t>2028울산국제정원박람회, 홍보로 성공개최 이끈다</t>
  </si>
  <si>
    <t>https://blog.naver.com/PostView.naver?blogId=06rnftkrrl&amp;logNo=223889922198&amp;redirect=Dlog&amp;widgetTypeCall=true&amp;directAccess=false</t>
  </si>
  <si>
    <t>muse명의</t>
  </si>
  <si>
    <t>시사e조은뉴스</t>
  </si>
  <si>
    <t>예천군『제53회 KBS배 전국육상경기대회』, 5일 예천에서 개막</t>
  </si>
  <si>
    <t>https://blog.naver.com/PostView.naver?blogId=sisaegoodnewstv&amp;logNo=223889819037&amp;redirect=Dlog&amp;widgetTypeCall=true&amp;directAccess=false</t>
  </si>
  <si>
    <t>2025년 6월 5일, 배현진 의원, 김건희·해병특검 찬성. X반응.</t>
  </si>
  <si>
    <t>https://blog.naver.com/PostView.naver?blogId=shinswoong75&amp;logNo=223889798675&amp;redirect=Dlog&amp;widgetTypeCall=true&amp;directAccess=false</t>
  </si>
  <si>
    <t>허지</t>
  </si>
  <si>
    <t>5월 끝</t>
  </si>
  <si>
    <t>https://blog.naver.com/PostView.naver?blogId=hgh9415&amp;logNo=223889772654&amp;redirect=Dlog&amp;widgetTypeCall=true&amp;directAccess=false</t>
  </si>
  <si>
    <t>정부명칭.'국민주권정부'로확정"/이화영 실형확정!</t>
  </si>
  <si>
    <t>https://blog.naver.com/PostView.naver?blogId=umbrae_scriptor&amp;logNo=223889767508&amp;redirect=Dlog&amp;widgetTypeCall=true&amp;directAccess=false</t>
  </si>
  <si>
    <t>뽀개진</t>
  </si>
  <si>
    <t>[제주 한달살기 #0] 시작</t>
  </si>
  <si>
    <t>https://blog.naver.com/PostView.naver?blogId=ppakyeah&amp;logNo=223889701985&amp;redirect=Dlog&amp;widgetTypeCall=true&amp;directAccess=false</t>
  </si>
  <si>
    <t>2025 KBS 드라마 극본 공모전</t>
  </si>
  <si>
    <t>https://blog.naver.com/PostView.naver?blogId=hmknews&amp;logNo=223889678411&amp;redirect=Dlog&amp;widgetTypeCall=true&amp;directAccess=false</t>
  </si>
  <si>
    <t>동구지사협</t>
  </si>
  <si>
    <t>부산 동구종합사회복지관, KBS강태원복지재단과 외식 지원 행사 개최</t>
  </si>
  <si>
    <t>https://blog.naver.com/PostView.naver?blogId=bsdg2023&amp;logNo=223889662699&amp;redirect=Dlog&amp;widgetTypeCall=true&amp;directAccess=false</t>
  </si>
  <si>
    <t>으니</t>
  </si>
  <si>
    <t>취업준비(2)</t>
  </si>
  <si>
    <t>https://blog.naver.com/PostView.naver?blogId=tongtong-hee&amp;logNo=223889626931&amp;redirect=Dlog&amp;widgetTypeCall=true&amp;directAccess=false</t>
  </si>
  <si>
    <t>진정 국민이 주인되는 국민주권의 나라를 만들자</t>
  </si>
  <si>
    <t>https://blog.naver.com/PostView.naver?blogId=jang0355&amp;logNo=223889602818&amp;redirect=Dlog&amp;widgetTypeCall=true&amp;directAccess=false</t>
  </si>
  <si>
    <t>블루스카이러너</t>
  </si>
  <si>
    <t>추천하는 유튜브 채널</t>
  </si>
  <si>
    <t>https://blog.naver.com/PostView.naver?blogId=orfheus&amp;logNo=223889602613&amp;redirect=Dlog&amp;widgetTypeCall=true&amp;directAccess=false</t>
  </si>
  <si>
    <t>박동근</t>
  </si>
  <si>
    <t>2025.6.5 그래~ 삶도 무술도 쓰러질듯 간당간당한  순간들을 겪으며 익어가고 성숙해지는 것 같다</t>
  </si>
  <si>
    <t>https://blog.naver.com/PostView.naver?blogId=icpo777&amp;logNo=223889566738&amp;redirect=Dlog&amp;widgetTypeCall=true&amp;directAccess=false</t>
  </si>
  <si>
    <t>chang_542</t>
  </si>
  <si>
    <t>난쏘공 해석</t>
  </si>
  <si>
    <t>https://blog.naver.com/PostView.naver?blogId=chang_542&amp;logNo=223889542956&amp;redirect=Dlog&amp;widgetTypeCall=true&amp;directAccess=false</t>
  </si>
  <si>
    <t>운명</t>
  </si>
  <si>
    <t>https://blog.naver.com/PostView.naver?blogId=kipo12345&amp;logNo=223889540278&amp;redirect=Dlog&amp;widgetTypeCall=true&amp;directAccess=false</t>
  </si>
  <si>
    <t>홍소</t>
  </si>
  <si>
    <t>25년 6월 새정부 출범 이후 부동산 향방</t>
  </si>
  <si>
    <t>https://blog.naver.com/PostView.naver?blogId=hongsohongso&amp;logNo=223889523129&amp;redirect=Dlog&amp;widgetTypeCall=true&amp;directAccess=false</t>
  </si>
  <si>
    <t>[책 2025-62] 조지 오웰의 『1984』</t>
  </si>
  <si>
    <t>https://blog.naver.com/PostView.naver?blogId=osis97&amp;logNo=223889463814&amp;redirect=Dlog&amp;widgetTypeCall=true&amp;directAccess=false</t>
  </si>
  <si>
    <t>린하이</t>
  </si>
  <si>
    <t>[여의도] 더 시즌즈_박보검의 칸타빌레 방청</t>
  </si>
  <si>
    <t>https://blog.naver.com/PostView.naver?blogId=rinha_e&amp;logNo=223889454582&amp;redirect=Dlog&amp;widgetTypeCall=true&amp;directAccess=false</t>
  </si>
  <si>
    <t>려니</t>
  </si>
  <si>
    <t>2025 포항국제불빛축제 일정, 주차, 명당자리 총정리! 형산강 불꽃쇼 가이드 (+퐝스토랑 먹거리)</t>
  </si>
  <si>
    <t>https://blog.naver.com/PostView.naver?blogId=withwalkceo&amp;logNo=223889451799&amp;redirect=Dlog&amp;widgetTypeCall=true&amp;directAccess=false</t>
  </si>
  <si>
    <t>Ranny</t>
  </si>
  <si>
    <t>2025 교보 노블리에 콘서트</t>
  </si>
  <si>
    <t>https://blog.naver.com/PostView.naver?blogId=ranny88&amp;logNo=223889408247&amp;redirect=Dlog&amp;widgetTypeCall=true&amp;directAccess=false</t>
  </si>
  <si>
    <t>위쏭</t>
  </si>
  <si>
    <t>2025 상반기 지역농협(지농) 6급 일반 최종 합격 NCS / 면접 후기</t>
  </si>
  <si>
    <t>https://blog.naver.com/PostView.naver?blogId=songing4142&amp;logNo=223889390816&amp;redirect=Dlog&amp;widgetTypeCall=true&amp;directAccess=false</t>
  </si>
  <si>
    <t>zero</t>
  </si>
  <si>
    <t>2025년 5월 일상</t>
  </si>
  <si>
    <t>https://blog.naver.com/PostView.naver?blogId=zero326_&amp;logNo=223889386180&amp;redirect=Dlog&amp;widgetTypeCall=true&amp;directAccess=false</t>
  </si>
  <si>
    <t>서현 악플러 고소 법적 대응 선처 없다</t>
  </si>
  <si>
    <t>https://blog.naver.com/PostView.naver?blogId=wwioa__&amp;logNo=223889383669&amp;redirect=Dlog&amp;widgetTypeCall=true&amp;directAccess=false</t>
  </si>
  <si>
    <t>이재명대통령, 초대총리에 김민석 내정 (feat. 김민석 알아보기)</t>
  </si>
  <si>
    <t>https://blog.naver.com/PostView.naver?blogId=godloveyouforever&amp;logNo=223889381426&amp;redirect=Dlog&amp;widgetTypeCall=true&amp;directAccess=false</t>
  </si>
  <si>
    <t>애녹의서가</t>
  </si>
  <si>
    <t>왜 읽느냐고~ 심심하려고</t>
  </si>
  <si>
    <t>https://blog.naver.com/PostView.naver?blogId=anoc1020&amp;logNo=223889368397&amp;redirect=Dlog&amp;widgetTypeCall=true&amp;directAccess=false</t>
  </si>
  <si>
    <t>GYEOUL BLOG</t>
  </si>
  <si>
    <t>※ 2호선 남천역 역 정보 ※</t>
  </si>
  <si>
    <t>https://blog.naver.com/PostView.naver?blogId=jeonjiho1124&amp;logNo=223889330660&amp;redirect=Dlog&amp;widgetTypeCall=true&amp;directAccess=false</t>
  </si>
  <si>
    <t>플픽</t>
  </si>
  <si>
    <t>한화 이글스 vs  KT 위즈 – 6월 5일 KBO 승부예측</t>
  </si>
  <si>
    <t>https://blog.naver.com/PostView.naver?blogId=playbypick&amp;logNo=223889307720&amp;redirect=Dlog&amp;widgetTypeCall=true&amp;directAccess=false</t>
  </si>
  <si>
    <t>인천의힘 환경기자</t>
  </si>
  <si>
    <t>KBS 전국노래자랑 인천 동구편, 5천여 관중과 성황리 개최</t>
  </si>
  <si>
    <t>https://blog.naver.com/PostView.naver?blogId=saakk640129&amp;logNo=223889308256&amp;redirect=Dlog&amp;widgetTypeCall=true&amp;directAccess=false</t>
  </si>
  <si>
    <t>중부일보</t>
  </si>
  <si>
    <t>https://blog.naver.com/PostView.naver?blogId=joongbooilbo&amp;logNo=223889279145&amp;redirect=Dlog&amp;widgetTypeCall=true&amp;directAccess=false</t>
  </si>
  <si>
    <t>창원KBS미용학원</t>
  </si>
  <si>
    <t>김균직</t>
  </si>
  <si>
    <t>https://blog.naver.com/PostView.naver?blogId=kimkjco&amp;logNo=223889268617&amp;redirect=Dlog&amp;widgetTypeCall=true&amp;directAccess=false</t>
  </si>
  <si>
    <t>윤은혜, 노화를 늦추는 비결 공개</t>
  </si>
  <si>
    <t>https://blog.naver.com/PostView.naver?blogId=reny5&amp;logNo=223889222649&amp;redirect=Dlog&amp;widgetTypeCall=true&amp;directAccess=false</t>
  </si>
  <si>
    <t>구글, 크리에이터와 팬을 위한 축제 ‘유튜브 팬페스트 코리아 2025' 개최</t>
  </si>
  <si>
    <t>https://blog.naver.com/PostView.naver?blogId=madtimes&amp;logNo=223889222592&amp;redirect=Dlog&amp;widgetTypeCall=true&amp;directAccess=false</t>
  </si>
  <si>
    <t>TCA &amp; 30년 전 대만 컴퓨터 부품 산업; KBS 1998년 11월 방송</t>
  </si>
  <si>
    <t>https://blog.naver.com/PostView.naver?blogId=herbsod&amp;logNo=223889218136&amp;redirect=Dlog&amp;widgetTypeCall=true&amp;directAccess=false</t>
  </si>
  <si>
    <t>‘24시 헬스클럽’ 이준영X정은지, 로맨스 본격 점화…“좋아해요” 설렘 폭발</t>
  </si>
  <si>
    <t>https://blog.naver.com/PostView.naver?blogId=sungoldcokr&amp;logNo=223889217707&amp;redirect=Dlog&amp;widgetTypeCall=true&amp;directAccess=false</t>
  </si>
  <si>
    <t>seoulkdh</t>
  </si>
  <si>
    <t>『모두 거짓말을 한다』</t>
  </si>
  <si>
    <t>https://blog.naver.com/PostView.naver?blogId=seoulkdh&amp;logNo=223889178239&amp;redirect=Dlog&amp;widgetTypeCall=true&amp;directAccess=false</t>
  </si>
  <si>
    <t>이혼 김민석 총리 전부인 김자영 전 KBS 아나운서는 누구?</t>
  </si>
  <si>
    <t>https://blog.naver.com/PostView.naver?blogId=psepeter&amp;logNo=223889164478&amp;redirect=Dlog&amp;widgetTypeCall=true&amp;directAccess=false</t>
  </si>
  <si>
    <t>스트라디바리</t>
  </si>
  <si>
    <t>바이올린으로 그려낸 KoN의 음악 여정, 부산에서 펼쳐진다</t>
  </si>
  <si>
    <t>https://blog.naver.com/PostView.naver?blogId=sturums&amp;logNo=223888762219&amp;redirect=Dlog&amp;widgetTypeCall=true&amp;directAccess=false</t>
  </si>
  <si>
    <t>광백이</t>
  </si>
  <si>
    <t>6월 5일, 과거의 오늘</t>
  </si>
  <si>
    <t>https://blog.naver.com/PostView.naver?blogId=gudtjs070&amp;logNo=223847297027&amp;redirect=Dlog&amp;widgetTypeCall=true&amp;directAccess=false</t>
  </si>
  <si>
    <t>2025년 6월5일 목요일 KBS19번 인간극장 우도의 연인 3부보다</t>
  </si>
  <si>
    <t>https://blog.naver.com/PostView.naver?blogId=ch921017&amp;logNo=223889107604&amp;redirect=Dlog&amp;widgetTypeCall=true&amp;directAccess=false</t>
  </si>
  <si>
    <t>일측 자쟁이</t>
  </si>
  <si>
    <t>《본투표에서 김문수가 이겼다》 ☆찢은 이 나라의 대통령인가?</t>
  </si>
  <si>
    <t>https://blog.naver.com/PostView.naver?blogId=parkjp3380&amp;logNo=223889103710&amp;redirect=Dlog&amp;widgetTypeCall=true&amp;directAccess=false</t>
  </si>
  <si>
    <t>지구지기</t>
  </si>
  <si>
    <t>음악회(송도아트센터)</t>
  </si>
  <si>
    <t>https://blog.naver.com/PostView.naver?blogId=lbhsyh&amp;logNo=223889096807&amp;redirect=Dlog&amp;widgetTypeCall=true&amp;directAccess=false</t>
  </si>
  <si>
    <t>하정 희망교육센터</t>
  </si>
  <si>
    <t>ESG경영 탄소중립 2025 대한민국 환경공헌대상_환경이 살아야 경제가 산다.서울 목동[하정 희망교육센터]평생교육원 250604</t>
  </si>
  <si>
    <t>https://blog.naver.com/PostView.naver?blogId=heemanggangsa7&amp;logNo=223889069250&amp;redirect=Dlog&amp;widgetTypeCall=true&amp;directAccess=false</t>
  </si>
  <si>
    <t>목포는 항구다(이난영)</t>
  </si>
  <si>
    <t>https://blog.naver.com/PostView.naver?blogId=cretiaoh&amp;logNo=223889056639&amp;redirect=Dlog&amp;widgetTypeCall=true&amp;directAccess=false</t>
  </si>
  <si>
    <t>체코 원전, 결국 계약을 했다는데</t>
  </si>
  <si>
    <t>https://blog.naver.com/PostView.naver?blogId=twobridge&amp;logNo=223888949569&amp;redirect=Dlog&amp;widgetTypeCall=true&amp;directAccess=false</t>
  </si>
  <si>
    <t>장스라</t>
  </si>
  <si>
    <t>백수였던 일기</t>
  </si>
  <si>
    <t>https://blog.naver.com/PostView.naver?blogId=jsa347049&amp;logNo=223888948178&amp;redirect=Dlog&amp;widgetTypeCall=true&amp;directAccess=false</t>
  </si>
  <si>
    <t>은보</t>
  </si>
  <si>
    <t>6.3.(휴일)</t>
  </si>
  <si>
    <t>https://blog.naver.com/PostView.naver?blogId=dala12&amp;logNo=223888931761&amp;redirect=Dlog&amp;widgetTypeCall=true&amp;directAccess=false</t>
  </si>
  <si>
    <t>소장</t>
  </si>
  <si>
    <t>2025년 6월 5일 목요일</t>
  </si>
  <si>
    <t>https://blog.naver.com/PostView.naver?blogId=nurisonh&amp;logNo=223883844104&amp;redirect=Dlog&amp;widgetTypeCall=true&amp;directAccess=false</t>
  </si>
  <si>
    <t>클래식이나 째즈, 국악 등을 권(勸)한다.</t>
  </si>
  <si>
    <t>https://blog.naver.com/PostView.naver?blogId=cheonghwon&amp;logNo=223888902473&amp;redirect=Dlog&amp;widgetTypeCall=true&amp;directAccess=false</t>
  </si>
  <si>
    <t>『인물 따라 공간 따라 역사 문화 산책」 살면서 한 번은 가보고 싶은 역사의 현장!!!</t>
  </si>
  <si>
    <t>https://blog.naver.com/PostView.naver?blogId=reekey22&amp;logNo=223888887769&amp;redirect=Dlog&amp;widgetTypeCall=true&amp;directAccess=false</t>
  </si>
  <si>
    <t>김숙, 구본승과의 관계 직접 언급…“좋은 오빠이자 친구 같은 사이”</t>
  </si>
  <si>
    <t>https://blog.naver.com/PostView.naver?blogId=news1star&amp;logNo=223888851732&amp;redirect=Dlog&amp;widgetTypeCall=true&amp;directAccess=false</t>
  </si>
  <si>
    <t>꾸미낭자</t>
  </si>
  <si>
    <t>강원도 여름 갈만한곳 / 고성 화진포 해수욕장 이승만 이기붕 김일성 별장 역사 여행 입장료 주차</t>
  </si>
  <si>
    <t>https://blog.naver.com/PostView.naver?blogId=travelnotebook&amp;logNo=223888837160&amp;redirect=Dlog&amp;widgetTypeCall=true&amp;directAccess=false</t>
  </si>
  <si>
    <t>물통n창출맨</t>
  </si>
  <si>
    <t>[굴치] 온난화로 70년대 없어짐으로 생각함(속초)</t>
  </si>
  <si>
    <t>https://blog.naver.com/PostView.naver?blogId=yasinn001&amp;logNo=223888807980&amp;redirect=Dlog&amp;widgetTypeCall=true&amp;directAccess=false</t>
  </si>
  <si>
    <t>박유진</t>
  </si>
  <si>
    <t>6월 모의고사 복기</t>
  </si>
  <si>
    <t>https://blog.naver.com/PostView.naver?blogId=parkyujin331954&amp;logNo=223888788952&amp;redirect=Dlog&amp;widgetTypeCall=true&amp;directAccess=false</t>
  </si>
  <si>
    <t>뽀랭</t>
  </si>
  <si>
    <t>🎤 KBS 개그콘서트 방청 후기! | 처음이라 더 재밌었던😆</t>
  </si>
  <si>
    <t>https://blog.naver.com/PostView.naver?blogId=boribo170&amp;logNo=223888787372&amp;redirect=Dlog&amp;widgetTypeCall=true&amp;directAccess=false</t>
  </si>
  <si>
    <t>연세대 성악과를 나오고 KBS 신인연기상까지 받았으나, 3번이나 이혼하게 된 이아현</t>
  </si>
  <si>
    <t>https://blog.naver.com/PostView.naver?blogId=wiznethq&amp;logNo=223888774442&amp;redirect=Dlog&amp;widgetTypeCall=true&amp;directAccess=false</t>
  </si>
  <si>
    <t>김정아 성우에 대한 생각</t>
  </si>
  <si>
    <t>https://blog.naver.com/PostView.naver?blogId=sotaebo0043&amp;logNo=223888773205&amp;redirect=Dlog&amp;widgetTypeCall=true&amp;directAccess=false</t>
  </si>
  <si>
    <t>Lucas 루카스</t>
  </si>
  <si>
    <t>보수의 사전투표 기피 전략은 '자해 행위'다</t>
  </si>
  <si>
    <t>https://blog.naver.com/PostView.naver?blogId=libertymagna&amp;logNo=223888769540&amp;redirect=Dlog&amp;widgetTypeCall=true&amp;directAccess=false</t>
  </si>
  <si>
    <t>아주공감 주식회사</t>
  </si>
  <si>
    <t>KBS2 대표적 예능프로그램 "1박2일 박보검VS이상이"편 베이스캠프로 여수 청심해양수련원&amp;리조트에 오다.</t>
  </si>
  <si>
    <t>https://blog.naver.com/PostView.naver?blogId=ajugonggam&amp;logNo=223888687684&amp;redirect=Dlog&amp;widgetTypeCall=true&amp;directAccess=false</t>
  </si>
  <si>
    <t>이지정원</t>
  </si>
  <si>
    <t>파킨슨병 환자 수가 15만 명을 넘어섰다는 뉴스를 보셨나요?</t>
  </si>
  <si>
    <t>https://blog.naver.com/PostView.naver?blogId=ajumma10003&amp;logNo=223888674428&amp;redirect=Dlog&amp;widgetTypeCall=true&amp;directAccess=false</t>
  </si>
  <si>
    <t>(뉴스 스크랩) 이재명 대통령, 취임 후 첫 행정명령으로 ‘비상경제점검 TF 구성’ 지시 - KBS</t>
  </si>
  <si>
    <t>https://blog.naver.com/PostView.naver?blogId=urban_ops&amp;logNo=223888658144&amp;redirect=Dlog&amp;widgetTypeCall=true&amp;directAccess=false</t>
  </si>
  <si>
    <t>짱</t>
  </si>
  <si>
    <t>📷 2025 제33회 KOBA 후기 + 코엑스 별마당 도서관📚</t>
  </si>
  <si>
    <t>https://blog.naver.com/PostView.naver?blogId=jm2000y_&amp;logNo=223888655696&amp;redirect=Dlog&amp;widgetTypeCall=true&amp;directAccess=false</t>
  </si>
  <si>
    <t>은니</t>
  </si>
  <si>
    <t>건대맛집추천 해룡마라룽샤</t>
  </si>
  <si>
    <t>https://blog.naver.com/PostView.naver?blogId=silver_jins&amp;logNo=223888627313&amp;redirect=Dlog&amp;widgetTypeCall=true&amp;directAccess=false</t>
  </si>
  <si>
    <t>보령시, ‘KBS 전국노래자랑’ 10일 개최</t>
  </si>
  <si>
    <t>https://blog.naver.com/PostView.naver?blogId=binggresmile&amp;logNo=223888616935&amp;redirect=Dlog&amp;widgetTypeCall=true&amp;directAccess=false</t>
  </si>
  <si>
    <t>김인철</t>
  </si>
  <si>
    <t>상속과 종중</t>
  </si>
  <si>
    <t>https://blog.naver.com/PostView.naver?blogId=aickim2009&amp;logNo=223888570194&amp;redirect=Dlog&amp;widgetTypeCall=true&amp;directAccess=false</t>
  </si>
  <si>
    <t>21대 대선 결과 : 또, 본 투표에서 이겼지만 사전투표에서 졌다</t>
  </si>
  <si>
    <t>https://blog.naver.com/PostView.naver?blogId=hyreinvestlab&amp;logNo=223888564904&amp;redirect=Dlog&amp;widgetTypeCall=true&amp;directAccess=false</t>
  </si>
  <si>
    <t>kbsnkr</t>
  </si>
  <si>
    <t>장성군, 지역 농산물로 만든 고급 한식 뷔페 ‘장성한상’ 개장</t>
  </si>
  <si>
    <t>https://blog.naver.com/PostView.naver?blogId=kbsn_kr&amp;logNo=223888562330&amp;redirect=Dlog&amp;widgetTypeCall=true&amp;directAccess=false</t>
  </si>
  <si>
    <t>[공유] 김민석 국민총리 후보 생애, 큰형이 월간 말의 기자를 지낸 촛불행동 상임대표 김민웅 목사이다. 윤석열 정부 비상계엄 때에는 형제가 나란히 체포 대상 명단에 오르기도 했다.</t>
  </si>
  <si>
    <t>https://blog.naver.com/PostView.naver?blogId=digitalan&amp;logNo=223888506976&amp;redirect=Dlog&amp;widgetTypeCall=true&amp;directAccess=false</t>
  </si>
  <si>
    <t>김민석 의원 이혼 전 부인 김자영 아나운서 프로필 및 재혼 현 부인은 누구?</t>
  </si>
  <si>
    <t>https://blog.naver.com/PostView.naver?blogId=invest10000&amp;logNo=223888502687&amp;redirect=Dlog&amp;widgetTypeCall=true&amp;directAccess=false</t>
  </si>
  <si>
    <t>현이</t>
  </si>
  <si>
    <t>6月4日 요즘의 나</t>
  </si>
  <si>
    <t>https://blog.naver.com/PostView.naver?blogId=hyeonsplace&amp;logNo=223888417614&amp;redirect=Dlog&amp;widgetTypeCall=true&amp;directAccess=false</t>
  </si>
  <si>
    <t>[2025.5.29] 2025 인천예술고등학교 음악과 제28회 정기연주회</t>
  </si>
  <si>
    <t>https://blog.naver.com/PostView.naver?blogId=yskimeng&amp;logNo=223888402770&amp;redirect=Dlog&amp;widgetTypeCall=true&amp;directAccess=false</t>
  </si>
  <si>
    <t>영롱</t>
  </si>
  <si>
    <t>대한민국 21대 대통령 이재명 당선 축하합니다</t>
  </si>
  <si>
    <t>https://blog.naver.com/PostView.naver?blogId=atdawnat&amp;logNo=223888356502&amp;redirect=Dlog&amp;widgetTypeCall=true&amp;directAccess=false</t>
  </si>
  <si>
    <t>상상하라 지학사</t>
  </si>
  <si>
    <t>13년 만에 다시 학교로 돌아왔습니다 🌱 | 초등교사 인터뷰 6월호</t>
  </si>
  <si>
    <t>https://blog.naver.com/PostView.naver?blogId=jihaksa1965&amp;logNo=223888311986&amp;redirect=Dlog&amp;widgetTypeCall=true&amp;directAccess=false</t>
  </si>
  <si>
    <t>하다와준</t>
  </si>
  <si>
    <t>춘천 삼겹살 단체회식은 여기 남춘천역 근처 맛집 춘천꽃대패 한우한돈 대패전문점</t>
  </si>
  <si>
    <t>https://blog.naver.com/PostView.naver?blogId=hadasay&amp;logNo=223888339104&amp;redirect=Dlog&amp;widgetTypeCall=true&amp;directAccess=false</t>
  </si>
  <si>
    <t>초등학교 6학년생 보건 교사에게 성기노출 '연고 발라주세요'</t>
  </si>
  <si>
    <t>https://blog.naver.com/PostView.naver?blogId=psepeter&amp;logNo=223888317849&amp;redirect=Dlog&amp;widgetTypeCall=true&amp;directAccess=false</t>
  </si>
  <si>
    <t>이재명의 첫 인사, 6명의 얼굴…국무총리,국가정보원장,비서실장,안보실장,경호처장,대변인</t>
  </si>
  <si>
    <t>https://blog.naver.com/PostView.naver?blogId=yunys4303&amp;logNo=223888306335&amp;redirect=Dlog&amp;widgetTypeCall=true&amp;directAccess=false</t>
  </si>
  <si>
    <t>【속보】민주당, "'내란 특검법', '김건희 특검법', '채상병 특검법' 등 3개 특검법안 5일 본회의 의결하나</t>
  </si>
  <si>
    <t>https://blog.naver.com/PostView.naver?blogId=esejong1&amp;logNo=223888302666&amp;redirect=Dlog&amp;widgetTypeCall=true&amp;directAccess=false</t>
  </si>
  <si>
    <t>6모 필적 확인 문구, 삶이란 가꿀수록 아름다운 것이라고, 용혜원, 삶이 무엇이냐고 묻는 너에게</t>
  </si>
  <si>
    <t>https://blog.naver.com/PostView.naver?blogId=m7422870&amp;logNo=223888273445&amp;redirect=Dlog&amp;widgetTypeCall=true&amp;directAccess=false</t>
  </si>
  <si>
    <t>박광재의 오묘한 표정, ‘오만추2’ 설렘 가득한 인연을 예고하다!</t>
  </si>
  <si>
    <t>https://blog.naver.com/PostView.naver?blogId=pkh0115000&amp;logNo=223888003329&amp;redirect=Dlog&amp;widgetTypeCall=true&amp;directAccess=false</t>
  </si>
  <si>
    <t>이수지 사주. 묘월의 신금</t>
  </si>
  <si>
    <t>https://blog.naver.com/PostView.naver?blogId=clickhms&amp;logNo=223888246014&amp;redirect=Dlog&amp;widgetTypeCall=true&amp;directAccess=false</t>
  </si>
  <si>
    <t>KBS 라디오매거진 1994.7. 요즘 아이들</t>
  </si>
  <si>
    <t>https://blog.naver.com/PostView.naver?blogId=noritv&amp;logNo=223888216739&amp;redirect=Dlog&amp;widgetTypeCall=true&amp;directAccess=false</t>
  </si>
  <si>
    <t>경기교사노조 "교사 대상 초등생 성범죄 형사처벌해야"</t>
  </si>
  <si>
    <t>https://blog.naver.com/PostView.naver?blogId=theedu3000&amp;logNo=223888213396&amp;redirect=Dlog&amp;widgetTypeCall=true&amp;directAccess=false</t>
  </si>
  <si>
    <t>소프라노 추주연 사랑과 그리움 그리고 꿈.테너 상지국 독창회</t>
  </si>
  <si>
    <t>https://blog.naver.com/PostView.naver?blogId=differance-dolly&amp;logNo=223887751053&amp;redirect=Dlog&amp;widgetTypeCall=true&amp;directAccess=false</t>
  </si>
  <si>
    <t>정답소녀 배우 김수정 이재명 당선 후 BGM 파란나라 선정 나이 프로필</t>
  </si>
  <si>
    <t>https://blog.naver.com/PostView.naver?blogId=psepeter&amp;logNo=223888198003&amp;redirect=Dlog&amp;widgetTypeCall=true&amp;directAccess=false</t>
  </si>
  <si>
    <t>뮤지컬 배우 이지수, 7월 7일 서울숲 씨어터서 ‘2025 나우 테이크 잇 이지’ 콘서트 개최</t>
  </si>
  <si>
    <t>https://blog.naver.com/PostView.naver?blogId=news1star&amp;logNo=223888194861&amp;redirect=Dlog&amp;widgetTypeCall=true&amp;directAccess=false</t>
  </si>
  <si>
    <t>KBS 라디오매거진 1994.6. 요즘 아이들</t>
  </si>
  <si>
    <t>https://blog.naver.com/PostView.naver?blogId=noritv&amp;logNo=223888187857&amp;redirect=Dlog&amp;widgetTypeCall=true&amp;directAccess=false</t>
  </si>
  <si>
    <t>스모킹건 96회 세모자 성폭행 조작사건 충격의 기자회견 배후의 무속인 이모할머니 다시보기 재방송</t>
  </si>
  <si>
    <t>https://blog.naver.com/PostView.naver?blogId=tobao0318&amp;logNo=223888185481&amp;redirect=Dlog&amp;widgetTypeCall=true&amp;directAccess=false</t>
  </si>
  <si>
    <t>지예은·곽튜브, 세계의 K-피플 만난다</t>
  </si>
  <si>
    <t>https://blog.naver.com/PostView.naver?blogId=lsb3002&amp;logNo=223888182902&amp;redirect=Dlog&amp;widgetTypeCall=true&amp;directAccess=false</t>
  </si>
  <si>
    <t>[KBS 찾아가는 음악회로 시작···장민호·안성훈 출연] 부여서동연꽃축제 시작 알린다-로컬투데이</t>
  </si>
  <si>
    <t>https://blog.naver.com/PostView.naver?blogId=localtoday-24&amp;logNo=223887559583&amp;redirect=Dlog&amp;widgetTypeCall=true&amp;directAccess=false</t>
  </si>
  <si>
    <t>present</t>
  </si>
  <si>
    <t>신축아파트 tv 없는 집: KBS 수신료 2500원 면제 과정</t>
  </si>
  <si>
    <t>https://blog.naver.com/PostView.naver?blogId=mystoryy&amp;logNo=223888126788&amp;redirect=Dlog&amp;widgetTypeCall=true&amp;directAccess=false</t>
  </si>
  <si>
    <t>부산국악작곡가협회와 함께하는 &lt;바람이 머무는 시간&gt;</t>
  </si>
  <si>
    <t>https://blog.naver.com/PostView.naver?blogId=jekwon98&amp;logNo=223888123238&amp;redirect=Dlog&amp;widgetTypeCall=true&amp;directAccess=false</t>
  </si>
  <si>
    <t>그저 KBS이던 내가, 이제는 ARTIST ?</t>
  </si>
  <si>
    <t>https://blog.naver.com/PostView.naver?blogId=ooooey&amp;logNo=223888058050&amp;redirect=Dlog&amp;widgetTypeCall=true&amp;directAccess=false</t>
  </si>
  <si>
    <t>늘 푸른나무</t>
  </si>
  <si>
    <t>[newstomorrow] ‘KBS 전국노래자랑’, 6월 10일 신비의 바닷길 무창포해수욕장에서 개최!</t>
  </si>
  <si>
    <t>https://blog.naver.com/PostView.naver?blogId=1965pp&amp;logNo=223888029870&amp;redirect=Dlog&amp;widgetTypeCall=true&amp;directAccess=false</t>
  </si>
  <si>
    <t>인생드라마 추천 미지의 서울 이강 작가 정보</t>
  </si>
  <si>
    <t>https://blog.naver.com/PostView.naver?blogId=somedayview&amp;logNo=223888028139&amp;redirect=Dlog&amp;widgetTypeCall=true&amp;directAccess=false</t>
  </si>
  <si>
    <t>[유퀴즈] 미국 KSU 대학 교수가 된 쥬뗌므 가수 ‘해이‘ 프로필 결혼 남편 조규찬 인스타 주소 미국 근황</t>
  </si>
  <si>
    <t>https://blog.naver.com/PostView.naver?blogId=universal_studeo&amp;logNo=223888004237&amp;redirect=Dlog&amp;widgetTypeCall=true&amp;directAccess=false</t>
  </si>
  <si>
    <t>최여사</t>
  </si>
  <si>
    <t>2025 Classic Park Concert 클래식 파크 콘서트 6월 7일 부산시민공원 무료공연안내</t>
  </si>
  <si>
    <t>https://blog.naver.com/PostView.naver?blogId=cyscys80&amp;logNo=223886547041&amp;redirect=Dlog&amp;widgetTypeCall=true&amp;directAccess=false</t>
  </si>
  <si>
    <t>5부 인사라는 표현은 1988년 부터다.</t>
  </si>
  <si>
    <t>https://blog.naver.com/PostView.naver?blogId=aourin&amp;logNo=223887975254&amp;redirect=Dlog&amp;widgetTypeCall=true&amp;directAccess=false</t>
  </si>
  <si>
    <t>[이재명 대통령 부동산 정책] - 2025-06-04</t>
  </si>
  <si>
    <t>https://blog.naver.com/PostView.naver?blogId=crownjjun&amp;logNo=223887970209&amp;redirect=Dlog&amp;widgetTypeCall=true&amp;directAccess=false</t>
  </si>
  <si>
    <t>별나라여왕</t>
  </si>
  <si>
    <t>5월 마지막 주</t>
  </si>
  <si>
    <t>https://blog.naver.com/PostView.naver?blogId=dimanco&amp;logNo=223887917469&amp;redirect=Dlog&amp;widgetTypeCall=true&amp;directAccess=false</t>
  </si>
  <si>
    <t>블룸북</t>
  </si>
  <si>
    <t>신병주 교수의 &lt;인물 따라 공간 따라 역사 문화 산책&gt;</t>
  </si>
  <si>
    <t>https://blog.naver.com/PostView.naver?blogId=bloombook&amp;logNo=223887482780&amp;redirect=Dlog&amp;widgetTypeCall=true&amp;directAccess=false</t>
  </si>
  <si>
    <t>★ 울릉도 트위스트///이시스터즈</t>
  </si>
  <si>
    <t>https://blog.naver.com/PostView.naver?blogId=mbcswallow&amp;logNo=223887249059&amp;redirect=Dlog&amp;widgetTypeCall=true&amp;directAccess=false</t>
  </si>
  <si>
    <t>씨엔씨영상뉴스</t>
  </si>
  <si>
    <t>보령시, ‘KBS 전국노래자랑’ 6월 10일 무창포해수욕장에서 개최</t>
  </si>
  <si>
    <t>https://blog.naver.com/PostView.naver?blogId=cncinews&amp;logNo=223887932548&amp;redirect=Dlog&amp;widgetTypeCall=true&amp;directAccess=false</t>
  </si>
  <si>
    <t>[펌] 리박스쿨 장학금과 KBS</t>
  </si>
  <si>
    <t>https://blog.naver.com/PostView.naver?blogId=sorrjj&amp;logNo=223887922996&amp;redirect=Dlog&amp;widgetTypeCall=true&amp;directAccess=false</t>
  </si>
  <si>
    <t>`열일 행보 중인 대상` 이찬원, 6월 광고모델 브랜드평판 30위</t>
  </si>
  <si>
    <t>https://blog.naver.com/PostView.naver?blogId=zukero7&amp;logNo=223887914630&amp;redirect=Dlog&amp;widgetTypeCall=true&amp;directAccess=false</t>
  </si>
  <si>
    <t>2025-089 / 밤베르크 심포니 - 야쿠프 흐루샤&amp;김봄소리</t>
  </si>
  <si>
    <t>https://blog.naver.com/PostView.naver?blogId=bommae&amp;logNo=223887903239&amp;redirect=Dlog&amp;widgetTypeCall=true&amp;directAccess=false</t>
  </si>
  <si>
    <t>혜숙이네</t>
  </si>
  <si>
    <t>제21대 대통령 선거 소중한 한표</t>
  </si>
  <si>
    <t>https://blog.naver.com/PostView.naver?blogId=rla7490&amp;logNo=223887883462&amp;redirect=Dlog&amp;widgetTypeCall=true&amp;directAccess=false</t>
  </si>
  <si>
    <t>GeoEngineer</t>
  </si>
  <si>
    <t>2025.06.04  주요뉴스 스크랩</t>
  </si>
  <si>
    <t>https://blog.naver.com/PostView.naver?blogId=gisandpython&amp;logNo=223887874355&amp;redirect=Dlog&amp;widgetTypeCall=true&amp;directAccess=false</t>
  </si>
  <si>
    <t>해달와</t>
  </si>
  <si>
    <t>21대 대선과 NWOG의 장난</t>
  </si>
  <si>
    <t>https://blog.naver.com/PostView.naver?blogId=pal203&amp;logNo=223887863250&amp;redirect=Dlog&amp;widgetTypeCall=true&amp;directAccess=false</t>
  </si>
  <si>
    <t>썸퍼</t>
  </si>
  <si>
    <t>제 21대 대선, 2025년 조기대선</t>
  </si>
  <si>
    <t>https://blog.naver.com/PostView.naver?blogId=lhs10728&amp;logNo=223887815066&amp;redirect=Dlog&amp;widgetTypeCall=true&amp;directAccess=false</t>
  </si>
  <si>
    <t>아트인뱅크 문화포털</t>
  </si>
  <si>
    <t>이지은 귀국 바이올린 독주회</t>
  </si>
  <si>
    <t>https://blog.naver.com/PostView.naver?blogId=artinbank-news&amp;logNo=223887798423&amp;redirect=Dlog&amp;widgetTypeCall=true&amp;directAccess=false</t>
  </si>
  <si>
    <t>유쑥차</t>
  </si>
  <si>
    <t>이촌역 데이트 즐기기 🪇 | 박물관 문화향연, 마나 모아나, 용산가족공원</t>
  </si>
  <si>
    <t>https://blog.naver.com/PostView.naver?blogId=dbtnrwls7&amp;logNo=223887788394&amp;redirect=Dlog&amp;widgetTypeCall=true&amp;directAccess=false</t>
  </si>
  <si>
    <t>푸우</t>
  </si>
  <si>
    <t>김민석 국무총리 내정자 프로필</t>
  </si>
  <si>
    <t>https://blog.naver.com/PostView.naver?blogId=midary1009&amp;logNo=223887778558&amp;redirect=Dlog&amp;widgetTypeCall=true&amp;directAccess=false</t>
  </si>
  <si>
    <t>ID</t>
  </si>
  <si>
    <t>판타스틱 귀족</t>
  </si>
  <si>
    <t>https://blog.naver.com/PostView.naver?blogId=freezefry&amp;logNo=223887737426&amp;redirect=Dlog&amp;widgetTypeCall=true&amp;directAccess=false</t>
  </si>
  <si>
    <t>GoIng고잉</t>
  </si>
  <si>
    <t>양치기 소년</t>
  </si>
  <si>
    <t>https://blog.naver.com/PostView.naver?blogId=kkungala&amp;logNo=223896304667&amp;redirect=Dlog&amp;widgetTypeCall=true&amp;directAccess=false</t>
  </si>
  <si>
    <t>cosmos</t>
  </si>
  <si>
    <t>아이가 좋아하는 어른으로 산다는 것</t>
  </si>
  <si>
    <t>https://blog.naver.com/PostView.naver?blogId=cosmos795959&amp;logNo=223896280438&amp;redirect=Dlog&amp;widgetTypeCall=true&amp;directAccess=false</t>
  </si>
  <si>
    <t>옥택연·서현, 문화재 훼손 병산서원 사과 변명 여지 없다</t>
  </si>
  <si>
    <t>https://blog.naver.com/PostView.naver?blogId=odmwd2&amp;logNo=223896273954&amp;redirect=Dlog&amp;widgetTypeCall=true&amp;directAccess=false</t>
  </si>
  <si>
    <t>23.5살</t>
  </si>
  <si>
    <t>https://blog.naver.com/PostView.naver?blogId=jjeoniiii&amp;logNo=223896255607&amp;redirect=Dlog&amp;widgetTypeCall=true&amp;directAccess=false</t>
  </si>
  <si>
    <t>천상여자</t>
  </si>
  <si>
    <t>25.06.11.수.강서구 놀토인증(허준박물관,허준공원, 허가바위,양천향교,궁산터널, 겸재정선미술관,2.8공원)후 행주산성 조성자국수&amp;행주산성카페153&amp;행주산성연잎밥체험</t>
  </si>
  <si>
    <t>https://blog.naver.com/PostView.naver?blogId=hsminja&amp;logNo=223896241552&amp;redirect=Dlog&amp;widgetTypeCall=true&amp;directAccess=false</t>
  </si>
  <si>
    <t>찬찬여행</t>
  </si>
  <si>
    <t>[ 루마니아의 아름다운 대자연]</t>
  </si>
  <si>
    <t>https://blog.naver.com/PostView.naver?blogId=kimyc3189&amp;logNo=223896235361&amp;redirect=Dlog&amp;widgetTypeCall=true&amp;directAccess=false</t>
  </si>
  <si>
    <t>아름드리</t>
  </si>
  <si>
    <t>미뤘던 겨울 ❄</t>
  </si>
  <si>
    <t>https://blog.naver.com/PostView.naver?blogId=me_quieres&amp;logNo=223896234251&amp;redirect=Dlog&amp;widgetTypeCall=true&amp;directAccess=false</t>
  </si>
  <si>
    <t>카나짱</t>
  </si>
  <si>
    <t>[뻐꾸기 커플 2기] 키 비주얼 &amp; 메인 PV</t>
  </si>
  <si>
    <t>https://blog.naver.com/PostView.naver?blogId=shos0730&amp;logNo=223896220814&amp;redirect=Dlog&amp;widgetTypeCall=true&amp;directAccess=false</t>
  </si>
  <si>
    <t>미달</t>
  </si>
  <si>
    <t>[2025] 6월 11일</t>
  </si>
  <si>
    <t>https://blog.naver.com/PostView.naver?blogId=midalinlatesummer&amp;logNo=223896219861&amp;redirect=Dlog&amp;widgetTypeCall=true&amp;directAccess=false</t>
  </si>
  <si>
    <t>흙과나무</t>
  </si>
  <si>
    <t>KBS 라디오 남양주 흙과나무</t>
  </si>
  <si>
    <t>https://blog.naver.com/PostView.naver?blogId=jjc107710&amp;logNo=223896183637&amp;redirect=Dlog&amp;widgetTypeCall=true&amp;directAccess=false</t>
  </si>
  <si>
    <t>Quan</t>
  </si>
  <si>
    <t>달맞이고개 커피 그리고</t>
  </si>
  <si>
    <t>https://blog.naver.com/PostView.naver?blogId=genghisquan&amp;logNo=223896178115&amp;redirect=Dlog&amp;widgetTypeCall=true&amp;directAccess=false</t>
  </si>
  <si>
    <t>두부</t>
  </si>
  <si>
    <t>한국방송 리서치 KBS 국민패널 참여 후기(2024년 참여)</t>
  </si>
  <si>
    <t>https://blog.naver.com/PostView.naver?blogId=nawa_with_&amp;logNo=223896164270&amp;redirect=Dlog&amp;widgetTypeCall=true&amp;directAccess=false</t>
  </si>
  <si>
    <t>2025년 6월 11일, 대통령실 대변인 이재명 대통령, 체코 총리와 약 20분간 첫 통화 브리핑. X 반응.</t>
  </si>
  <si>
    <t>https://blog.naver.com/PostView.naver?blogId=shinswoong75&amp;logNo=223896121504&amp;redirect=Dlog&amp;widgetTypeCall=true&amp;directAccess=false</t>
  </si>
  <si>
    <t>개척교회 목사된 개그맨 김인석, 그는 누구? (프로필)</t>
  </si>
  <si>
    <t>https://blog.naver.com/PostView.naver?blogId=rozz0697&amp;logNo=223896118507&amp;redirect=Dlog&amp;widgetTypeCall=true&amp;directAccess=false</t>
  </si>
  <si>
    <t>KBS 수목드라마 남주의 첫날밤을 가져버렸다 등장인물관계도 총정리</t>
  </si>
  <si>
    <t>https://blog.naver.com/PostView.naver?blogId=shushu9988&amp;logNo=223895892701&amp;redirect=Dlog&amp;widgetTypeCall=true&amp;directAccess=false</t>
  </si>
  <si>
    <t>5톤 탄약 지고 적진을 뚫은 한국전쟁 영웅은 누구?</t>
  </si>
  <si>
    <t>https://blog.naver.com/PostView.naver?blogId=mondaytimes&amp;logNo=223896084187&amp;redirect=Dlog&amp;widgetTypeCall=true&amp;directAccess=false</t>
  </si>
  <si>
    <t>이기자</t>
  </si>
  <si>
    <t>익산시청 김태희 선수, 해머던지기 새 역사 썼다</t>
  </si>
  <si>
    <t>https://blog.naver.com/PostView.naver?blogId=event00&amp;logNo=223896071040&amp;redirect=Dlog&amp;widgetTypeCall=true&amp;directAccess=false</t>
  </si>
  <si>
    <t>minlog</t>
  </si>
  <si>
    <t>정신없는 5월 포항여행</t>
  </si>
  <si>
    <t>https://blog.naver.com/PostView.naver?blogId=ami990203&amp;logNo=223896069684&amp;redirect=Dlog&amp;widgetTypeCall=true&amp;directAccess=false</t>
  </si>
  <si>
    <t>박영주</t>
  </si>
  <si>
    <t>김재진</t>
  </si>
  <si>
    <t>2025.6.11 - 중계기술은 발전한다</t>
  </si>
  <si>
    <t>https://blog.naver.com/PostView.naver?blogId=kimzaezin&amp;logNo=223896046358&amp;redirect=Dlog&amp;widgetTypeCall=true&amp;directAccess=false</t>
  </si>
  <si>
    <t>나니고래</t>
  </si>
  <si>
    <t>[수영 일기] 25.05 4-5주차 : 돌고래 거북이랑 수영 , 🏃🏻‍♀️X3</t>
  </si>
  <si>
    <t>https://blog.naver.com/PostView.naver?blogId=ne_chloe&amp;logNo=223896018019&amp;redirect=Dlog&amp;widgetTypeCall=true&amp;directAccess=false</t>
  </si>
  <si>
    <t>이상근 의원, 충남형 도시리브투게더 실효성 문제 제기</t>
  </si>
  <si>
    <t>https://blog.naver.com/PostView.naver?blogId=asandailynew&amp;logNo=223896007038&amp;redirect=Dlog&amp;widgetTypeCall=true&amp;directAccess=false</t>
  </si>
  <si>
    <t>천사소장 체스이수자</t>
  </si>
  <si>
    <t>kbs무엇이든지물어보세요</t>
  </si>
  <si>
    <t>https://blog.naver.com/PostView.naver?blogId=angel_center&amp;logNo=223895949850&amp;redirect=Dlog&amp;widgetTypeCall=true&amp;directAccess=false</t>
  </si>
  <si>
    <t>기록관</t>
  </si>
  <si>
    <t>진짜 분위기가 바뀌나?</t>
  </si>
  <si>
    <t>https://blog.naver.com/PostView.naver?blogId=jayden_89&amp;logNo=223895922858&amp;redirect=Dlog&amp;widgetTypeCall=true&amp;directAccess=false</t>
  </si>
  <si>
    <t>K뷰티의 역사적 발전</t>
  </si>
  <si>
    <t>https://blog.naver.com/PostView.naver?blogId=poohnanda&amp;logNo=223895917613&amp;redirect=Dlog&amp;widgetTypeCall=true&amp;directAccess=false</t>
  </si>
  <si>
    <t>이상근 의원 , "도시리브투게더, 수요자 부담 증가로 본래 취지 퇴색"</t>
  </si>
  <si>
    <t>https://blog.naver.com/PostView.naver?blogId=jesus53-&amp;logNo=223895909058&amp;redirect=Dlog&amp;widgetTypeCall=true&amp;directAccess=false</t>
  </si>
  <si>
    <t>바람한줌</t>
  </si>
  <si>
    <t>L.A시위와 한국 언론 보도에 대한 생각</t>
  </si>
  <si>
    <t>https://blog.naver.com/PostView.naver?blogId=a_piece_of_cloud&amp;logNo=223895890687&amp;redirect=Dlog&amp;widgetTypeCall=true&amp;directAccess=false</t>
  </si>
  <si>
    <t>한국인의 밥상 땅에 그린 인생 정원 만찬을 차리다 남해 토피아랜드 바베트의 숲속 만찬 화순 정원 허브뜨락 709회</t>
  </si>
  <si>
    <t>https://blog.naver.com/PostView.naver?blogId=pirin888&amp;logNo=223895875146&amp;redirect=Dlog&amp;widgetTypeCall=true&amp;directAccess=false</t>
  </si>
  <si>
    <t>"남동생 3명 모두 지적장애"…서장훈, '물어보살' 사연자에 따뜻한 위로</t>
  </si>
  <si>
    <t>https://blog.naver.com/PostView.naver?blogId=apahghfej&amp;logNo=223895870614&amp;redirect=Dlog&amp;widgetTypeCall=true&amp;directAccess=false</t>
  </si>
  <si>
    <t>박명수, 탈모 해결 촉구 "이재명 대통령이 나서달라"…천만 탈모인 대변?</t>
  </si>
  <si>
    <t>https://blog.naver.com/PostView.naver?blogId=picklenews&amp;logNo=223895866076&amp;redirect=Dlog&amp;widgetTypeCall=true&amp;directAccess=false</t>
  </si>
  <si>
    <t>쭈니정</t>
  </si>
  <si>
    <t>천안 흑성산 등산코스(독립기념관 원점회귀 / 난이도 / 주차비용)(feat. 흑성산성)</t>
  </si>
  <si>
    <t>https://blog.naver.com/PostView.naver?blogId=k_____hj&amp;logNo=223895855691&amp;redirect=Dlog&amp;widgetTypeCall=true&amp;directAccess=false</t>
  </si>
  <si>
    <t>지민</t>
  </si>
  <si>
    <t>『직장 상사 악령 퇴치부』 이사구 독서기록 :: 재밌게 읽은 오컬트 소설, 드라마화 기원</t>
  </si>
  <si>
    <t>https://blog.naver.com/PostView.naver?blogId=kjm2000a&amp;logNo=223895840244&amp;redirect=Dlog&amp;widgetTypeCall=true&amp;directAccess=false</t>
  </si>
  <si>
    <t>왕호</t>
  </si>
  <si>
    <t>마리우폴에서의 20일</t>
  </si>
  <si>
    <t>https://blog.naver.com/PostView.naver?blogId=groovekim6&amp;logNo=223895828052&amp;redirect=Dlog&amp;widgetTypeCall=true&amp;directAccess=false</t>
  </si>
  <si>
    <t>아메리카노 500원은 못 따라가”…어느 카페사장의 호소</t>
  </si>
  <si>
    <t>https://blog.naver.com/PostView.naver?blogId=koo_mee&amp;logNo=223895818529&amp;redirect=Dlog&amp;widgetTypeCall=true&amp;directAccess=false</t>
  </si>
  <si>
    <t>달이선생</t>
  </si>
  <si>
    <t>진천 독립운동가 이상설 생가 숭렬사</t>
  </si>
  <si>
    <t>https://blog.naver.com/PostView.naver?blogId=leelove97&amp;logNo=223895629552&amp;redirect=Dlog&amp;widgetTypeCall=true&amp;directAccess=false</t>
  </si>
  <si>
    <t>평가고수</t>
  </si>
  <si>
    <t>God ㅡ촛불 하나</t>
  </si>
  <si>
    <t>https://blog.naver.com/PostView.naver?blogId=ksmaeng62&amp;logNo=223895648313&amp;redirect=Dlog&amp;widgetTypeCall=true&amp;directAccess=false</t>
  </si>
  <si>
    <t>2022.05.20 #011 - [동향] 5·18 영상 아카이브로 할 수 있는 것들: KBS 5·18 아카이브 시민공유 프로젝트 &lt;5월 이야기&gt;</t>
  </si>
  <si>
    <t>https://blog.naver.com/PostView.naver?blogId=indiemedialab&amp;logNo=223895645846&amp;redirect=Dlog&amp;widgetTypeCall=true&amp;directAccess=false</t>
  </si>
  <si>
    <t>작약 마음</t>
  </si>
  <si>
    <t>kbs보도 중 '고립은둔 청년의 심리적 어려움이 자가면역질환과 같다'는 비유에 대해 묻다.</t>
  </si>
  <si>
    <t>https://blog.naver.com/PostView.naver?blogId=o2yr&amp;logNo=223895632386&amp;redirect=Dlog&amp;widgetTypeCall=true&amp;directAccess=false</t>
  </si>
  <si>
    <t>구로타임즈</t>
  </si>
  <si>
    <t>구로구 청소년 전용시설 신규5곳 '확충'... 개봉1동 개봉2동 개봉3동 신도림동 구로동 등에</t>
  </si>
  <si>
    <t>https://blog.naver.com/PostView.naver?blogId=kurotime&amp;logNo=223895522597&amp;redirect=Dlog&amp;widgetTypeCall=true&amp;directAccess=false</t>
  </si>
  <si>
    <t>붕붕</t>
  </si>
  <si>
    <t>영화같은~</t>
  </si>
  <si>
    <t>https://blog.naver.com/PostView.naver?blogId=qnd2316&amp;logNo=223895570972&amp;redirect=Dlog&amp;widgetTypeCall=true&amp;directAccess=false</t>
  </si>
  <si>
    <t>초이지야</t>
  </si>
  <si>
    <t>https://blog.naver.com/PostView.naver?blogId=minji-jjang&amp;logNo=223895558905&amp;redirect=Dlog&amp;widgetTypeCall=true&amp;directAccess=false</t>
  </si>
  <si>
    <t>광의 일상</t>
  </si>
  <si>
    <t>[음료] 메가커피 팥빙 젤라또 파르페 팥빙수 메뉴 가격</t>
  </si>
  <si>
    <t>https://blog.naver.com/PostView.naver?blogId=kwangcoffee930&amp;logNo=223895088684&amp;redirect=Dlog&amp;widgetTypeCall=true&amp;directAccess=false</t>
  </si>
  <si>
    <t>존버헨리</t>
  </si>
  <si>
    <t>KBS 다큐 / 공실시대 상가의 몰락, 다큐 인사이트</t>
  </si>
  <si>
    <t>https://blog.naver.com/PostView.naver?blogId=cinekid23&amp;logNo=223895489778&amp;redirect=Dlog&amp;widgetTypeCall=true&amp;directAccess=false</t>
  </si>
  <si>
    <t>책꿈세</t>
  </si>
  <si>
    <t>예스24 서비스 접속 오류</t>
  </si>
  <si>
    <t>https://blog.naver.com/PostView.naver?blogId=isseo399&amp;logNo=223895463589&amp;redirect=Dlog&amp;widgetTypeCall=true&amp;directAccess=false</t>
  </si>
  <si>
    <t>포바이올린</t>
  </si>
  <si>
    <t>바이올리니스트 백주영</t>
  </si>
  <si>
    <t>https://blog.naver.com/PostView.naver?blogId=class4violin&amp;logNo=223895451001&amp;redirect=Dlog&amp;widgetTypeCall=true&amp;directAccess=false</t>
  </si>
  <si>
    <t>수원 호매실동 장어 소금 구이 맛집 가족모임에 좋은 99장어88</t>
  </si>
  <si>
    <t>https://blog.naver.com/PostView.naver?blogId=cchy2&amp;logNo=223895408583&amp;redirect=Dlog&amp;widgetTypeCall=true&amp;directAccess=false</t>
  </si>
  <si>
    <t>소리두리</t>
  </si>
  <si>
    <t>음악 그리고 나</t>
  </si>
  <si>
    <t>https://blog.naver.com/PostView.naver?blogId=durisori&amp;logNo=223895380085&amp;redirect=Dlog&amp;widgetTypeCall=true&amp;directAccess=false</t>
  </si>
  <si>
    <t>★ 눈물 젖은 두만강///김정구</t>
  </si>
  <si>
    <t>https://blog.naver.com/PostView.naver?blogId=mbcswallow&amp;logNo=223894627318&amp;redirect=Dlog&amp;widgetTypeCall=true&amp;directAccess=false</t>
  </si>
  <si>
    <t>상주소리</t>
  </si>
  <si>
    <t>조선영 선수(상주시청 사이클팀), JICF 국제트랙컵 은메달 2개</t>
  </si>
  <si>
    <t>https://blog.naver.com/PostView.naver?blogId=sangjusori119&amp;logNo=223895352774&amp;redirect=Dlog&amp;widgetTypeCall=true&amp;directAccess=false</t>
  </si>
  <si>
    <t>경제 주요 뉴스(2025년6월11일)</t>
  </si>
  <si>
    <t>https://blog.naver.com/PostView.naver?blogId=jeanjongkim&amp;logNo=223895335046&amp;redirect=Dlog&amp;widgetTypeCall=true&amp;directAccess=false</t>
  </si>
  <si>
    <t>2025년 6월11일 수요일 KBS19번 인간극장 우리집 왕빠3부 보다</t>
  </si>
  <si>
    <t>https://blog.naver.com/PostView.naver?blogId=ch921017&amp;logNo=223895331052&amp;redirect=Dlog&amp;widgetTypeCall=true&amp;directAccess=false</t>
  </si>
  <si>
    <t>BTL 출신 오지민 근황 '아이돌 그만두고 페인트공 변신 성수기 월 1500만원 수입' 나이 프로필</t>
  </si>
  <si>
    <t>https://blog.naver.com/PostView.naver?blogId=psepeter&amp;logNo=223895319023&amp;redirect=Dlog&amp;widgetTypeCall=true&amp;directAccess=false</t>
  </si>
  <si>
    <t>“god는 한물간 가수” 경주시장 발언 파문, 박준형 “상처받지 마라” 대인배 행보</t>
  </si>
  <si>
    <t>https://blog.naver.com/PostView.naver?blogId=atraxia123&amp;logNo=223894968901&amp;redirect=Dlog&amp;widgetTypeCall=true&amp;directAccess=false</t>
  </si>
  <si>
    <t>김민석 결혼 첫 부인 김자영 아나운서 프로필, 이혼 후 두번째 아내 이태린과 재혼 과정</t>
  </si>
  <si>
    <t>https://blog.naver.com/PostView.naver?blogId=person10000&amp;logNo=223895304070&amp;redirect=Dlog&amp;widgetTypeCall=true&amp;directAccess=false</t>
  </si>
  <si>
    <t>2025년 6월 11일 해외시황(미중 무역협상 타결 기대감으로 미증시 상승.아직 협상 결론 나온건 없음.마이크로소프트를 제외한 나머지 빅테크 모두 상승.테슬라 급등.반도체지수 상승</t>
  </si>
  <si>
    <t>https://blog.naver.com/PostView.naver?blogId=silluel&amp;logNo=223895293911&amp;redirect=Dlog&amp;widgetTypeCall=true&amp;directAccess=false</t>
  </si>
  <si>
    <t>찐꽁</t>
  </si>
  <si>
    <t>정선 가볼만한곳 함백산 최단등산코스 주차장</t>
  </si>
  <si>
    <t>https://blog.naver.com/PostView.naver?blogId=tksflsdl&amp;logNo=223895287491&amp;redirect=Dlog&amp;widgetTypeCall=true&amp;directAccess=false</t>
  </si>
  <si>
    <t>Man of men</t>
  </si>
  <si>
    <t>선배</t>
  </si>
  <si>
    <t>https://blog.naver.com/PostView.naver?blogId=porc-epic&amp;logNo=223895284783&amp;redirect=Dlog&amp;widgetTypeCall=true&amp;directAccess=false</t>
  </si>
  <si>
    <t>“우리 학교에 리박스쿨 강사가?”…학부모 반발 확산…그럼 전교조 소속 선생은?</t>
  </si>
  <si>
    <t>https://blog.naver.com/PostView.naver?blogId=frtydhwang&amp;logNo=223895255310&amp;redirect=Dlog&amp;widgetTypeCall=true&amp;directAccess=false</t>
  </si>
  <si>
    <t>이재명 대통령 '대장동 재판'도 기일 추후지정 “헌법 84조 적용”…공직선거법 파기환송심 같은 재판부 '서울고법 형사7부'</t>
  </si>
  <si>
    <t>https://blog.naver.com/PostView.naver?blogId=frtydhwang&amp;logNo=223895242211&amp;redirect=Dlog&amp;widgetTypeCall=true&amp;directAccess=false</t>
  </si>
  <si>
    <t>이재명 대통령 ‘재판 정지 형사소송법 개정안’ 처리 연기…“‘협치 우선’ 대통령실 의중 반영”…범법 정권 '인치' 앞에 무너지는 법치</t>
  </si>
  <si>
    <t>https://blog.naver.com/PostView.naver?blogId=frtydhwang&amp;logNo=223895240613&amp;redirect=Dlog&amp;widgetTypeCall=true&amp;directAccess=false</t>
  </si>
  <si>
    <t>트랭플린</t>
  </si>
  <si>
    <t>빛의 혁명, 민주주의를 지키다- 계엄의 밤, 광장에서 소리쳤던 우리들의 이야기</t>
  </si>
  <si>
    <t>https://blog.naver.com/PostView.naver?blogId=dydwls6367&amp;logNo=223895235846&amp;redirect=Dlog&amp;widgetTypeCall=true&amp;directAccess=false</t>
  </si>
  <si>
    <t>BTS 뷔 아이유 친분 황금 인맥 세계관</t>
  </si>
  <si>
    <t>https://blog.naver.com/PostView.naver?blogId=odmwd2&amp;logNo=223895160000&amp;redirect=Dlog&amp;widgetTypeCall=true&amp;directAccess=false</t>
  </si>
  <si>
    <t>재미쟁이</t>
  </si>
  <si>
    <t>149대 명산 관악산</t>
  </si>
  <si>
    <t>https://blog.naver.com/PostView.naver?blogId=lblog56&amp;logNo=223895087674&amp;redirect=Dlog&amp;widgetTypeCall=true&amp;directAccess=false</t>
  </si>
  <si>
    <t>배우 김부선의 호소가 눈물겹다. 김부선, "이재명에 속아 백수됐다…책임져라"고 주장/최석태/</t>
  </si>
  <si>
    <t>https://blog.naver.com/PostView.naver?blogId=choisttt1&amp;logNo=223895074916&amp;redirect=Dlog&amp;widgetTypeCall=true&amp;directAccess=false</t>
  </si>
  <si>
    <t>sujsuj</t>
  </si>
  <si>
    <t>건대 사주잘보는 곳 - 엄준범사주타로 방문 후기 /건대사주,건대타로,건대궁합</t>
  </si>
  <si>
    <t>https://blog.naver.com/PostView.naver?blogId=sujsuj_&amp;logNo=223895048879&amp;redirect=Dlog&amp;widgetTypeCall=true&amp;directAccess=false</t>
  </si>
  <si>
    <t>I♥︎Phu Quoc</t>
  </si>
  <si>
    <t>https://blog.naver.com/PostView.naver?blogId=cheune5005&amp;logNo=223895038309&amp;redirect=Dlog&amp;widgetTypeCall=true&amp;directAccess=false</t>
  </si>
  <si>
    <t>mavie</t>
  </si>
  <si>
    <t>그대들은 어떻게 살 것인가</t>
  </si>
  <si>
    <t>https://blog.naver.com/PostView.naver?blogId=02dumartin&amp;logNo=223895038930&amp;redirect=Dlog&amp;widgetTypeCall=true&amp;directAccess=false</t>
  </si>
  <si>
    <t>경우바른너구리</t>
  </si>
  <si>
    <t>[책]김용호(2025)장진영-위픽</t>
  </si>
  <si>
    <t>https://blog.naver.com/PostView.naver?blogId=2745668&amp;logNo=223895016733&amp;redirect=Dlog&amp;widgetTypeCall=true&amp;directAccess=false</t>
  </si>
  <si>
    <t>아침수선화</t>
  </si>
  <si>
    <t>백두산의 설경(5월 말)</t>
  </si>
  <si>
    <t>https://blog.naver.com/PostView.naver?blogId=study32&amp;logNo=223895013409&amp;redirect=Dlog&amp;widgetTypeCall=true&amp;directAccess=false</t>
  </si>
  <si>
    <t>설아</t>
  </si>
  <si>
    <t>한지로 피운 기억의 꽃</t>
  </si>
  <si>
    <t>https://blog.naver.com/PostView.naver?blogId=thd7023&amp;logNo=223894990813&amp;redirect=Dlog&amp;widgetTypeCall=true&amp;directAccess=false</t>
  </si>
  <si>
    <t>그어느날</t>
  </si>
  <si>
    <t>(재)부산문화회관, 부산시립교향악단 제621회 정기연주회&lt;DSCH&gt;</t>
  </si>
  <si>
    <t>https://blog.naver.com/PostView.naver?blogId=ferhee&amp;logNo=223894984967&amp;redirect=Dlog&amp;widgetTypeCall=true&amp;directAccess=false</t>
  </si>
  <si>
    <t>gaeggumi</t>
  </si>
  <si>
    <t>[책 리뷰] 명견만리:불평등, 병리, 금융, 지역 편</t>
  </si>
  <si>
    <t>https://blog.naver.com/PostView.naver?blogId=jieun8001&amp;logNo=223894936745&amp;redirect=Dlog&amp;widgetTypeCall=true&amp;directAccess=false</t>
  </si>
  <si>
    <t>흰돌</t>
  </si>
  <si>
    <t>의젓한 사람들</t>
  </si>
  <si>
    <t>https://blog.naver.com/PostView.naver?blogId=lkh202100&amp;logNo=223894930784&amp;redirect=Dlog&amp;widgetTypeCall=true&amp;directAccess=false</t>
  </si>
  <si>
    <t>양수똥</t>
  </si>
  <si>
    <t>바른치킨 현미바삭</t>
  </si>
  <si>
    <t>https://blog.naver.com/PostView.naver?blogId=sheppsae&amp;logNo=223894928916&amp;redirect=Dlog&amp;widgetTypeCall=true&amp;directAccess=false</t>
  </si>
  <si>
    <t>한국경제조용히무너지고있다!요즘한국에퍼지는이상현상!..개척자얀판리베크!33세에시작해서10여년간남아공개척!역사는개척자들의몫!한국사회개척자정신되찾아야!..한때세계최강영국이몰락한이유!..</t>
  </si>
  <si>
    <t>https://blog.naver.com/PostView.naver?blogId=yty4409&amp;logNo=223894905563&amp;redirect=Dlog&amp;widgetTypeCall=true&amp;directAccess=false</t>
  </si>
  <si>
    <t>티키티</t>
  </si>
  <si>
    <t>나홀로 . . . KBS 한국어능력시험 빈출 어법 정리</t>
  </si>
  <si>
    <t>https://blog.naver.com/PostView.naver?blogId=pinguringu&amp;logNo=223894894948&amp;redirect=Dlog&amp;widgetTypeCall=true&amp;directAccess=false</t>
  </si>
  <si>
    <t>hope</t>
  </si>
  <si>
    <t>정명훈, KBS교향악단 브람스 (25.06.05)</t>
  </si>
  <si>
    <t>https://blog.naver.com/PostView.naver?blogId=miracle3249&amp;logNo=223894882918&amp;redirect=Dlog&amp;widgetTypeCall=true&amp;directAccess=false</t>
  </si>
  <si>
    <t>드라마 여왕의 집 OST Part 1, 아이런 - Trauma [가사 듣기 Inst] 트라우마</t>
  </si>
  <si>
    <t>https://blog.naver.com/PostView.naver?blogId=chiuchun&amp;logNo=223894846165&amp;redirect=Dlog&amp;widgetTypeCall=true&amp;directAccess=false</t>
  </si>
  <si>
    <t>강원특별자치도의 힘</t>
  </si>
  <si>
    <t>동해시노인종합복지관, 어르신 외식지원 공모사업 선정</t>
  </si>
  <si>
    <t>https://blog.naver.com/PostView.naver?blogId=kwtimes&amp;logNo=223894844692&amp;redirect=Dlog&amp;widgetTypeCall=true&amp;directAccess=false</t>
  </si>
  <si>
    <t>화이팅</t>
  </si>
  <si>
    <t>[한국건강가정진흥원] 지원하려했으나 시간이 없어서 공고랑 입사지원서만 훑어본 기록</t>
  </si>
  <si>
    <t>https://blog.naver.com/PostView.naver?blogId=oriona627&amp;logNo=223894841843&amp;redirect=Dlog&amp;widgetTypeCall=true&amp;directAccess=false</t>
  </si>
  <si>
    <t>뉴스팩트통신</t>
  </si>
  <si>
    <t>전정희 작가 신작 장편소설 '복수초', 아이엠티브이와 드라마 제작 계약 체결</t>
  </si>
  <si>
    <t>https://blog.naver.com/PostView.naver?blogId=nfnews&amp;logNo=223894833387&amp;redirect=Dlog&amp;widgetTypeCall=true&amp;directAccess=false</t>
  </si>
  <si>
    <t>주바리</t>
  </si>
  <si>
    <t>5.19-6.2 많이도 밀렸네요~~~~~~ ㅎ</t>
  </si>
  <si>
    <t>https://blog.naver.com/PostView.naver?blogId=yijuwon96&amp;logNo=223894832538&amp;redirect=Dlog&amp;widgetTypeCall=true&amp;directAccess=false</t>
  </si>
  <si>
    <t>직장인k</t>
  </si>
  <si>
    <t>혼자 견뎌야 하는 마음이 있다.</t>
  </si>
  <si>
    <t>https://blog.naver.com/PostView.naver?blogId=healthyni&amp;logNo=223894829074&amp;redirect=Dlog&amp;widgetTypeCall=true&amp;directAccess=false</t>
  </si>
  <si>
    <t>bandlucy</t>
  </si>
  <si>
    <t>경주시장 주낙영, 누구일까요? 프로필과 최근 이슈 정리</t>
  </si>
  <si>
    <t>https://blog.naver.com/PostView.naver?blogId=bandlucy&amp;logNo=223894803284&amp;redirect=Dlog&amp;widgetTypeCall=true&amp;directAccess=false</t>
  </si>
  <si>
    <t>teamteam</t>
  </si>
  <si>
    <t>북한군인들 평화통일수당 미리 빨리 챙기기</t>
  </si>
  <si>
    <t>https://blog.naver.com/PostView.naver?blogId=ustatehdh&amp;logNo=223894798780&amp;redirect=Dlog&amp;widgetTypeCall=true&amp;directAccess=false</t>
  </si>
  <si>
    <t>대명</t>
  </si>
  <si>
    <t>공황장애에 고혈압과 당뇨까지, 사주를 통해 본 이경규의 건강</t>
  </si>
  <si>
    <t>https://blog.naver.com/PostView.naver?blogId=solihani&amp;logNo=223894749171&amp;redirect=Dlog&amp;widgetTypeCall=true&amp;directAccess=false</t>
  </si>
  <si>
    <t>전남도, 새 정부 국정과제 반영 본격 시동…도정 핵심사업 104건 발굴</t>
  </si>
  <si>
    <t>https://blog.naver.com/PostView.naver?blogId=kbsn_kr&amp;logNo=223894742372&amp;redirect=Dlog&amp;widgetTypeCall=true&amp;directAccess=false</t>
  </si>
  <si>
    <t>6시내고향 섬진강의선물</t>
  </si>
  <si>
    <t>https://blog.naver.com/PostView.naver?blogId=nft000&amp;logNo=223894732420&amp;redirect=Dlog&amp;widgetTypeCall=true&amp;directAccess=false</t>
  </si>
  <si>
    <t>2025년 5월 어린이 프로그램 Best 10</t>
  </si>
  <si>
    <t>https://blog.naver.com/PostView.naver?blogId=ilovecharacterblog&amp;logNo=223894710168&amp;redirect=Dlog&amp;widgetTypeCall=true&amp;directAccess=false</t>
  </si>
  <si>
    <t>시사인터뷰</t>
  </si>
  <si>
    <t>KBS ‘남주의 첫날밤을 가져버렸다’ OST 대세 아티스트 총출동… 리센느·후이·보라미유·범진·벤 참여</t>
  </si>
  <si>
    <t>https://blog.naver.com/PostView.naver?blogId=9stars_kr&amp;logNo=223894688038&amp;redirect=Dlog&amp;widgetTypeCall=true&amp;directAccess=false</t>
  </si>
  <si>
    <t>경춘선에 문화의 꽃이 피었다.</t>
  </si>
  <si>
    <t>https://blog.naver.com/PostView.naver?blogId=cc4zin&amp;logNo=223894678925&amp;redirect=Dlog&amp;widgetTypeCall=true&amp;directAccess=false</t>
  </si>
  <si>
    <t>2025.06.10_[더파워뉴스] 박보검, 굿보이</t>
  </si>
  <si>
    <t>https://blog.naver.com/PostView.naver?blogId=withbogum616&amp;logNo=223894677608&amp;redirect=Dlog&amp;widgetTypeCall=true&amp;directAccess=false</t>
  </si>
  <si>
    <t>제6회 동송읍 작은마을 축제「동(한가지) to the 송(Song)」개최</t>
  </si>
  <si>
    <t>https://blog.naver.com/PostView.naver?blogId=jjesus5&amp;logNo=223894673916&amp;redirect=Dlog&amp;widgetTypeCall=true&amp;directAccess=false</t>
  </si>
  <si>
    <t>god 한물갔다 경주시장 망언 논란 주낙영 박준형</t>
  </si>
  <si>
    <t>https://blog.naver.com/PostView.naver?blogId=odmwd2&amp;logNo=223894646024&amp;redirect=Dlog&amp;widgetTypeCall=true&amp;directAccess=false</t>
  </si>
  <si>
    <t>아주대학교병원</t>
  </si>
  <si>
    <t>KBS 1TV 생로병사의 비밀 / 정신건강의학과 손상준 교수</t>
  </si>
  <si>
    <t>https://blog.naver.com/PostView.naver?blogId=healthyajoumc&amp;logNo=223894642394&amp;redirect=Dlog&amp;widgetTypeCall=true&amp;directAccess=false</t>
  </si>
  <si>
    <t>"어쩌면 마지막 여행" 박원숙의 같이 삽시다, 스위스에서 시작된 인생 2막 감동 여정</t>
  </si>
  <si>
    <t>https://blog.naver.com/PostView.naver?blogId=apahghfej&amp;logNo=223894631019&amp;redirect=Dlog&amp;widgetTypeCall=true&amp;directAccess=false</t>
  </si>
  <si>
    <t>2025년 대선(21대 대통령선거에 부쳐)</t>
  </si>
  <si>
    <t>https://blog.naver.com/PostView.naver?blogId=likedream&amp;logNo=223894348818&amp;redirect=Dlog&amp;widgetTypeCall=true&amp;directAccess=false</t>
  </si>
  <si>
    <t>“생후 202일 딸에게 70억 원 집 선물” 박수홍, 딸 바보의 정점 찍다</t>
  </si>
  <si>
    <t>https://blog.naver.com/PostView.naver?blogId=apahghfej&amp;logNo=223894609937&amp;redirect=Dlog&amp;widgetTypeCall=true&amp;directAccess=false</t>
  </si>
  <si>
    <t>“청소년의 열정이 빛난 여수 이순신 축제, 900명과 함께한 꿈과 희망의 축제”</t>
  </si>
  <si>
    <t>https://blog.naver.com/PostView.naver?blogId=kbsn_kr&amp;logNo=223894593834&amp;redirect=Dlog&amp;widgetTypeCall=true&amp;directAccess=false</t>
  </si>
  <si>
    <t>루나</t>
  </si>
  <si>
    <t>2025 05월 일상</t>
  </si>
  <si>
    <t>https://blog.naver.com/PostView.naver?blogId=qkr1395&amp;logNo=223894579041&amp;redirect=Dlog&amp;widgetTypeCall=true&amp;directAccess=false</t>
  </si>
  <si>
    <t>“god? 한물갔잖아” 경주시장 폄하 발언 논란…결국 사과문 게재</t>
  </si>
  <si>
    <t>https://blog.naver.com/PostView.naver?blogId=picklenews&amp;logNo=223894574802&amp;redirect=Dlog&amp;widgetTypeCall=true&amp;directAccess=false</t>
  </si>
  <si>
    <t>[새 시집 속의 詩] 이승은 시인의 「사과꽃」</t>
  </si>
  <si>
    <t>https://blog.naver.com/PostView.naver?blogId=cultura2006&amp;logNo=223894566445&amp;redirect=Dlog&amp;widgetTypeCall=true&amp;directAccess=false</t>
  </si>
  <si>
    <t>삼척시노인복지관, 어르신 외식 지원 ‘방방곡곡 행복 밥상’ 운영</t>
  </si>
  <si>
    <t>https://blog.naver.com/PostView.naver?blogId=koreadisablednews&amp;logNo=223894548713&amp;redirect=Dlog&amp;widgetTypeCall=true&amp;directAccess=false</t>
  </si>
  <si>
    <t>뿌뿌진님</t>
  </si>
  <si>
    <t>서울 아이와 가볼만한 곳 KBS 방송국 견학 무료 예약 방문 후기</t>
  </si>
  <si>
    <t>https://blog.naver.com/PostView.naver?blogId=flamejiny&amp;logNo=223894439563&amp;redirect=Dlog&amp;widgetTypeCall=true&amp;directAccess=false</t>
  </si>
  <si>
    <t>뉴스 kbs 9시 뉴스를 처음 본날~25.6.9</t>
  </si>
  <si>
    <t>https://blog.naver.com/PostView.naver?blogId=foryoutoyoy&amp;logNo=223894422245&amp;redirect=Dlog&amp;widgetTypeCall=true&amp;directAccess=false</t>
  </si>
  <si>
    <t>드라마 꽃길만 걸어요 정보 출연진 줄거리 리뷰</t>
  </si>
  <si>
    <t>https://blog.naver.com/PostView.naver?blogId=lit_raon&amp;logNo=223884951326&amp;redirect=Dlog&amp;widgetTypeCall=true&amp;directAccess=false</t>
  </si>
  <si>
    <t>내겐 너무 소중한 너</t>
  </si>
  <si>
    <t>https://blog.naver.com/PostView.naver?blogId=chosw013&amp;logNo=223843429366&amp;redirect=Dlog&amp;widgetTypeCall=true&amp;directAccess=false</t>
  </si>
  <si>
    <t>난다별</t>
  </si>
  <si>
    <t>사람들이 주식할 때 가장 많이 하는 실수는? 김숙 유퀴즈</t>
  </si>
  <si>
    <t>https://blog.naver.com/PostView.naver?blogId=dbsk7600&amp;logNo=223894375869&amp;redirect=Dlog&amp;widgetTypeCall=true&amp;directAccess=false</t>
  </si>
  <si>
    <t>완초</t>
  </si>
  <si>
    <t>[ 칼봉산 경반계곡 ]</t>
  </si>
  <si>
    <t>https://blog.naver.com/PostView.naver?blogId=ds2kyt&amp;logNo=223894372739&amp;redirect=Dlog&amp;widgetTypeCall=true&amp;directAccess=false</t>
  </si>
  <si>
    <t>화사, 은은한 조명 아래 더욱 빛난 Y2K 감성의 심플 섹시무드</t>
  </si>
  <si>
    <t>https://blog.naver.com/PostView.naver?blogId=kstarfashion&amp;logNo=223894369026&amp;redirect=Dlog&amp;widgetTypeCall=true&amp;directAccess=false</t>
  </si>
  <si>
    <t>꼬미쓰</t>
  </si>
  <si>
    <t>중국여행준비4. 칭다오 샹그릴라호텔 디럭스더블룸 조식 숙소선정기준 완샹청접근성</t>
  </si>
  <si>
    <t>https://blog.naver.com/PostView.naver?blogId=gsdbb&amp;logNo=223894366325&amp;redirect=Dlog&amp;widgetTypeCall=true&amp;directAccess=false</t>
  </si>
  <si>
    <t>주낙영 경주시장, 한물간 god 관련 발언 논란에 사과</t>
  </si>
  <si>
    <t>https://blog.naver.com/PostView.naver?blogId=chikorita_&amp;logNo=223894353617&amp;redirect=Dlog&amp;widgetTypeCall=true&amp;directAccess=false</t>
  </si>
  <si>
    <t>rivory</t>
  </si>
  <si>
    <t>당연한 걸 당연하게</t>
  </si>
  <si>
    <t>https://blog.naver.com/PostView.naver?blogId=rivory&amp;logNo=223894351785&amp;redirect=Dlog&amp;widgetTypeCall=true&amp;directAccess=false</t>
  </si>
  <si>
    <t>서하</t>
  </si>
  <si>
    <t>대구 여행</t>
  </si>
  <si>
    <t>https://blog.naver.com/PostView.naver?blogId=melong23711&amp;logNo=223894347720&amp;redirect=Dlog&amp;widgetTypeCall=true&amp;directAccess=false</t>
  </si>
  <si>
    <t>이재명과 김부선에 대해서 AI에게 중립적으로 물었다.</t>
  </si>
  <si>
    <t>https://blog.naver.com/PostView.naver?blogId=pobye&amp;logNo=223894317656&amp;redirect=Dlog&amp;widgetTypeCall=true&amp;directAccess=false</t>
  </si>
  <si>
    <t>경주시장 발언 논란, 박준형의 반응은?</t>
  </si>
  <si>
    <t>https://blog.naver.com/PostView.naver?blogId=jins81c&amp;logNo=223894300329&amp;redirect=Dlog&amp;widgetTypeCall=true&amp;directAccess=false</t>
  </si>
  <si>
    <t>전건주 press</t>
  </si>
  <si>
    <t>jaaaaaam</t>
  </si>
  <si>
    <t>수능 국어, 기술보다 중요한 건 "읽는 힘"… 국어 강사 류성훈의 메시지</t>
  </si>
  <si>
    <t>https://blog.naver.com/PostView.naver?blogId=zbwuumvws&amp;logNo=223894265751&amp;redirect=Dlog&amp;widgetTypeCall=true&amp;directAccess=false</t>
  </si>
  <si>
    <t>한자로 영어 배우기 ep.28: ‘유화(宥和)’를 영어로?</t>
  </si>
  <si>
    <t>https://blog.naver.com/PostView.naver?blogId=mjk1m&amp;logNo=223894243362&amp;redirect=Dlog&amp;widgetTypeCall=true&amp;directAccess=false</t>
  </si>
  <si>
    <t>경주시장 "GOD 한물가지 않았나" 발언 파문</t>
  </si>
  <si>
    <t>https://blog.naver.com/PostView.naver?blogId=wjdgusx43&amp;logNo=223894209156&amp;redirect=Dlog&amp;widgetTypeCall=true&amp;directAccess=false</t>
  </si>
  <si>
    <t>KBS국악관현악단 정기연주회 '새로운 물결 더 마스터즈'(제264회)-환상적인 현대 창작 국악에 빠져</t>
  </si>
  <si>
    <t>https://blog.naver.com/PostView.naver?blogId=songrea88&amp;logNo=223894204714&amp;redirect=Dlog&amp;widgetTypeCall=true&amp;directAccess=false</t>
  </si>
  <si>
    <t>2025년 6월10일 화요일 KBS19번 인간극장 우리집 왕빠2부 보다</t>
  </si>
  <si>
    <t>https://blog.naver.com/PostView.naver?blogId=ch921017&amp;logNo=223894152407&amp;redirect=Dlog&amp;widgetTypeCall=true&amp;directAccess=false</t>
  </si>
  <si>
    <t>6월 10일 장전 주요뉴스</t>
  </si>
  <si>
    <t>https://blog.naver.com/PostView.naver?blogId=top_trader&amp;logNo=223894152250&amp;redirect=Dlog&amp;widgetTypeCall=true&amp;directAccess=false</t>
  </si>
  <si>
    <t>용인일보</t>
  </si>
  <si>
    <t>레트로 LP로 만나는 노래《24》윤희정 데뷔앨범</t>
  </si>
  <si>
    <t>https://blog.naver.com/PostView.naver?blogId=yonginilbonews&amp;logNo=223893389218&amp;redirect=Dlog&amp;widgetTypeCall=true&amp;directAccess=false</t>
  </si>
  <si>
    <t>장</t>
  </si>
  <si>
    <t>이거슨마음을다잡기위한공부다이어리여</t>
  </si>
  <si>
    <t>https://blog.naver.com/PostView.naver?blogId=blogid_0&amp;logNo=223894126721&amp;redirect=Dlog&amp;widgetTypeCall=true&amp;directAccess=false</t>
  </si>
  <si>
    <t>한창진</t>
  </si>
  <si>
    <t>이야기만 들어줘도 낫는 병</t>
  </si>
  <si>
    <t>https://blog.naver.com/PostView.naver?blogId=yosupia&amp;logNo=223894115114&amp;redirect=Dlog&amp;widgetTypeCall=true&amp;directAccess=false</t>
  </si>
  <si>
    <t>경제왕비누</t>
  </si>
  <si>
    <t>페이워치 급여 미리받기 - 사내복지와 회사복지 혁신</t>
  </si>
  <si>
    <t>https://blog.naver.com/PostView.naver?blogId=soap77777&amp;logNo=223893732868&amp;redirect=Dlog&amp;widgetTypeCall=true&amp;directAccess=false</t>
  </si>
  <si>
    <t>이진숙-김태규' 2인 방통위의 KBS 감사 임명 제동</t>
  </si>
  <si>
    <t>https://blog.naver.com/PostView.naver?blogId=dudujw&amp;logNo=223894066126&amp;redirect=Dlog&amp;widgetTypeCall=true&amp;directAccess=false</t>
  </si>
  <si>
    <t>다윗사랑</t>
  </si>
  <si>
    <t>장성민 "피고인 이재명 대통령은 법위의 군림자인가?" - 사법부는 스스로 법치와 민주주의를 파괴한 국민 역적의 길을 걷는가?</t>
  </si>
  <si>
    <t>https://blog.naver.com/PostView.naver?blogId=edutops&amp;logNo=223893935657&amp;redirect=Dlog&amp;widgetTypeCall=true&amp;directAccess=false</t>
  </si>
  <si>
    <t>빌리와맨디</t>
  </si>
  <si>
    <t>충북 갤러리 이상미작가 개인전, '길을 가다'</t>
  </si>
  <si>
    <t>https://blog.naver.com/PostView.naver?blogId=parkjs0320&amp;logNo=223893898550&amp;redirect=Dlog&amp;widgetTypeCall=true&amp;directAccess=false</t>
  </si>
  <si>
    <t>48년 숨겨진 선화동 노포…오징어 두부 두루치기, 도대체 무슨 맛이길래? (+백종원, 맛집, 레전드)</t>
  </si>
  <si>
    <t>https://blog.naver.com/PostView.naver?blogId=ovonews&amp;logNo=223893891106&amp;redirect=Dlog&amp;widgetTypeCall=true&amp;directAccess=false</t>
  </si>
  <si>
    <t>희망선생</t>
  </si>
  <si>
    <t>천전리 각석</t>
  </si>
  <si>
    <t>https://blog.naver.com/PostView.naver?blogId=sbh09044&amp;logNo=223893874795&amp;redirect=Dlog&amp;widgetTypeCall=true&amp;directAccess=false</t>
  </si>
  <si>
    <t>y</t>
  </si>
  <si>
    <t>https://blog.naver.com/PostView.naver?blogId=myfvo0o&amp;logNo=223893838329&amp;redirect=Dlog&amp;widgetTypeCall=true&amp;directAccess=false</t>
  </si>
  <si>
    <t>경북온뉴스</t>
  </si>
  <si>
    <t>[예천군=경북온뉴스] 예천군청직장운동경기부, 국제무대서 빛나는 성과 거둬</t>
  </si>
  <si>
    <t>https://blog.naver.com/PostView.naver?blogId=tkonnews&amp;logNo=223893814678&amp;redirect=Dlog&amp;widgetTypeCall=true&amp;directAccess=false</t>
  </si>
  <si>
    <t>하트</t>
  </si>
  <si>
    <t>[초5 신문] 어린이동아 25.5.14 / 정명훈, 세계 3대 오페라 극장 ‘라 스칼라’ 음악 감독… 아시아인 최초  / 기사 제목쓰기, 한줄요약</t>
  </si>
  <si>
    <t>https://blog.naver.com/PostView.naver?blogId=oops423&amp;logNo=223893776118&amp;redirect=Dlog&amp;widgetTypeCall=true&amp;directAccess=false</t>
  </si>
  <si>
    <t>haerangeulsayo</t>
  </si>
  <si>
    <t>유혹 유혹 유혹 유혹 어둠</t>
  </si>
  <si>
    <t>https://blog.naver.com/PostView.naver?blogId=haerangeulsayo&amp;logNo=223893773410&amp;redirect=Dlog&amp;widgetTypeCall=true&amp;directAccess=false</t>
  </si>
  <si>
    <t>정화는 오답이다.</t>
  </si>
  <si>
    <t>https://blog.naver.com/PostView.naver?blogId=sisi2621&amp;logNo=223893760259&amp;redirect=Dlog&amp;widgetTypeCall=true&amp;directAccess=false</t>
  </si>
  <si>
    <t>한입만 로사</t>
  </si>
  <si>
    <t>[부산]시민공원 파크콘서트</t>
  </si>
  <si>
    <t>https://blog.naver.com/PostView.naver?blogId=ssongandjjun&amp;logNo=223893757715&amp;redirect=Dlog&amp;widgetTypeCall=true&amp;directAccess=false</t>
  </si>
  <si>
    <t>삐삐샘</t>
  </si>
  <si>
    <t>만보 일기 26 : 추정경 장편소설 《열다섯에 곰이라니》 빌려오는 길에</t>
  </si>
  <si>
    <t>https://blog.naver.com/PostView.naver?blogId=siono&amp;logNo=223893724494&amp;redirect=Dlog&amp;widgetTypeCall=true&amp;directAccess=false</t>
  </si>
  <si>
    <t>초록이파리</t>
  </si>
  <si>
    <t>&lt;세상의 모든 음악&gt;이 흐르는 시간</t>
  </si>
  <si>
    <t>https://blog.naver.com/PostView.naver?blogId=klio62&amp;logNo=223893700170&amp;redirect=Dlog&amp;widgetTypeCall=true&amp;directAccess=false</t>
  </si>
  <si>
    <t>유니</t>
  </si>
  <si>
    <t>성적은 기본, 인생까지 바꾸는 국어 강사 류성훈의 수업 철학</t>
  </si>
  <si>
    <t>https://blog.naver.com/PostView.naver?blogId=dqkbvtzxq&amp;logNo=223893674535&amp;redirect=Dlog&amp;widgetTypeCall=true&amp;directAccess=false</t>
  </si>
  <si>
    <t>일상창고</t>
  </si>
  <si>
    <t>교통사고 2주 만에 복귀한 수능 국어 강사, 류성훈의 교육 철학</t>
  </si>
  <si>
    <t>https://blog.naver.com/PostView.naver?blogId=lqesjsxzx&amp;logNo=223893671874&amp;redirect=Dlog&amp;widgetTypeCall=true&amp;directAccess=false</t>
  </si>
  <si>
    <t>미국주식부자</t>
  </si>
  <si>
    <t>이재명정부 법안들, 당신은 찬성인가 반대인가?</t>
  </si>
  <si>
    <t>https://blog.naver.com/PostView.naver?blogId=abcde1028&amp;logNo=223893393310&amp;redirect=Dlog&amp;widgetTypeCall=true&amp;directAccess=false</t>
  </si>
  <si>
    <t>코미디언 이경규, 약물 운전, 공황장애 감기약, 법 위반 가능성</t>
  </si>
  <si>
    <t>https://blog.naver.com/PostView.naver?blogId=insidenews7&amp;logNo=223893583275&amp;redirect=Dlog&amp;widgetTypeCall=true&amp;directAccess=false</t>
  </si>
  <si>
    <t>교육기자단 미래나래</t>
  </si>
  <si>
    <t>학생이 만드는 미디어 세상, 경기도 교육청 ‘미소드림 한마당’… 실천 중심 미디어교육의 장 열려</t>
  </si>
  <si>
    <t>https://blog.naver.com/PostView.naver?blogId=goe_press&amp;logNo=223893565967&amp;redirect=Dlog&amp;widgetTypeCall=true&amp;directAccess=false</t>
  </si>
  <si>
    <t>리네아</t>
  </si>
  <si>
    <t>주말 체크인</t>
  </si>
  <si>
    <t>https://blog.naver.com/PostView.naver?blogId=duswn1502&amp;logNo=223893521813&amp;redirect=Dlog&amp;widgetTypeCall=true&amp;directAccess=false</t>
  </si>
  <si>
    <t>“아이 키우기 좋은 도시” 광양, 보육 기부 릴레이로 더 따뜻하게</t>
  </si>
  <si>
    <t>https://blog.naver.com/PostView.naver?blogId=kbsn_kr&amp;logNo=223893514215&amp;redirect=Dlog&amp;widgetTypeCall=true&amp;directAccess=false</t>
  </si>
  <si>
    <t>주간 일기 주말 체크인 (유치원 참관수업 전시 방송국 견학)</t>
  </si>
  <si>
    <t>https://blog.naver.com/PostView.naver?blogId=flamejiny&amp;logNo=223893509589&amp;redirect=Dlog&amp;widgetTypeCall=true&amp;directAccess=false</t>
  </si>
  <si>
    <t>소루비</t>
  </si>
  <si>
    <t>몸은 회사에 마음은 수영장에</t>
  </si>
  <si>
    <t>https://blog.naver.com/PostView.naver?blogId=iblos&amp;logNo=223893506996&amp;redirect=Dlog&amp;widgetTypeCall=true&amp;directAccess=false</t>
  </si>
  <si>
    <t>6월 1주차</t>
  </si>
  <si>
    <t>https://blog.naver.com/PostView.naver?blogId=wngus8700&amp;logNo=223893443133&amp;redirect=Dlog&amp;widgetTypeCall=true&amp;directAccess=false</t>
  </si>
  <si>
    <t>독수리5형제를 부탁해 37화, 사랑과 책임 사이 엄지원의 분노와 유인영의 흔들기</t>
  </si>
  <si>
    <t>https://blog.naver.com/PostView.naver?blogId=wwhandww&amp;logNo=223892436694&amp;redirect=Dlog&amp;widgetTypeCall=true&amp;directAccess=false</t>
  </si>
  <si>
    <t>이로운하루</t>
  </si>
  <si>
    <t>이경규 약물 운전, 공황장애 약 때문이었다. 항불안제나 항우울제는 괜찮을까?</t>
  </si>
  <si>
    <t>https://blog.naver.com/PostView.naver?blogId=blueapplezz&amp;logNo=223893422687&amp;redirect=Dlog&amp;widgetTypeCall=true&amp;directAccess=false</t>
  </si>
  <si>
    <t>시니어소비자 지킴이</t>
  </si>
  <si>
    <t>보이스피싱 사전 차단 방법…“대출, 아예 막아주세요”</t>
  </si>
  <si>
    <t>https://blog.naver.com/PostView.naver?blogId=pajc57&amp;logNo=223893402135&amp;redirect=Dlog&amp;widgetTypeCall=true&amp;directAccess=false</t>
  </si>
  <si>
    <t>박영규, 25세 연하 아내 최초 공개! 50대 맞아…? 비현실적 동안 미모에 모두 경악 (+나이, 재혼, 러브스토리)</t>
  </si>
  <si>
    <t>https://blog.naver.com/PostView.naver?blogId=qoswlfdl-&amp;logNo=223893398507&amp;redirect=Dlog&amp;widgetTypeCall=true&amp;directAccess=false</t>
  </si>
  <si>
    <t>&lt;내가 이런 데서 일할 사람이 아닌데&gt; 나는 왜 불편할까</t>
  </si>
  <si>
    <t>https://blog.naver.com/PostView.naver?blogId=chocho5012&amp;logNo=223893383273&amp;redirect=Dlog&amp;widgetTypeCall=true&amp;directAccess=false</t>
  </si>
  <si>
    <t>landsun</t>
  </si>
  <si>
    <t>경제공부 책 추천 [경제기사의 바다에 빠져라]</t>
  </si>
  <si>
    <t>https://blog.naver.com/PostView.naver?blogId=landsun-&amp;logNo=223893350902&amp;redirect=Dlog&amp;widgetTypeCall=true&amp;directAccess=false</t>
  </si>
  <si>
    <t>k-a-n-g_</t>
  </si>
  <si>
    <t>재밌고 신나는개그콘서트 방청 후기~</t>
  </si>
  <si>
    <t>https://blog.naver.com/PostView.naver?blogId=k-a-n-g_&amp;logNo=223893323987&amp;redirect=Dlog&amp;widgetTypeCall=true&amp;directAccess=false</t>
  </si>
  <si>
    <t>행복의 정복</t>
  </si>
  <si>
    <t>제27회 성남시 장수무대 6월 12일, 성남시청 온누리홀에서 열린다.</t>
  </si>
  <si>
    <t>https://blog.naver.com/PostView.naver?blogId=pan0077&amp;logNo=223893311347&amp;redirect=Dlog&amp;widgetTypeCall=true&amp;directAccess=false</t>
  </si>
  <si>
    <t>네티</t>
  </si>
  <si>
    <t>클래식의 대중화? 대중의 클래식화!💓 2025 클래식 파크콘서트(20250608)</t>
  </si>
  <si>
    <t>https://blog.naver.com/PostView.naver?blogId=sth__good&amp;logNo=223893298558&amp;redirect=Dlog&amp;widgetTypeCall=true&amp;directAccess=false</t>
  </si>
  <si>
    <t>소윤</t>
  </si>
  <si>
    <t>6모 2주 전에 이렇게 쳐놀았으니까 당연함</t>
  </si>
  <si>
    <t>https://blog.naver.com/PostView.naver?blogId=ahfmrptekd_&amp;logNo=223893297592&amp;redirect=Dlog&amp;widgetTypeCall=true&amp;directAccess=false</t>
  </si>
  <si>
    <t>행복헬렐레</t>
  </si>
  <si>
    <t>[서울 여의도] 여의도 콩국수 맛집, 이만기 동네한바퀴 콩국수 맛집 '콩팥전문'</t>
  </si>
  <si>
    <t>https://blog.naver.com/PostView.naver?blogId=yoyoni0508&amp;logNo=223893279809&amp;redirect=Dlog&amp;widgetTypeCall=true&amp;directAccess=false</t>
  </si>
  <si>
    <t>카프리</t>
  </si>
  <si>
    <t>250608 낙남정맥졸업산행</t>
  </si>
  <si>
    <t>https://blog.naver.com/PostView.naver?blogId=najongdai1&amp;logNo=223893268695&amp;redirect=Dlog&amp;widgetTypeCall=true&amp;directAccess=false</t>
  </si>
  <si>
    <t>38h2nn</t>
  </si>
  <si>
    <t>[음악듣기] 처음 보는 나 / 죠지 &amp; 봉태규_더 시즌즈_지코의 아티스트</t>
  </si>
  <si>
    <t>https://blog.naver.com/PostView.naver?blogId=h2nn0203&amp;logNo=223893263723&amp;redirect=Dlog&amp;widgetTypeCall=true&amp;directAccess=false</t>
  </si>
  <si>
    <t>ha0</t>
  </si>
  <si>
    <t>6월 4일~6월 8일 나트랑 여행!!-1일차</t>
  </si>
  <si>
    <t>https://blog.naver.com/PostView.naver?blogId=yaach123&amp;logNo=223893225723&amp;redirect=Dlog&amp;widgetTypeCall=true&amp;directAccess=false</t>
  </si>
  <si>
    <t>prague38</t>
  </si>
  <si>
    <t>브람스 교향곡 3&amp;4, KBS교향악단, 정명훈 (25/6/5)</t>
  </si>
  <si>
    <t>https://blog.naver.com/PostView.naver?blogId=prague38&amp;logNo=223893225780&amp;redirect=Dlog&amp;widgetTypeCall=true&amp;directAccess=false</t>
  </si>
  <si>
    <t>이경규 약물 운전으로 경찰 조사받아! 차량 절도는 무슨 일?</t>
  </si>
  <si>
    <t>https://blog.naver.com/PostView.naver?blogId=yacho1225&amp;logNo=223893216606&amp;redirect=Dlog&amp;widgetTypeCall=true&amp;directAccess=false</t>
  </si>
  <si>
    <t>다나와</t>
  </si>
  <si>
    <t>세계가 주목한 AI 영화 김민정 감독의 춘</t>
  </si>
  <si>
    <t>https://blog.naver.com/PostView.naver?blogId=danawaelec&amp;logNo=223893215919&amp;redirect=Dlog&amp;widgetTypeCall=true&amp;directAccess=false</t>
  </si>
  <si>
    <t>이음 심포니커 정기연주회 [선율로 잇는 신세계로의 여정]</t>
  </si>
  <si>
    <t>https://blog.naver.com/PostView.naver?blogId=babuli6&amp;logNo=223893206626&amp;redirect=Dlog&amp;widgetTypeCall=true&amp;directAccess=false</t>
  </si>
  <si>
    <t>쭈비</t>
  </si>
  <si>
    <t>[ 일상 ] 잔잔하지만</t>
  </si>
  <si>
    <t>https://blog.naver.com/PostView.naver?blogId=suubinjo&amp;logNo=223893206770&amp;redirect=Dlog&amp;widgetTypeCall=true&amp;directAccess=false</t>
  </si>
  <si>
    <t>시그널2 공개 일정 언제? 시즌1 이어 흥행할까 기다폭발</t>
  </si>
  <si>
    <t>https://blog.naver.com/PostView.naver?blogId=pkeunyoo&amp;logNo=223893200729&amp;redirect=Dlog&amp;widgetTypeCall=true&amp;directAccess=false</t>
  </si>
  <si>
    <t>숩니</t>
  </si>
  <si>
    <t>마산 오동동 맛집 마산오동동아구찜 본점</t>
  </si>
  <si>
    <t>https://blog.naver.com/PostView.naver?blogId=reine0456&amp;logNo=223893183809&amp;redirect=Dlog&amp;widgetTypeCall=true&amp;directAccess=false</t>
  </si>
  <si>
    <t>“장성군, 유네스코 세계유산 필암서원서 선비문화 축제 개최”</t>
  </si>
  <si>
    <t>https://blog.naver.com/PostView.naver?blogId=kbsn_kr&amp;logNo=223893171022&amp;redirect=Dlog&amp;widgetTypeCall=true&amp;directAccess=false</t>
  </si>
  <si>
    <t>순천시, 원도심 클러스터 상생협약 체결… 웹툰·애니메이션으로 도시재생 본격 시동</t>
  </si>
  <si>
    <t>https://blog.naver.com/PostView.naver?blogId=kbsn_kr&amp;logNo=223893161927&amp;redirect=Dlog&amp;widgetTypeCall=true&amp;directAccess=false</t>
  </si>
  <si>
    <t>유현</t>
  </si>
  <si>
    <t>인천 부천아트센터 콘서트홀 : BAC 오르간Ⅱ티에리 에스카이쉬 &amp; 로맹 를뢰 오르간 콘서트 후기 (1층 B구역 B열 A석 시야)</t>
  </si>
  <si>
    <t>https://blog.naver.com/PostView.naver?blogId=hyunofta&amp;logNo=223881763790&amp;redirect=Dlog&amp;widgetTypeCall=true&amp;directAccess=false</t>
  </si>
  <si>
    <t>화초</t>
  </si>
  <si>
    <t>25년 5월 일상_2</t>
  </si>
  <si>
    <t>https://blog.naver.com/PostView.naver?blogId=fsh06&amp;logNo=223893130961&amp;redirect=Dlog&amp;widgetTypeCall=true&amp;directAccess=false</t>
  </si>
  <si>
    <t>한자로 영어 배우기 ep.27: ‘정례화(定例化)’ 를 영어로?</t>
  </si>
  <si>
    <t>https://blog.naver.com/PostView.naver?blogId=mjk1m&amp;logNo=223893108320&amp;redirect=Dlog&amp;widgetTypeCall=true&amp;directAccess=false</t>
  </si>
  <si>
    <t>더비에</t>
  </si>
  <si>
    <t>어쩌자고 벌써 6월</t>
  </si>
  <si>
    <t>https://blog.naver.com/PostView.naver?blogId=j_wbf57&amp;logNo=223893091430&amp;redirect=Dlog&amp;widgetTypeCall=true&amp;directAccess=false</t>
  </si>
  <si>
    <t>“천안ㆍ아산 민심, 뼈아프게 느껴…더 낮은 자세로 다가가겠다”</t>
  </si>
  <si>
    <t>https://blog.naver.com/PostView.naver?blogId=camedia1212&amp;logNo=223893073892&amp;redirect=Dlog&amp;widgetTypeCall=true&amp;directAccess=false</t>
  </si>
  <si>
    <t>이범용</t>
  </si>
  <si>
    <t>치킨값 자율화와 공정거래 규제</t>
  </si>
  <si>
    <t>https://blog.naver.com/PostView.naver?blogId=hanggagong&amp;logNo=223893059883&amp;redirect=Dlog&amp;widgetTypeCall=true&amp;directAccess=false</t>
  </si>
  <si>
    <t>“왜 재건축 호가는 계속 오를까? 상승 원인과 대응 전략 분석”</t>
  </si>
  <si>
    <t>https://blog.naver.com/PostView.naver?blogId=bunnycoon-2&amp;logNo=223892991405&amp;redirect=Dlog&amp;widgetTypeCall=true&amp;directAccess=false</t>
  </si>
  <si>
    <t>[신평 “윤석열이 총리 안 시켜줬다고 원한의 칼날 세운 응석받이 홍준표…] 이태영.강원일보 -[요약] 정치 이야기라기보다 ”관상쟁이가 먹고 사는 이유“고 ”인성과 도리“의 이야기</t>
  </si>
  <si>
    <t>https://blog.naver.com/PostView.naver?blogId=cskw11&amp;logNo=223892990323&amp;redirect=Dlog&amp;widgetTypeCall=true&amp;directAccess=false</t>
  </si>
  <si>
    <t>★ 꿈///정유경</t>
  </si>
  <si>
    <t>https://blog.naver.com/PostView.naver?blogId=mbcswallow&amp;logNo=223892282639&amp;redirect=Dlog&amp;widgetTypeCall=true&amp;directAccess=false</t>
  </si>
  <si>
    <t>25/6/9/NV의 전략</t>
  </si>
  <si>
    <t>https://blog.naver.com/PostView.naver?blogId=gbho0914&amp;logNo=223892946362&amp;redirect=Dlog&amp;widgetTypeCall=true&amp;directAccess=false</t>
  </si>
  <si>
    <t>철산까치</t>
  </si>
  <si>
    <t>세가지 소통의 기술 - 김경일</t>
  </si>
  <si>
    <t>https://blog.naver.com/PostView.naver?blogId=sayyes702&amp;logNo=223892943221&amp;redirect=Dlog&amp;widgetTypeCall=true&amp;directAccess=false</t>
  </si>
  <si>
    <t>“25세 연하 아내 최초 공개”…박영규, 데미 무어 닮은 아내 소개</t>
  </si>
  <si>
    <t>https://blog.naver.com/PostView.naver?blogId=newswa_official&amp;logNo=223892762808&amp;redirect=Dlog&amp;widgetTypeCall=true&amp;directAccess=false</t>
  </si>
  <si>
    <t>이경규 약물 음성 반응?.. 운전 중 대체 무슨 일이</t>
  </si>
  <si>
    <t>https://blog.naver.com/PostView.naver?blogId=rozz0697&amp;logNo=223892936555&amp;redirect=Dlog&amp;widgetTypeCall=true&amp;directAccess=false</t>
  </si>
  <si>
    <t>6. 9(월) 경찰관련기사</t>
  </si>
  <si>
    <t>https://blog.naver.com/PostView.naver?blogId=tobiaspia&amp;logNo=223892930628&amp;redirect=Dlog&amp;widgetTypeCall=true&amp;directAccess=false</t>
  </si>
  <si>
    <t>동네 한바퀴</t>
  </si>
  <si>
    <t>먹는 물이 위험하다.</t>
  </si>
  <si>
    <t>https://blog.naver.com/PostView.naver?blogId=rkd8790&amp;logNo=223892912714&amp;redirect=Dlog&amp;widgetTypeCall=true&amp;directAccess=false</t>
  </si>
  <si>
    <t>산수국이 길가에 피었다</t>
  </si>
  <si>
    <t>https://blog.naver.com/PostView.naver?blogId=yosupia&amp;logNo=223892863482&amp;redirect=Dlog&amp;widgetTypeCall=true&amp;directAccess=false</t>
  </si>
  <si>
    <t>방탄소년단 뷔 연기 욕심, 엄태화 감독 극찬: '러브 윈즈 올' 비하인드</t>
  </si>
  <si>
    <t>https://blog.naver.com/PostView.naver?blogId=yooju0913&amp;logNo=223892863416&amp;redirect=Dlog&amp;widgetTypeCall=true&amp;directAccess=false</t>
  </si>
  <si>
    <t>미미미미쩡</t>
  </si>
  <si>
    <t>&lt;&lt; 미지의 서울 &gt;&gt;</t>
  </si>
  <si>
    <t>https://blog.naver.com/PostView.naver?blogId=mimimimijjung&amp;logNo=223892835203&amp;redirect=Dlog&amp;widgetTypeCall=true&amp;directAccess=false</t>
  </si>
  <si>
    <t>과천표구사화랑기획</t>
  </si>
  <si>
    <t>의왕시 백운호수공원 개장축제</t>
  </si>
  <si>
    <t>https://blog.naver.com/PostView.naver?blogId=ldv1004&amp;logNo=223892037109&amp;redirect=Dlog&amp;widgetTypeCall=true&amp;directAccess=false</t>
  </si>
  <si>
    <t>허니버터칩</t>
  </si>
  <si>
    <t>[미국 일상🇺🇸] 08. 토론토 기억여행🇨🇦</t>
  </si>
  <si>
    <t>https://blog.naver.com/PostView.naver?blogId=honeybee4518&amp;logNo=223892811010&amp;redirect=Dlog&amp;widgetTypeCall=true&amp;directAccess=false</t>
  </si>
  <si>
    <t>SUMMER T</t>
  </si>
  <si>
    <t>클래식 부산  「2025년 클래식 파크콘서트」 다녀오다! 선우예권, 정명훈, kbs교향악단</t>
  </si>
  <si>
    <t>https://blog.naver.com/PostView.naver?blogId=pepezzang_&amp;logNo=223892804267&amp;redirect=Dlog&amp;widgetTypeCall=true&amp;directAccess=false</t>
  </si>
  <si>
    <t>김유정, 베트남 여유로운 휴가와 새로운 작품 소식</t>
  </si>
  <si>
    <t>https://blog.naver.com/PostView.naver?blogId=fortenball&amp;logNo=223892782939&amp;redirect=Dlog&amp;widgetTypeCall=true&amp;directAccess=false</t>
  </si>
  <si>
    <t>해나</t>
  </si>
  <si>
    <t>부산시민공원 2025 클래식 파크콘서트 후기</t>
  </si>
  <si>
    <t>https://blog.naver.com/PostView.naver?blogId=chna1212&amp;logNo=223892713721&amp;redirect=Dlog&amp;widgetTypeCall=true&amp;directAccess=false</t>
  </si>
  <si>
    <t>슬기로운 사모님</t>
  </si>
  <si>
    <t>부산KBS홀 근처 맛집 아이랑 식사 가능한 남천 &lt;제일칼국수&gt;</t>
  </si>
  <si>
    <t>https://blog.naver.com/PostView.naver?blogId=happyillust_&amp;logNo=223892698651&amp;redirect=Dlog&amp;widgetTypeCall=true&amp;directAccess=false</t>
  </si>
  <si>
    <t>sue k</t>
  </si>
  <si>
    <t>2025 클래식 파크콘서트</t>
  </si>
  <si>
    <t>https://blog.naver.com/PostView.naver?blogId=malgihj&amp;logNo=223892698808&amp;redirect=Dlog&amp;widgetTypeCall=true&amp;directAccess=false</t>
  </si>
  <si>
    <t>이로비</t>
  </si>
  <si>
    <t>2025 서울국악축제 "다시 찾은 의정부터, 모두 함께 여민락"</t>
  </si>
  <si>
    <t>https://blog.naver.com/PostView.naver?blogId=irobii&amp;logNo=223892683691&amp;redirect=Dlog&amp;widgetTypeCall=true&amp;directAccess=false</t>
  </si>
  <si>
    <t>광화문 경복궁 중앙청 경무대 조선총독부</t>
  </si>
  <si>
    <t>https://blog.naver.com/PostView.naver?blogId=jyou153&amp;logNo=223892669730&amp;redirect=Dlog&amp;widgetTypeCall=true&amp;directAccess=false</t>
  </si>
  <si>
    <t>거창 여행) 거창 창포원 - 경남 제1호 지방 정원</t>
  </si>
  <si>
    <t>https://blog.naver.com/PostView.naver?blogId=koo9953&amp;logNo=223892642878&amp;redirect=Dlog&amp;widgetTypeCall=true&amp;directAccess=false</t>
  </si>
  <si>
    <t>빈집</t>
  </si>
  <si>
    <t>뮤트 라이프_20250606~08, 황산공원, 황령산, 카페 밭개, 클래식 파크콘서트, 듀얼 브레인</t>
  </si>
  <si>
    <t>https://blog.naver.com/PostView.naver?blogId=gtblanc&amp;logNo=223892632839&amp;redirect=Dlog&amp;widgetTypeCall=true&amp;directAccess=false</t>
  </si>
  <si>
    <t>세아</t>
  </si>
  <si>
    <t>60일째. 돈 쓰는게 즐거운 상황은?</t>
  </si>
  <si>
    <t>https://blog.naver.com/PostView.naver?blogId=luv_sea103&amp;logNo=223892623712&amp;redirect=Dlog&amp;widgetTypeCall=true&amp;directAccess=false</t>
  </si>
  <si>
    <t>제28회 강원특별자치도 환경대상 시상식 개최</t>
  </si>
  <si>
    <t>https://blog.naver.com/PostView.naver?blogId=kwtimes&amp;logNo=223892606947&amp;redirect=Dlog&amp;widgetTypeCall=true&amp;directAccess=false</t>
  </si>
  <si>
    <t>“사랑과 가족 사이, 갈등 끝에 피어난 진심 – ‘독수리 5형제’ 38화” + 39화 예고</t>
  </si>
  <si>
    <t>https://blog.naver.com/PostView.naver?blogId=roh119j&amp;logNo=223892573398&amp;redirect=Dlog&amp;widgetTypeCall=true&amp;directAccess=false</t>
  </si>
  <si>
    <t>오혜성 MC</t>
  </si>
  <si>
    <t>장형갑</t>
  </si>
  <si>
    <t>신민주정치</t>
  </si>
  <si>
    <t>https://blog.naver.com/PostView.naver?blogId=kabdoll77&amp;logNo=223892540571&amp;redirect=Dlog&amp;widgetTypeCall=true&amp;directAccess=false</t>
  </si>
  <si>
    <t>로킴</t>
  </si>
  <si>
    <t>김세화·이영식 ‘겨울 이야기’</t>
  </si>
  <si>
    <t>https://blog.naver.com/PostView.naver?blogId=kwyhg&amp;logNo=223892538206&amp;redirect=Dlog&amp;widgetTypeCall=true&amp;directAccess=false</t>
  </si>
  <si>
    <t>독수리 오형제를 부탁해 나영은 등판? 38회 하니 엄마 ♥ 범수 독고세리 주말드라마 추천</t>
  </si>
  <si>
    <t>https://blog.naver.com/PostView.naver?blogId=chummilmil99&amp;logNo=223892494736&amp;redirect=Dlog&amp;widgetTypeCall=true&amp;directAccess=false</t>
  </si>
  <si>
    <t>&lt;인문/사회&gt; 김부선, 이재명 대통령 스캔들 재점화… 아들 문제로 격앙된 목소리</t>
  </si>
  <si>
    <t>https://blog.naver.com/PostView.naver?blogId=nicodemus4620&amp;logNo=223892491394&amp;redirect=Dlog&amp;widgetTypeCall=true&amp;directAccess=false</t>
  </si>
  <si>
    <t>Pauline</t>
  </si>
  <si>
    <t>이디야커피 민트모히또 라떼 가격 후기</t>
  </si>
  <si>
    <t>https://blog.naver.com/PostView.naver?blogId=yttpray&amp;logNo=223892454949&amp;redirect=Dlog&amp;widgetTypeCall=true&amp;directAccess=false</t>
  </si>
  <si>
    <t>열린음악회 소찬휘</t>
  </si>
  <si>
    <t>https://blog.naver.com/PostView.naver?blogId=shin_md1&amp;logNo=223892451663&amp;redirect=Dlog&amp;widgetTypeCall=true&amp;directAccess=false</t>
  </si>
  <si>
    <t>008. 감</t>
  </si>
  <si>
    <t>https://blog.naver.com/PostView.naver?blogId=shin2002555&amp;logNo=223892435971&amp;redirect=Dlog&amp;widgetTypeCall=true&amp;directAccess=false</t>
  </si>
  <si>
    <t>[한국장애인고용공단] 정규직 입사지원서 작성 후기</t>
  </si>
  <si>
    <t>https://blog.naver.com/PostView.naver?blogId=oriona627&amp;logNo=223892423023&amp;redirect=Dlog&amp;widgetTypeCall=true&amp;directAccess=false</t>
  </si>
  <si>
    <t>uhank6259</t>
  </si>
  <si>
    <t>S. 스펜더씨의 인상</t>
  </si>
  <si>
    <t>https://blog.naver.com/PostView.naver?blogId=uhank6259&amp;logNo=223892402020&amp;redirect=Dlog&amp;widgetTypeCall=true&amp;directAccess=false</t>
  </si>
  <si>
    <t>지둥</t>
  </si>
  <si>
    <t>창문을 연 것만 같이 쏟아져오는 바람처럼</t>
  </si>
  <si>
    <t>https://blog.naver.com/PostView.naver?blogId=nuff_said&amp;logNo=223892399935&amp;redirect=Dlog&amp;widgetTypeCall=true&amp;directAccess=false</t>
  </si>
  <si>
    <t>릴리에이</t>
  </si>
  <si>
    <t>2025  파크콘서트 조수미 부산시민공원 8일 정명훈</t>
  </si>
  <si>
    <t>https://blog.naver.com/PostView.naver?blogId=this7970&amp;logNo=223892372696&amp;redirect=Dlog&amp;widgetTypeCall=true&amp;directAccess=false</t>
  </si>
  <si>
    <t>조리퀸</t>
  </si>
  <si>
    <t>🌟 Lights will guide you home 🏡</t>
  </si>
  <si>
    <t>https://blog.naver.com/PostView.naver?blogId=gaeun8268&amp;logNo=223892360588&amp;redirect=Dlog&amp;widgetTypeCall=true&amp;directAccess=false</t>
  </si>
  <si>
    <t>정병혁</t>
  </si>
  <si>
    <t>Getting Better</t>
  </si>
  <si>
    <t>https://blog.naver.com/PostView.naver?blogId=byunghyuk_andy&amp;logNo=223892360371&amp;redirect=Dlog&amp;widgetTypeCall=true&amp;directAccess=false</t>
  </si>
  <si>
    <t>골드프로</t>
  </si>
  <si>
    <t>전국노래자랑 아산시</t>
  </si>
  <si>
    <t>https://blog.naver.com/PostView.naver?blogId=lws0077&amp;logNo=223892309542&amp;redirect=Dlog&amp;widgetTypeCall=true&amp;directAccess=false</t>
  </si>
  <si>
    <t>여리</t>
  </si>
  <si>
    <t>[습관기록] 5월의 습관_유튜브 대신 라디오, 뉴스레터, 독서</t>
  </si>
  <si>
    <t>https://blog.naver.com/PostView.naver?blogId=lakeofyeoli&amp;logNo=223892261582&amp;redirect=Dlog&amp;widgetTypeCall=true&amp;directAccess=false</t>
  </si>
  <si>
    <t>살림하는 남자들2 살림남 408회 박서진이 싸인 10장한 사연, 홍지윤과 결혼설 입열다.</t>
  </si>
  <si>
    <t>https://blog.naver.com/PostView.naver?blogId=tobao0318&amp;logNo=223892254926&amp;redirect=Dlog&amp;widgetTypeCall=true&amp;directAccess=false</t>
  </si>
  <si>
    <t>영원한 국민 MC' 故 송해, 별세 3주기…35년 '전국노래자랑'과 함께한 전설의 발자취</t>
  </si>
  <si>
    <t>https://blog.naver.com/PostView.naver?blogId=lsb3002&amp;logNo=223892235068&amp;redirect=Dlog&amp;widgetTypeCall=true&amp;directAccess=false</t>
  </si>
  <si>
    <t>살림남 박영규 25세연하 아내 최초공개 _ 4번째 결혼</t>
  </si>
  <si>
    <t>https://blog.naver.com/PostView.naver?blogId=pinpoy&amp;logNo=223892217720&amp;redirect=Dlog&amp;widgetTypeCall=true&amp;directAccess=false</t>
  </si>
  <si>
    <t>슈타인</t>
  </si>
  <si>
    <t>박서진 살림남2 아들 공개 다시보기</t>
  </si>
  <si>
    <t>https://blog.naver.com/PostView.naver?blogId=niceyk12&amp;logNo=223892209906&amp;redirect=Dlog&amp;widgetTypeCall=true&amp;directAccess=false</t>
  </si>
  <si>
    <t>박영규 아내 공개 25세 연하 방송 최초 "데미 무어 닮은꼴"</t>
  </si>
  <si>
    <t>https://blog.naver.com/PostView.naver?blogId=wwioa__&amp;logNo=223892187248&amp;redirect=Dlog&amp;widgetTypeCall=true&amp;directAccess=false</t>
  </si>
  <si>
    <t>김병현 메이저리그 입단 역대 최고 계약금 225만 달러</t>
  </si>
  <si>
    <t>https://blog.naver.com/PostView.naver?blogId=wwioa__&amp;logNo=223892181519&amp;redirect=Dlog&amp;widgetTypeCall=true&amp;directAccess=false</t>
  </si>
  <si>
    <t>김용태, 이재명 대통령 재판 공세와 비상계엄 논란</t>
  </si>
  <si>
    <t>https://blog.naver.com/PostView.naver?blogId=creta22&amp;logNo=223892168343&amp;redirect=Dlog&amp;widgetTypeCall=true&amp;directAccess=false</t>
  </si>
  <si>
    <t>KBO 2025.06.08(일) NC 다이노스 : 삼성 라이온즈 선발 분석 및 경기 프리뷰</t>
  </si>
  <si>
    <t>https://blog.naver.com/PostView.naver?blogId=k_reporter_&amp;logNo=223892145043&amp;redirect=Dlog&amp;widgetTypeCall=true&amp;directAccess=false</t>
  </si>
  <si>
    <t>heritagephoto</t>
  </si>
  <si>
    <t>&lt;대구시립박물관&gt;을 환기하며...</t>
  </si>
  <si>
    <t>https://blog.naver.com/PostView.naver?blogId=heritage-photo&amp;logNo=223892138507&amp;redirect=Dlog&amp;widgetTypeCall=true&amp;directAccess=false</t>
  </si>
  <si>
    <t>세실버</t>
  </si>
  <si>
    <t>이태원 러시아 음식점 트로이카 후기</t>
  </si>
  <si>
    <t>https://blog.naver.com/PostView.naver?blogId=angmoosen&amp;logNo=223891750158&amp;redirect=Dlog&amp;widgetTypeCall=true&amp;directAccess=false</t>
  </si>
  <si>
    <t>Yulyul</t>
  </si>
  <si>
    <t>2025/6/5 kbs 교향악단 마스터즈 시리즈 - 브람스 III, IV</t>
  </si>
  <si>
    <t>https://blog.naver.com/PostView.naver?blogId=yulyul8383&amp;logNo=223892124243&amp;redirect=Dlog&amp;widgetTypeCall=true&amp;directAccess=false</t>
  </si>
  <si>
    <t>김홍배</t>
  </si>
  <si>
    <t>아름다운 하모니의 듀엣 &lt;4월과 5월&gt;이야기</t>
  </si>
  <si>
    <t>https://blog.naver.com/PostView.naver?blogId=whitebirchkim&amp;logNo=223892118963&amp;redirect=Dlog&amp;widgetTypeCall=true&amp;directAccess=false</t>
  </si>
  <si>
    <t>뇌동맥류 투병 머릿속 시한폭탄 정일우 산티아고 순례길에서 찾은 삶의 희망</t>
  </si>
  <si>
    <t>https://blog.naver.com/PostView.naver?blogId=qnzjn8&amp;logNo=223892105725&amp;redirect=Dlog&amp;widgetTypeCall=true&amp;directAccess=false</t>
  </si>
  <si>
    <t>오늘저장꾼</t>
  </si>
  <si>
    <t>明見萬理, " 착한 소비 "</t>
  </si>
  <si>
    <t>https://blog.naver.com/PostView.naver?blogId=egp3108&amp;logNo=223891711969&amp;redirect=Dlog&amp;widgetTypeCall=true&amp;directAccess=false</t>
  </si>
  <si>
    <t>부산 시민공원 2025 클래식 파크 콘서트 조수미 김현수 콘서트 개관 기념</t>
  </si>
  <si>
    <t>https://blog.naver.com/PostView.naver?blogId=pink_mywhale&amp;logNo=223892048634&amp;redirect=Dlog&amp;widgetTypeCall=true&amp;directAccess=false</t>
  </si>
  <si>
    <t>생활단문 2208              한통의 전화       -이ㅇ하 선배님의 전화-                  벽공(碧空)/월 김선동</t>
  </si>
  <si>
    <t>https://blog.naver.com/PostView.naver?blogId=announcersdkim&amp;logNo=223892042611&amp;redirect=Dlog&amp;widgetTypeCall=true&amp;directAccess=false</t>
  </si>
  <si>
    <t>이승엽 변호사 프로필 및 이재명 대통령이 지명하는 헌법재판관 후보자?헌법재판소 입성?</t>
  </si>
  <si>
    <t>https://blog.naver.com/PostView.naver?blogId=invest10000&amp;logNo=223892029171&amp;redirect=Dlog&amp;widgetTypeCall=true&amp;directAccess=false</t>
  </si>
  <si>
    <t>을축년생 2025년 소띠운세, 특성 총정리, "사주와 풍수지리로 보는 인생 흐름”</t>
  </si>
  <si>
    <t>https://blog.naver.com/PostView.naver?blogId=sk4421&amp;logNo=223891816641&amp;redirect=Dlog&amp;widgetTypeCall=true&amp;directAccess=false</t>
  </si>
  <si>
    <t>레몬빛향기</t>
  </si>
  <si>
    <t>2025년 6월 4일 수요일 삼시세끼</t>
  </si>
  <si>
    <t>https://blog.naver.com/PostView.naver?blogId=eunbin0504&amp;logNo=223891886402&amp;redirect=Dlog&amp;widgetTypeCall=true&amp;directAccess=false</t>
  </si>
  <si>
    <t>엔하이픈 니키, 중학교 2학년 때 한국에… 박보검 나이에 깜짝 놀랐다</t>
  </si>
  <si>
    <t>https://blog.naver.com/PostView.naver?blogId=tmrlahxhdbal&amp;logNo=223891833668&amp;redirect=Dlog&amp;widgetTypeCall=true&amp;directAccess=false</t>
  </si>
  <si>
    <t>현</t>
  </si>
  <si>
    <t>2025년 6월 15일 일요일</t>
  </si>
  <si>
    <t>https://blog.naver.com/PostView.naver?blogId=macho2081&amp;logNo=223900345352&amp;redirect=Dlog&amp;widgetTypeCall=true&amp;directAccess=false</t>
  </si>
  <si>
    <t>의대생세리</t>
  </si>
  <si>
    <t>아주 오랜만의 근황. 의대&amp;치대 합격과 결혼 준비.</t>
  </si>
  <si>
    <t>https://blog.naver.com/PostView.naver?blogId=yoonseri12&amp;logNo=223900343673&amp;redirect=Dlog&amp;widgetTypeCall=true&amp;directAccess=false</t>
  </si>
  <si>
    <t>KBS2 주말 드라마 독수리 5형제를 부탁해! 40회</t>
  </si>
  <si>
    <t>https://blog.naver.com/PostView.naver?blogId=spring_hmong&amp;logNo=223900341319&amp;redirect=Dlog&amp;widgetTypeCall=true&amp;directAccess=false</t>
  </si>
  <si>
    <t>Ryan</t>
  </si>
  <si>
    <t>AI 로봇 기술의 진화와 다양한 활용 분야</t>
  </si>
  <si>
    <t>https://blog.naver.com/PostView.naver?blogId=ryan-2369&amp;logNo=223900327464&amp;redirect=Dlog&amp;widgetTypeCall=true&amp;directAccess=false</t>
  </si>
  <si>
    <t>kimina_read</t>
  </si>
  <si>
    <t>나와의 대화 - 당신이 가장 행복한 길 by 박성주</t>
  </si>
  <si>
    <t>https://blog.naver.com/PostView.naver?blogId=kimina_read&amp;logNo=223900322388&amp;redirect=Dlog&amp;widgetTypeCall=true&amp;directAccess=false</t>
  </si>
  <si>
    <t>한제헌 혹은 제프리</t>
  </si>
  <si>
    <t>2025년 6월의 기록 part.1</t>
  </si>
  <si>
    <t>https://blog.naver.com/PostView.naver?blogId=jefree0530&amp;logNo=223900318128&amp;redirect=Dlog&amp;widgetTypeCall=true&amp;directAccess=false</t>
  </si>
  <si>
    <t>6월 시~~작</t>
  </si>
  <si>
    <t>https://blog.naver.com/PostView.naver?blogId=hgh9415&amp;logNo=223900308207&amp;redirect=Dlog&amp;widgetTypeCall=true&amp;directAccess=false</t>
  </si>
  <si>
    <t>미루</t>
  </si>
  <si>
    <t>202505-week3</t>
  </si>
  <si>
    <t>https://blog.naver.com/PostView.naver?blogId=cutemiru&amp;logNo=223900281697&amp;redirect=Dlog&amp;widgetTypeCall=true&amp;directAccess=false</t>
  </si>
  <si>
    <t>“[투자이야기] 2025년 6월 원달러 환율 긴급 분석 및 전망 feat. 이스라엘-이란 분쟁” 의 영상 요약</t>
  </si>
  <si>
    <t>https://blog.naver.com/PostView.naver?blogId=lucidjun&amp;logNo=223900269518&amp;redirect=Dlog&amp;widgetTypeCall=true&amp;directAccess=false</t>
  </si>
  <si>
    <t>박영규, 25살 연하 아내 첫 공개! “이 얼굴이면 이해 간다” 반응 폭발</t>
  </si>
  <si>
    <t>https://blog.naver.com/PostView.naver?blogId=gtfriends1&amp;logNo=223900266850&amp;redirect=Dlog&amp;widgetTypeCall=true&amp;directAccess=false</t>
  </si>
  <si>
    <t>hanzawa8591</t>
  </si>
  <si>
    <t>사장님 귀는 당나귀 귀 20250615</t>
  </si>
  <si>
    <t>https://blog.naver.com/PostView.naver?blogId=hanzawa8591&amp;logNo=223900254956&amp;redirect=Dlog&amp;widgetTypeCall=true&amp;directAccess=false</t>
  </si>
  <si>
    <t>창돌이</t>
  </si>
  <si>
    <t>25.06.15 일요일</t>
  </si>
  <si>
    <t>https://blog.naver.com/PostView.naver?blogId=changdollee&amp;logNo=223900244716&amp;redirect=Dlog&amp;widgetTypeCall=true&amp;directAccess=false</t>
  </si>
  <si>
    <t>dls4222</t>
  </si>
  <si>
    <t>&lt;경상남도 사천&gt; 사천 남일대 해수욕장으로 구경오세요♬♬♬♬</t>
  </si>
  <si>
    <t>https://blog.naver.com/PostView.naver?blogId=dls4222&amp;logNo=223900230203&amp;redirect=Dlog&amp;widgetTypeCall=true&amp;directAccess=false</t>
  </si>
  <si>
    <t>별명을 입력하세요</t>
  </si>
  <si>
    <t>(6월 1~2주) 문경 사촌모임</t>
  </si>
  <si>
    <t>https://blog.naver.com/PostView.naver?blogId=mickeyeod&amp;logNo=223900211705&amp;redirect=Dlog&amp;widgetTypeCall=true&amp;directAccess=false</t>
  </si>
  <si>
    <t>뉴욕 할렘 베티 박 식당 할렘 소울푸드 레스토랑 만나스</t>
  </si>
  <si>
    <t>https://blog.naver.com/PostView.naver?blogId=jmjm3060&amp;logNo=223900211383&amp;redirect=Dlog&amp;widgetTypeCall=true&amp;directAccess=false</t>
  </si>
  <si>
    <t>예쁜꽃가시로</t>
  </si>
  <si>
    <t>5월에 본 영화</t>
  </si>
  <si>
    <t>https://blog.naver.com/PostView.naver?blogId=soopresents&amp;logNo=223900194646&amp;redirect=Dlog&amp;widgetTypeCall=true&amp;directAccess=false</t>
  </si>
  <si>
    <t>콩슈리</t>
  </si>
  <si>
    <t>일하실게요(?)</t>
  </si>
  <si>
    <t>https://blog.naver.com/PostView.naver?blogId=seul694&amp;logNo=223900166790&amp;redirect=Dlog&amp;widgetTypeCall=true&amp;directAccess=false</t>
  </si>
  <si>
    <t>니니</t>
  </si>
  <si>
    <t>한해 주먹의 힘은 강력했다. #한해 #이찬원 #어디든가요</t>
  </si>
  <si>
    <t>https://blog.naver.com/PostView.naver?blogId=smr102&amp;logNo=223900162149&amp;redirect=Dlog&amp;widgetTypeCall=true&amp;directAccess=false</t>
  </si>
  <si>
    <t>"신혼 끝! 현실 복귀" 김종민, 19일간의 프랑스 허니문 마치고 귀국…'1박2일' 새신랑 컴백 예고</t>
  </si>
  <si>
    <t>https://blog.naver.com/PostView.naver?blogId=apahghfej&amp;logNo=223900161020&amp;redirect=Dlog&amp;widgetTypeCall=true&amp;directAccess=false</t>
  </si>
  <si>
    <t>제25회 대전국제음악제 [크리슈토프 바라티, 정나라 &amp; DCMF 오케스트라]</t>
  </si>
  <si>
    <t>https://blog.naver.com/PostView.naver?blogId=babuli6&amp;logNo=223900131253&amp;redirect=Dlog&amp;widgetTypeCall=true&amp;directAccess=false</t>
  </si>
  <si>
    <t>river lantern</t>
  </si>
  <si>
    <t>회계관리 1급 준비</t>
  </si>
  <si>
    <t>https://blog.naver.com/PostView.naver?blogId=valuablelife___&amp;logNo=223900126180&amp;redirect=Dlog&amp;widgetTypeCall=true&amp;directAccess=false</t>
  </si>
  <si>
    <t>독수리 오형제를 부탁해 한동석 장모? 40회 강수 ♥ 한봄 한결 주말드라마 추천</t>
  </si>
  <si>
    <t>https://blog.naver.com/PostView.naver?blogId=chummilmil99&amp;logNo=223900119204&amp;redirect=Dlog&amp;widgetTypeCall=true&amp;directAccess=false</t>
  </si>
  <si>
    <t>기쁜 은방울꽃</t>
  </si>
  <si>
    <t>진짜 자존감. 정신과 전문의 신영철</t>
  </si>
  <si>
    <t>https://blog.naver.com/PostView.naver?blogId=delight-100412&amp;logNo=223900115665&amp;redirect=Dlog&amp;widgetTypeCall=true&amp;directAccess=false</t>
  </si>
  <si>
    <t>믿는 자만이 행복해질 수 있다는 건 진짜일까</t>
  </si>
  <si>
    <t>https://blog.naver.com/PostView.naver?blogId=shinjo19&amp;logNo=223900092808&amp;redirect=Dlog&amp;widgetTypeCall=true&amp;directAccess=false</t>
  </si>
  <si>
    <t>“쑥덕거리는 게 싫다” 은지원, 재혼 후 아내 공개에 대한 속마음 고백</t>
  </si>
  <si>
    <t>https://blog.naver.com/PostView.naver?blogId=apahghfej&amp;logNo=223900086578&amp;redirect=Dlog&amp;widgetTypeCall=true&amp;directAccess=false</t>
  </si>
  <si>
    <t>크리스티J</t>
  </si>
  <si>
    <t>The GOAT: 왕의 위엄, 그러나...</t>
  </si>
  <si>
    <t>https://blog.naver.com/PostView.naver?blogId=tjdgus3013&amp;logNo=223900078263&amp;redirect=Dlog&amp;widgetTypeCall=true&amp;directAccess=false</t>
  </si>
  <si>
    <t>박영규, 25세 연하 아내 최초 공개</t>
  </si>
  <si>
    <t>https://blog.naver.com/PostView.naver?blogId=creta22&amp;logNo=223900030285&amp;redirect=Dlog&amp;widgetTypeCall=true&amp;directAccess=false</t>
  </si>
  <si>
    <t>배준영 의원 “김민석 총리 후보자 청문회, 이틀로는 부족…연장 논의할 것”</t>
  </si>
  <si>
    <t>https://blog.naver.com/PostView.naver?blogId=factinnews777&amp;logNo=223899991116&amp;redirect=Dlog&amp;widgetTypeCall=true&amp;directAccess=false</t>
  </si>
  <si>
    <t>모꼬지</t>
  </si>
  <si>
    <t>KBS뉴스 대참사, 현재 커뮤니티에서 난리, 지금은 모자이크 처리.</t>
  </si>
  <si>
    <t>https://blog.naver.com/PostView.naver?blogId=semtl09&amp;logNo=223899980326&amp;redirect=Dlog&amp;widgetTypeCall=true&amp;directAccess=false</t>
  </si>
  <si>
    <t>단지 내 반려견 산책 금지' 어떻게 생각하세요…투표 결과는</t>
  </si>
  <si>
    <t>https://blog.naver.com/PostView.naver?blogId=yfish66&amp;logNo=223899966426&amp;redirect=Dlog&amp;widgetTypeCall=true&amp;directAccess=false</t>
  </si>
  <si>
    <t>성수에서 열린 ‘유튜브 팬페스트 코리아 2025’, 팝업과 라이브쇼 개최</t>
  </si>
  <si>
    <t>https://blog.naver.com/PostView.naver?blogId=twinkaka&amp;logNo=223899964992&amp;redirect=Dlog&amp;widgetTypeCall=true&amp;directAccess=false</t>
  </si>
  <si>
    <t>이탈</t>
  </si>
  <si>
    <t>[클래식] KBS교향악단 x 정명훈의 브람스 III, IV (브람스 교향곡 3번, 4번 후기)</t>
  </si>
  <si>
    <t>https://blog.naver.com/PostView.naver?blogId=v_ital_ity&amp;logNo=223899948705&amp;redirect=Dlog&amp;widgetTypeCall=true&amp;directAccess=false</t>
  </si>
  <si>
    <t>특별조치법상 추정력</t>
  </si>
  <si>
    <t>https://blog.naver.com/PostView.naver?blogId=aickim2009&amp;logNo=223899935012&amp;redirect=Dlog&amp;widgetTypeCall=true&amp;directAccess=false</t>
  </si>
  <si>
    <t>달리기 좋은 계절은 지나고.</t>
  </si>
  <si>
    <t>https://blog.naver.com/PostView.naver?blogId=celivre&amp;logNo=223899919696&amp;redirect=Dlog&amp;widgetTypeCall=true&amp;directAccess=false</t>
  </si>
  <si>
    <t>리따</t>
  </si>
  <si>
    <t>앰배서더 서울 풀만 호텔 호캉스 | 룸컨디션, 조식, 수영장</t>
  </si>
  <si>
    <t>https://blog.naver.com/PostView.naver?blogId=nurijin485&amp;logNo=223899913659&amp;redirect=Dlog&amp;widgetTypeCall=true&amp;directAccess=false</t>
  </si>
  <si>
    <t>수아의 리뷰기록</t>
  </si>
  <si>
    <t>신용산 동네사람, 숙성사시미와 막걸리 맛집 탐방</t>
  </si>
  <si>
    <t>https://blog.naver.com/PostView.naver?blogId=61mmovokpx&amp;logNo=223897189659&amp;redirect=Dlog&amp;widgetTypeCall=true&amp;directAccess=false</t>
  </si>
  <si>
    <t>비아</t>
  </si>
  <si>
    <t>20250615 일기</t>
  </si>
  <si>
    <t>https://blog.naver.com/PostView.naver?blogId=yangkiss2&amp;logNo=223899856249&amp;redirect=Dlog&amp;widgetTypeCall=true&amp;directAccess=false</t>
  </si>
  <si>
    <t>양달</t>
  </si>
  <si>
    <t>KBS 불후의 명곡 방청 당첨 방법 및 후기/꿀팁!</t>
  </si>
  <si>
    <t>https://blog.naver.com/PostView.naver?blogId=2song109&amp;logNo=223899837868&amp;redirect=Dlog&amp;widgetTypeCall=true&amp;directAccess=false</t>
  </si>
  <si>
    <t>헬스인</t>
  </si>
  <si>
    <t>지락실보다가 드라마 ‘미안하다, 사랑한다’ 10줄로 정리</t>
  </si>
  <si>
    <t>https://blog.naver.com/PostView.naver?blogId=narara1977&amp;logNo=223899822631&amp;redirect=Dlog&amp;widgetTypeCall=true&amp;directAccess=false</t>
  </si>
  <si>
    <t>아이돌나라</t>
  </si>
  <si>
    <t>이찬원, ’여자친구‘ 최초 공개…</t>
  </si>
  <si>
    <t>https://blog.naver.com/PostView.naver?blogId=rlagos99&amp;logNo=223899815833&amp;redirect=Dlog&amp;widgetTypeCall=true&amp;directAccess=false</t>
  </si>
  <si>
    <t>71세 박영규 25세 연하 아내 이윤주 첫 공개…4번째 결혼·장모와 7살 차이·가정사까지 화제</t>
  </si>
  <si>
    <t>https://blog.naver.com/PostView.naver?blogId=dejeanbach&amp;logNo=223899801556&amp;redirect=Dlog&amp;widgetTypeCall=true&amp;directAccess=false</t>
  </si>
  <si>
    <t>오광수 자진사퇴</t>
  </si>
  <si>
    <t>https://blog.naver.com/PostView.naver?blogId=clearinghouse&amp;logNo=223899796243&amp;redirect=Dlog&amp;widgetTypeCall=true&amp;directAccess=false</t>
  </si>
  <si>
    <t>지혜열기 정학장</t>
  </si>
  <si>
    <t>한국의 벤자민 프랭클린 서재필박사</t>
  </si>
  <si>
    <t>https://blog.naver.com/PostView.naver?blogId=chungfam&amp;logNo=223899789745&amp;redirect=Dlog&amp;widgetTypeCall=true&amp;directAccess=false</t>
  </si>
  <si>
    <t>윤씨의방</t>
  </si>
  <si>
    <t>민바리 매운탕 - 파주 민물 메기 잡탕으로 매운탕에 눈을 뜨다</t>
  </si>
  <si>
    <t>https://blog.naver.com/PostView.naver?blogId=visezdemine&amp;logNo=223899367846&amp;redirect=Dlog&amp;widgetTypeCall=true&amp;directAccess=false</t>
  </si>
  <si>
    <t>박영규, 25세 연하 아내 드디어 공개! 채시라…아니, 첫 만남부터 초고속 재혼 풀스토리 (+나이, 재혼, 러브스토리)</t>
  </si>
  <si>
    <t>https://blog.naver.com/PostView.naver?blogId=qoswlfdl-&amp;logNo=223899787187&amp;redirect=Dlog&amp;widgetTypeCall=true&amp;directAccess=false</t>
  </si>
  <si>
    <t>이혜성, 결별 3년 만에 드디어 새 출발…"연애에 도움을 준" 고백</t>
  </si>
  <si>
    <t>https://blog.naver.com/PostView.naver?blogId=raspberry7322&amp;logNo=223899784543&amp;redirect=Dlog&amp;widgetTypeCall=true&amp;directAccess=false</t>
  </si>
  <si>
    <t>[일기] 2025. 06. 14</t>
  </si>
  <si>
    <t>https://blog.naver.com/PostView.naver?blogId=slow_sloth_&amp;logNo=223899774830&amp;redirect=Dlog&amp;widgetTypeCall=true&amp;directAccess=false</t>
  </si>
  <si>
    <t>오지랖(2024-9-30)</t>
  </si>
  <si>
    <t>https://blog.naver.com/PostView.naver?blogId=pressbisang2024&amp;logNo=223899761585&amp;redirect=Dlog&amp;widgetTypeCall=true&amp;directAccess=false</t>
  </si>
  <si>
    <t>토영눈꽃</t>
  </si>
  <si>
    <t>통영 국제음악당 콘서트홀 [국립국악관현악단 베스트 컬렉션] 후기</t>
  </si>
  <si>
    <t>https://blog.naver.com/PostView.naver?blogId=self1003&amp;logNo=223899711458&amp;redirect=Dlog&amp;widgetTypeCall=true&amp;directAccess=false</t>
  </si>
  <si>
    <t>사기는 남의 일? 당신의 노후자금도 안전하지 않다! 노년층을 노리는 각종 사기 수법 .1700만 은퇴 쓰나미가 몰려온다. 불행한 노후가 한국을 덮친다</t>
  </si>
  <si>
    <t>https://blog.naver.com/PostView.naver?blogId=bando8949&amp;logNo=223899686276&amp;redirect=Dlog&amp;widgetTypeCall=true&amp;directAccess=false</t>
  </si>
  <si>
    <t>주민자치신문</t>
  </si>
  <si>
    <t>고양시흰돌종합사회복지관, 흰돌4단지 어르신들에 ‘특별한 한 끼’ 대접</t>
  </si>
  <si>
    <t>https://blog.naver.com/PostView.naver?blogId=juminjachi&amp;logNo=223899679977&amp;redirect=Dlog&amp;widgetTypeCall=true&amp;directAccess=false</t>
  </si>
  <si>
    <t>박영규 4번째 부인 최초 공개 25세 연하 아내 이윤주 누구? 살림남2 방송 출연</t>
  </si>
  <si>
    <t>https://blog.naver.com/PostView.naver?blogId=yooju0913&amp;logNo=223899677539&amp;redirect=Dlog&amp;widgetTypeCall=true&amp;directAccess=false</t>
  </si>
  <si>
    <t>2025-095 / KBS교향악단 - 정명훈&amp;선우예권</t>
  </si>
  <si>
    <t>https://blog.naver.com/PostView.naver?blogId=bommae&amp;logNo=223899663452&amp;redirect=Dlog&amp;widgetTypeCall=true&amp;directAccess=false</t>
  </si>
  <si>
    <t>브루크너, 정명훈 &amp; KBS 사운드 (25/6/12)</t>
  </si>
  <si>
    <t>https://blog.naver.com/PostView.naver?blogId=prague38&amp;logNo=223899654320&amp;redirect=Dlog&amp;widgetTypeCall=true&amp;directAccess=false</t>
  </si>
  <si>
    <t>독수리 5형제 윤박 딸 지킨다｜윤박 명대사 '내가 지킬 거라고'｜신슬기 흔들린 이유｜딸 하니 뺏길까 두려운 진심｜KBS 주말드라마 감정 명장면 정리</t>
  </si>
  <si>
    <t>https://blog.naver.com/PostView.naver?blogId=luxblue83&amp;logNo=223899628527&amp;redirect=Dlog&amp;widgetTypeCall=true&amp;directAccess=false</t>
  </si>
  <si>
    <t>🖥️☔️👥 TV 시청과 친구 만남</t>
  </si>
  <si>
    <t>https://blog.naver.com/PostView.naver?blogId=dolpul1226&amp;logNo=223899625680&amp;redirect=Dlog&amp;widgetTypeCall=true&amp;directAccess=false</t>
  </si>
  <si>
    <t>명로여</t>
  </si>
  <si>
    <t>작물도, 청년도 자란다^^</t>
  </si>
  <si>
    <t>https://blog.naver.com/PostView.naver?blogId=millepio&amp;logNo=223899615138&amp;redirect=Dlog&amp;widgetTypeCall=true&amp;directAccess=false</t>
  </si>
  <si>
    <t>나만 몰랐던 동네 팥칼국수…먹어보니 XX맛?! (+숨겨진맛집, 칼국수맛집, 팥칼국수)</t>
  </si>
  <si>
    <t>https://blog.naver.com/PostView.naver?blogId=qoswlfdl-&amp;logNo=223899604584&amp;redirect=Dlog&amp;widgetTypeCall=true&amp;directAccess=false</t>
  </si>
  <si>
    <t>박영규, 25세 연하 아내 최초 공개! 채시라 데미무어 … 닮은꼴 미모 실화? (+재산, 살림남 재방송, 아내 얼굴 사진)</t>
  </si>
  <si>
    <t>https://blog.naver.com/PostView.naver?blogId=qoswlfdl-&amp;logNo=223899600315&amp;redirect=Dlog&amp;widgetTypeCall=true&amp;directAccess=false</t>
  </si>
  <si>
    <t>headaccessory</t>
  </si>
  <si>
    <t>KBS 무대와 아카데미 시상식</t>
  </si>
  <si>
    <t>https://blog.naver.com/PostView.naver?blogId=headaccessory&amp;logNo=223899589138&amp;redirect=Dlog&amp;widgetTypeCall=true&amp;directAccess=false</t>
  </si>
  <si>
    <t>대구 팔공산 한식집 동화사맛집 고향식당 팔공본점</t>
  </si>
  <si>
    <t>https://blog.naver.com/PostView.naver?blogId=bliss_322&amp;logNo=223899582386&amp;redirect=Dlog&amp;widgetTypeCall=true&amp;directAccess=false</t>
  </si>
  <si>
    <t>2025.06.15. 오늘의 단상....</t>
  </si>
  <si>
    <t>https://blog.naver.com/PostView.naver?blogId=kyoung2613&amp;logNo=223899566099&amp;redirect=Dlog&amp;widgetTypeCall=true&amp;directAccess=false</t>
  </si>
  <si>
    <t>비익조</t>
  </si>
  <si>
    <t>최혜영 - 그것은 인생.</t>
  </si>
  <si>
    <t>https://blog.naver.com/PostView.naver?blogId=sarah354&amp;logNo=223899556281&amp;redirect=Dlog&amp;widgetTypeCall=true&amp;directAccess=false</t>
  </si>
  <si>
    <t>박보영 박진영 류경수 TVN 드라마 미지의서울 2025 👭🏻 7화 2025/06/14</t>
  </si>
  <si>
    <t>https://blog.naver.com/PostView.naver?blogId=eunju9756&amp;logNo=223899550050&amp;redirect=Dlog&amp;widgetTypeCall=true&amp;directAccess=false</t>
  </si>
  <si>
    <t>leesukea</t>
  </si>
  <si>
    <t>피고들의 보도로 명예훼손으로 인한 불법행위책임을 지는지 여 부, 원고의 초상권을 침해하였는지 여부</t>
  </si>
  <si>
    <t>https://blog.naver.com/PostView.naver?blogId=leesukea&amp;logNo=223899538113&amp;redirect=Dlog&amp;widgetTypeCall=true&amp;directAccess=false</t>
  </si>
  <si>
    <t>이수로그</t>
  </si>
  <si>
    <t>250614_[2025발레축제]유니버설발레단 발레춘향 공연</t>
  </si>
  <si>
    <t>https://blog.naver.com/PostView.naver?blogId=sinabro_soo&amp;logNo=223899525314&amp;redirect=Dlog&amp;widgetTypeCall=true&amp;directAccess=false</t>
  </si>
  <si>
    <t>동비</t>
  </si>
  <si>
    <t>동네 주민에게 받아 온 삽살개, 알고 보니 천재견이다 KBS 동물극장 단짝 230128 방송</t>
  </si>
  <si>
    <t>https://blog.naver.com/PostView.naver?blogId=wjdtndls742&amp;logNo=223899498737&amp;redirect=Dlog&amp;widgetTypeCall=true&amp;directAccess=false</t>
  </si>
  <si>
    <t>[20250603] 청와대 관람+삼청동 일대+광화문</t>
  </si>
  <si>
    <t>https://blog.naver.com/PostView.naver?blogId=ldriver&amp;logNo=223894648259&amp;redirect=Dlog&amp;widgetTypeCall=true&amp;directAccess=false</t>
  </si>
  <si>
    <t>하늘혼</t>
  </si>
  <si>
    <t>나는 이런 것도 배우고 봉사해 봤다.</t>
  </si>
  <si>
    <t>https://blog.naver.com/PostView.naver?blogId=zenither&amp;logNo=223899465249&amp;redirect=Dlog&amp;widgetTypeCall=true&amp;directAccess=false</t>
  </si>
  <si>
    <t>네 번째 신랑 박영규, 25살 연하 아내와 다시 쓴 인생 2막</t>
  </si>
  <si>
    <t>https://blog.naver.com/PostView.naver?blogId=assaboonga&amp;logNo=223899457832&amp;redirect=Dlog&amp;widgetTypeCall=true&amp;directAccess=false</t>
  </si>
  <si>
    <t>천원짜리 농부</t>
  </si>
  <si>
    <t>안성 베네스트</t>
  </si>
  <si>
    <t>https://blog.naver.com/PostView.naver?blogId=pro8972&amp;logNo=223899431983&amp;redirect=Dlog&amp;widgetTypeCall=true&amp;directAccess=false</t>
  </si>
  <si>
    <t>나무점</t>
  </si>
  <si>
    <t>[리뷰] 국립심포니오케스트라 &lt;프로코피예프, 교향곡 5번&gt;</t>
  </si>
  <si>
    <t>https://blog.naver.com/PostView.naver?blogId=rabtle&amp;logNo=223899407279&amp;redirect=Dlog&amp;widgetTypeCall=true&amp;directAccess=false</t>
  </si>
  <si>
    <t>KBS한국어능력시험 준비 마지막은?</t>
  </si>
  <si>
    <t>https://blog.naver.com/PostView.naver?blogId=handamvibe&amp;logNo=223899399798&amp;redirect=Dlog&amp;widgetTypeCall=true&amp;directAccess=false</t>
  </si>
  <si>
    <t>동네 부부 경악! 동작구 빵집에서 찾은 비건 쌀빵의 놀라운 맛…(+온라인 주문, 빵지순례, 건강빵)알겠습니다. 뉴스 기사 형식으로 재작성해 드리겠습니다.</t>
  </si>
  <si>
    <t>https://blog.naver.com/PostView.naver?blogId=ovonews&amp;logNo=223899397501&amp;redirect=Dlog&amp;widgetTypeCall=true&amp;directAccess=false</t>
  </si>
  <si>
    <t>[KBS 인간극장 '우리 집 왕빠'] "아버지는 늘 술에 취해 있었고 주폭에 시달리던 어머니는 밖으로 돌았다. 맏이였던 애경씨는 동생들이 기댈 수 있는 언덕이 되기로 했다."</t>
  </si>
  <si>
    <t>https://blog.naver.com/PostView.naver?blogId=jadam_tax&amp;logNo=223899361459&amp;redirect=Dlog&amp;widgetTypeCall=true&amp;directAccess=false</t>
  </si>
  <si>
    <t>동작구민 긴급 속보 쌀빵 덕후들 드디어 … 비건 빵 성지 온라인 주문 폭주 (+동네한바퀴, 빵지순례, 건강빵)</t>
  </si>
  <si>
    <t>https://blog.naver.com/PostView.naver?blogId=qoswlfdl-&amp;logNo=223899351025&amp;redirect=Dlog&amp;widgetTypeCall=true&amp;directAccess=false</t>
  </si>
  <si>
    <t>현재27</t>
  </si>
  <si>
    <t>[여의도] 여의도공원맛집 중국집맛집 리샨(feat. 짬뽕, 탕수육)</t>
  </si>
  <si>
    <t>https://blog.naver.com/PostView.naver?blogId=mydays127&amp;logNo=223899329131&amp;redirect=Dlog&amp;widgetTypeCall=true&amp;directAccess=false</t>
  </si>
  <si>
    <t>공효진 케빈오, 한국 떠나기 전 마지막 데이트…뉴욕 생활 시작? 충격 근황 (+신혼, 미국, 럽스타그램)</t>
  </si>
  <si>
    <t>https://blog.naver.com/PostView.naver?blogId=qoswlfdl-&amp;logNo=223899293240&amp;redirect=Dlog&amp;widgetTypeCall=true&amp;directAccess=false</t>
  </si>
  <si>
    <t>초롬이</t>
  </si>
  <si>
    <t>2025년 6월 14일(토)🩷결혼 축하해!!</t>
  </si>
  <si>
    <t>https://blog.naver.com/PostView.naver?blogId=chorom60&amp;logNo=223899285267&amp;redirect=Dlog&amp;widgetTypeCall=true&amp;directAccess=false</t>
  </si>
  <si>
    <t>멀더걸</t>
  </si>
  <si>
    <t>말랑이</t>
  </si>
  <si>
    <t>[25.06] KBS 교향악단 815회 연주회 후기 (w/롯데콘서트홀 D구역 7열 시야)</t>
  </si>
  <si>
    <t>https://blog.naver.com/PostView.naver?blogId=malangnim&amp;logNo=223899276018&amp;redirect=Dlog&amp;widgetTypeCall=true&amp;directAccess=false</t>
  </si>
  <si>
    <t>독수리 오형제를 부탁해 안재욱 테스트? 39회 독고세리 ♥ 지옥분 문미순 주말드라마 추천</t>
  </si>
  <si>
    <t>https://blog.naver.com/PostView.naver?blogId=chummilmil99&amp;logNo=223899248827&amp;redirect=Dlog&amp;widgetTypeCall=true&amp;directAccess=false</t>
  </si>
  <si>
    <t>이상가</t>
  </si>
  <si>
    <t>은영이떡볶이 밀키트추천 어린이간식으로 좋다.</t>
  </si>
  <si>
    <t>https://blog.naver.com/PostView.naver?blogId=leesang27&amp;logNo=223899247396&amp;redirect=Dlog&amp;widgetTypeCall=true&amp;directAccess=false</t>
  </si>
  <si>
    <t>ttoriii-</t>
  </si>
  <si>
    <t>그만 기웃거려 -넵</t>
  </si>
  <si>
    <t>https://blog.naver.com/PostView.naver?blogId=ttoriii-&amp;logNo=223899195849&amp;redirect=Dlog&amp;widgetTypeCall=true&amp;directAccess=false</t>
  </si>
  <si>
    <t>빙하 ( 영구동토층의 붕괴 )</t>
  </si>
  <si>
    <t>https://blog.naver.com/PostView.naver?blogId=nonstop0404&amp;logNo=223899174036&amp;redirect=Dlog&amp;widgetTypeCall=true&amp;directAccess=false</t>
  </si>
  <si>
    <t>"너무 힘들었다" 안재현, 구혜선과 이혼 후 심경 처음으로 밝혔다.</t>
  </si>
  <si>
    <t>https://blog.naver.com/PostView.naver?blogId=seungha9707&amp;logNo=223898674876&amp;redirect=Dlog&amp;widgetTypeCall=true&amp;directAccess=false</t>
  </si>
  <si>
    <t>체레첸</t>
  </si>
  <si>
    <t>아쉬웠던 코나아이</t>
  </si>
  <si>
    <t>https://blog.naver.com/PostView.naver?blogId=chre_chen94&amp;logNo=223899125666&amp;redirect=Dlog&amp;widgetTypeCall=true&amp;directAccess=false</t>
  </si>
  <si>
    <t>럭키크로버</t>
  </si>
  <si>
    <t>관악산 연주대</t>
  </si>
  <si>
    <t>https://blog.naver.com/PostView.naver?blogId=pantech_star&amp;logNo=223899074371&amp;redirect=Dlog&amp;widgetTypeCall=true&amp;directAccess=false</t>
  </si>
  <si>
    <t>이민정, 백상 수상 순간 포착! 이병헌 때문에…굳어진 미소? (+불화설, 속사정, 리액션)</t>
  </si>
  <si>
    <t>https://blog.naver.com/PostView.naver?blogId=qoswlfdl-&amp;logNo=223899026939&amp;redirect=Dlog&amp;widgetTypeCall=true&amp;directAccess=false</t>
  </si>
  <si>
    <t>서치앤클릭</t>
  </si>
  <si>
    <t>봐도 봐도 모르겠는 '양자컴퓨터'의 모든 것 l KBS 다큐 인사이트 - 퀀텀: 두 번째 불의 발견, 양자컴퓨터</t>
  </si>
  <si>
    <t>https://blog.naver.com/PostView.naver?blogId=freekyj72&amp;logNo=223899019835&amp;redirect=Dlog&amp;widgetTypeCall=true&amp;directAccess=false</t>
  </si>
  <si>
    <t>김정현, '김딱딱' 논란 심경 고백 “수치심·억울함 컸지만…죽느냐 사느냐뿐”</t>
  </si>
  <si>
    <t>https://blog.naver.com/PostView.naver?blogId=picklenews&amp;logNo=223899016021&amp;redirect=Dlog&amp;widgetTypeCall=true&amp;directAccess=false</t>
  </si>
  <si>
    <t>칭찬박사</t>
  </si>
  <si>
    <t>칭찬은 천명이다. KBS스포츠종합예술부와 함께하는 칭찬대학교로 오세요. 칭찬경영성공학(온,오프라인)교수, 지도자 연수과정 칭찬경영성공학 교수최고위과정 2기 추천</t>
  </si>
  <si>
    <t>https://blog.naver.com/PostView.naver?blogId=kkhchurch&amp;logNo=223899000872&amp;redirect=Dlog&amp;widgetTypeCall=true&amp;directAccess=false</t>
  </si>
  <si>
    <t>향기나는남자</t>
  </si>
  <si>
    <t>가끔은 초라해진다.</t>
  </si>
  <si>
    <t>https://blog.naver.com/PostView.naver?blogId=yo_man999&amp;logNo=223898999951&amp;redirect=Dlog&amp;widgetTypeCall=true&amp;directAccess=false</t>
  </si>
  <si>
    <t>바이올렛</t>
  </si>
  <si>
    <t>KBS 교향악단 제815회 정기연주회(지휘 정명훈/협연 선우예권)(2025.6.12.)</t>
  </si>
  <si>
    <t>https://blog.naver.com/PostView.naver?blogId=ye9412&amp;logNo=223898987427&amp;redirect=Dlog&amp;widgetTypeCall=true&amp;directAccess=false</t>
  </si>
  <si>
    <t>효파고</t>
  </si>
  <si>
    <t>25년 4월의 덕질일기</t>
  </si>
  <si>
    <t>https://blog.naver.com/PostView.naver?blogId=from_me_to_me&amp;logNo=223898971352&amp;redirect=Dlog&amp;widgetTypeCall=true&amp;directAccess=false</t>
  </si>
  <si>
    <t>사랑은 뷰티풀 인생은 원더풀 99회 100회 결말 리뷰 등장인물 출연진 - 설인아 김재영 주말드라마</t>
  </si>
  <si>
    <t>https://blog.naver.com/PostView.naver?blogId=sentence_0423&amp;logNo=223898968882&amp;redirect=Dlog&amp;widgetTypeCall=true&amp;directAccess=false</t>
  </si>
  <si>
    <t>조용한수요일</t>
  </si>
  <si>
    <t>[공연] 2025 경주 국제 뮤직 페스티벌 - 피아노 선우예권, 지휘 정명훈, KBS 교향악단</t>
  </si>
  <si>
    <t>https://blog.naver.com/PostView.naver?blogId=quiet_wednesday&amp;logNo=223898960636&amp;redirect=Dlog&amp;widgetTypeCall=true&amp;directAccess=false</t>
  </si>
  <si>
    <t>이찬원 '대세 중의 상대세' '가는정 오는정 이민정' 다음 주 6월 20일에 뜬다</t>
  </si>
  <si>
    <t>https://blog.naver.com/PostView.naver?blogId=zukero7&amp;logNo=223898859878&amp;redirect=Dlog&amp;widgetTypeCall=true&amp;directAccess=false</t>
  </si>
  <si>
    <t>커리어엣지</t>
  </si>
  <si>
    <t>[퍼스널 이미지브랜딩 전문가]- 박영실(Dr. Audrey Park)대표</t>
  </si>
  <si>
    <t>https://blog.naver.com/PostView.naver?blogId=kayyoon9&amp;logNo=223898853887&amp;redirect=Dlog&amp;widgetTypeCall=true&amp;directAccess=false</t>
  </si>
  <si>
    <t>남주의 첫날밤을 가져버렸다. 병산서원 훼손 논란… 감독과 배우들 공식 사과</t>
  </si>
  <si>
    <t>https://blog.naver.com/PostView.naver?blogId=hyunju019&amp;logNo=223898826789&amp;redirect=Dlog&amp;widgetTypeCall=true&amp;directAccess=false</t>
  </si>
  <si>
    <t>🖥️🚶美국립공원 시청, 동네 산책</t>
  </si>
  <si>
    <t>https://blog.naver.com/PostView.naver?blogId=dolpul1226&amp;logNo=223898807380&amp;redirect=Dlog&amp;widgetTypeCall=true&amp;directAccess=false</t>
  </si>
  <si>
    <t>무역 책쓰는 홍사장</t>
  </si>
  <si>
    <t>미중 무역전쟁 - 문화 부분 : 미디어 다양성 vs 국가 검열·검열 회피 전략</t>
  </si>
  <si>
    <t>https://blog.naver.com/PostView.naver?blogId=drimtru&amp;logNo=223898806070&amp;redirect=Dlog&amp;widgetTypeCall=true&amp;directAccess=false</t>
  </si>
  <si>
    <t>색시주뇨비</t>
  </si>
  <si>
    <t>[KBS 더시즌즈 박보검의 칸타빌레 14화 리뷰 후기] 유키 구라모토 김연아 키스오브라이프 최유리 신인류</t>
  </si>
  <si>
    <t>https://blog.naver.com/PostView.naver?blogId=duswns202&amp;logNo=223898801807&amp;redirect=Dlog&amp;widgetTypeCall=true&amp;directAccess=false</t>
  </si>
  <si>
    <t>우거킴</t>
  </si>
  <si>
    <t>자귀나무</t>
  </si>
  <si>
    <t>https://blog.naver.com/PostView.naver?blogId=4811hjkin&amp;logNo=223898796316&amp;redirect=Dlog&amp;widgetTypeCall=true&amp;directAccess=false</t>
  </si>
  <si>
    <t>권지숙 어사 KALKBS</t>
  </si>
  <si>
    <t>내가 KBS 드라마 남주의 첫날밤을…뺏었다?! 2화 충격 전개 (+로맨스, 삼각관계, 운명)</t>
  </si>
  <si>
    <t>https://blog.naver.com/PostView.naver?blogId=ovonews&amp;logNo=223898777998&amp;redirect=Dlog&amp;widgetTypeCall=true&amp;directAccess=false</t>
  </si>
  <si>
    <t>토영 이야기</t>
  </si>
  <si>
    <t>국립경주박물관(國立慶州博物館)</t>
  </si>
  <si>
    <t>https://blog.naver.com/PostView.naver?blogId=hosigi7300&amp;logNo=223882201138&amp;redirect=Dlog&amp;widgetTypeCall=true&amp;directAccess=false</t>
  </si>
  <si>
    <t>민주당, 친명 김병기 3선 의원 새 원내대표 선출 “1년내 내란청산”…'이재명 블랙요원’ 자처한 국정원 출신, 비명횡사 공천 주도</t>
  </si>
  <si>
    <t>https://blog.naver.com/PostView.naver?blogId=frtydhwang&amp;logNo=223898744493&amp;redirect=Dlog&amp;widgetTypeCall=true&amp;directAccess=false</t>
  </si>
  <si>
    <t>핵 협상 이틀 전 이란 기습 공격, 이스라엘의 침략 행위를 규탄한다./[속보] "가혹한 응징" 천명…이란 드론 100여 대 출격 | 이 시각 텔아비브</t>
  </si>
  <si>
    <t>https://blog.naver.com/PostView.naver?blogId=kys55-&amp;logNo=223898736413&amp;redirect=Dlog&amp;widgetTypeCall=true&amp;directAccess=false</t>
  </si>
  <si>
    <t>시사인터뷰 – 사람으로 살아, 사람으로 떠나다. – 연극 《유령》, 잊힌 존재들의 목소리를 무대위에 올리다</t>
  </si>
  <si>
    <t>https://blog.naver.com/PostView.naver?blogId=songchaijung&amp;logNo=223898719043&amp;redirect=Dlog&amp;widgetTypeCall=true&amp;directAccess=false</t>
  </si>
  <si>
    <t>가인기프트</t>
  </si>
  <si>
    <t>일상으로의 초대..</t>
  </si>
  <si>
    <t>https://blog.naver.com/PostView.naver?blogId=gaingift&amp;logNo=223898706681&amp;redirect=Dlog&amp;widgetTypeCall=true&amp;directAccess=false</t>
  </si>
  <si>
    <t>사랑은말보다행동으로</t>
  </si>
  <si>
    <t>https://blog.naver.com/PostView.naver?blogId=forest171004&amp;logNo=223898679184&amp;redirect=Dlog&amp;widgetTypeCall=true&amp;directAccess=false</t>
  </si>
  <si>
    <t>편스토랑·전 수영선수 박태환 라면 3가지 불구리짬뽕 레시피</t>
  </si>
  <si>
    <t>https://blog.naver.com/PostView.naver?blogId=rachelwood6&amp;logNo=223898668119&amp;redirect=Dlog&amp;widgetTypeCall=true&amp;directAccess=false</t>
  </si>
  <si>
    <t>슈슈</t>
  </si>
  <si>
    <t>미친...</t>
  </si>
  <si>
    <t>https://blog.naver.com/PostView.naver?blogId=0_forever0613&amp;logNo=223898610030&amp;redirect=Dlog&amp;widgetTypeCall=true&amp;directAccess=false</t>
  </si>
  <si>
    <t>KBS교향악단 815회 정기연주회</t>
  </si>
  <si>
    <t>https://blog.naver.com/PostView.naver?blogId=window_102&amp;logNo=223898601666&amp;redirect=Dlog&amp;widgetTypeCall=true&amp;directAccess=false</t>
  </si>
  <si>
    <t>혀또</t>
  </si>
  <si>
    <t>2504 일상</t>
  </si>
  <si>
    <t>https://blog.naver.com/PostView.naver?blogId=phsuz&amp;logNo=223898573052&amp;redirect=Dlog&amp;widgetTypeCall=true&amp;directAccess=false</t>
  </si>
  <si>
    <t>술린이</t>
  </si>
  <si>
    <t>#4. 더시즌즈-또보검의 칸타빌레(이번엔 앞이다!)</t>
  </si>
  <si>
    <t>https://blog.naver.com/PostView.naver?blogId=djflsu&amp;logNo=223898556814&amp;redirect=Dlog&amp;widgetTypeCall=true&amp;directAccess=false</t>
  </si>
  <si>
    <t>whitegrid</t>
  </si>
  <si>
    <t>유재석과 오프라 윈프리.. 마이크로 세상을 위로하다</t>
  </si>
  <si>
    <t>https://blog.naver.com/PostView.naver?blogId=whitegrid&amp;logNo=223898552203&amp;redirect=Dlog&amp;widgetTypeCall=true&amp;directAccess=false</t>
  </si>
  <si>
    <t>장두미</t>
  </si>
  <si>
    <t>우리가 말하지 않는 지구KBS 김가람 PD의 기후 위기 르포 - 나라도 해야한다, 우리라도 해야한다</t>
  </si>
  <si>
    <t>https://blog.naver.com/PostView.naver?blogId=dailylog_888&amp;logNo=223898507177&amp;redirect=Dlog&amp;widgetTypeCall=true&amp;directAccess=false</t>
  </si>
  <si>
    <t>이번 주말 뭐 볼까? 영화가 좋다 960회가 고른 7편의 영화 추천 리스트</t>
  </si>
  <si>
    <t>https://blog.naver.com/PostView.naver?blogId=wwhandww&amp;logNo=223897449651&amp;redirect=Dlog&amp;widgetTypeCall=true&amp;directAccess=false</t>
  </si>
  <si>
    <t>미야오우</t>
  </si>
  <si>
    <t>한국실용글쓰기 시험일정 개정 후 2급 독학 후기, 준비물 문제집 공부법 꿀팁</t>
  </si>
  <si>
    <t>https://blog.naver.com/PostView.naver?blogId=lyk4688&amp;logNo=223898487112&amp;redirect=Dlog&amp;widgetTypeCall=true&amp;directAccess=false</t>
  </si>
  <si>
    <t>violet</t>
  </si>
  <si>
    <t>6/12(목) 정명훈 KBS 오케스트라 &amp; 선우예권</t>
  </si>
  <si>
    <t>https://blog.naver.com/PostView.naver?blogId=violet_0675&amp;logNo=223898460078&amp;redirect=Dlog&amp;widgetTypeCall=true&amp;directAccess=false</t>
  </si>
  <si>
    <t>박민영의 &lt;20대 남자, 그들이 몰려온다&gt; 책 내용 요약 (민주당이 악마화하는 세대, 이대남은 단지 ‘진짜 공정’을 원할 뿐이다.)</t>
  </si>
  <si>
    <t>https://blog.naver.com/PostView.naver?blogId=liferpg2024&amp;logNo=223895199351&amp;redirect=Dlog&amp;widgetTypeCall=true&amp;directAccess=false</t>
  </si>
  <si>
    <t>옥택연, KBS '남주의 첫날밤을 가져버렸다'에서 극과 극 매력으로 여심 저격!</t>
  </si>
  <si>
    <t>https://blog.naver.com/PostView.naver?blogId=withinnews&amp;logNo=223898420800&amp;redirect=Dlog&amp;widgetTypeCall=true&amp;directAccess=false</t>
  </si>
  <si>
    <t>오수향심리소통전문가</t>
  </si>
  <si>
    <t>[부여군]오수향 소장 소통특강-신규공무원교육과정 '행복한 직장생활을 위한 공무원(공직자)의 자기관리</t>
  </si>
  <si>
    <t>https://blog.naver.com/PostView.naver?blogId=diaohsue&amp;logNo=223898353548&amp;redirect=Dlog&amp;widgetTypeCall=true&amp;directAccess=false</t>
  </si>
  <si>
    <t>25.06.12 - KBS교향악단 제815회 정기연주회 @롯데콘서트홀</t>
  </si>
  <si>
    <t>https://blog.naver.com/PostView.naver?blogId=chosatang&amp;logNo=223898138897&amp;redirect=Dlog&amp;widgetTypeCall=true&amp;directAccess=false</t>
  </si>
  <si>
    <t>10번 시험관 시술 끝 임신, 이정민 아나운서는 누구? (프로필 근황)</t>
  </si>
  <si>
    <t>https://blog.naver.com/PostView.naver?blogId=rozz0697&amp;logNo=223898311527&amp;redirect=Dlog&amp;widgetTypeCall=true&amp;directAccess=false</t>
  </si>
  <si>
    <t>금북정맥 07- 백월산 구간 - 금강없는 금북정맥, 금강과 이별하다. (12년 자료)</t>
  </si>
  <si>
    <t>https://blog.naver.com/PostView.naver?blogId=kmhcsh-&amp;logNo=223898303973&amp;redirect=Dlog&amp;widgetTypeCall=true&amp;directAccess=false</t>
  </si>
  <si>
    <t>s42z0e48s</t>
  </si>
  <si>
    <t>2025년 6월 2주</t>
  </si>
  <si>
    <t>https://blog.naver.com/PostView.naver?blogId=s42z0e48s&amp;logNo=223898298745&amp;redirect=Dlog&amp;widgetTypeCall=true&amp;directAccess=false</t>
  </si>
  <si>
    <t>"어르신 외식 지원 '방방곡곡 행복 밥상' - 아우내은빛복지관과 KBS강태원복지재단의 특별한 지원!"</t>
  </si>
  <si>
    <t>https://blog.naver.com/PostView.naver?blogId=jesus53-&amp;logNo=223898280925&amp;redirect=Dlog&amp;widgetTypeCall=true&amp;directAccess=false</t>
  </si>
  <si>
    <t>jryhesu7</t>
  </si>
  <si>
    <t>...5시 뉴스를 시청??하며...</t>
  </si>
  <si>
    <t>https://blog.naver.com/PostView.naver?blogId=jryhesu7&amp;logNo=223898262392&amp;redirect=Dlog&amp;widgetTypeCall=true&amp;directAccess=false</t>
  </si>
  <si>
    <t>파란노을</t>
  </si>
  <si>
    <t>2025.06.12 [蒼霞哀歌] 한옥공부 - 병산서원</t>
  </si>
  <si>
    <t>https://blog.naver.com/PostView.naver?blogId=misorane&amp;logNo=223898247587&amp;redirect=Dlog&amp;widgetTypeCall=true&amp;directAccess=false</t>
  </si>
  <si>
    <t>LG유플러스, 유튜브 팬페스트 2025에서 AI 체험                                익시오·안티딥보이스·퍼스널컬러 체험존 운영</t>
  </si>
  <si>
    <t>https://blog.naver.com/PostView.naver?blogId=newsnanumy&amp;logNo=223898237026&amp;redirect=Dlog&amp;widgetTypeCall=true&amp;directAccess=false</t>
  </si>
  <si>
    <t>윤광원</t>
  </si>
  <si>
    <t>임진각 - 임진강에서 평화통일을 기원하며</t>
  </si>
  <si>
    <t>https://blog.naver.com/PostView.naver?blogId=gwyoun1713&amp;logNo=223898235144&amp;redirect=Dlog&amp;widgetTypeCall=true&amp;directAccess=false</t>
  </si>
  <si>
    <t>앤앤</t>
  </si>
  <si>
    <t>경주월드로 여행~2탄</t>
  </si>
  <si>
    <t>https://blog.naver.com/PostView.naver?blogId=hongsa76&amp;logNo=223898223418&amp;redirect=Dlog&amp;widgetTypeCall=true&amp;directAccess=false</t>
  </si>
  <si>
    <t>박영규, 25세 연하 부인 공개 이유</t>
  </si>
  <si>
    <t>https://blog.naver.com/PostView.naver?blogId=odmwd2&amp;logNo=223898217330&amp;redirect=Dlog&amp;widgetTypeCall=true&amp;directAccess=false</t>
  </si>
  <si>
    <t>한국초등영재교육협회</t>
  </si>
  <si>
    <t>초등생을 영재로 육성하여 부강한 조국을 건설하는 캠페인에 교육자는 물론 전 국민모두 참여 실시합시다.</t>
  </si>
  <si>
    <t>https://blog.naver.com/PostView.naver?blogId=bjt50&amp;logNo=223898186835&amp;redirect=Dlog&amp;widgetTypeCall=true&amp;directAccess=false</t>
  </si>
  <si>
    <t>희망플랜광명센터</t>
  </si>
  <si>
    <t>뉴스팜 외 8건, 제8회 전문 직업인 박람회 '드림메이커' 개최</t>
  </si>
  <si>
    <t>https://blog.naver.com/PostView.naver?blogId=haanhope&amp;logNo=223898180687&amp;redirect=Dlog&amp;widgetTypeCall=true&amp;directAccess=false</t>
  </si>
  <si>
    <t>Chocoling</t>
  </si>
  <si>
    <t>[공연] KBS교향악단 제815회 정기연주회</t>
  </si>
  <si>
    <t>https://blog.naver.com/PostView.naver?blogId=chocolingvv&amp;logNo=223898161093&amp;redirect=Dlog&amp;widgetTypeCall=true&amp;directAccess=false</t>
  </si>
  <si>
    <t>예을</t>
  </si>
  <si>
    <t>https://blog.naver.com/PostView.naver?blogId=owls_apricot&amp;logNo=223898154644&amp;redirect=Dlog&amp;widgetTypeCall=true&amp;directAccess=false</t>
  </si>
  <si>
    <t>영도문화예술회관</t>
  </si>
  <si>
    <t>7월 12일 | 콘서트가이드 김성민과 함께하는 &lt;영도에서 떠나는 예술여행 '바로크'&gt;</t>
  </si>
  <si>
    <t>https://blog.naver.com/PostView.naver?blogId=ydculture5560&amp;logNo=223898146261&amp;redirect=Dlog&amp;widgetTypeCall=true&amp;directAccess=false</t>
  </si>
  <si>
    <t>"유작이라 생각했다" 박영규, 25세 연하 아내 전격 공개…살림남 통해 진심 전해</t>
  </si>
  <si>
    <t>https://blog.naver.com/PostView.naver?blogId=apahghfej&amp;logNo=223898143696&amp;redirect=Dlog&amp;widgetTypeCall=true&amp;directAccess=false</t>
  </si>
  <si>
    <t>NARU</t>
  </si>
  <si>
    <t>무등산 등산 최단거리 장불재 코스</t>
  </si>
  <si>
    <t>https://blog.naver.com/PostView.naver?blogId=21_chilsam&amp;logNo=223898125144&amp;redirect=Dlog&amp;widgetTypeCall=true&amp;directAccess=false</t>
  </si>
  <si>
    <t>[부산] 시민을 위한 복합문화공간 ‘도모헌(옛. 부산시장 관사)'</t>
  </si>
  <si>
    <t>https://blog.naver.com/PostView.naver?blogId=jsksoft&amp;logNo=223898106023&amp;redirect=Dlog&amp;widgetTypeCall=true&amp;directAccess=false</t>
  </si>
  <si>
    <t>쁘미네</t>
  </si>
  <si>
    <t>2025. 16 우리가 말하지 않는 지구 / 김가람</t>
  </si>
  <si>
    <t>https://blog.naver.com/PostView.naver?blogId=oh_happy83&amp;logNo=223898082477&amp;redirect=Dlog&amp;widgetTypeCall=true&amp;directAccess=false</t>
  </si>
  <si>
    <t>뎅굴이</t>
  </si>
  <si>
    <t>토마토로 모기를 쫓는다고? CHAT GPT에게 물어보았다.</t>
  </si>
  <si>
    <t>https://blog.naver.com/PostView.naver?blogId=hack4000&amp;logNo=223898054561&amp;redirect=Dlog&amp;widgetTypeCall=true&amp;directAccess=false</t>
  </si>
  <si>
    <t>상속과 등기</t>
  </si>
  <si>
    <t>https://blog.naver.com/PostView.naver?blogId=aickim2009&amp;logNo=223898040763&amp;redirect=Dlog&amp;widgetTypeCall=true&amp;directAccess=false</t>
  </si>
  <si>
    <t>시청률 바닥 치던 KBS 수목드라마, 서현·옥택연이 살렸다. 남주의 첫날밤을 가져버렸다</t>
  </si>
  <si>
    <t>https://blog.naver.com/PostView.naver?blogId=lhswind2&amp;logNo=223898032441&amp;redirect=Dlog&amp;widgetTypeCall=true&amp;directAccess=false</t>
  </si>
  <si>
    <t>편스토랑·배우 기은세 오빠 동생 이혼 언급⭐️기은세 프로필·재산·가족·본명·대학·소속사·전 남편·자녀·집 80평 고급빌라 아파트 위치?</t>
  </si>
  <si>
    <t>https://blog.naver.com/PostView.naver?blogId=rachelwood6&amp;logNo=223898030644&amp;redirect=Dlog&amp;widgetTypeCall=true&amp;directAccess=false</t>
  </si>
  <si>
    <t>까치샘</t>
  </si>
  <si>
    <t>꽃이 전하는 위로의 언어</t>
  </si>
  <si>
    <t>https://blog.naver.com/PostView.naver?blogId=2021tmfmfkal&amp;logNo=223898025125&amp;redirect=Dlog&amp;widgetTypeCall=true&amp;directAccess=false</t>
  </si>
  <si>
    <t>nakonan</t>
  </si>
  <si>
    <t>[에세이] 우리가 말하지 않는 지구</t>
  </si>
  <si>
    <t>https://blog.naver.com/PostView.naver?blogId=nakonan&amp;logNo=223897994559&amp;redirect=Dlog&amp;widgetTypeCall=true&amp;directAccess=false</t>
  </si>
  <si>
    <t>isup</t>
  </si>
  <si>
    <t>it news250613</t>
  </si>
  <si>
    <t>https://blog.naver.com/PostView.naver?blogId=jkamgok_yo7&amp;logNo=223897864192&amp;redirect=Dlog&amp;widgetTypeCall=true&amp;directAccess=false</t>
  </si>
  <si>
    <t>2021.9.10 유인나 ‘다큐멘터리 3일’ 내레이션 참여 확정</t>
  </si>
  <si>
    <t>https://blog.naver.com/PostView.naver?blogId=ruthkim88&amp;logNo=223897837276&amp;redirect=Dlog&amp;widgetTypeCall=true&amp;directAccess=false</t>
  </si>
  <si>
    <t>루멘</t>
  </si>
  <si>
    <t>[공기업 자격증 종류] 기술직 가점 적용 기사 자격증 시험 정보(Ft.LH 채용)</t>
  </si>
  <si>
    <t>https://blog.naver.com/PostView.naver?blogId=hellstudy&amp;logNo=223897806252&amp;redirect=Dlog&amp;widgetTypeCall=true&amp;directAccess=false</t>
  </si>
  <si>
    <t>충청미디어</t>
  </si>
  <si>
    <t>충주시노인복지관,‘방방곡곡 행복밥상’어르신 식사 대접</t>
  </si>
  <si>
    <t>https://blog.naver.com/PostView.naver?blogId=thecm11&amp;logNo=223897783275&amp;redirect=Dlog&amp;widgetTypeCall=true&amp;directAccess=false</t>
  </si>
  <si>
    <t>한자로 영어 배우기 ep.29: ‘반면교사(反面敎師)’는 영어로?</t>
  </si>
  <si>
    <t>https://blog.naver.com/PostView.naver?blogId=mjk1m&amp;logNo=223897745471&amp;redirect=Dlog&amp;widgetTypeCall=true&amp;directAccess=false</t>
  </si>
  <si>
    <t>KBS '남주의 첫날밤'</t>
  </si>
  <si>
    <t>https://blog.naver.com/PostView.naver?blogId=youseok0&amp;logNo=223897734825&amp;redirect=Dlog&amp;widgetTypeCall=true&amp;directAccess=false</t>
  </si>
  <si>
    <t>썽맘</t>
  </si>
  <si>
    <t>생명을 연구하는 꿈, 지금부터 시작</t>
  </si>
  <si>
    <t>https://blog.naver.com/PostView.naver?blogId=fame100&amp;logNo=223897730569&amp;redirect=Dlog&amp;widgetTypeCall=true&amp;directAccess=false</t>
  </si>
  <si>
    <t>누리달</t>
  </si>
  <si>
    <t>🎼&lt;KBS교향악단 제815회 정기연주회&gt; (정명훈 &amp; 선우예권 협연) 후기- 롯데콘서트홀</t>
  </si>
  <si>
    <t>https://blog.naver.com/PostView.naver?blogId=cosmopolitan&amp;logNo=223897708769&amp;redirect=Dlog&amp;widgetTypeCall=true&amp;directAccess=false</t>
  </si>
  <si>
    <t>도전 골든벨부터 백상 신인상까지, 배우 이정하 프로필 총정리</t>
  </si>
  <si>
    <t>https://blog.naver.com/PostView.naver?blogId=assaboonga&amp;logNo=223897708713&amp;redirect=Dlog&amp;widgetTypeCall=true&amp;directAccess=false</t>
  </si>
  <si>
    <t>핸드볼 국가대표 한일전, 21일 청주서 개최</t>
  </si>
  <si>
    <t>https://blog.naver.com/PostView.naver?blogId=sportainers&amp;logNo=223897691903&amp;redirect=Dlog&amp;widgetTypeCall=true&amp;directAccess=false</t>
  </si>
  <si>
    <t>6월 13일, 과거의 오늘</t>
  </si>
  <si>
    <t>https://blog.naver.com/PostView.naver?blogId=gudtjs070&amp;logNo=223847794477&amp;redirect=Dlog&amp;widgetTypeCall=true&amp;directAccess=false</t>
  </si>
  <si>
    <t>2025년 6월13일 금 요일 KBS19번 인간극장 우리집 왕빠 5부보다</t>
  </si>
  <si>
    <t>https://blog.naver.com/PostView.naver?blogId=ch921017&amp;logNo=223897664798&amp;redirect=Dlog&amp;widgetTypeCall=true&amp;directAccess=false</t>
  </si>
  <si>
    <t>李 대통령, 내란 조은석·김건희 민중기·채해병 이명헌 특검 지명</t>
  </si>
  <si>
    <t>https://blog.naver.com/PostView.naver?blogId=josao&amp;logNo=223897639749&amp;redirect=Dlog&amp;widgetTypeCall=true&amp;directAccess=false</t>
  </si>
  <si>
    <t>모순</t>
  </si>
  <si>
    <t>작은서점 장강명의 인생책 김영민 교수가 말하는 논어</t>
  </si>
  <si>
    <t>https://blog.naver.com/PostView.naver?blogId=crystia99&amp;logNo=223897633853&amp;redirect=Dlog&amp;widgetTypeCall=true&amp;directAccess=false</t>
  </si>
  <si>
    <t>Madonna</t>
  </si>
  <si>
    <t>50)새벽만찬</t>
  </si>
  <si>
    <t>https://blog.naver.com/PostView.naver?blogId=jong4566&amp;logNo=223897558207&amp;redirect=Dlog&amp;widgetTypeCall=true&amp;directAccess=false</t>
  </si>
  <si>
    <t>2025.6.12 창원시립교향악단 제367회 정기연주회 거장과의 조우</t>
  </si>
  <si>
    <t>https://blog.naver.com/PostView.naver?blogId=rodstew5&amp;logNo=223897546691&amp;redirect=Dlog&amp;widgetTypeCall=true&amp;directAccess=false</t>
  </si>
  <si>
    <t>마음풍경</t>
  </si>
  <si>
    <t>6월 12일, KBS교향악단 정기 연주회</t>
  </si>
  <si>
    <t>https://blog.naver.com/PostView.naver?blogId=asyla&amp;logNo=223897500543&amp;redirect=Dlog&amp;widgetTypeCall=true&amp;directAccess=false</t>
  </si>
  <si>
    <t>KBS 교향악단 제 815회 정기연주회-정명훈 선우예권</t>
  </si>
  <si>
    <t>https://blog.naver.com/PostView.naver?blogId=like_zinnia&amp;logNo=223897495348&amp;redirect=Dlog&amp;widgetTypeCall=true&amp;directAccess=false</t>
  </si>
  <si>
    <t>튜울립</t>
  </si>
  <si>
    <t>20250612] KBS교향악단 제815회 정기연주회/ 롯데콘서트홀</t>
  </si>
  <si>
    <t>https://blog.naver.com/PostView.naver?blogId=pmjtulip&amp;logNo=223897489329&amp;redirect=Dlog&amp;widgetTypeCall=true&amp;directAccess=false</t>
  </si>
  <si>
    <t>6/12 KBS교향악단 제815회 정기연주회 / 정명훈 지휘 / 선우예권 피아노 / 베토벤 피아노 협주곡 5번 / 브루크너 교향곡 6번</t>
  </si>
  <si>
    <t>https://blog.naver.com/PostView.naver?blogId=opus_111&amp;logNo=223897487709&amp;redirect=Dlog&amp;widgetTypeCall=true&amp;directAccess=false</t>
  </si>
  <si>
    <t>KBS 새 수목 드라마 남주의 첫날밤을 가져버렸다, 인물관계도+원작 결말</t>
  </si>
  <si>
    <t>https://blog.naver.com/PostView.naver?blogId=anbangk&amp;logNo=223897455517&amp;redirect=Dlog&amp;widgetTypeCall=true&amp;directAccess=false</t>
  </si>
  <si>
    <t>켈리</t>
  </si>
  <si>
    <t>롯데콘서트홀/ KBS교향악단 제815회 정기연주회</t>
  </si>
  <si>
    <t>https://blog.naver.com/PostView.naver?blogId=huhkhee&amp;logNo=223897437324&amp;redirect=Dlog&amp;widgetTypeCall=true&amp;directAccess=false</t>
  </si>
  <si>
    <t>2025.6.12.목(음5.17.)_마늘수확, 서리태 심음, 공군 군악대 정기연주회</t>
  </si>
  <si>
    <t>https://blog.naver.com/PostView.naver?blogId=with_nani&amp;logNo=223897435012&amp;redirect=Dlog&amp;widgetTypeCall=true&amp;directAccess=false</t>
  </si>
  <si>
    <t>고롱</t>
  </si>
  <si>
    <t>KBS 다큐인사이트 양자컴퓨터 250612</t>
  </si>
  <si>
    <t>https://blog.naver.com/PostView.naver?blogId=goronglife&amp;logNo=223897422107&amp;redirect=Dlog&amp;widgetTypeCall=true&amp;directAccess=false</t>
  </si>
  <si>
    <t>고앵이</t>
  </si>
  <si>
    <t>김해 봉리단길 《안인정미소&amp;개나리주택》</t>
  </si>
  <si>
    <t>https://blog.naver.com/PostView.naver?blogId=yhgo7743&amp;logNo=223897418771&amp;redirect=Dlog&amp;widgetTypeCall=true&amp;directAccess=false</t>
  </si>
  <si>
    <t>남궁민 차기작은 스릴러 로맨스 결혼의 완성?</t>
  </si>
  <si>
    <t>https://blog.naver.com/PostView.naver?blogId=js2y86&amp;logNo=223897284457&amp;redirect=Dlog&amp;widgetTypeCall=true&amp;directAccess=false</t>
  </si>
  <si>
    <t>Take it easy DMC</t>
  </si>
  <si>
    <t>"코스피, 하반기 3100도 가능"…앞다퉈 예상치 높이는 증권사</t>
  </si>
  <si>
    <t>https://blog.naver.com/PostView.naver?blogId=stockslongrun&amp;logNo=223897385687&amp;redirect=Dlog&amp;widgetTypeCall=true&amp;directAccess=false</t>
  </si>
  <si>
    <t>선우예권의 '황제', 정명훈의 브루크너</t>
  </si>
  <si>
    <t>https://blog.naver.com/PostView.naver?blogId=classicandme&amp;logNo=223897377656&amp;redirect=Dlog&amp;widgetTypeCall=true&amp;directAccess=false</t>
  </si>
  <si>
    <t>242명 탑승 에어 인디아 여객기 이륙 직후 추락</t>
  </si>
  <si>
    <t>https://blog.naver.com/PostView.naver?blogId=ksahn1960&amp;logNo=223897374424&amp;redirect=Dlog&amp;widgetTypeCall=true&amp;directAccess=false</t>
  </si>
  <si>
    <t>Seo</t>
  </si>
  <si>
    <t>휴직 94~97일차</t>
  </si>
  <si>
    <t>https://blog.naver.com/PostView.naver?blogId=class_seo&amp;logNo=223897356976&amp;redirect=Dlog&amp;widgetTypeCall=true&amp;directAccess=false</t>
  </si>
  <si>
    <t>기록하는 김노트</t>
  </si>
  <si>
    <t>은지원 재혼 예비신부 "9살 연하 스타일리스트" 누구</t>
  </si>
  <si>
    <t>https://blog.naver.com/PostView.naver?blogId=kimnotee&amp;logNo=223897318592&amp;redirect=Dlog&amp;widgetTypeCall=true&amp;directAccess=false</t>
  </si>
  <si>
    <t>석천</t>
  </si>
  <si>
    <t>제목 : 전화위복의 행운을...</t>
  </si>
  <si>
    <t>https://blog.naver.com/PostView.naver?blogId=ci6741&amp;logNo=223897303899&amp;redirect=Dlog&amp;widgetTypeCall=true&amp;directAccess=false</t>
  </si>
  <si>
    <t>진찾사</t>
  </si>
  <si>
    <t>노동자로 꽉찼던 평택이 한가해졌다... 반도체·철강 위기, 어느정도일까? 평택, 포항, 그리고 인천 남동공장에 가봤다 | 추적60분 KBS KBS 250110 방송</t>
  </si>
  <si>
    <t>https://blog.naver.com/PostView.naver?blogId=chy5367&amp;logNo=223897303531&amp;redirect=Dlog&amp;widgetTypeCall=true&amp;directAccess=false</t>
  </si>
  <si>
    <t>KBS한국어능력시험 문법 어휘 표현력을 한 번에!</t>
  </si>
  <si>
    <t>https://blog.naver.com/PostView.naver?blogId=handamvibe&amp;logNo=223897302611&amp;redirect=Dlog&amp;widgetTypeCall=true&amp;directAccess=false</t>
  </si>
  <si>
    <t>남주의 첫날밤을 가져버렸다 KBS 수목드라마 판타지 사극 로맨스</t>
  </si>
  <si>
    <t>https://blog.naver.com/PostView.naver?blogId=royal_sapphire&amp;logNo=223897282553&amp;redirect=Dlog&amp;widgetTypeCall=true&amp;directAccess=false</t>
  </si>
  <si>
    <t>션스</t>
  </si>
  <si>
    <t>KBS 역사저널 그날 제작팀 &lt;역사저널 그날 고려 편 3: 만적에서 배중손까지&gt;</t>
  </si>
  <si>
    <t>https://blog.naver.com/PostView.naver?blogId=syunni1225&amp;logNo=223897270527&amp;redirect=Dlog&amp;widgetTypeCall=true&amp;directAccess=false</t>
  </si>
  <si>
    <t>남주의 첫날밤을 가져버렸다 원작과 다른 조선시대 설정 이유는? 첫방 시청률 1회 2화</t>
  </si>
  <si>
    <t>https://blog.naver.com/PostView.naver?blogId=polianna825&amp;logNo=223897254558&amp;redirect=Dlog&amp;widgetTypeCall=true&amp;directAccess=false</t>
  </si>
  <si>
    <t>중소기업연합뉴스</t>
  </si>
  <si>
    <t>마실 물이 없다! 지하수 오염으로 병드는 사람들, 유일한 대안인 제주용암해수, "제주한라수알파"에서 그 해답을 찾다.</t>
  </si>
  <si>
    <t>https://blog.naver.com/PostView.naver?blogId=ecm1111&amp;logNo=223897252530&amp;redirect=Dlog&amp;widgetTypeCall=true&amp;directAccess=false</t>
  </si>
  <si>
    <t>정면</t>
  </si>
  <si>
    <t>태안 게국지 안면도 맛집,마검포저녁노을횟집</t>
  </si>
  <si>
    <t>https://blog.naver.com/PostView.naver?blogId=hoom1774&amp;logNo=223897240369&amp;redirect=Dlog&amp;widgetTypeCall=true&amp;directAccess=false</t>
  </si>
  <si>
    <t>은지원 9세 연하 스타일리스트와 재혼</t>
  </si>
  <si>
    <t>https://blog.naver.com/PostView.naver?blogId=wjdgusx43&amp;logNo=223897181738&amp;redirect=Dlog&amp;widgetTypeCall=true&amp;directAccess=false</t>
  </si>
  <si>
    <t>옥탑방의 문제아들2 271회 그룹 메카니즘 조혜련 남편 나이 직업 전남편 김현기 이혼 이유 페퍼톤스 이장원 와이프 배다해 인스타 신재평 프로필 옥문아 시청률 ott 재방송 시즌2</t>
  </si>
  <si>
    <t>https://blog.naver.com/PostView.naver?blogId=cwmylee&amp;logNo=223897011707&amp;redirect=Dlog&amp;widgetTypeCall=true&amp;directAccess=false</t>
  </si>
  <si>
    <t>드라마 남주의첫날밤을 가져버렸다 등장인물과 제작사, 시청률 총정리</t>
  </si>
  <si>
    <t>https://blog.naver.com/PostView.naver?blogId=global55kr&amp;logNo=223896990496&amp;redirect=Dlog&amp;widgetTypeCall=true&amp;directAccess=false</t>
  </si>
  <si>
    <t>지혜원, 남주의 첫날밤 빌런 사교계 여왕벌</t>
  </si>
  <si>
    <t>https://blog.naver.com/PostView.naver?blogId=odmwd2&amp;logNo=223897166135&amp;redirect=Dlog&amp;widgetTypeCall=true&amp;directAccess=false</t>
  </si>
  <si>
    <t>ida</t>
  </si>
  <si>
    <t>사당운전전문학원 운전연수 첫째날 후기 (2시간)</t>
  </si>
  <si>
    <t>https://blog.naver.com/PostView.naver?blogId=cinnamon1004&amp;logNo=223897145625&amp;redirect=Dlog&amp;widgetTypeCall=true&amp;directAccess=false</t>
  </si>
  <si>
    <t>생활수필 602Ⅴ. 여유롭고 자유로운 삶을.....      -강의를 마무리하면서....-                     벽공(碧空)/월 김선동</t>
  </si>
  <si>
    <t>https://blog.naver.com/PostView.naver?blogId=announcersdkim&amp;logNo=223897128459&amp;redirect=Dlog&amp;widgetTypeCall=true&amp;directAccess=false</t>
  </si>
  <si>
    <t>남주의 첫날밤을 가져버렸다 병산사원 못질 훼손 논란? 2회 KBS 수목드라마</t>
  </si>
  <si>
    <t>https://blog.naver.com/PostView.naver?blogId=chummilmil99&amp;logNo=223897098254&amp;redirect=Dlog&amp;widgetTypeCall=true&amp;directAccess=false</t>
  </si>
  <si>
    <t>pichoi</t>
  </si>
  <si>
    <t>프로야구 인천_250419</t>
  </si>
  <si>
    <t>https://blog.naver.com/PostView.naver?blogId=cnh960916&amp;logNo=223897089093&amp;redirect=Dlog&amp;widgetTypeCall=true&amp;directAccess=false</t>
  </si>
  <si>
    <t>드림농원</t>
  </si>
  <si>
    <t>2025.06.12</t>
  </si>
  <si>
    <t>https://blog.naver.com/PostView.naver?blogId=jjc0224&amp;logNo=223897053309&amp;redirect=Dlog&amp;widgetTypeCall=true&amp;directAccess=false</t>
  </si>
  <si>
    <t>부카조</t>
  </si>
  <si>
    <t>[경주맛집] 경주여행 기념품 황리단길 "얼굴빵"</t>
  </si>
  <si>
    <t>https://blog.naver.com/PostView.naver?blogId=hyeonjin0520&amp;logNo=223897038792&amp;redirect=Dlog&amp;widgetTypeCall=true&amp;directAccess=false</t>
  </si>
  <si>
    <t>장애인의 날 기념식_250418</t>
  </si>
  <si>
    <t>https://blog.naver.com/PostView.naver?blogId=cnh960916&amp;logNo=223897012844&amp;redirect=Dlog&amp;widgetTypeCall=true&amp;directAccess=false</t>
  </si>
  <si>
    <t>서울문화재단</t>
  </si>
  <si>
    <t>[포커스] 문화로 뜨겁게 물드는 서울</t>
  </si>
  <si>
    <t>https://blog.naver.com/PostView.naver?blogId=i_sfac&amp;logNo=223894499023&amp;redirect=Dlog&amp;widgetTypeCall=true&amp;directAccess=false</t>
  </si>
  <si>
    <t>151번째 작은자 자조모임 후기.</t>
  </si>
  <si>
    <t>https://blog.naver.com/PostView.naver?blogId=138100&amp;logNo=223896976456&amp;redirect=Dlog&amp;widgetTypeCall=true&amp;directAccess=false</t>
  </si>
  <si>
    <t>테오필라</t>
  </si>
  <si>
    <t>25년 5월 일상</t>
  </si>
  <si>
    <t>https://blog.naver.com/PostView.naver?blogId=libertad_92&amp;logNo=223896970857&amp;redirect=Dlog&amp;widgetTypeCall=true&amp;directAccess=false</t>
  </si>
  <si>
    <t>탤런트 김명국, 한국한복협회·충무공 이순신 탄신기념 추진위원회 홍보대사 위촉</t>
  </si>
  <si>
    <t>https://blog.naver.com/PostView.naver?blogId=kygm4933&amp;logNo=223896950722&amp;redirect=Dlog&amp;widgetTypeCall=true&amp;directAccess=false</t>
  </si>
  <si>
    <t>stone93162</t>
  </si>
  <si>
    <t>이준호 - 차라리 그댈 몰랐던 그때로</t>
  </si>
  <si>
    <t>https://blog.naver.com/PostView.naver?blogId=stone93162&amp;logNo=223896925974&amp;redirect=Dlog&amp;widgetTypeCall=true&amp;directAccess=false</t>
  </si>
  <si>
    <t>뉴스데이24 정혜선</t>
  </si>
  <si>
    <t>여수시청 육상팀 강길동, 제53회 KBS배 육상대회 금메달 획득</t>
  </si>
  <si>
    <t>https://blog.naver.com/PostView.naver?blogId=newsday24_&amp;logNo=223896888931&amp;redirect=Dlog&amp;widgetTypeCall=true&amp;directAccess=false</t>
  </si>
  <si>
    <t>2025년서울문화재단 예술창작활동지원 선정 프로젝트AYAF Ensemble Collaboration Op.9-1 영화, 현대음악을 만나다. &lt;The Circus&gt;</t>
  </si>
  <si>
    <t>https://blog.naver.com/PostView.naver?blogId=differance-dolly&amp;logNo=223896857324&amp;redirect=Dlog&amp;widgetTypeCall=true&amp;directAccess=false</t>
  </si>
  <si>
    <t>혼자 사는 노인이 말하는 충격 생존법…초고령사회 대한민국, 과연 해답은? (+고독사, 건강, 경제)</t>
  </si>
  <si>
    <t>https://blog.naver.com/PostView.naver?blogId=qoswlfdl-&amp;logNo=223896826562&amp;redirect=Dlog&amp;widgetTypeCall=true&amp;directAccess=false</t>
  </si>
  <si>
    <t>april21w</t>
  </si>
  <si>
    <t>&lt;클래식 파크 콘서트&gt; 부산시민공원 250608 KBS교향악단(정명훈 지휘), 선우예권</t>
  </si>
  <si>
    <t>https://blog.naver.com/PostView.naver?blogId=april21w&amp;logNo=223896817585&amp;redirect=Dlog&amp;widgetTypeCall=true&amp;directAccess=false</t>
  </si>
  <si>
    <t>태극기집회 7년의 기록' 다큐영화 6월 19일 개봉. 우종창 기자가 제작한 영화다. 애국시민 여러분의 많은 참여바랍니다/최석태/</t>
  </si>
  <si>
    <t>https://blog.naver.com/PostView.naver?blogId=choisttt1&amp;logNo=223896808013&amp;redirect=Dlog&amp;widgetTypeCall=true&amp;directAccess=false</t>
  </si>
  <si>
    <t>영웅이 살린 아기, KBS 생생정보 6월 12일 방송! 주말 어장 대박 맛집은 어디…(세종대 학식 가격 실화?) 백승일 무주군 포착 (+주말 어장, 세종대, 무주군)</t>
  </si>
  <si>
    <t>https://blog.naver.com/PostView.naver?blogId=ovonews&amp;logNo=223896790569&amp;redirect=Dlog&amp;widgetTypeCall=true&amp;directAccess=false</t>
  </si>
  <si>
    <t>매트릭스</t>
  </si>
  <si>
    <t>세종대왕의 뜻에서 이어진 국악의 날(6월 5일), 우리의 소리를 다시 바라보다.</t>
  </si>
  <si>
    <t>https://blog.naver.com/PostView.naver?blogId=matrixwin&amp;logNo=223896709424&amp;redirect=Dlog&amp;widgetTypeCall=true&amp;directAccess=false</t>
  </si>
  <si>
    <t>개그맨 김인석, 개척교회 목사 됐다...“하나님의 성전으로”</t>
  </si>
  <si>
    <t>https://blog.naver.com/PostView.naver?blogId=younghwa4102&amp;logNo=223896701970&amp;redirect=Dlog&amp;widgetTypeCall=true&amp;directAccess=false</t>
  </si>
  <si>
    <t>남주의 첫날밤을 가져버렸다 시청률 터졌다, 웹툰 원작 드라마 몇부작 1화 2화</t>
  </si>
  <si>
    <t>https://blog.naver.com/PostView.naver?blogId=treewg&amp;logNo=223896650465&amp;redirect=Dlog&amp;widgetTypeCall=true&amp;directAccess=false</t>
  </si>
  <si>
    <t>풀다샘</t>
  </si>
  <si>
    <t>60. 시골은 그런 곳이 아니었다.</t>
  </si>
  <si>
    <t>https://blog.naver.com/PostView.naver?blogId=maumpulda&amp;logNo=223896635872&amp;redirect=Dlog&amp;widgetTypeCall=true&amp;directAccess=false</t>
  </si>
  <si>
    <t>[경남신문_기사스크랩] 창원 합포중 김준, 25년만에 400미터 대회신</t>
  </si>
  <si>
    <t>https://blog.naver.com/PostView.naver?blogId=onlyyj1706&amp;logNo=223896619751&amp;redirect=Dlog&amp;widgetTypeCall=true&amp;directAccess=false</t>
  </si>
  <si>
    <t>1. 현대건설의 '올라이프케어하우스' 등 新개념 주택건설을 선보이다</t>
  </si>
  <si>
    <t>https://blog.naver.com/PostView.naver?blogId=tapeda&amp;logNo=223896592858&amp;redirect=Dlog&amp;widgetTypeCall=true&amp;directAccess=false</t>
  </si>
  <si>
    <t>NCC방송</t>
  </si>
  <si>
    <t>금정구, 2025 금정산성축제 13일~15일 개최</t>
  </si>
  <si>
    <t>https://blog.naver.com/PostView.naver?blogId=ncc-tv&amp;logNo=223896591873&amp;redirect=Dlog&amp;widgetTypeCall=true&amp;directAccess=false</t>
  </si>
  <si>
    <t>이러고 산다</t>
  </si>
  <si>
    <t>[클래식] 미하일 플레트네프의 라흐마니노프 피아노 협주곡 3번, 4번(예술의 전당/24.06.28)</t>
  </si>
  <si>
    <t>https://blog.naver.com/PostView.naver?blogId=raonharu7&amp;logNo=223500916128&amp;redirect=Dlog&amp;widgetTypeCall=true&amp;directAccess=false</t>
  </si>
  <si>
    <t>김숙 폭로 “짚신으로 맞았다”…7살 위 KBS 출신 선배, 누구?</t>
  </si>
  <si>
    <t>https://blog.naver.com/PostView.naver?blogId=picklenews&amp;logNo=223896559408&amp;redirect=Dlog&amp;widgetTypeCall=true&amp;directAccess=false</t>
  </si>
  <si>
    <t>남주의 첫날밤을 가져버렸다 1회 후기 폭탄주를 말다보니 남주와 동침_로코 드라마 추천</t>
  </si>
  <si>
    <t>https://blog.naver.com/PostView.naver?blogId=zephyros0&amp;logNo=223896544532&amp;redirect=Dlog&amp;widgetTypeCall=true&amp;directAccess=false</t>
  </si>
  <si>
    <t>2025년 6월12일  목요일 KBS19번 인간극장 우리집 왕빠 4부 보다</t>
  </si>
  <si>
    <t>https://blog.naver.com/PostView.naver?blogId=ch921017&amp;logNo=223896494992&amp;redirect=Dlog&amp;widgetTypeCall=true&amp;directAccess=false</t>
  </si>
  <si>
    <t>KBS 중계석 2025년 6월, 드디어 베일 벗는 …(숨겨진 경기, 충격 라인업)?! 안 보면 후회할 특급 일정 전격 공개 (+스포츠, 중계, KBS)</t>
  </si>
  <si>
    <t>https://blog.naver.com/PostView.naver?blogId=qoswlfdl-&amp;logNo=223896493421&amp;redirect=Dlog&amp;widgetTypeCall=true&amp;directAccess=false</t>
  </si>
  <si>
    <t>행복만땅</t>
  </si>
  <si>
    <t>관심갖기 (0612)</t>
  </si>
  <si>
    <t>https://blog.naver.com/PostView.naver?blogId=pnsgb&amp;logNo=223894950189&amp;redirect=Dlog&amp;widgetTypeCall=true&amp;directAccess=false</t>
  </si>
  <si>
    <t>KBS 중계석 2025년 6월, 드디어 베일 벗다…숨겨진 뒷이야기 대방출 (+방송일정, 스포츠, 비하인드)</t>
  </si>
  <si>
    <t>https://blog.naver.com/PostView.naver?blogId=qoswlfdl-&amp;logNo=223896467964&amp;redirect=Dlog&amp;widgetTypeCall=true&amp;directAccess=false</t>
  </si>
  <si>
    <t>역마살</t>
  </si>
  <si>
    <t>서울 청와대 - 정치적으로 1번이지만 여행지로도 1번인 특별한 공간</t>
  </si>
  <si>
    <t>https://blog.naver.com/PostView.naver?blogId=dondogi&amp;logNo=223894405376&amp;redirect=Dlog&amp;widgetTypeCall=true&amp;directAccess=false</t>
  </si>
  <si>
    <t>2025.06.12(목) 인공지능, 암호화폐 뉴스 스크랩</t>
  </si>
  <si>
    <t>https://blog.naver.com/PostView.naver?blogId=namjuny&amp;logNo=223896460356&amp;redirect=Dlog&amp;widgetTypeCall=true&amp;directAccess=false</t>
  </si>
  <si>
    <t>걷는 사람</t>
  </si>
  <si>
    <t>종묘(宗廟)에서 사직(社稷)까지</t>
  </si>
  <si>
    <t>https://blog.naver.com/PostView.naver?blogId=rightpaths&amp;logNo=223896448489&amp;redirect=Dlog&amp;widgetTypeCall=true&amp;directAccess=false</t>
  </si>
  <si>
    <t>250612 눕지않기(6/11)미션 후기/우선순위3개 후기</t>
  </si>
  <si>
    <t>https://blog.naver.com/PostView.naver?blogId=june153_&amp;logNo=223896440532&amp;redirect=Dlog&amp;widgetTypeCall=true&amp;directAccess=false</t>
  </si>
  <si>
    <t>이병헌, LA서 '오징어 게임 시즌3' 홍보 중 포착…할리우드 명예의 거리서 '여유 만끽'</t>
  </si>
  <si>
    <t>https://blog.naver.com/PostView.naver?blogId=lsb3002&amp;logNo=223896418956&amp;redirect=Dlog&amp;widgetTypeCall=true&amp;directAccess=false</t>
  </si>
  <si>
    <t>김종국, 최근 음원차트 1위에 닿아버린 주우재 질투</t>
  </si>
  <si>
    <t>https://blog.naver.com/PostView.naver?blogId=luke4747&amp;logNo=223896339085&amp;redirect=Dlog&amp;widgetTypeCall=true&amp;directAccess=false</t>
  </si>
  <si>
    <t>김인석, 개그맨에서 목사로…개척교회 연 근황 공개에 ‘웃음+감동’</t>
  </si>
  <si>
    <t>https://blog.naver.com/PostView.naver?blogId=apahghfej&amp;logNo=223896358436&amp;redirect=Dlog&amp;widgetTypeCall=true&amp;directAccess=false</t>
  </si>
  <si>
    <t>백만장작</t>
  </si>
  <si>
    <t>남주의 첫날밤 논란: 병산서원 문화재 훼손 사건의 전말</t>
  </si>
  <si>
    <t>https://blog.naver.com/PostView.naver?blogId=skyaces&amp;logNo=223896348334&amp;redirect=Dlog&amp;widgetTypeCall=true&amp;directAccess=false</t>
  </si>
  <si>
    <t>잘생긴 외모 때문에 인생 캐릭터 놓칠 뻔했던 이 배우</t>
  </si>
  <si>
    <t>https://blog.naver.com/PostView.naver?blogId=now_movie&amp;logNo=223895272761&amp;redirect=Dlog&amp;widgetTypeCall=true&amp;directAccess=false</t>
  </si>
  <si>
    <t>M베스터</t>
  </si>
  <si>
    <t>악마의 목소리 취준생 아들의 비극</t>
  </si>
  <si>
    <t>https://blog.naver.com/PostView.naver?blogId=llica819&amp;logNo=223896310078&amp;redirect=Dlog&amp;widgetTypeCall=true&amp;directAccess=false</t>
  </si>
  <si>
    <t>겸</t>
  </si>
  <si>
    <t>2025 방콕여행 day3 &amp; day4</t>
  </si>
  <si>
    <t>https://blog.naver.com/PostView.naver?blogId=helloboo92&amp;logNo=223896308529&amp;redirect=Dlog&amp;widgetTypeCall=true&amp;directAccess=false</t>
  </si>
  <si>
    <t>North Korea Sends Thousands of Military Workers to Russia 북한, 러시아에 공병·군사건설인력 6천명 파견한다</t>
  </si>
  <si>
    <t>https://blog.naver.com/PostView.naver?blogId=misael&amp;logNo=223903993169&amp;redirect=Dlog&amp;widgetTypeCall=true&amp;directAccess=false</t>
  </si>
  <si>
    <t>중심이동</t>
  </si>
  <si>
    <t>글로벌텍스프리 / 롯데관광개발 업데이트와 인바운드 산업에 대한 잡담</t>
  </si>
  <si>
    <t>https://blog.naver.com/PostView.naver?blogId=youngcha85&amp;logNo=223903963007&amp;redirect=Dlog&amp;widgetTypeCall=true&amp;directAccess=false</t>
  </si>
  <si>
    <t>봄쏘</t>
  </si>
  <si>
    <t>책 가족의 몸을 살리는 30일 건강 습관</t>
  </si>
  <si>
    <t>https://blog.naver.com/PostView.naver?blogId=sjm813&amp;logNo=223903956605&amp;redirect=Dlog&amp;widgetTypeCall=true&amp;directAccess=false</t>
  </si>
  <si>
    <t>더보이즈 주학년, 日 AV 배우와 사적 만남...원헌드레드 잇따른 악재에 곤혹</t>
  </si>
  <si>
    <t>https://blog.naver.com/PostView.naver?blogId=news_curator_j&amp;logNo=223903949323&amp;redirect=Dlog&amp;widgetTypeCall=true&amp;directAccess=false</t>
  </si>
  <si>
    <t>940 패혈증 출산 후 자궁감염ㆍ산후패혈증(출산후패혈증)ㆍ신생아패혈증ㆍ신생아 집단 패혈증ㆍ집단 패혈증ㆍ패혈증 진단방법</t>
  </si>
  <si>
    <t>https://blog.naver.com/PostView.naver?blogId=mojito2024&amp;logNo=223903935777&amp;redirect=Dlog&amp;widgetTypeCall=true&amp;directAccess=false</t>
  </si>
  <si>
    <t>jh</t>
  </si>
  <si>
    <t>나강카</t>
  </si>
  <si>
    <t>[D-148] 쫌 바쁘다</t>
  </si>
  <si>
    <t>https://blog.naver.com/PostView.naver?blogId=heilsuv&amp;logNo=223903856635&amp;redirect=Dlog&amp;widgetTypeCall=true&amp;directAccess=false</t>
  </si>
  <si>
    <t>kkh997208</t>
  </si>
  <si>
    <t>역사 파해치기</t>
  </si>
  <si>
    <t>https://blog.naver.com/PostView.naver?blogId=kkh997208&amp;logNo=223903844752&amp;redirect=Dlog&amp;widgetTypeCall=true&amp;directAccess=false</t>
  </si>
  <si>
    <t>선우</t>
  </si>
  <si>
    <t>문래 샌드위치맛집/ 패스츄리샌드위치가 맛 있는 문래 고샌드</t>
  </si>
  <si>
    <t>https://blog.naver.com/PostView.naver?blogId=kimdoit3&amp;logNo=223903841843&amp;redirect=Dlog&amp;widgetTypeCall=true&amp;directAccess=false</t>
  </si>
  <si>
    <t>하모니</t>
  </si>
  <si>
    <t>인천 부평구 굴포천 생태하천 복원사업 현장 사진 #부평구 굴포천을 생태하천으로 복원해 ‘제2의 청계천’탄생</t>
  </si>
  <si>
    <t>https://blog.naver.com/PostView.naver?blogId=starkujk&amp;logNo=223903776617&amp;redirect=Dlog&amp;widgetTypeCall=true&amp;directAccess=false</t>
  </si>
  <si>
    <t>6월 1주차 기사 스크랩</t>
  </si>
  <si>
    <t>https://blog.naver.com/PostView.naver?blogId=halati0n&amp;logNo=223903760733&amp;redirect=Dlog&amp;widgetTypeCall=true&amp;directAccess=false</t>
  </si>
  <si>
    <t>진도소방서, ‘들리는 소방안전 솔루션’으로 정보취약계층 지원 강화</t>
  </si>
  <si>
    <t>https://blog.naver.com/PostView.naver?blogId=kbsn_kr&amp;logNo=223903704472&amp;redirect=Dlog&amp;widgetTypeCall=true&amp;directAccess=false</t>
  </si>
  <si>
    <t>영종도민만 아는 회덮밥 정식 15000원 비밀…바지락 칼국수 착한 가격의 이유(+영종도맛집, 가성비, 숨은보석)</t>
  </si>
  <si>
    <t>https://blog.naver.com/PostView.naver?blogId=min5591ha&amp;logNo=223903695255&amp;redirect=Dlog&amp;widgetTypeCall=true&amp;directAccess=false</t>
  </si>
  <si>
    <t>희유</t>
  </si>
  <si>
    <t>배움</t>
  </si>
  <si>
    <t>https://blog.naver.com/PostView.naver?blogId=dugilao1&amp;logNo=223903679690&amp;redirect=Dlog&amp;widgetTypeCall=true&amp;directAccess=false</t>
  </si>
  <si>
    <t>광양 닭구이, 6시내고향 맛집 위치 드디어 공개 발길따라 찾아간 그곳은…(상상초월) (+숨겨진 명당, 인생 닭구이, 예약 필수)</t>
  </si>
  <si>
    <t>https://blog.naver.com/PostView.naver?blogId=min5591ha&amp;logNo=223903679736&amp;redirect=Dlog&amp;widgetTypeCall=true&amp;directAccess=false</t>
  </si>
  <si>
    <t>대전시의회, 2024 결산안 원안 의결…총 7조 4천억 규모</t>
  </si>
  <si>
    <t>https://blog.naver.com/PostView.naver?blogId=kbsn_kr&amp;logNo=223903632032&amp;redirect=Dlog&amp;widgetTypeCall=true&amp;directAccess=false</t>
  </si>
  <si>
    <t>금산군, 1166억 원 투자 유치…299명 신규 고용 창출 기대</t>
  </si>
  <si>
    <t>https://blog.naver.com/PostView.naver?blogId=kbsn_kr&amp;logNo=223903600737&amp;redirect=Dlog&amp;widgetTypeCall=true&amp;directAccess=false</t>
  </si>
  <si>
    <t>실용주의자의 승부수: G7 정상회의에 나타난 이재명 대통령의 외교 데뷔 심층 분석</t>
  </si>
  <si>
    <t>https://blog.naver.com/PostView.naver?blogId=solvunoq&amp;logNo=223903562805&amp;redirect=Dlog&amp;widgetTypeCall=true&amp;directAccess=false</t>
  </si>
  <si>
    <t>"광주광역시, 금호타이어 재건에 총력…7월 복구 로드맵 공개 예정"</t>
  </si>
  <si>
    <t>https://blog.naver.com/PostView.naver?blogId=kbsn_kr&amp;logNo=223903590451&amp;redirect=Dlog&amp;widgetTypeCall=true&amp;directAccess=false</t>
  </si>
  <si>
    <t>AI가 정리한 6월 18일 국내·외 주요 뉴스</t>
  </si>
  <si>
    <t>https://blog.naver.com/PostView.naver?blogId=ksahn1960&amp;logNo=223903545374&amp;redirect=Dlog&amp;widgetTypeCall=true&amp;directAccess=false</t>
  </si>
  <si>
    <t>11ha_na11</t>
  </si>
  <si>
    <t>[2025년 애니메이션 기획프로듀서 육성사업] 6월 18일</t>
  </si>
  <si>
    <t>https://blog.naver.com/PostView.naver?blogId=11ha_na11&amp;logNo=223903539624&amp;redirect=Dlog&amp;widgetTypeCall=true&amp;directAccess=false</t>
  </si>
  <si>
    <t>idearman001</t>
  </si>
  <si>
    <t>헬로미쭈</t>
  </si>
  <si>
    <t>남주의 첫날밤을 가져버렸다. 현실판 빙의 로맨스</t>
  </si>
  <si>
    <t>https://blog.naver.com/PostView.naver?blogId=hellomijju&amp;logNo=223903503974&amp;redirect=Dlog&amp;widgetTypeCall=true&amp;directAccess=false</t>
  </si>
  <si>
    <t>탄탄한머니</t>
  </si>
  <si>
    <t>아이돌에 환장하는 고3 딸을 둔 엄마의 심정(feat. 서울여행)</t>
  </si>
  <si>
    <t>https://blog.naver.com/PostView.naver?blogId=gogogo7386&amp;logNo=223903488000&amp;redirect=Dlog&amp;widgetTypeCall=true&amp;directAccess=false</t>
  </si>
  <si>
    <t>elec4u</t>
  </si>
  <si>
    <t>구글, ‘유튜브 팬페스트 코리아 2025′ 성공적으로 마쳐</t>
  </si>
  <si>
    <t>https://blog.naver.com/PostView.naver?blogId=elec4u&amp;logNo=223903481813&amp;redirect=Dlog&amp;widgetTypeCall=true&amp;directAccess=false</t>
  </si>
  <si>
    <t>고앵</t>
  </si>
  <si>
    <t>순천 전국 노래자랑 !!</t>
  </si>
  <si>
    <t>https://blog.naver.com/PostView.naver?blogId=inst2&amp;logNo=223903470897&amp;redirect=Dlog&amp;widgetTypeCall=true&amp;directAccess=false</t>
  </si>
  <si>
    <t>더 피플 매거진</t>
  </si>
  <si>
    <t>국힘, '김민석 의혹' 집중 공세 "청문회 아닌 수사대상…李, 지명 철회하라"</t>
  </si>
  <si>
    <t>https://blog.naver.com/PostView.naver?blogId=bisul0826&amp;logNo=223903457866&amp;redirect=Dlog&amp;widgetTypeCall=true&amp;directAccess=false</t>
  </si>
  <si>
    <t>안케의 눈물 저</t>
  </si>
  <si>
    <t>어떤 놈이 나를, 한강으로 밀어 넣어 나고? 했다고 하였다</t>
  </si>
  <si>
    <t>https://blog.naver.com/PostView.naver?blogId=kkjj1948&amp;logNo=223903440511&amp;redirect=Dlog&amp;widgetTypeCall=true&amp;directAccess=false</t>
  </si>
  <si>
    <t>에너지코리아뉴스</t>
  </si>
  <si>
    <t>예술의전당 ‘디지털 스테이지’ 7월 1일 정식 서비스 전환</t>
  </si>
  <si>
    <t>https://blog.naver.com/PostView.naver?blogId=gooutside&amp;logNo=223903414065&amp;redirect=Dlog&amp;widgetTypeCall=true&amp;directAccess=false</t>
  </si>
  <si>
    <t>madman</t>
  </si>
  <si>
    <t>(작성中) 전국학교스포츠클럽 축전</t>
  </si>
  <si>
    <t>https://blog.naver.com/PostView.naver?blogId=northface32&amp;logNo=223903399904&amp;redirect=Dlog&amp;widgetTypeCall=true&amp;directAccess=false</t>
  </si>
  <si>
    <t>먹여일</t>
  </si>
  <si>
    <t>[서울/여의도] 여의화로 + 로바다야끼소담</t>
  </si>
  <si>
    <t>https://blog.naver.com/PostView.naver?blogId=ykim233&amp;logNo=223903387423&amp;redirect=Dlog&amp;widgetTypeCall=true&amp;directAccess=false</t>
  </si>
  <si>
    <t>aahh</t>
  </si>
  <si>
    <t>여의도 벚꽃 1등으로 만끽은 했는디,,</t>
  </si>
  <si>
    <t>https://blog.naver.com/PostView.naver?blogId=3yeoning30&amp;logNo=223903342929&amp;redirect=Dlog&amp;widgetTypeCall=true&amp;directAccess=false</t>
  </si>
  <si>
    <t>꿈꾸는 스머펫</t>
  </si>
  <si>
    <t>2025.6.12. KBS교향악단 정기연주회(선우예권 협연)</t>
  </si>
  <si>
    <t>https://blog.naver.com/PostView.naver?blogId=smupetsmupet&amp;logNo=223903327810&amp;redirect=Dlog&amp;widgetTypeCall=true&amp;directAccess=false</t>
  </si>
  <si>
    <t>김종국, 논현동 자가 '전액 현금' 매입 비결은 "오로지 저금"…김종민 결혼 축하 미담도 공개</t>
  </si>
  <si>
    <t>https://blog.naver.com/PostView.naver?blogId=lsb3002&amp;logNo=223903301884&amp;redirect=Dlog&amp;widgetTypeCall=true&amp;directAccess=false</t>
  </si>
  <si>
    <t>가수 강민주 눈물의 인생 오빠 셋마저 떠났다...숫자 11이 말하는 운명의 굴레</t>
  </si>
  <si>
    <t>https://blog.naver.com/PostView.naver?blogId=stonesam3&amp;logNo=223903289186&amp;redirect=Dlog&amp;widgetTypeCall=true&amp;directAccess=false</t>
  </si>
  <si>
    <t>경북문화신문</t>
  </si>
  <si>
    <t>상주시, ‘KBS배 전국레슬링대회’ 2년 연속 유치</t>
  </si>
  <si>
    <t>https://blog.naver.com/PostView.naver?blogId=gminews12&amp;logNo=223903259882&amp;redirect=Dlog&amp;widgetTypeCall=true&amp;directAccess=false</t>
  </si>
  <si>
    <t>성명서&gt; 후박나무 대규모 박피사건에 대해 자치경찰대는 수사에 착수하라</t>
  </si>
  <si>
    <t>https://blog.naver.com/PostView.naver?blogId=ecobuddyjeju&amp;logNo=223903249674&amp;redirect=Dlog&amp;widgetTypeCall=true&amp;directAccess=false</t>
  </si>
  <si>
    <t>창원미용학원과 함께하는 재밌는 헤어국가자격증시간~!</t>
  </si>
  <si>
    <t>https://blog.naver.com/PostView.naver?blogId=cwkbsmt23_&amp;logNo=223903235114&amp;redirect=Dlog&amp;widgetTypeCall=true&amp;directAccess=false</t>
  </si>
  <si>
    <t>드라마 리뷰 | 그대의 풍경 (2007)</t>
  </si>
  <si>
    <t>https://blog.naver.com/PostView.naver?blogId=always_empty_heart&amp;logNo=223903212324&amp;redirect=Dlog&amp;widgetTypeCall=true&amp;directAccess=false</t>
  </si>
  <si>
    <t>초아</t>
  </si>
  <si>
    <t>구민정, 오효정 &lt;명랑한 유언&gt; / 떠난 사람도, 남은 사람도 명랑하게</t>
  </si>
  <si>
    <t>https://blog.naver.com/PostView.naver?blogId=dreamer-eugenia&amp;logNo=223903211864&amp;redirect=Dlog&amp;widgetTypeCall=true&amp;directAccess=false</t>
  </si>
  <si>
    <t>강동환 기자</t>
  </si>
  <si>
    <t>[부산 양산]“나무”, 첫달의 기억 – 전이섭 작가 북토크 &amp; 전시, 부산 수영 빈빈문화원에서 성황리 개최</t>
  </si>
  <si>
    <t>https://blog.naver.com/PostView.naver?blogId=kang913478&amp;logNo=223903179935&amp;redirect=Dlog&amp;widgetTypeCall=true&amp;directAccess=false</t>
  </si>
  <si>
    <t>여왕의 집 함은정 강재인 복수 시작 줄거리 요약</t>
  </si>
  <si>
    <t>https://blog.naver.com/PostView.naver?blogId=somedayview&amp;logNo=223903119839&amp;redirect=Dlog&amp;widgetTypeCall=true&amp;directAccess=false</t>
  </si>
  <si>
    <t>https://blog.naver.com/PostView.naver?blogId=approach999&amp;logNo=223903072419&amp;redirect=Dlog&amp;widgetTypeCall=true&amp;directAccess=false</t>
  </si>
  <si>
    <t>KBO 2025.06.18(수) 두산 베어스 : 삼성 라이온즈 프리뷰 및 선발 분석, 경기 예측</t>
  </si>
  <si>
    <t>https://blog.naver.com/PostView.naver?blogId=k_reporter_&amp;logNo=223903069376&amp;redirect=Dlog&amp;widgetTypeCall=true&amp;directAccess=false</t>
  </si>
  <si>
    <t>견우와 선녀 드라마를 위해 무당 굿을 3개월 동안 연습한 여배우</t>
  </si>
  <si>
    <t>https://blog.naver.com/PostView.naver?blogId=euene1111&amp;logNo=223903064629&amp;redirect=Dlog&amp;widgetTypeCall=true&amp;directAccess=false</t>
  </si>
  <si>
    <t>여행쟁이</t>
  </si>
  <si>
    <t>2025 7월 충남 부여서동연꽃축제 일정, 서동요의 전설을 품은 연못</t>
  </si>
  <si>
    <t>https://blog.naver.com/PostView.naver?blogId=k-traveler-&amp;logNo=223903061010&amp;redirect=Dlog&amp;widgetTypeCall=true&amp;directAccess=false</t>
  </si>
  <si>
    <t>소지섭, 미안하다 사랑한다 미사 신드롬 넷플릭스 광장 인터뷰</t>
  </si>
  <si>
    <t>https://blog.naver.com/PostView.naver?blogId=haggyo7&amp;logNo=223903055739&amp;redirect=Dlog&amp;widgetTypeCall=true&amp;directAccess=false</t>
  </si>
  <si>
    <t>에이티즈(ATEEZ), 미니 12집으로 눈부신 활약...'골든 아워'는 계속된다</t>
  </si>
  <si>
    <t>https://blog.naver.com/PostView.naver?blogId=gyment&amp;logNo=223902856721&amp;redirect=Dlog&amp;widgetTypeCall=true&amp;directAccess=false</t>
  </si>
  <si>
    <t>모리</t>
  </si>
  <si>
    <t>요즘 수면 패턴이 엉망이긴 하지만 원래 나는 엉망이었지?</t>
  </si>
  <si>
    <t>https://blog.naver.com/PostView.naver?blogId=mable_978&amp;logNo=223903050930&amp;redirect=Dlog&amp;widgetTypeCall=true&amp;directAccess=false</t>
  </si>
  <si>
    <t>6. 18(수) 경찰관련기사</t>
  </si>
  <si>
    <t>https://blog.naver.com/PostView.naver?blogId=tobiaspia&amp;logNo=223903023984&amp;redirect=Dlog&amp;widgetTypeCall=true&amp;directAccess=false</t>
  </si>
  <si>
    <t>2025년 6월18일 수요일 KBS19번 인간극장 사돈끼리 찰떡육아 3부보다</t>
  </si>
  <si>
    <t>https://blog.naver.com/PostView.naver?blogId=ch921017&amp;logNo=223903020376&amp;redirect=Dlog&amp;widgetTypeCall=true&amp;directAccess=false</t>
  </si>
  <si>
    <t>"개그만 하는 줄 알았지?"… 메타코미디, 팬페스트 씹어먹었다</t>
  </si>
  <si>
    <t>https://blog.naver.com/PostView.naver?blogId=kstarfashion&amp;logNo=223903013114&amp;redirect=Dlog&amp;widgetTypeCall=true&amp;directAccess=false</t>
  </si>
  <si>
    <t>"소개팅은 한 번도 안 해봤어요" 안영미, 인기 많았던 학창시절 에피소드 공개</t>
  </si>
  <si>
    <t>https://blog.naver.com/PostView.naver?blogId=leesunhee9&amp;logNo=223902999174&amp;redirect=Dlog&amp;widgetTypeCall=true&amp;directAccess=false</t>
  </si>
  <si>
    <t>25.6.18.(수) 경찰 관련 기사 스크린</t>
  </si>
  <si>
    <t>https://blog.naver.com/PostView.naver?blogId=bugook789&amp;logNo=223902994525&amp;redirect=Dlog&amp;widgetTypeCall=true&amp;directAccess=false</t>
  </si>
  <si>
    <t>인터넷신문</t>
  </si>
  <si>
    <t>“전복 향기 가득한 행복한 하루”</t>
  </si>
  <si>
    <t>https://blog.naver.com/PostView.naver?blogId=mdsys&amp;logNo=223902976697&amp;redirect=Dlog&amp;widgetTypeCall=true&amp;directAccess=false</t>
  </si>
  <si>
    <t>얼마나 예쁘길래, 이병헌 손현주등 동기 8명이 동시에 좋아했다는 여배우의 정체.jpg</t>
  </si>
  <si>
    <t>https://blog.naver.com/PostView.naver?blogId=cleo1112&amp;logNo=223902859768&amp;redirect=Dlog&amp;widgetTypeCall=true&amp;directAccess=false</t>
  </si>
  <si>
    <t>맹고</t>
  </si>
  <si>
    <t>천호 고기집 천호 고기맛집 경송 천호본점</t>
  </si>
  <si>
    <t>https://blog.naver.com/PostView.naver?blogId=jelee0496&amp;logNo=223902848180&amp;redirect=Dlog&amp;widgetTypeCall=true&amp;directAccess=false</t>
  </si>
  <si>
    <t>유성욱</t>
  </si>
  <si>
    <t>[크로스핏 운동일지]6월 둘째주</t>
  </si>
  <si>
    <t>https://blog.naver.com/PostView.naver?blogId=usuu0919&amp;logNo=223902831268&amp;redirect=Dlog&amp;widgetTypeCall=true&amp;directAccess=false</t>
  </si>
  <si>
    <t>모미모</t>
  </si>
  <si>
    <t>★ 목표는 kbs 51기 공채 성우 되시겠습니다.</t>
  </si>
  <si>
    <t>https://blog.naver.com/PostView.naver?blogId=silverstars001&amp;logNo=223902799063&amp;redirect=Dlog&amp;widgetTypeCall=true&amp;directAccess=false</t>
  </si>
  <si>
    <t>재환이</t>
  </si>
  <si>
    <t>6월17일 일상</t>
  </si>
  <si>
    <t>https://blog.naver.com/PostView.naver?blogId=asdxz879&amp;logNo=223902796518&amp;redirect=Dlog&amp;widgetTypeCall=true&amp;directAccess=false</t>
  </si>
  <si>
    <t>(뉴스 스크랩) 이 대통령, G7 참석차 출국…대통령실 “통상 등 현안성과 토대 마련” - KBS</t>
  </si>
  <si>
    <t>https://blog.naver.com/PostView.naver?blogId=urban_ops&amp;logNo=223902793759&amp;redirect=Dlog&amp;widgetTypeCall=true&amp;directAccess=false</t>
  </si>
  <si>
    <t>연두양</t>
  </si>
  <si>
    <t>[언론] 징벌적 손해배상제도, 방송3법</t>
  </si>
  <si>
    <t>https://blog.naver.com/PostView.naver?blogId=eeung3&amp;logNo=223902783221&amp;redirect=Dlog&amp;widgetTypeCall=true&amp;directAccess=false</t>
  </si>
  <si>
    <t>YUL</t>
  </si>
  <si>
    <t>[콩쿨도전기의 결과] 미르 성악 콩쿨에 참가한 후기</t>
  </si>
  <si>
    <t>https://blog.naver.com/PostView.naver?blogId=ewha0802&amp;logNo=223902774384&amp;redirect=Dlog&amp;widgetTypeCall=true&amp;directAccess=false</t>
  </si>
  <si>
    <t>neuronjo</t>
  </si>
  <si>
    <t>여가수</t>
  </si>
  <si>
    <t>https://blog.naver.com/PostView.naver?blogId=neuronjo&amp;logNo=223902763974&amp;redirect=Dlog&amp;widgetTypeCall=true&amp;directAccess=false</t>
  </si>
  <si>
    <t>Monologue... 버즈(Buzz)</t>
  </si>
  <si>
    <t>https://blog.naver.com/PostView.naver?blogId=mks33&amp;logNo=223902671658&amp;redirect=Dlog&amp;widgetTypeCall=true&amp;directAccess=false</t>
  </si>
  <si>
    <t>치달</t>
  </si>
  <si>
    <t>차범근 vs 함부르크 3-2 (1985/86 분데스리가, 홈)</t>
  </si>
  <si>
    <t>https://blog.naver.com/PostView.naver?blogId=diaspora0709&amp;logNo=223902647872&amp;redirect=Dlog&amp;widgetTypeCall=true&amp;directAccess=false</t>
  </si>
  <si>
    <t>꿈여울</t>
  </si>
  <si>
    <t>슬로우 조깅 효과로 3개월 만에 5kg 감량한 방법</t>
  </si>
  <si>
    <t>https://blog.naver.com/PostView.naver?blogId=2100dream&amp;logNo=223902640111&amp;redirect=Dlog&amp;widgetTypeCall=true&amp;directAccess=false</t>
  </si>
  <si>
    <t>창원예술극단 '시민연극 아카데미' KBS라디오서 취재</t>
  </si>
  <si>
    <t>https://blog.naver.com/PostView.naver?blogId=dino999&amp;logNo=223902625399&amp;redirect=Dlog&amp;widgetTypeCall=true&amp;directAccess=false</t>
  </si>
  <si>
    <t>서독 간호사</t>
  </si>
  <si>
    <t>https://blog.naver.com/PostView.naver?blogId=ci6741&amp;logNo=223902609794&amp;redirect=Dlog&amp;widgetTypeCall=true&amp;directAccess=false</t>
  </si>
  <si>
    <t>오식구 행복 이야기</t>
  </si>
  <si>
    <t>2025유키구라모토콘서트</t>
  </si>
  <si>
    <t>https://blog.naver.com/PostView.naver?blogId=yaj53&amp;logNo=223902599783&amp;redirect=Dlog&amp;widgetTypeCall=true&amp;directAccess=false</t>
  </si>
  <si>
    <t>아산시청소년교육문화센터, 오는 21일 제3회 청소년합창제 개최</t>
  </si>
  <si>
    <t>https://blog.naver.com/PostView.naver?blogId=agem111&amp;logNo=223902588584&amp;redirect=Dlog&amp;widgetTypeCall=true&amp;directAccess=false</t>
  </si>
  <si>
    <t>순천만국가정원, 가족 참여형 ‘아이-정원’ 체험행사 큰 호응</t>
  </si>
  <si>
    <t>https://blog.naver.com/PostView.naver?blogId=kbsn_kr&amp;logNo=223902462111&amp;redirect=Dlog&amp;widgetTypeCall=true&amp;directAccess=false</t>
  </si>
  <si>
    <t>6시내고향 파장어조림</t>
  </si>
  <si>
    <t>https://blog.naver.com/PostView.naver?blogId=nft000&amp;logNo=223902313824&amp;redirect=Dlog&amp;widgetTypeCall=true&amp;directAccess=false</t>
  </si>
  <si>
    <t>WBN한국복지정책방송</t>
  </si>
  <si>
    <t>[신간 소개] 배우 임병기의 시집 『천년의 그리움』, 정통 사극의 삶을 ‘드라마 시’로 기록하다</t>
  </si>
  <si>
    <t>https://blog.naver.com/PostView.naver?blogId=hwf3304&amp;logNo=223902439907&amp;redirect=Dlog&amp;widgetTypeCall=true&amp;directAccess=false</t>
  </si>
  <si>
    <t>광주시교육청, ‘6월 기관장 회의’ 개최… 화정동굴 참관으로 역사 교육 의미 더해</t>
  </si>
  <si>
    <t>https://blog.naver.com/PostView.naver?blogId=kbsn_kr&amp;logNo=223902411323&amp;redirect=Dlog&amp;widgetTypeCall=true&amp;directAccess=false</t>
  </si>
  <si>
    <t>금곡종합사회복지관, 지역 취약계층 어르신 외식지원사업 행사</t>
  </si>
  <si>
    <t>https://blog.naver.com/PostView.naver?blogId=bswoman&amp;logNo=223902380778&amp;redirect=Dlog&amp;widgetTypeCall=true&amp;directAccess=false</t>
  </si>
  <si>
    <t>대전 중구, 코레일과 손잡고 ‘한화 야구 관람 연계 여행상품’ 출시</t>
  </si>
  <si>
    <t>https://blog.naver.com/PostView.naver?blogId=kbsn_kr&amp;logNo=223902372431&amp;redirect=Dlog&amp;widgetTypeCall=true&amp;directAccess=false</t>
  </si>
  <si>
    <t>Magic콜석</t>
  </si>
  <si>
    <t>“임산부 체험해 보니 허리에 무리 간다” ... 인구보건복지협회-KBS아나운서협회-서울교통공사, 임산부 배려 공동 캠페인</t>
  </si>
  <si>
    <t>https://blog.naver.com/PostView.naver?blogId=hnewskr&amp;logNo=223902354046&amp;redirect=Dlog&amp;widgetTypeCall=true&amp;directAccess=false</t>
  </si>
  <si>
    <t>여행톡톡</t>
  </si>
  <si>
    <t>2025 국내 연꽃명소 추천 BEST 9 (+연꽃축제일정)</t>
  </si>
  <si>
    <t>https://blog.naver.com/PostView.naver?blogId=tour_toctoc&amp;logNo=223901898037&amp;redirect=Dlog&amp;widgetTypeCall=true&amp;directAccess=false</t>
  </si>
  <si>
    <t>금암노인복지관·KBS강태원 복지재단 ‘방방곡곡 행복밥상’어르신 식사 대접</t>
  </si>
  <si>
    <t>https://blog.naver.com/PostView.naver?blogId=leebangheui&amp;logNo=223902332530&amp;redirect=Dlog&amp;widgetTypeCall=true&amp;directAccess=false</t>
  </si>
  <si>
    <t>"스마트폰 사용, 중학교까지 기다리자"...19일 스프운동본부 출범</t>
  </si>
  <si>
    <t>https://blog.naver.com/PostView.naver?blogId=theedu3000&amp;logNo=223902320328&amp;redirect=Dlog&amp;widgetTypeCall=true&amp;directAccess=false</t>
  </si>
  <si>
    <t>ChatGPT와 함께 보는 『한중록』 요약 - 혜경궁 홍씨</t>
  </si>
  <si>
    <t>https://blog.naver.com/PostView.naver?blogId=doodle02&amp;logNo=223902274313&amp;redirect=Dlog&amp;widgetTypeCall=true&amp;directAccess=false</t>
  </si>
  <si>
    <t>광주 아파트 지하주차장 2층 전기차 화재</t>
  </si>
  <si>
    <t>https://blog.naver.com/PostView.naver?blogId=jdwndz&amp;logNo=223902265363&amp;redirect=Dlog&amp;widgetTypeCall=true&amp;directAccess=false</t>
  </si>
  <si>
    <t>인기 TV 영상</t>
  </si>
  <si>
    <t>https://blog.naver.com/PostView.naver?blogId=c1c1b1b1&amp;logNo=223902226887&amp;redirect=Dlog&amp;widgetTypeCall=true&amp;directAccess=false</t>
  </si>
  <si>
    <t>국립극장 소식</t>
  </si>
  <si>
    <t>https://blog.naver.com/PostView.naver?blogId=ntok2010&amp;logNo=223902223096&amp;redirect=Dlog&amp;widgetTypeCall=true&amp;directAccess=false</t>
  </si>
  <si>
    <t>고구마말랑이</t>
  </si>
  <si>
    <t>[#28.일상] 이게 진짜 별거없는 찐 일상이다</t>
  </si>
  <si>
    <t>https://blog.naver.com/PostView.naver?blogId=dlawlgus7055&amp;logNo=223902198758&amp;redirect=Dlog&amp;widgetTypeCall=true&amp;directAccess=false</t>
  </si>
  <si>
    <t>문경새재를 다녀오다.</t>
  </si>
  <si>
    <t>https://blog.naver.com/PostView.naver?blogId=3213love&amp;logNo=223902172850&amp;redirect=Dlog&amp;widgetTypeCall=true&amp;directAccess=false</t>
  </si>
  <si>
    <t>인생무상 (人生無常)~   제행무상 (諸行無常)~</t>
  </si>
  <si>
    <t>https://blog.naver.com/PostView.naver?blogId=hgryu1948&amp;logNo=223902150856&amp;redirect=Dlog&amp;widgetTypeCall=true&amp;directAccess=false</t>
  </si>
  <si>
    <t>해수동</t>
  </si>
  <si>
    <t>홈플러스에 남겨진 시간은 얼마 남지 않았다, 정말로</t>
  </si>
  <si>
    <t>https://blog.naver.com/PostView.naver?blogId=edounga&amp;logNo=223902096414&amp;redirect=Dlog&amp;widgetTypeCall=true&amp;directAccess=false</t>
  </si>
  <si>
    <t>dassri</t>
  </si>
  <si>
    <t>[일상] 25년 5월 해피한 가정의 달</t>
  </si>
  <si>
    <t>https://blog.naver.com/PostView.naver?blogId=tina6425&amp;logNo=223902077848&amp;redirect=Dlog&amp;widgetTypeCall=true&amp;directAccess=false</t>
  </si>
  <si>
    <t>마음산책</t>
  </si>
  <si>
    <t>나의 집🏠 설계하기! 인생은 60부터_좋은 영상 추천</t>
  </si>
  <si>
    <t>https://blog.naver.com/PostView.naver?blogId=silpin94&amp;logNo=223902077160&amp;redirect=Dlog&amp;widgetTypeCall=true&amp;directAccess=false</t>
  </si>
  <si>
    <t>뉴뉴</t>
  </si>
  <si>
    <t>호매실왁싱 아나덴 슈가링왁싱 저자극 천연 제품으로 깔끔하게</t>
  </si>
  <si>
    <t>https://blog.naver.com/PostView.naver?blogId=eugene85331&amp;logNo=223902062433&amp;redirect=Dlog&amp;widgetTypeCall=true&amp;directAccess=false</t>
  </si>
  <si>
    <t>SOPHY</t>
  </si>
  <si>
    <t>25.6.17 뉴스</t>
  </si>
  <si>
    <t>https://blog.naver.com/PostView.naver?blogId=gogosophy&amp;logNo=223902028879&amp;redirect=Dlog&amp;widgetTypeCall=true&amp;directAccess=false</t>
  </si>
  <si>
    <t>드라마 프로듀사 정보 출연진 줄거리 리뷰</t>
  </si>
  <si>
    <t>https://blog.naver.com/PostView.naver?blogId=lit_raon&amp;logNo=223893043139&amp;redirect=Dlog&amp;widgetTypeCall=true&amp;directAccess=false</t>
  </si>
  <si>
    <t>국민기자</t>
  </si>
  <si>
    <t>‘제5회 글로벌컬쳐명인대상’ 6월 25일 개최… 정혜선·임혁·이창호 등 수상</t>
  </si>
  <si>
    <t>https://blog.naver.com/PostView.naver?blogId=kjnnews&amp;logNo=223901984927&amp;redirect=Dlog&amp;widgetTypeCall=true&amp;directAccess=false</t>
  </si>
  <si>
    <t>KBO 2025.06.17(화) 두산 베어스 : 삼성 라이온즈 선발 분석 및 프리뷰, 예측</t>
  </si>
  <si>
    <t>https://blog.naver.com/PostView.naver?blogId=k_reporter_&amp;logNo=223901898653&amp;redirect=Dlog&amp;widgetTypeCall=true&amp;directAccess=false</t>
  </si>
  <si>
    <t>모든 시장이 매우 뜨겁다.</t>
  </si>
  <si>
    <t>https://blog.naver.com/PostView.naver?blogId=3linestock&amp;logNo=223901868296&amp;redirect=Dlog&amp;widgetTypeCall=true&amp;directAccess=false</t>
  </si>
  <si>
    <t>애송논쟁</t>
  </si>
  <si>
    <t>호남의 명산 - 광주 '무등산'</t>
  </si>
  <si>
    <t>https://blog.naver.com/PostView.naver?blogId=honeybee28th&amp;logNo=223901835600&amp;redirect=Dlog&amp;widgetTypeCall=true&amp;directAccess=false</t>
  </si>
  <si>
    <t>보도자료&gt;표선면 성읍리 임야 후박나무 대규모 박피</t>
  </si>
  <si>
    <t>https://blog.naver.com/PostView.naver?blogId=ecobuddyjeju&amp;logNo=223901817531&amp;redirect=Dlog&amp;widgetTypeCall=true&amp;directAccess=false</t>
  </si>
  <si>
    <t>신바람한의사</t>
  </si>
  <si>
    <t>키움 히어로즈 팔릴 거 같다</t>
  </si>
  <si>
    <t>https://blog.naver.com/PostView.naver?blogId=adongsu&amp;logNo=223901807709&amp;redirect=Dlog&amp;widgetTypeCall=true&amp;directAccess=false</t>
  </si>
  <si>
    <t>예술의전당 공연영상 플랫폼‘디지털 스테이지’, 7월 1일 정식 운영 개시</t>
  </si>
  <si>
    <t>https://blog.naver.com/PostView.naver?blogId=withinnews&amp;logNo=223901807096&amp;redirect=Dlog&amp;widgetTypeCall=true&amp;directAccess=false</t>
  </si>
  <si>
    <t>https://blog.naver.com/PostView.naver?blogId=parkhosik85&amp;logNo=223901801294&amp;redirect=Dlog&amp;widgetTypeCall=true&amp;directAccess=false</t>
  </si>
  <si>
    <t>드라마 삼남매가 용감하게 정보 출연진 줄거리 리뷰</t>
  </si>
  <si>
    <t>https://blog.naver.com/PostView.naver?blogId=lit_raon&amp;logNo=223880534426&amp;redirect=Dlog&amp;widgetTypeCall=true&amp;directAccess=false</t>
  </si>
  <si>
    <t>滄珠香山의 放吾齋 日記 2025. 6. 17. 火</t>
  </si>
  <si>
    <t>https://blog.naver.com/PostView.naver?blogId=lestofilos&amp;logNo=223901734579&amp;redirect=Dlog&amp;widgetTypeCall=true&amp;directAccess=false</t>
  </si>
  <si>
    <t>소로소 엄</t>
  </si>
  <si>
    <t>KBS 한국인의 밥상 부문</t>
  </si>
  <si>
    <t>https://blog.naver.com/PostView.naver?blogId=brain016&amp;logNo=223901730270&amp;redirect=Dlog&amp;widgetTypeCall=true&amp;directAccess=false</t>
  </si>
  <si>
    <t>쟈니</t>
  </si>
  <si>
    <t>남산 밥도 술도 맛있는 소문난 요리주점 한국식 이자카야 도동집</t>
  </si>
  <si>
    <t>https://blog.naver.com/PostView.naver?blogId=mooonlog&amp;logNo=223900071169&amp;redirect=Dlog&amp;widgetTypeCall=true&amp;directAccess=false</t>
  </si>
  <si>
    <t>KBSJOY 오래된 만남 추구 시즌 2 1회(8회) 시작부터 핑크빛 분위기♥</t>
  </si>
  <si>
    <t>https://blog.naver.com/PostView.naver?blogId=anbangk&amp;logNo=223901656093&amp;redirect=Dlog&amp;widgetTypeCall=true&amp;directAccess=false</t>
  </si>
  <si>
    <t>별낙원</t>
  </si>
  <si>
    <t>개그콘서트 프리뷰_ 케이팝스테이지 홍대 실내데이트 웃음빵빵 소극장 개콘 공연</t>
  </si>
  <si>
    <t>https://blog.naver.com/PostView.naver?blogId=bluesoso&amp;logNo=223901596460&amp;redirect=Dlog&amp;widgetTypeCall=true&amp;directAccess=false</t>
  </si>
  <si>
    <t>김팡팡</t>
  </si>
  <si>
    <t>한국여행 1. 친구 등골 뽑기</t>
  </si>
  <si>
    <t>https://blog.naver.com/PostView.naver?blogId=kdh633&amp;logNo=223901585845&amp;redirect=Dlog&amp;widgetTypeCall=true&amp;directAccess=false</t>
  </si>
  <si>
    <t>heyda</t>
  </si>
  <si>
    <t>좋소를 투자하면 안 되는 이유</t>
  </si>
  <si>
    <t>https://blog.naver.com/PostView.naver?blogId=heyda46&amp;logNo=223901585572&amp;redirect=Dlog&amp;widgetTypeCall=true&amp;directAccess=false</t>
  </si>
  <si>
    <t>용담</t>
  </si>
  <si>
    <t>그날 - 김연숙</t>
  </si>
  <si>
    <t>https://blog.naver.com/PostView.naver?blogId=hes1314&amp;logNo=223901562011&amp;redirect=Dlog&amp;widgetTypeCall=true&amp;directAccess=false</t>
  </si>
  <si>
    <t>어화둥둥</t>
  </si>
  <si>
    <t>6.16.</t>
  </si>
  <si>
    <t>https://blog.naver.com/PostView.naver?blogId=emma-8&amp;logNo=223901547348&amp;redirect=Dlog&amp;widgetTypeCall=true&amp;directAccess=false</t>
  </si>
  <si>
    <t>편서풍</t>
  </si>
  <si>
    <t>부동산 대불장 도래? 부동산 상승장 속 과거 하락의 원인과 교훈</t>
  </si>
  <si>
    <t>https://blog.naver.com/PostView.naver?blogId=lyaios&amp;logNo=223901513324&amp;redirect=Dlog&amp;widgetTypeCall=true&amp;directAccess=false</t>
  </si>
  <si>
    <t>문진석 프로필, 나이 고향 학력 재산 정치경력</t>
  </si>
  <si>
    <t>https://blog.naver.com/PostView.naver?blogId=asd63455&amp;logNo=223901512008&amp;redirect=Dlog&amp;widgetTypeCall=true&amp;directAccess=false</t>
  </si>
  <si>
    <t>음..뭐랄까..그게..잇자너</t>
  </si>
  <si>
    <t>https://blog.naver.com/PostView.naver?blogId=s0830tar&amp;logNo=223901504856&amp;redirect=Dlog&amp;widgetTypeCall=true&amp;directAccess=false</t>
  </si>
  <si>
    <t>송희재</t>
  </si>
  <si>
    <t>무용총</t>
  </si>
  <si>
    <t>https://blog.naver.com/PostView.naver?blogId=jaemoonlim&amp;logNo=223901502742&amp;redirect=Dlog&amp;widgetTypeCall=true&amp;directAccess=false</t>
  </si>
  <si>
    <t>혬토링</t>
  </si>
  <si>
    <t>대구 두산동 맛집 수성구 곰탕으로 유명한 곽옥자 삼대곰탕에서 먹은 상동 들안길 냉면과 육전</t>
  </si>
  <si>
    <t>https://blog.naver.com/PostView.naver?blogId=hyemtoring&amp;logNo=223901458712&amp;redirect=Dlog&amp;widgetTypeCall=true&amp;directAccess=false</t>
  </si>
  <si>
    <t>최승오</t>
  </si>
  <si>
    <t>대한민국 제조업의 몰락 1. 원인파악</t>
  </si>
  <si>
    <t>https://blog.naver.com/PostView.naver?blogId=choiso980509&amp;logNo=223901452164&amp;redirect=Dlog&amp;widgetTypeCall=true&amp;directAccess=false</t>
  </si>
  <si>
    <t>후니</t>
  </si>
  <si>
    <t>눈길</t>
  </si>
  <si>
    <t>https://blog.naver.com/PostView.naver?blogId=vib2000&amp;logNo=223901443690&amp;redirect=Dlog&amp;widgetTypeCall=true&amp;directAccess=false</t>
  </si>
  <si>
    <t>듀리쌤</t>
  </si>
  <si>
    <t>평양냉면 답사기</t>
  </si>
  <si>
    <t>https://blog.naver.com/PostView.naver?blogId=ilyoucho&amp;logNo=223901437616&amp;redirect=Dlog&amp;widgetTypeCall=true&amp;directAccess=false</t>
  </si>
  <si>
    <t>NEWS WORLD TV</t>
  </si>
  <si>
    <t>https://blog.naver.com/PostView.naver?blogId=sunwoo803&amp;logNo=223901389679&amp;redirect=Dlog&amp;widgetTypeCall=true&amp;directAccess=false</t>
  </si>
  <si>
    <t>2025/6/15 롯데콘서트홀 파리오케스트라 메켈레 x 임윤찬 협연 후기</t>
  </si>
  <si>
    <t>https://blog.naver.com/PostView.naver?blogId=yulyul8383&amp;logNo=223901388544&amp;redirect=Dlog&amp;widgetTypeCall=true&amp;directAccess=false</t>
  </si>
  <si>
    <t>2025.6.16.월(음5.21.)_영어공부, 독서모임, 홍산 마늘 캐고 유구 색동 수국 정원 산책</t>
  </si>
  <si>
    <t>https://blog.naver.com/PostView.naver?blogId=with_nani&amp;logNo=223901383011&amp;redirect=Dlog&amp;widgetTypeCall=true&amp;directAccess=false</t>
  </si>
  <si>
    <t>suuuk23</t>
  </si>
  <si>
    <t>6월16일 매매일지 d+1</t>
  </si>
  <si>
    <t>https://blog.naver.com/PostView.naver?blogId=suuuk23&amp;logNo=223901373518&amp;redirect=Dlog&amp;widgetTypeCall=true&amp;directAccess=false</t>
  </si>
  <si>
    <t>아랑가(ArangGA)-1139. 사랑은 계절 따라</t>
  </si>
  <si>
    <t>https://blog.naver.com/PostView.naver?blogId=ycy519444&amp;logNo=223901341942&amp;redirect=Dlog&amp;widgetTypeCall=true&amp;directAccess=false</t>
  </si>
  <si>
    <t>월 2천만원 CEO' 김혜선, 무보정 바프 위엄…근육 부자 몸매에 감탄</t>
  </si>
  <si>
    <t>https://blog.naver.com/PostView.naver?blogId=picklenews&amp;logNo=223901334382&amp;redirect=Dlog&amp;widgetTypeCall=true&amp;directAccess=false</t>
  </si>
  <si>
    <t>포항 사람만 안다는 물회 맛집 오늘N 할매식당…! 도대체 어디 숨어있는거야 (+포항물회, 현지인맛집, 노포식당)</t>
  </si>
  <si>
    <t>https://blog.naver.com/PostView.naver?blogId=qoswlfdl-&amp;logNo=223901319720&amp;redirect=Dlog&amp;widgetTypeCall=true&amp;directAccess=false</t>
  </si>
  <si>
    <t>sdkim</t>
  </si>
  <si>
    <t>Ccfirst297차 기업의 전사 기업열전 훼미리마트 리빙스테이션 쉽고 편한 공간 독신과 외로운사람들의 천국.전라도는 욕심이 과 한것 같다.</t>
  </si>
  <si>
    <t>https://blog.naver.com/PostView.naver?blogId=sdl1944&amp;logNo=223901296160&amp;redirect=Dlog&amp;widgetTypeCall=true&amp;directAccess=false</t>
  </si>
  <si>
    <t>&lt;예술&gt;예썰의 전당_서양미술편_KBS예썰의전당 제작팀_예술에 관한 세상 모든 썰</t>
  </si>
  <si>
    <t>https://blog.naver.com/PostView.naver?blogId=boutique007&amp;logNo=223901283417&amp;redirect=Dlog&amp;widgetTypeCall=true&amp;directAccess=false</t>
  </si>
  <si>
    <t>제천시(시장 김창규), 송학면 구석기시대 대표유적 점말동굴유적체험관(충청북도기념물 제116호) 개관식&amp;개관기념 6월30일까지 무료개방/7월부터 관람료 청소년1,000원,성인2,00</t>
  </si>
  <si>
    <t>https://blog.naver.com/PostView.naver?blogId=aeran0704&amp;logNo=223901230361&amp;redirect=Dlog&amp;widgetTypeCall=true&amp;directAccess=false</t>
  </si>
  <si>
    <t>뭐볼까나</t>
  </si>
  <si>
    <t>차태현 공효진 | 방송국 리얼 성장 로맨스, 이 구역 예능국은 우리가 접수한다! | 프로듀사</t>
  </si>
  <si>
    <t>https://blog.naver.com/PostView.naver?blogId=yudol_pyeong&amp;logNo=223901221507&amp;redirect=Dlog&amp;widgetTypeCall=true&amp;directAccess=false</t>
  </si>
  <si>
    <t>돌멩맹이</t>
  </si>
  <si>
    <t>허용별콘서트 : 보컬전쟁 시즌2 - "The War of Vocalists II" - 부산 / 부산 KBS홀 / 18시 공연 후기</t>
  </si>
  <si>
    <t>https://blog.naver.com/PostView.naver?blogId=myeong7778&amp;logNo=223901218166&amp;redirect=Dlog&amp;widgetTypeCall=true&amp;directAccess=false</t>
  </si>
  <si>
    <t>사랑과 나눔의 축제, ‘노숙인에게 사랑과 희망을’… 음성에서 감동의 장 열려</t>
  </si>
  <si>
    <t>https://blog.naver.com/PostView.naver?blogId=kbsn_kr&amp;logNo=223901217611&amp;redirect=Dlog&amp;widgetTypeCall=true&amp;directAccess=false</t>
  </si>
  <si>
    <t>지식과감성</t>
  </si>
  <si>
    <t>지식과감성# ‘왜 나는 노래를 못할까?’ 그 답을 찾는 입문자를 위한 보컬 지침서 『보컬 쌤들이 알려 주는 비밀 레시피 초급편』</t>
  </si>
  <si>
    <t>https://blog.naver.com/PostView.naver?blogId=ksbookup&amp;logNo=223901194794&amp;redirect=Dlog&amp;widgetTypeCall=true&amp;directAccess=false</t>
  </si>
  <si>
    <t>코지</t>
  </si>
  <si>
    <t>유튜브 팬페스트 코리아 2025 성료… 팬과 크리에이터, 현장에서 '찐'소통</t>
  </si>
  <si>
    <t>https://blog.naver.com/PostView.naver?blogId=ayg2876&amp;logNo=223901190262&amp;redirect=Dlog&amp;widgetTypeCall=true&amp;directAccess=false</t>
  </si>
  <si>
    <t>김덕수 기자의 '마을과 사람'(47)</t>
  </si>
  <si>
    <t>https://blog.naver.com/PostView.naver?blogId=najubold&amp;logNo=223901184038&amp;redirect=Dlog&amp;widgetTypeCall=true&amp;directAccess=false</t>
  </si>
  <si>
    <t>한양대동문회보</t>
  </si>
  <si>
    <t>함께한대 합창단, 부산대 동문합창단과 교류음악회</t>
  </si>
  <si>
    <t>https://blog.naver.com/PostView.naver?blogId=hyanews&amp;logNo=223901182051&amp;redirect=Dlog&amp;widgetTypeCall=true&amp;directAccess=false</t>
  </si>
  <si>
    <t>세고</t>
  </si>
  <si>
    <t>[골프존마켓 부산  남천점] 방문, 시타, 골프클럽 구입 후기 + 주차 정보</t>
  </si>
  <si>
    <t>https://blog.naver.com/PostView.naver?blogId=peaceful0219&amp;logNo=223901163132&amp;redirect=Dlog&amp;widgetTypeCall=true&amp;directAccess=false</t>
  </si>
  <si>
    <t>내수 경기 활성화 목적 민생지원금 지급 검토</t>
  </si>
  <si>
    <t>https://blog.naver.com/PostView.naver?blogId=stella5092&amp;logNo=223901162419&amp;redirect=Dlog&amp;widgetTypeCall=true&amp;directAccess=false</t>
  </si>
  <si>
    <t>어마마마</t>
  </si>
  <si>
    <t>[부산] 클래식 파크 콘서트 (부산시민공원 &amp; 조수미)</t>
  </si>
  <si>
    <t>https://blog.naver.com/PostView.naver?blogId=bloodtyp&amp;logNo=223901137147&amp;redirect=Dlog&amp;widgetTypeCall=true&amp;directAccess=false</t>
  </si>
  <si>
    <t>절세미남이차장</t>
  </si>
  <si>
    <t>천호역에 코오롱상가를 기억하시나요?</t>
  </si>
  <si>
    <t>https://blog.naver.com/PostView.naver?blogId=sjmpiky&amp;logNo=223901134004&amp;redirect=Dlog&amp;widgetTypeCall=true&amp;directAccess=false</t>
  </si>
  <si>
    <t>영감</t>
  </si>
  <si>
    <t>[영월] 금강정</t>
  </si>
  <si>
    <t>https://blog.naver.com/PostView.naver?blogId=paulhhjo&amp;logNo=223901130506&amp;redirect=Dlog&amp;widgetTypeCall=true&amp;directAccess=false</t>
  </si>
  <si>
    <t>배드뱅크 설립: 기대와 우려</t>
  </si>
  <si>
    <t>https://blog.naver.com/PostView.naver?blogId=forever4forest&amp;logNo=223901109911&amp;redirect=Dlog&amp;widgetTypeCall=true&amp;directAccess=false</t>
  </si>
  <si>
    <t>키득키득</t>
  </si>
  <si>
    <t>6시내고향 통영 반건조생선 주문</t>
  </si>
  <si>
    <t>https://blog.naver.com/PostView.naver?blogId=naza114&amp;logNo=223901030876&amp;redirect=Dlog&amp;widgetTypeCall=true&amp;directAccess=false</t>
  </si>
  <si>
    <t>미머시선</t>
  </si>
  <si>
    <t>속초 동명동 성당 : 6.25 전쟁 중 마련된 하느님의 성전 그리고 영금정</t>
  </si>
  <si>
    <t>https://blog.naver.com/PostView.naver?blogId=hiheel0301&amp;logNo=223901092603&amp;redirect=Dlog&amp;widgetTypeCall=true&amp;directAccess=false</t>
  </si>
  <si>
    <t>6월25 개최, 제5회 글로벌컬쳐명인대상 정혜선 등 수상자 선정</t>
  </si>
  <si>
    <t>https://blog.naver.com/PostView.naver?blogId=kbeautynews&amp;logNo=223901083939&amp;redirect=Dlog&amp;widgetTypeCall=true&amp;directAccess=false</t>
  </si>
  <si>
    <t>붉은천룡</t>
  </si>
  <si>
    <t>&lt;2025.06.16&gt; 주식시장</t>
  </si>
  <si>
    <t>https://blog.naver.com/PostView.naver?blogId=lyw01&amp;logNo=223901037110&amp;redirect=Dlog&amp;widgetTypeCall=true&amp;directAccess=false</t>
  </si>
  <si>
    <t>S-OIL, ‘소방영웅지킴이’ 후원금 5억 6,500만원 전달</t>
  </si>
  <si>
    <t>https://blog.naver.com/PostView.naver?blogId=ceo009&amp;logNo=223900992211&amp;redirect=Dlog&amp;widgetTypeCall=true&amp;directAccess=false</t>
  </si>
  <si>
    <t>Global Travel News</t>
  </si>
  <si>
    <t>모로코, 대서양과 사하라 사이, 아가디르가 뜬다</t>
  </si>
  <si>
    <t>https://blog.naver.com/PostView.naver?blogId=gtnnews&amp;logNo=223900989990&amp;redirect=Dlog&amp;widgetTypeCall=true&amp;directAccess=false</t>
  </si>
  <si>
    <t>풀잎</t>
  </si>
  <si>
    <t>25년 6월 16일/월</t>
  </si>
  <si>
    <t>https://blog.naver.com/PostView.naver?blogId=kwijak&amp;logNo=223900987763&amp;redirect=Dlog&amp;widgetTypeCall=true&amp;directAccess=false</t>
  </si>
  <si>
    <t>경북일간뉴스</t>
  </si>
  <si>
    <t>상주시, ‘양정모올림픽제패기념 제50회 KBS배 전국레슬링대회’ 개최</t>
  </si>
  <si>
    <t>https://blog.naver.com/PostView.naver?blogId=tkdaily&amp;logNo=223900974288&amp;redirect=Dlog&amp;widgetTypeCall=true&amp;directAccess=false</t>
  </si>
  <si>
    <t>lel</t>
  </si>
  <si>
    <t>[세금]-수신료 납부 해지 방법</t>
  </si>
  <si>
    <t>https://blog.naver.com/PostView.naver?blogId=abcdkfla&amp;logNo=223900959480&amp;redirect=Dlog&amp;widgetTypeCall=true&amp;directAccess=false</t>
  </si>
  <si>
    <t>[#방판뮤직_어디든가요] 명품 보컬🎤들의 만남! ✨역대급 듀엣✨을 보여준 '소향X웬디 - 행복한 나를' | KBS 250607 방송</t>
  </si>
  <si>
    <t>https://blog.naver.com/PostView.naver?blogId=mj-english&amp;logNo=223900955088&amp;redirect=Dlog&amp;widgetTypeCall=true&amp;directAccess=false</t>
  </si>
  <si>
    <t>밤바다</t>
  </si>
  <si>
    <t>[여행] 엄마와 하동&amp;구례 여행 2일차 ① (구례 천은사-반야원 플라타너스-엄마의 손두부)</t>
  </si>
  <si>
    <t>https://blog.naver.com/PostView.naver?blogId=bambada89&amp;logNo=223900953193&amp;redirect=Dlog&amp;widgetTypeCall=true&amp;directAccess=false</t>
  </si>
  <si>
    <t>뽀댕이</t>
  </si>
  <si>
    <t>KBS 한국어능력시험 85회 복원 및 후기(남편이 침)</t>
  </si>
  <si>
    <t>https://blog.naver.com/PostView.naver?blogId=bbotato&amp;logNo=223900932878&amp;redirect=Dlog&amp;widgetTypeCall=true&amp;directAccess=false</t>
  </si>
  <si>
    <t>콩냥</t>
  </si>
  <si>
    <t>허용별 콘서트🌠</t>
  </si>
  <si>
    <t>https://blog.naver.com/PostView.naver?blogId=mkong_10&amp;logNo=223900926618&amp;redirect=Dlog&amp;widgetTypeCall=true&amp;directAccess=false</t>
  </si>
  <si>
    <t>서현, 블랙컬러로!</t>
  </si>
  <si>
    <t>https://blog.naver.com/PostView.naver?blogId=barohair&amp;logNo=223900892089&amp;redirect=Dlog&amp;widgetTypeCall=true&amp;directAccess=false</t>
  </si>
  <si>
    <t>"'깡통 순찰차' 전국 배치 논란"…현장에선 '무장 해제' 된 경찰차? 실패는 드러나고 성과는 감춰진다.</t>
  </si>
  <si>
    <t>https://blog.naver.com/PostView.naver?blogId=sk_jaeking78&amp;logNo=223900878103&amp;redirect=Dlog&amp;widgetTypeCall=true&amp;directAccess=false</t>
  </si>
  <si>
    <t>민준</t>
  </si>
  <si>
    <t>20250527</t>
  </si>
  <si>
    <t>https://blog.naver.com/PostView.naver?blogId=dascakehaus2&amp;logNo=223900871216&amp;redirect=Dlog&amp;widgetTypeCall=true&amp;directAccess=false</t>
  </si>
  <si>
    <t>이한숙아나운서</t>
  </si>
  <si>
    <t>https://blog.naver.com/PostView.naver?blogId=yang83529&amp;logNo=223900809407&amp;redirect=Dlog&amp;widgetTypeCall=true&amp;directAccess=false</t>
  </si>
  <si>
    <t>병아리뷰라이프</t>
  </si>
  <si>
    <t>이광기 딸 이연지 정우영 결혼 현장 인스타 사진</t>
  </si>
  <si>
    <t>https://blog.naver.com/PostView.naver?blogId=reviewlife0203&amp;logNo=223900789413&amp;redirect=Dlog&amp;widgetTypeCall=true&amp;directAccess=false</t>
  </si>
  <si>
    <t>나는 자연이다</t>
  </si>
  <si>
    <t>또라이 시대</t>
  </si>
  <si>
    <t>https://blog.naver.com/PostView.naver?blogId=20038ljw&amp;logNo=223900760506&amp;redirect=Dlog&amp;widgetTypeCall=true&amp;directAccess=false</t>
  </si>
  <si>
    <t>최애 크리에이터와 함께 특별한 재미를 찾아서! 구글, ‘유튜브 팬페스트 코리아 2025' 성공적으로 마쳐</t>
  </si>
  <si>
    <t>https://blog.naver.com/PostView.naver?blogId=madtimes&amp;logNo=223900733966&amp;redirect=Dlog&amp;widgetTypeCall=true&amp;directAccess=false</t>
  </si>
  <si>
    <t>6월 일상 (먹는게 좋아욥)</t>
  </si>
  <si>
    <t>https://blog.naver.com/PostView.naver?blogId=jjinunii&amp;logNo=223900723448&amp;redirect=Dlog&amp;widgetTypeCall=true&amp;directAccess=false</t>
  </si>
  <si>
    <t>월클 세계적 첼리스트 마에스타라 장한나 200평 뉴욕 부촌 초화화 3층 대저택 공개 '화장실만 6개'</t>
  </si>
  <si>
    <t>https://blog.naver.com/PostView.naver?blogId=psepeter&amp;logNo=223900722466&amp;redirect=Dlog&amp;widgetTypeCall=true&amp;directAccess=false</t>
  </si>
  <si>
    <t>gylove0708</t>
  </si>
  <si>
    <t>지식인의 정치 참여</t>
  </si>
  <si>
    <t>https://blog.naver.com/PostView.naver?blogId=gylove0708&amp;logNo=223900676602&amp;redirect=Dlog&amp;widgetTypeCall=true&amp;directAccess=false</t>
  </si>
  <si>
    <t>김민석 총리 후보의 아들 문제가 불러낸 가족사…잉꼬부부 스펙 부부에서 이혼 그리고 정치재개</t>
  </si>
  <si>
    <t>https://blog.naver.com/PostView.naver?blogId=yunys4303&amp;logNo=223900675916&amp;redirect=Dlog&amp;widgetTypeCall=true&amp;directAccess=false</t>
  </si>
  <si>
    <t>미풍</t>
  </si>
  <si>
    <t>KBS 다큐멘터리 '슈퍼피쉬'를 시청하고</t>
  </si>
  <si>
    <t>https://blog.naver.com/PostView.naver?blogId=miroo2012&amp;logNo=223900654582&amp;redirect=Dlog&amp;widgetTypeCall=true&amp;directAccess=false</t>
  </si>
  <si>
    <t>타슈켄트에 울려퍼진 한민족의 노래</t>
  </si>
  <si>
    <t>https://blog.naver.com/PostView.naver?blogId=kims1717&amp;logNo=223900638399&amp;redirect=Dlog&amp;widgetTypeCall=true&amp;directAccess=false</t>
  </si>
  <si>
    <t>한국장애인재단</t>
  </si>
  <si>
    <t>“제 목소리가 누군가의 마음에 닿았으면 좋겠어요”</t>
  </si>
  <si>
    <t>https://blog.naver.com/PostView.naver?blogId=hubherb0420&amp;logNo=223900614022&amp;redirect=Dlog&amp;widgetTypeCall=true&amp;directAccess=false</t>
  </si>
  <si>
    <t>hongkim69</t>
  </si>
  <si>
    <t>바람재, 25-33, 덤이다.</t>
  </si>
  <si>
    <t>https://blog.naver.com/PostView.naver?blogId=hongkim69&amp;logNo=223900606114&amp;redirect=Dlog&amp;widgetTypeCall=true&amp;directAccess=false</t>
  </si>
  <si>
    <t>KBS, 2025년 신입 촬영기자 공개채용 시작…총 6명 선발</t>
  </si>
  <si>
    <t>https://blog.naver.com/PostView.naver?blogId=eng_story&amp;logNo=223900577684&amp;redirect=Dlog&amp;widgetTypeCall=true&amp;directAccess=false</t>
  </si>
  <si>
    <t>또그린</t>
  </si>
  <si>
    <t>[공유] '방판뮤직' 이찬원, 무대에서 더 잘생겨지는 찬또배기</t>
  </si>
  <si>
    <t>https://blog.naver.com/PostView.naver?blogId=lml1216&amp;logNo=223900561338&amp;redirect=Dlog&amp;widgetTypeCall=true&amp;directAccess=false</t>
  </si>
  <si>
    <t>드라마 진짜가 나타났다 정보 출연진 줄거리 리뷰</t>
  </si>
  <si>
    <t>https://blog.naver.com/PostView.naver?blogId=lit_raon&amp;logNo=223880500986&amp;redirect=Dlog&amp;widgetTypeCall=true&amp;directAccess=false</t>
  </si>
  <si>
    <t>2025년 6월16일 월요일 KBS19번 인간극장 사돈끼리 찰떡육아 1부보다</t>
  </si>
  <si>
    <t>https://blog.naver.com/PostView.naver?blogId=ch921017&amp;logNo=223900540050&amp;redirect=Dlog&amp;widgetTypeCall=true&amp;directAccess=false</t>
  </si>
  <si>
    <t>츄 CHUU, 김지우 金智雨, Kim Ji-woo/1</t>
  </si>
  <si>
    <t>https://blog.naver.com/PostView.naver?blogId=kwak6703&amp;logNo=223900533781&amp;redirect=Dlog&amp;widgetTypeCall=true&amp;directAccess=false</t>
  </si>
  <si>
    <t>찌농</t>
  </si>
  <si>
    <t>[PhD 2S] May W5(1)</t>
  </si>
  <si>
    <t>https://blog.naver.com/PostView.naver?blogId=dailyjinnylife&amp;logNo=223900527185&amp;redirect=Dlog&amp;widgetTypeCall=true&amp;directAccess=false</t>
  </si>
  <si>
    <t>서울 롯데월드타워 서울스카이 전망대 - 아울러 석촌호수까지 돌아보기</t>
  </si>
  <si>
    <t>https://blog.naver.com/PostView.naver?blogId=dondogi&amp;logNo=223896539871&amp;redirect=Dlog&amp;widgetTypeCall=true&amp;directAccess=false</t>
  </si>
  <si>
    <t>서프컴퍼니</t>
  </si>
  <si>
    <t>20250616 경제·물류 주요뉴스</t>
  </si>
  <si>
    <t>https://blog.naver.com/PostView.naver?blogId=surff_official&amp;logNo=223900266389&amp;redirect=Dlog&amp;widgetTypeCall=true&amp;directAccess=false</t>
  </si>
  <si>
    <t>림피디</t>
  </si>
  <si>
    <t>2025 유튜브 팬페스트 라이브쇼 A 좌석 직관 키키, NCT WISH 라인업 실화인가</t>
  </si>
  <si>
    <t>https://blog.naver.com/PostView.naver?blogId=twinklehrim&amp;logNo=223900492278&amp;redirect=Dlog&amp;widgetTypeCall=true&amp;directAccess=false</t>
  </si>
  <si>
    <t>약초박사 박교수</t>
  </si>
  <si>
    <t>[약초 소식] 경희대 약대 육창수 명예교수 초청 약초간담회</t>
  </si>
  <si>
    <t>https://blog.naver.com/PostView.naver?blogId=flavonoid3660&amp;logNo=223900464375&amp;redirect=Dlog&amp;widgetTypeCall=true&amp;directAccess=false</t>
  </si>
  <si>
    <t>클라우스 메켈레&amp;파리 오케스트라(임윤찬 협연) 롯데콘서트홀, 2025.06.15</t>
  </si>
  <si>
    <t>https://blog.naver.com/PostView.naver?blogId=lucky_moon58&amp;logNo=223900427792&amp;redirect=Dlog&amp;widgetTypeCall=true&amp;directAccess=false</t>
  </si>
  <si>
    <t>해냐</t>
  </si>
  <si>
    <t>비는 오는데 창문을 못 닫고</t>
  </si>
  <si>
    <t>https://blog.naver.com/PostView.naver?blogId=khy_0521&amp;logNo=223900384601&amp;redirect=Dlog&amp;widgetTypeCall=true&amp;directAccess=false</t>
  </si>
  <si>
    <t>건강부터</t>
  </si>
  <si>
    <t>나이 들어 가장 후회하는 것, 건강을 챙기지 못한 일</t>
  </si>
  <si>
    <t>https://blog.naver.com/PostView.naver?blogId=seungtoria&amp;logNo=223899925952&amp;redirect=Dlog&amp;widgetTypeCall=true&amp;directAccess=false</t>
  </si>
  <si>
    <t>끄적끄으적</t>
  </si>
  <si>
    <t>2025년 5월 30일 금요일 두번째 6학년 61일차</t>
  </si>
  <si>
    <t>https://blog.naver.com/PostView.naver?blogId=anythingoonii&amp;logNo=223908077221&amp;redirect=Dlog&amp;widgetTypeCall=true&amp;directAccess=false</t>
  </si>
  <si>
    <t>나정항</t>
  </si>
  <si>
    <t>☕추억의 팝송을 *KBS FM*에서</t>
  </si>
  <si>
    <t>https://blog.naver.com/PostView.naver?blogId=tulip2345_&amp;logNo=223908037157&amp;redirect=Dlog&amp;widgetTypeCall=true&amp;directAccess=false</t>
  </si>
  <si>
    <t>MiiN</t>
  </si>
  <si>
    <t>또 돌아다니는가</t>
  </si>
  <si>
    <t>https://blog.naver.com/PostView.naver?blogId=miin100-1&amp;logNo=223907972967&amp;redirect=Dlog&amp;widgetTypeCall=true&amp;directAccess=false</t>
  </si>
  <si>
    <t>씨드니</t>
  </si>
  <si>
    <t>이란 이스라엘 전쟁 미국의 참전 그리고 세계 난민의 날 - 특파원 보고 세계는 지금 시청후기</t>
  </si>
  <si>
    <t>https://blog.naver.com/PostView.naver?blogId=jsy5712&amp;logNo=223907969254&amp;redirect=Dlog&amp;widgetTypeCall=true&amp;directAccess=false</t>
  </si>
  <si>
    <t>2025 KBS TV드라마극본공모 일정이 드디어 나왔다. (~7.18까지)</t>
  </si>
  <si>
    <t>https://blog.naver.com/PostView.naver?blogId=minipower77u&amp;logNo=223907954632&amp;redirect=Dlog&amp;widgetTypeCall=true&amp;directAccess=false</t>
  </si>
  <si>
    <t>국악한마당 : 삶은 감자맛</t>
  </si>
  <si>
    <t>https://blog.naver.com/PostView.naver?blogId=o2yr&amp;logNo=223907950811&amp;redirect=Dlog&amp;widgetTypeCall=true&amp;directAccess=false</t>
  </si>
  <si>
    <t>녹음노동자</t>
  </si>
  <si>
    <t>20210909 마이크 대타 촬영</t>
  </si>
  <si>
    <t>https://blog.naver.com/PostView.naver?blogId=farlandohji&amp;logNo=223907918941&amp;redirect=Dlog&amp;widgetTypeCall=true&amp;directAccess=false</t>
  </si>
  <si>
    <t>밥하기 싫은 여자</t>
  </si>
  <si>
    <t>국립박물관 문화향연</t>
  </si>
  <si>
    <t>https://blog.naver.com/PostView.naver?blogId=meiling55&amp;logNo=223907882707&amp;redirect=Dlog&amp;widgetTypeCall=true&amp;directAccess=false</t>
  </si>
  <si>
    <t>독수리 오형제를 부탁해 장모의 반대? 42회 강수 오빠 ♥ 세리 주말드라마 추천</t>
  </si>
  <si>
    <t>https://blog.naver.com/PostView.naver?blogId=chummilmil99&amp;logNo=223907874304&amp;redirect=Dlog&amp;widgetTypeCall=true&amp;directAccess=false</t>
  </si>
  <si>
    <t>나스나길</t>
  </si>
  <si>
    <t>트럼프 2.0 시대</t>
  </si>
  <si>
    <t>https://blog.naver.com/PostView.naver?blogId=imagang&amp;logNo=223907734399&amp;redirect=Dlog&amp;widgetTypeCall=true&amp;directAccess=false</t>
  </si>
  <si>
    <t>고요</t>
  </si>
  <si>
    <t>출판사에서 일하고 싶습니다. 그렇게 하기 위해서……</t>
  </si>
  <si>
    <t>https://blog.naver.com/PostView.naver?blogId=b_stranger&amp;logNo=223907712006&amp;redirect=Dlog&amp;widgetTypeCall=true&amp;directAccess=false</t>
  </si>
  <si>
    <t>이서빈 30대회사원</t>
  </si>
  <si>
    <t>[국립중앙박물관] 장마철 방문하기 좋은 실내 데이트,국립중앙방물관 (입장료무료)</t>
  </si>
  <si>
    <t>https://blog.naver.com/PostView.naver?blogId=seobin_ee&amp;logNo=223907704262&amp;redirect=Dlog&amp;widgetTypeCall=true&amp;directAccess=false</t>
  </si>
  <si>
    <t>evergreen</t>
  </si>
  <si>
    <t>[하트 체인 스웨터] 08 앞판 연결</t>
  </si>
  <si>
    <t>https://blog.naver.com/PostView.naver?blogId=evergreen__98&amp;logNo=223907696413&amp;redirect=Dlog&amp;widgetTypeCall=true&amp;directAccess=false</t>
  </si>
  <si>
    <t>my___oneday</t>
  </si>
  <si>
    <t>❤️유튜브 반려동물 🍿250622일14 영상모음</t>
  </si>
  <si>
    <t>https://blog.naver.com/PostView.naver?blogId=gusteam&amp;logNo=223907676431&amp;redirect=Dlog&amp;widgetTypeCall=true&amp;directAccess=false</t>
  </si>
  <si>
    <t>NM</t>
  </si>
  <si>
    <t>250531 3x3 프로젝트 두 번째: &lt;공조:주여사 구출작전&gt; 후기</t>
  </si>
  <si>
    <t>https://blog.naver.com/PostView.naver?blogId=my_romance_10&amp;logNo=223907675918&amp;redirect=Dlog&amp;widgetTypeCall=true&amp;directAccess=false</t>
  </si>
  <si>
    <t>[공유] [이런뉴스] 이재명 대통령 "잡았어야 했는데" 했던 하정우 AI수석 첫 브리핑 / KBS 2025.06.22</t>
  </si>
  <si>
    <t>https://blog.naver.com/PostView.naver?blogId=yjhyjhy&amp;logNo=223907649580&amp;redirect=Dlog&amp;widgetTypeCall=true&amp;directAccess=false</t>
  </si>
  <si>
    <t>LoopMaker</t>
  </si>
  <si>
    <t>🎵 그대를 사랑했지만: 시간을 거슬러 오는 감정의 이름(김범수 × 《독수리 5형제를 부탁해》 OST 해석)</t>
  </si>
  <si>
    <t>https://blog.naver.com/PostView.naver?blogId=loopmaker&amp;logNo=223907639907&amp;redirect=Dlog&amp;widgetTypeCall=true&amp;directAccess=false</t>
  </si>
  <si>
    <t>별지기 로티</t>
  </si>
  <si>
    <t>김호중 생애 첫 팬미팅 무비 '그대, 고맙소'</t>
  </si>
  <si>
    <t>https://blog.naver.com/PostView.naver?blogId=hms3475&amp;logNo=223907638109&amp;redirect=Dlog&amp;widgetTypeCall=true&amp;directAccess=false</t>
  </si>
  <si>
    <t>특별조치법상 허위 보증서를 기초로 한 등기의 추정력이 깨어지는 경우</t>
  </si>
  <si>
    <t>https://blog.naver.com/PostView.naver?blogId=aickim2009&amp;logNo=223907638298&amp;redirect=Dlog&amp;widgetTypeCall=true&amp;directAccess=false</t>
  </si>
  <si>
    <t>전국노래자랑 해남군유지나미스김</t>
  </si>
  <si>
    <t>https://blog.naver.com/PostView.naver?blogId=lws0077&amp;logNo=223907636076&amp;redirect=Dlog&amp;widgetTypeCall=true&amp;directAccess=false</t>
  </si>
  <si>
    <t>독수리 5형제를 부탁해 42회@ 출생의 비밀, 오강수 친모 혼란! 장모 박정수 장광주 막걸리 봉변! 폭탄발언 ft.43회 예고 줄거리</t>
  </si>
  <si>
    <t>https://blog.naver.com/PostView.naver?blogId=ameliepink&amp;logNo=223907601324&amp;redirect=Dlog&amp;widgetTypeCall=true&amp;directAccess=false</t>
  </si>
  <si>
    <t>MIN JAE KIM</t>
  </si>
  <si>
    <t>2025년 5월의 어느날..마라도 여행기.😃</t>
  </si>
  <si>
    <t>https://blog.naver.com/PostView.naver?blogId=youwin1111&amp;logNo=223907535424&amp;redirect=Dlog&amp;widgetTypeCall=true&amp;directAccess=false</t>
  </si>
  <si>
    <t>우유병</t>
  </si>
  <si>
    <t>반값으로 결혼 가능?! 경기도 지원으로 준비하는 알뜰 웨딩</t>
  </si>
  <si>
    <t>https://blog.naver.com/PostView.naver?blogId=ruky2nd&amp;logNo=223906957861&amp;redirect=Dlog&amp;widgetTypeCall=true&amp;directAccess=false</t>
  </si>
  <si>
    <t>세계정복</t>
  </si>
  <si>
    <t>남천동 “도모헌“ 모모스커피</t>
  </si>
  <si>
    <t>https://blog.naver.com/PostView.naver?blogId=viechunsa&amp;logNo=223907532062&amp;redirect=Dlog&amp;widgetTypeCall=true&amp;directAccess=false</t>
  </si>
  <si>
    <t>주녹스</t>
  </si>
  <si>
    <t>전영혁의 음악세계</t>
  </si>
  <si>
    <t>https://blog.naver.com/PostView.naver?blogId=junox&amp;logNo=223907530272&amp;redirect=Dlog&amp;widgetTypeCall=true&amp;directAccess=false</t>
  </si>
  <si>
    <t>하늘천사</t>
  </si>
  <si>
    <t>블로그 제목 변경 행복한 대학원생의 하루를 졸업하고 이제는 행복을 만드는 하루</t>
  </si>
  <si>
    <t>https://blog.naver.com/PostView.naver?blogId=whguswls2595&amp;logNo=223907481608&amp;redirect=Dlog&amp;widgetTypeCall=true&amp;directAccess=false</t>
  </si>
  <si>
    <t>행복</t>
  </si>
  <si>
    <t>셀럽병사의 비밀</t>
  </si>
  <si>
    <t>https://blog.naver.com/PostView.naver?blogId=px301&amp;logNo=223907470428&amp;redirect=Dlog&amp;widgetTypeCall=true&amp;directAccess=false</t>
  </si>
  <si>
    <t>예쁘지우</t>
  </si>
  <si>
    <t>[진주집] 여의도 콩국수 맛집 :고소함은 진했지만, 명성에 치인 맛</t>
  </si>
  <si>
    <t>https://blog.naver.com/PostView.naver?blogId=jje3029&amp;logNo=223907455648&amp;redirect=Dlog&amp;widgetTypeCall=true&amp;directAccess=false</t>
  </si>
  <si>
    <t>rongme</t>
  </si>
  <si>
    <t>[원정 수영] KBS 스포츠월드 자유수영🫧</t>
  </si>
  <si>
    <t>https://blog.naver.com/PostView.naver?blogId=strongme34&amp;logNo=223907448219&amp;redirect=Dlog&amp;widgetTypeCall=true&amp;directAccess=false</t>
  </si>
  <si>
    <t>자유우파보수의 정치 원로 김무성의 메시지</t>
  </si>
  <si>
    <t>https://blog.naver.com/PostView.naver?blogId=shinhoepark&amp;logNo=223907413329&amp;redirect=Dlog&amp;widgetTypeCall=true&amp;directAccess=false</t>
  </si>
  <si>
    <t>김호중 [할무니] 음원발매 5주년=2020.6.20/나의 외할머니 기억</t>
  </si>
  <si>
    <t>https://blog.naver.com/PostView.naver?blogId=yjs6282&amp;logNo=223907411262&amp;redirect=Dlog&amp;widgetTypeCall=true&amp;directAccess=false</t>
  </si>
  <si>
    <t>행복자</t>
  </si>
  <si>
    <t>세계 100대 다큐멘터리 한국 전쟁 | KBS</t>
  </si>
  <si>
    <t>https://blog.naver.com/PostView.naver?blogId=cyclelkh1&amp;logNo=223907409821&amp;redirect=Dlog&amp;widgetTypeCall=true&amp;directAccess=false</t>
  </si>
  <si>
    <t>꿈나라아이</t>
  </si>
  <si>
    <t>홍일품에서 맛볼 수 있는 홍대간장게장!</t>
  </si>
  <si>
    <t>https://blog.naver.com/PostView.naver?blogId=pfl4w1lisrw&amp;logNo=223904907508&amp;redirect=Dlog&amp;widgetTypeCall=true&amp;directAccess=false</t>
  </si>
  <si>
    <t>천명</t>
  </si>
  <si>
    <t>이들은 웃으며 죽음을 맞이했다. 존엄한 죽음의 조건과 죽음이 삶에 던지는 메시지 [Editor's PICK] | KBS 20181108 방송</t>
  </si>
  <si>
    <t>https://blog.naver.com/PostView.naver?blogId=llkk111111&amp;logNo=223907367997&amp;redirect=Dlog&amp;widgetTypeCall=true&amp;directAccess=false</t>
  </si>
  <si>
    <t>심전경작</t>
  </si>
  <si>
    <t>[고향소식] @이PD가 간다...전라남도 고흥군(2TV 생생정보)!! &lt;에헤라 티비 KBS라이프&gt;</t>
  </si>
  <si>
    <t>https://blog.naver.com/PostView.naver?blogId=richmancbs40&amp;logNo=223907365453&amp;redirect=Dlog&amp;widgetTypeCall=true&amp;directAccess=false</t>
  </si>
  <si>
    <t>viviana</t>
  </si>
  <si>
    <t>대선  무효선언   해외동포들.</t>
  </si>
  <si>
    <t>https://blog.naver.com/PostView.naver?blogId=caritas22&amp;logNo=223907268031&amp;redirect=Dlog&amp;widgetTypeCall=true&amp;directAccess=false</t>
  </si>
  <si>
    <t>"굴러들어온 돌, 초대박으로!" 김종민의 반전 활약, 힛트쏭 대박 행진</t>
  </si>
  <si>
    <t>https://blog.naver.com/PostView.naver?blogId=apahghfej&amp;logNo=223907202038&amp;redirect=Dlog&amp;widgetTypeCall=true&amp;directAccess=false</t>
  </si>
  <si>
    <t>2025/6/21 부산콘서트홀 개관 공연 x 정명훈 후기</t>
  </si>
  <si>
    <t>https://blog.naver.com/PostView.naver?blogId=yulyul8383&amp;logNo=223907183831&amp;redirect=Dlog&amp;widgetTypeCall=true&amp;directAccess=false</t>
  </si>
  <si>
    <t>꿈소녀</t>
  </si>
  <si>
    <t>즐겨듣는 라디오 프로그램 "세상의 모든 음악"</t>
  </si>
  <si>
    <t>https://blog.naver.com/PostView.naver?blogId=ioki&amp;logNo=223907180926&amp;redirect=Dlog&amp;widgetTypeCall=true&amp;directAccess=false</t>
  </si>
  <si>
    <t>6월 20일</t>
  </si>
  <si>
    <t>https://blog.naver.com/PostView.naver?blogId=hkz2323&amp;logNo=223907180017&amp;redirect=Dlog&amp;widgetTypeCall=true&amp;directAccess=false</t>
  </si>
  <si>
    <t>얍 판 츠베덴과 아우구스틴 하델리히 / 서울시향 정기공연</t>
  </si>
  <si>
    <t>https://blog.naver.com/PostView.naver?blogId=bakcho&amp;logNo=223907166838&amp;redirect=Dlog&amp;widgetTypeCall=true&amp;directAccess=false</t>
  </si>
  <si>
    <t>한국 짱</t>
  </si>
  <si>
    <t>내 관심분야에서 한국 유튜브는 참고도 안하는 이유</t>
  </si>
  <si>
    <t>https://blog.naver.com/PostView.naver?blogId=archurus&amp;logNo=223907161274&amp;redirect=Dlog&amp;widgetTypeCall=true&amp;directAccess=false</t>
  </si>
  <si>
    <t>감성큐레이터</t>
  </si>
  <si>
    <t>라이브커머스 플랫폼 , 취득했던 후기</t>
  </si>
  <si>
    <t>https://blog.naver.com/PostView.naver?blogId=cltue0695&amp;logNo=223907139489&amp;redirect=Dlog&amp;widgetTypeCall=true&amp;directAccess=false</t>
  </si>
  <si>
    <t>청소년들의 순수한 하모니, 아산서 울려 퍼지다</t>
  </si>
  <si>
    <t>https://blog.naver.com/PostView.naver?blogId=asandailynew&amp;logNo=223907137318&amp;redirect=Dlog&amp;widgetTypeCall=true&amp;directAccess=false</t>
  </si>
  <si>
    <t>논산</t>
  </si>
  <si>
    <t>https://blog.naver.com/PostView.naver?blogId=aqua9988&amp;logNo=223907110672&amp;redirect=Dlog&amp;widgetTypeCall=true&amp;directAccess=false</t>
  </si>
  <si>
    <t>부산 주진우 사무실 앞</t>
  </si>
  <si>
    <t>https://blog.naver.com/PostView.naver?blogId=kohcherish&amp;logNo=223907109855&amp;redirect=Dlog&amp;widgetTypeCall=true&amp;directAccess=false</t>
  </si>
  <si>
    <t>김발칸</t>
  </si>
  <si>
    <t>[2025년 2월] 캄보디아 여행 1, 2일차_프놈펜, 시엠립</t>
  </si>
  <si>
    <t>https://blog.naver.com/PostView.naver?blogId=minotot1230&amp;logNo=223907083694&amp;redirect=Dlog&amp;widgetTypeCall=true&amp;directAccess=false</t>
  </si>
  <si>
    <t>까칠한 은자씨</t>
  </si>
  <si>
    <t>정명훈 and KBS교향악단 with 선우예권</t>
  </si>
  <si>
    <t>https://blog.naver.com/PostView.naver?blogId=bellaeunju&amp;logNo=223907081029&amp;redirect=Dlog&amp;widgetTypeCall=true&amp;directAccess=false</t>
  </si>
  <si>
    <t>강천석 칼럼~일본 국민, 정부가 돌린 現金이 毒이란 걸 아는 데 30년 걸려</t>
  </si>
  <si>
    <t>https://blog.naver.com/PostView.naver?blogId=hmo3137&amp;logNo=223907079749&amp;redirect=Dlog&amp;widgetTypeCall=true&amp;directAccess=false</t>
  </si>
  <si>
    <t>신명태평소</t>
  </si>
  <si>
    <t>국립국악관현악단 관현악시리즈-스위치</t>
  </si>
  <si>
    <t>https://blog.naver.com/PostView.naver?blogId=navy8712&amp;logNo=223907076148&amp;redirect=Dlog&amp;widgetTypeCall=true&amp;directAccess=false</t>
  </si>
  <si>
    <t>인사동 모나미 교환소 방문 후기ㅣFX 153 FX ZETA로 바꾸기</t>
  </si>
  <si>
    <t>https://blog.naver.com/PostView.naver?blogId=say_hello123&amp;logNo=223907073309&amp;redirect=Dlog&amp;widgetTypeCall=true&amp;directAccess=false</t>
  </si>
  <si>
    <t>初夏</t>
  </si>
  <si>
    <t>https://blog.naver.com/PostView.naver?blogId=202qkralswl&amp;logNo=223907063855&amp;redirect=Dlog&amp;widgetTypeCall=true&amp;directAccess=false</t>
  </si>
  <si>
    <t>주니짱</t>
  </si>
  <si>
    <t>울릉도 성인봉 산행... 섬말나리 천국에 들다.</t>
  </si>
  <si>
    <t>https://blog.naver.com/PostView.naver?blogId=rose0626&amp;logNo=223907054447&amp;redirect=Dlog&amp;widgetTypeCall=true&amp;directAccess=false</t>
  </si>
  <si>
    <t>Issue Decoder</t>
  </si>
  <si>
    <t>“국가대표 복귀 원해”…황의조, 항소심서 ‘북중미월드컵 출전’ 호소</t>
  </si>
  <si>
    <t>https://blog.naver.com/PostView.naver?blogId=mind_mosaic&amp;logNo=223907052427&amp;redirect=Dlog&amp;widgetTypeCall=true&amp;directAccess=false</t>
  </si>
  <si>
    <t>용</t>
  </si>
  <si>
    <t>250621 NHK교향악단 정기공연 / 말러 1번</t>
  </si>
  <si>
    <t>https://blog.naver.com/PostView.naver?blogId=thanxg&amp;logNo=223907024616&amp;redirect=Dlog&amp;widgetTypeCall=true&amp;directAccess=false</t>
  </si>
  <si>
    <t>독수리 오형제를 부탁해 한서방 장모님? 41회 박정수 미애 ♥ 강수 주말드라마 추천</t>
  </si>
  <si>
    <t>https://blog.naver.com/PostView.naver?blogId=chummilmil99&amp;logNo=223907008723&amp;redirect=Dlog&amp;widgetTypeCall=true&amp;directAccess=false</t>
  </si>
  <si>
    <t>세나</t>
  </si>
  <si>
    <t>[대금배우기]무심하고 무딘 초보의 대금일지130</t>
  </si>
  <si>
    <t>https://blog.naver.com/PostView.naver?blogId=iamkimminjung&amp;logNo=223906998468&amp;redirect=Dlog&amp;widgetTypeCall=true&amp;directAccess=false</t>
  </si>
  <si>
    <t>해피오리</t>
  </si>
  <si>
    <t>나의 6월 일상록</t>
  </si>
  <si>
    <t>https://blog.naver.com/PostView.naver?blogId=jinmgi&amp;logNo=223906946112&amp;redirect=Dlog&amp;widgetTypeCall=true&amp;directAccess=false</t>
  </si>
  <si>
    <t>마레</t>
  </si>
  <si>
    <t>시간의 언어로 속삭이는 도시, 경주에서 — 6월의 2박 3일, 느리게 걷는 여행</t>
  </si>
  <si>
    <t>https://blog.naver.com/PostView.naver?blogId=mare12___&amp;logNo=223906926081&amp;redirect=Dlog&amp;widgetTypeCall=true&amp;directAccess=false</t>
  </si>
  <si>
    <t>이병헌, 예능 첫 출연에 이민정 초긴장! "혹시…사고 치는 건 아니겠지?" 비하인드 풀 스토리 (+사랑, 걱정, 폭로)</t>
  </si>
  <si>
    <t>https://blog.naver.com/PostView.naver?blogId=qoswlfdl-&amp;logNo=223906924907&amp;redirect=Dlog&amp;widgetTypeCall=true&amp;directAccess=false</t>
  </si>
  <si>
    <t>오트르나</t>
  </si>
  <si>
    <t>캐나다 언론이 바라보는 한국 정치 상황</t>
  </si>
  <si>
    <t>https://blog.naver.com/PostView.naver?blogId=ilna&amp;logNo=223906873652&amp;redirect=Dlog&amp;widgetTypeCall=true&amp;directAccess=false</t>
  </si>
  <si>
    <t>023</t>
  </si>
  <si>
    <t>일상기록, 한국</t>
  </si>
  <si>
    <t>https://blog.naver.com/PostView.naver?blogId=lululun920&amp;logNo=223906856095&amp;redirect=Dlog&amp;widgetTypeCall=true&amp;directAccess=false</t>
  </si>
  <si>
    <t>bin6106</t>
  </si>
  <si>
    <t>빈마담의 북살롱 113-아침 그리고 저녁 독서토론회</t>
  </si>
  <si>
    <t>https://blog.naver.com/PostView.naver?blogId=bin6106&amp;logNo=223906853797&amp;redirect=Dlog&amp;widgetTypeCall=true&amp;directAccess=false</t>
  </si>
  <si>
    <t>effy</t>
  </si>
  <si>
    <t>양인모 차이콥스키 바이올린 협주곡 35번 (KBS교향악단)</t>
  </si>
  <si>
    <t>https://blog.naver.com/PostView.naver?blogId=helloiameffy&amp;logNo=223906852635&amp;redirect=Dlog&amp;widgetTypeCall=true&amp;directAccess=false</t>
  </si>
  <si>
    <t>250621 살림하는 남자들 시즌 2 397회 예고 / '살림남' 4혼 박영규, "그 여자 누구야?" 아내 질문에 멘붕</t>
  </si>
  <si>
    <t>https://blog.naver.com/PostView.naver?blogId=kbmbc_8919&amp;logNo=223906851242&amp;redirect=Dlog&amp;widgetTypeCall=true&amp;directAccess=false</t>
  </si>
  <si>
    <t>겨울</t>
  </si>
  <si>
    <t>6월 경제윗미 3주차</t>
  </si>
  <si>
    <t>https://blog.naver.com/PostView.naver?blogId=todayseoyoon&amp;logNo=223906850254&amp;redirect=Dlog&amp;widgetTypeCall=true&amp;directAccess=false</t>
  </si>
  <si>
    <t>이명현 특검 “윤석열 전 대통령, 대면조사 당연…불응 시 체포영장 청구 방침”</t>
  </si>
  <si>
    <t>https://blog.naver.com/PostView.naver?blogId=mind_mosaic&amp;logNo=223906847851&amp;redirect=Dlog&amp;widgetTypeCall=true&amp;directAccess=false</t>
  </si>
  <si>
    <t>오리탕투</t>
  </si>
  <si>
    <t>전주 로컬과 함께하는 1박2일 전주여행 ;동호곱창 전주수목원 신라스테이 전주 그린가맥 카페 밥스터</t>
  </si>
  <si>
    <t>https://blog.naver.com/PostView.naver?blogId=oritang2&amp;logNo=223906824160&amp;redirect=Dlog&amp;widgetTypeCall=true&amp;directAccess=false</t>
  </si>
  <si>
    <t>[엔플라잉] 2025 엔플라잉 엔콘4 부산 티켓왔다!!</t>
  </si>
  <si>
    <t>https://blog.naver.com/PostView.naver?blogId=kanonerina&amp;logNo=223906792213&amp;redirect=Dlog&amp;widgetTypeCall=true&amp;directAccess=false</t>
  </si>
  <si>
    <t>1153 화룡점정</t>
  </si>
  <si>
    <t>https://blog.naver.com/PostView.naver?blogId=njhuh1211&amp;logNo=223906787917&amp;redirect=Dlog&amp;widgetTypeCall=true&amp;directAccess=false</t>
  </si>
  <si>
    <t>현짜릿</t>
  </si>
  <si>
    <t>4월 14-20 새로운 시작, 습도 70%</t>
  </si>
  <si>
    <t>https://blog.naver.com/PostView.naver?blogId=uoooobin&amp;logNo=223906785972&amp;redirect=Dlog&amp;widgetTypeCall=true&amp;directAccess=false</t>
  </si>
  <si>
    <t>샘킴과 박보검의 끈끈한 우정 이야기</t>
  </si>
  <si>
    <t>https://blog.naver.com/PostView.naver?blogId=ahssberl&amp;logNo=223906764861&amp;redirect=Dlog&amp;widgetTypeCall=true&amp;directAccess=false</t>
  </si>
  <si>
    <t>자유롭게 살아</t>
  </si>
  <si>
    <t>포레스텔라 고우림 전역 기념 팬미팅 Rainforest 후기</t>
  </si>
  <si>
    <t>https://blog.naver.com/PostView.naver?blogId=free1371z&amp;logNo=223906751896&amp;redirect=Dlog&amp;widgetTypeCall=true&amp;directAccess=false</t>
  </si>
  <si>
    <t>niceguy</t>
  </si>
  <si>
    <t>Investment133,Normalization(正常化)&amp;송승환</t>
  </si>
  <si>
    <t>https://blog.naver.com/PostView.naver?blogId=yimcs9988&amp;logNo=223906737874&amp;redirect=Dlog&amp;widgetTypeCall=true&amp;directAccess=false</t>
  </si>
  <si>
    <t>https://blog.naver.com/PostView.naver?blogId=lit_raon&amp;logNo=223900728914&amp;redirect=Dlog&amp;widgetTypeCall=true&amp;directAccess=false</t>
  </si>
  <si>
    <t>왜 "분열"인가?_영화 &lt;양치기&gt;를 통해 본 공교육 교사에게 필요한 '분석'</t>
  </si>
  <si>
    <t>https://blog.naver.com/PostView.naver?blogId=chora7111&amp;logNo=223906677864&amp;redirect=Dlog&amp;widgetTypeCall=true&amp;directAccess=false</t>
  </si>
  <si>
    <t>한국세경연구원</t>
  </si>
  <si>
    <t>일본 국민, 정부가 돌린 現金이 독이란 걸 아는데 30년 걸려</t>
  </si>
  <si>
    <t>https://blog.naver.com/PostView.naver?blogId=kimyl1214&amp;logNo=223906667133&amp;redirect=Dlog&amp;widgetTypeCall=true&amp;directAccess=false</t>
  </si>
  <si>
    <t>홉살</t>
  </si>
  <si>
    <t>6월 이야기(2)</t>
  </si>
  <si>
    <t>https://blog.naver.com/PostView.naver?blogId=jjudi22&amp;logNo=223906662502&amp;redirect=Dlog&amp;widgetTypeCall=true&amp;directAccess=false</t>
  </si>
  <si>
    <t>OST 여왕 숙희, 여왕의 집 OST로 컴백…대체 무슨 일이? 역대급 감성 예고 (+OST 퀸, 드라마, 컴백)</t>
  </si>
  <si>
    <t>https://blog.naver.com/PostView.naver?blogId=qoswlfdl-&amp;logNo=223906646473&amp;redirect=Dlog&amp;widgetTypeCall=true&amp;directAccess=false</t>
  </si>
  <si>
    <t>AI가 알려준 6월 21일 국내·외 주요 뉴스</t>
  </si>
  <si>
    <t>https://blog.naver.com/PostView.naver?blogId=ksahn1960&amp;logNo=223906640283&amp;redirect=Dlog&amp;widgetTypeCall=true&amp;directAccess=false</t>
  </si>
  <si>
    <t>SsomiZzal</t>
  </si>
  <si>
    <t>[군산] 짬뽕맛집 추천 ! 수송반점 짬뽕전문점</t>
  </si>
  <si>
    <t>https://blog.naver.com/PostView.naver?blogId=ssomizzal&amp;logNo=223906628827&amp;redirect=Dlog&amp;widgetTypeCall=true&amp;directAccess=false</t>
  </si>
  <si>
    <t>만사형통</t>
  </si>
  <si>
    <t>[드라마시티] 전교 꼴찌인 내가 S대, 명문대 법학과에 합격했다..? | S대 법학과 미달 사건 | KBS 2003.03.</t>
  </si>
  <si>
    <t>https://blog.naver.com/PostView.naver?blogId=ich0921&amp;logNo=223906624751&amp;redirect=Dlog&amp;widgetTypeCall=true&amp;directAccess=false</t>
  </si>
  <si>
    <t>[KBS 더시즌즈 박보검의 칸타빌레 15화 리뷰 후기] 샘 킴 오존 카더가든 정미조 유인원 밴드</t>
  </si>
  <si>
    <t>https://blog.naver.com/PostView.naver?blogId=duswns202&amp;logNo=223906586836&amp;redirect=Dlog&amp;widgetTypeCall=true&amp;directAccess=false</t>
  </si>
  <si>
    <t>알감자</t>
  </si>
  <si>
    <t>KBS 교향악단 찾아가는 음악회 당첨 태교음악 즐기기</t>
  </si>
  <si>
    <t>https://blog.naver.com/PostView.naver?blogId=moamoa7912&amp;logNo=223906569110&amp;redirect=Dlog&amp;widgetTypeCall=true&amp;directAccess=false</t>
  </si>
  <si>
    <t>태이불교</t>
  </si>
  <si>
    <t>21. 일본 국민, 정부가 돌린 現金이 毒이란 걸 아는 데 30년 걸려</t>
  </si>
  <si>
    <t>https://blog.naver.com/PostView.naver?blogId=shim4707&amp;logNo=223906568069&amp;redirect=Dlog&amp;widgetTypeCall=true&amp;directAccess=false</t>
  </si>
  <si>
    <t>영화 '블랙 크록', 7월 3일 개봉 확정!</t>
  </si>
  <si>
    <t>https://blog.naver.com/PostView.naver?blogId=seenedom&amp;logNo=223906543176&amp;redirect=Dlog&amp;widgetTypeCall=true&amp;directAccess=false</t>
  </si>
  <si>
    <t>이혼 소송·맞바람 앞둔 '잉꼬부부'…최수종♥하희라 "감사합니다"</t>
  </si>
  <si>
    <t>https://blog.naver.com/PostView.naver?blogId=smilespower&amp;logNo=223906536277&amp;redirect=Dlog&amp;widgetTypeCall=true&amp;directAccess=false</t>
  </si>
  <si>
    <t>앙시</t>
  </si>
  <si>
    <t>2025.06.20 서울시향</t>
  </si>
  <si>
    <t>https://blog.naver.com/PostView.naver?blogId=yn5301&amp;logNo=223906527407&amp;redirect=Dlog&amp;widgetTypeCall=true&amp;directAccess=false</t>
  </si>
  <si>
    <t>몽글몽글</t>
  </si>
  <si>
    <t>뒤적뒤적.</t>
  </si>
  <si>
    <t>https://blog.naver.com/PostView.naver?blogId=coffee2144&amp;logNo=223906515602&amp;redirect=Dlog&amp;widgetTypeCall=true&amp;directAccess=false</t>
  </si>
  <si>
    <t>정말 그 기억들은 이제 끔찍해져 버렸다.. 이제 증거 모을 도구 철저히 준비..</t>
  </si>
  <si>
    <t>https://blog.naver.com/PostView.naver?blogId=kitty8082&amp;logNo=223906420897&amp;redirect=Dlog&amp;widgetTypeCall=true&amp;directAccess=false</t>
  </si>
  <si>
    <t>[강천석 칼럼] 일본 국민, 정부가 돌린 現金이 毒이란 걸 아는 데 30년 걸려</t>
  </si>
  <si>
    <t>https://blog.naver.com/PostView.naver?blogId=etisot&amp;logNo=223906411679&amp;redirect=Dlog&amp;widgetTypeCall=true&amp;directAccess=false</t>
  </si>
  <si>
    <t>(음 25-69) 서울시향 얍 판 츠베덴&amp; 아우구스틴 하델리히 ①</t>
  </si>
  <si>
    <t>https://blog.naver.com/PostView.naver?blogId=rchyna&amp;logNo=223906398700&amp;redirect=Dlog&amp;widgetTypeCall=true&amp;directAccess=false</t>
  </si>
  <si>
    <t>250620 KBS 2TV 생생정보 2318회</t>
  </si>
  <si>
    <t>https://blog.naver.com/PostView.naver?blogId=spring_hmong&amp;logNo=223906363931&amp;redirect=Dlog&amp;widgetTypeCall=true&amp;directAccess=false</t>
  </si>
  <si>
    <t>성덕</t>
  </si>
  <si>
    <t>DMZ 접경지 역사문화답사길</t>
  </si>
  <si>
    <t>https://blog.naver.com/PostView.naver?blogId=yeayh&amp;logNo=223906339437&amp;redirect=Dlog&amp;widgetTypeCall=true&amp;directAccess=false</t>
  </si>
  <si>
    <t>칼 같은 국정위…검찰·방통위·해수부 업무보고 퇴짜</t>
  </si>
  <si>
    <t>https://blog.naver.com/PostView.naver?blogId=poongkyung1205&amp;logNo=223906326526&amp;redirect=Dlog&amp;widgetTypeCall=true&amp;directAccess=false</t>
  </si>
  <si>
    <t>부산콘서트홀 개관 공연</t>
  </si>
  <si>
    <t>https://blog.naver.com/PostView.naver?blogId=classicandme&amp;logNo=223906276964&amp;redirect=Dlog&amp;widgetTypeCall=true&amp;directAccess=false</t>
  </si>
  <si>
    <t>그냥빵</t>
  </si>
  <si>
    <t>#94_What BBang Eat in a Week_일주일 직장인 도시락 기록</t>
  </si>
  <si>
    <t>https://blog.naver.com/PostView.naver?blogId=just_bbang&amp;logNo=223906215716&amp;redirect=Dlog&amp;widgetTypeCall=true&amp;directAccess=false</t>
  </si>
  <si>
    <t>밈</t>
  </si>
  <si>
    <t>2024년도 외교부 외교백서 요약 (3)</t>
  </si>
  <si>
    <t>https://blog.naver.com/PostView.naver?blogId=mimsik-&amp;logNo=223906215100&amp;redirect=Dlog&amp;widgetTypeCall=true&amp;directAccess=false</t>
  </si>
  <si>
    <t>현지</t>
  </si>
  <si>
    <t>250620 일기</t>
  </si>
  <si>
    <t>https://blog.naver.com/PostView.naver?blogId=hhj2513&amp;logNo=223906186822&amp;redirect=Dlog&amp;widgetTypeCall=true&amp;directAccess=false</t>
  </si>
  <si>
    <t>김요한 인생 맛집 공개 정선 연탄불 고기구이…대체 어디길래? (+생생정보, 스타맛집, 정선맛집)</t>
  </si>
  <si>
    <t>https://blog.naver.com/PostView.naver?blogId=ovonews&amp;logNo=223906135474&amp;redirect=Dlog&amp;widgetTypeCall=true&amp;directAccess=false</t>
  </si>
  <si>
    <t>잠실 아파트 평당 1억 시대 활짝 열렸다.</t>
  </si>
  <si>
    <t>https://blog.naver.com/PostView.naver?blogId=freefreev&amp;logNo=223905592337&amp;redirect=Dlog&amp;widgetTypeCall=true&amp;directAccess=false</t>
  </si>
  <si>
    <t>동산</t>
  </si>
  <si>
    <t>모래섬이던 곳  - 밤섬 선유봉 희생으로 탄생한 정치 경제 중심지 -</t>
  </si>
  <si>
    <t>https://blog.naver.com/PostView.naver?blogId=posankwak&amp;logNo=223906081017&amp;redirect=Dlog&amp;widgetTypeCall=true&amp;directAccess=false</t>
  </si>
  <si>
    <t>신성대 강주희 교수, KBS ‘무엇이든 물어보세요’ 출연해 여름철 두피관리법 소개</t>
  </si>
  <si>
    <t>https://blog.naver.com/PostView.naver?blogId=seosanpost&amp;logNo=223906023005&amp;redirect=Dlog&amp;widgetTypeCall=true&amp;directAccess=false</t>
  </si>
  <si>
    <t>specialist</t>
  </si>
  <si>
    <t>마음에 거름이 되는 글</t>
  </si>
  <si>
    <t>https://blog.naver.com/PostView.naver?blogId=chiro2353&amp;logNo=223906012267&amp;redirect=Dlog&amp;widgetTypeCall=true&amp;directAccess=false</t>
  </si>
  <si>
    <t>볼병매</t>
  </si>
  <si>
    <t>사가정맛집 여기 모르면 중랑구민 아님 할머니냉면 여름엔 매운냉면이지 주차꿀팁</t>
  </si>
  <si>
    <t>https://blog.naver.com/PostView.naver?blogId=yeaji0901&amp;logNo=223906010399&amp;redirect=Dlog&amp;widgetTypeCall=true&amp;directAccess=false</t>
  </si>
  <si>
    <t>냥</t>
  </si>
  <si>
    <t>어쩌다 제주도</t>
  </si>
  <si>
    <t>https://blog.naver.com/PostView.naver?blogId=darbich&amp;logNo=223906009538&amp;redirect=Dlog&amp;widgetTypeCall=true&amp;directAccess=false</t>
  </si>
  <si>
    <t>하하하마미</t>
  </si>
  <si>
    <t>https://blog.naver.com/PostView.naver?blogId=naughty_75&amp;logNo=223905950656&amp;redirect=Dlog&amp;widgetTypeCall=true&amp;directAccess=false</t>
  </si>
  <si>
    <t>방송통신위원회 업무보고 이진숙 불참, 지금도 '용산의 나팔수' 지적 받으며 보고 중단</t>
  </si>
  <si>
    <t>https://blog.naver.com/PostView.naver?blogId=koolap&amp;logNo=223905893404&amp;redirect=Dlog&amp;widgetTypeCall=true&amp;directAccess=false</t>
  </si>
  <si>
    <t>[공기업 채용정보] 한국방송공사(KBS), 2025년 신입직원 71명 채용</t>
  </si>
  <si>
    <t>https://blog.naver.com/PostView.naver?blogId=icanbee&amp;logNo=223905850162&amp;redirect=Dlog&amp;widgetTypeCall=true&amp;directAccess=false</t>
  </si>
  <si>
    <t>대빵</t>
  </si>
  <si>
    <t>2024년 9월:  진리는 언제나 위협적인 것이다. 그리고 자아는 진리를 알고 싶어 하지 않는다.</t>
  </si>
  <si>
    <t>https://blog.naver.com/PostView.naver?blogId=2046-511&amp;logNo=223905842744&amp;redirect=Dlog&amp;widgetTypeCall=true&amp;directAccess=false</t>
  </si>
  <si>
    <t>💥“김호중 음주사고” 팬들 청원 폭주! KBS는 과연 방송 복귀를 허락할까?</t>
  </si>
  <si>
    <t>https://blog.naver.com/PostView.naver?blogId=dew2by_&amp;logNo=223905840082&amp;redirect=Dlog&amp;widgetTypeCall=true&amp;directAccess=false</t>
  </si>
  <si>
    <t>인디언땃쥐</t>
  </si>
  <si>
    <t>[크로스핏 #011] 4월 기록</t>
  </si>
  <si>
    <t>https://blog.naver.com/PostView.naver?blogId=gorae199&amp;logNo=223905817198&amp;redirect=Dlog&amp;widgetTypeCall=true&amp;directAccess=false</t>
  </si>
  <si>
    <t>김호중 그리움 속 따뜻한 그 이름 '할무니' 5주년</t>
  </si>
  <si>
    <t>https://blog.naver.com/PostView.naver?blogId=hms3475&amp;logNo=223905783945&amp;redirect=Dlog&amp;widgetTypeCall=true&amp;directAccess=false</t>
  </si>
  <si>
    <t>P비쥬</t>
  </si>
  <si>
    <t>요즘 kbs온에어 전파중.</t>
  </si>
  <si>
    <t>https://blog.naver.com/PostView.naver?blogId=pbijou&amp;logNo=223905748391&amp;redirect=Dlog&amp;widgetTypeCall=true&amp;directAccess=false</t>
  </si>
  <si>
    <t>cityofalk3</t>
  </si>
  <si>
    <t>드라마 아이리스 OST - 잊지 말아요</t>
  </si>
  <si>
    <t>https://blog.naver.com/PostView.naver?blogId=cityofalk3&amp;logNo=223905727337&amp;redirect=Dlog&amp;widgetTypeCall=true&amp;directAccess=false</t>
  </si>
  <si>
    <t>나야나야나</t>
  </si>
  <si>
    <t>(85). 오래된 편안함 (2506-1)</t>
  </si>
  <si>
    <t>https://blog.naver.com/PostView.naver?blogId=soohools&amp;logNo=223905554450&amp;redirect=Dlog&amp;widgetTypeCall=true&amp;directAccess=false</t>
  </si>
  <si>
    <t>헨델, 쇼스타코비치, 보테시니로 여는 이창형 &amp; 손창인 더블베이스 듀오 리사이틀 -예술의전당에서 펼쳐진 특별한 만남, 7월 6일(일) 오후 2시</t>
  </si>
  <si>
    <t>https://blog.naver.com/PostView.naver?blogId=kimdaisuke&amp;logNo=223905695063&amp;redirect=Dlog&amp;widgetTypeCall=true&amp;directAccess=false</t>
  </si>
  <si>
    <t>sodasora</t>
  </si>
  <si>
    <t>초콜릿을 참기에는 충분히 오래 살았어/마르가레타 망누손/알에이치코리아</t>
  </si>
  <si>
    <t>https://blog.naver.com/PostView.naver?blogId=choisora1993&amp;logNo=223905674011&amp;redirect=Dlog&amp;widgetTypeCall=true&amp;directAccess=false</t>
  </si>
  <si>
    <t>신지, 문원과 호흡 맞춘 마법 같은 러브송</t>
  </si>
  <si>
    <t>https://blog.naver.com/PostView.naver?blogId=kstarfashion&amp;logNo=223905661850&amp;redirect=Dlog&amp;widgetTypeCall=true&amp;directAccess=false</t>
  </si>
  <si>
    <t>햄복</t>
  </si>
  <si>
    <t>담솥 인계점에서 스테이크솥밥 먹고 온 솔직 후기 – 수원 한식, 인계동 술집 추천, 인계동 점심</t>
  </si>
  <si>
    <t>https://blog.naver.com/PostView.naver?blogId=thepoh&amp;logNo=223905658195&amp;redirect=Dlog&amp;widgetTypeCall=true&amp;directAccess=false</t>
  </si>
  <si>
    <t>우린스타</t>
  </si>
  <si>
    <t>독도는 우리 땅</t>
  </si>
  <si>
    <t>https://blog.naver.com/PostView.naver?blogId=coreaclubs&amp;logNo=223905629433&amp;redirect=Dlog&amp;widgetTypeCall=true&amp;directAccess=false</t>
  </si>
  <si>
    <t>새우형</t>
  </si>
  <si>
    <t>날아라 슈퍼보드의 역사</t>
  </si>
  <si>
    <t>https://blog.naver.com/PostView.naver?blogId=gounmal3&amp;logNo=223905586585&amp;redirect=Dlog&amp;widgetTypeCall=true&amp;directAccess=false</t>
  </si>
  <si>
    <t>벚꽃사랑</t>
  </si>
  <si>
    <t>너도 인간이니?</t>
  </si>
  <si>
    <t>https://blog.naver.com/PostView.naver?blogId=jinnns_&amp;logNo=223905545706&amp;redirect=Dlog&amp;widgetTypeCall=true&amp;directAccess=false</t>
  </si>
  <si>
    <t>제피로스</t>
  </si>
  <si>
    <t>[즐거운하루] 엄마 서울나들이(20250429)</t>
  </si>
  <si>
    <t>https://blog.naver.com/PostView.naver?blogId=meesoony&amp;logNo=223900159805&amp;redirect=Dlog&amp;widgetTypeCall=true&amp;directAccess=false</t>
  </si>
  <si>
    <t>태백산맥</t>
  </si>
  <si>
    <t>영혼의 땅 동티벳</t>
  </si>
  <si>
    <t>https://blog.naver.com/PostView.naver?blogId=dssssky&amp;logNo=223905500666&amp;redirect=Dlog&amp;widgetTypeCall=true&amp;directAccess=false</t>
  </si>
  <si>
    <t>법왕god하석철변호사</t>
  </si>
  <si>
    <t>청도(聽道), 듣는 도</t>
  </si>
  <si>
    <t>https://blog.naver.com/PostView.naver?blogId=gktjrcjf&amp;logNo=223905492844&amp;redirect=Dlog&amp;widgetTypeCall=true&amp;directAccess=false</t>
  </si>
  <si>
    <t>AI가 정리한 6월 20일 국내·외 주요 뉴스</t>
  </si>
  <si>
    <t>https://blog.naver.com/PostView.naver?blogId=ksahn1960&amp;logNo=223905480288&amp;redirect=Dlog&amp;widgetTypeCall=true&amp;directAccess=false</t>
  </si>
  <si>
    <t>풍년식당 1979 서여의도점, 야장에서 즐기는 맛있는 여의도 돼지고기 구이집</t>
  </si>
  <si>
    <t>https://blog.naver.com/PostView.naver?blogId=baekster1&amp;logNo=223905458564&amp;redirect=Dlog&amp;widgetTypeCall=true&amp;directAccess=false</t>
  </si>
  <si>
    <t>플뤼겔</t>
  </si>
  <si>
    <t>공연 &lt;작곡가 시리즈 차이콥스키 II, 양인모 협연&gt;</t>
  </si>
  <si>
    <t>https://blog.naver.com/PostView.naver?blogId=through_leaves&amp;logNo=223905435413&amp;redirect=Dlog&amp;widgetTypeCall=true&amp;directAccess=false</t>
  </si>
  <si>
    <t>https://blog.naver.com/PostView.naver?blogId=approach999&amp;logNo=223905416925&amp;redirect=Dlog&amp;widgetTypeCall=true&amp;directAccess=false</t>
  </si>
  <si>
    <t>2025년 6월20일 금 요일 KBS19번 인간극장 사돈끼리찰떡 육아 5부 보다</t>
  </si>
  <si>
    <t>https://blog.naver.com/PostView.naver?blogId=ch921017&amp;logNo=223905406780&amp;redirect=Dlog&amp;widgetTypeCall=true&amp;directAccess=false</t>
  </si>
  <si>
    <t>세레나</t>
  </si>
  <si>
    <t>[이찬원]  이찬원 진행 프로그램 &lt;셀럽병사의 비밀 &gt; 정규 편성 확정</t>
  </si>
  <si>
    <t>https://blog.naver.com/PostView.naver?blogId=yeubima0902&amp;logNo=223905379568&amp;redirect=Dlog&amp;widgetTypeCall=true&amp;directAccess=false</t>
  </si>
  <si>
    <t>왕PD</t>
  </si>
  <si>
    <t>438. 법가를 갖추고 남재의 집에 거둥하여 제사를 내리다. 그 교서</t>
  </si>
  <si>
    <t>https://blog.naver.com/PostView.naver?blogId=tlsyfm&amp;logNo=223905372681&amp;redirect=Dlog&amp;widgetTypeCall=true&amp;directAccess=false</t>
  </si>
  <si>
    <t>근초고왕 (kbs2 요즘 시대와 교훈)</t>
  </si>
  <si>
    <t>https://blog.naver.com/PostView.naver?blogId=juk08077&amp;logNo=223905335835&amp;redirect=Dlog&amp;widgetTypeCall=true&amp;directAccess=false</t>
  </si>
  <si>
    <t>‘7세 고시’와  ‘4세 고시’ 같은 광란의 질주가 계속된다면 머지않아 ‘1세 고시’나 ‘태내 고시’도 출현하지 않을까!</t>
  </si>
  <si>
    <t>https://blog.naver.com/PostView.naver?blogId=khhan21&amp;logNo=223905363685&amp;redirect=Dlog&amp;widgetTypeCall=true&amp;directAccess=false</t>
  </si>
  <si>
    <t>일반 스포츠</t>
  </si>
  <si>
    <t>https://blog.naver.com/PostView.naver?blogId=c1c1b1b1&amp;logNo=223905343191&amp;redirect=Dlog&amp;widgetTypeCall=true&amp;directAccess=false</t>
  </si>
  <si>
    <t>이정현, 두 딸 출산 후 인생 역전 남편 극구 반대한 30년 묵은 꿈… 대체 뭐길래 (+편스토랑, 스케일, 로망)</t>
  </si>
  <si>
    <t>https://blog.naver.com/PostView.naver?blogId=ovonews&amp;logNo=223905318806&amp;redirect=Dlog&amp;widgetTypeCall=true&amp;directAccess=false</t>
  </si>
  <si>
    <t>25.6.20 뉴스</t>
  </si>
  <si>
    <t>https://blog.naver.com/PostView.naver?blogId=gogosophy&amp;logNo=223905244079&amp;redirect=Dlog&amp;widgetTypeCall=true&amp;directAccess=false</t>
  </si>
  <si>
    <t>레르</t>
  </si>
  <si>
    <t>호국 보훈의 달이군</t>
  </si>
  <si>
    <t>https://blog.naver.com/PostView.naver?blogId=deongyoun&amp;logNo=223905238578&amp;redirect=Dlog&amp;widgetTypeCall=true&amp;directAccess=false</t>
  </si>
  <si>
    <t>드라마 남주의 첫날밤을 가져버렸다 원작 웹툰 결말 OTT 재방송 등장인물 관계도까지 총정리!</t>
  </si>
  <si>
    <t>https://blog.naver.com/PostView.naver?blogId=me_travel&amp;logNo=223905044601&amp;redirect=Dlog&amp;widgetTypeCall=true&amp;directAccess=false</t>
  </si>
  <si>
    <t>6월13일~6월19일 안녕하세요~ 교수입니다 여러분들 모두 a+ 드리겠습니다</t>
  </si>
  <si>
    <t>https://blog.naver.com/PostView.naver?blogId=hyo__0402&amp;logNo=223905200043&amp;redirect=Dlog&amp;widgetTypeCall=true&amp;directAccess=false</t>
  </si>
  <si>
    <t>웅동이</t>
  </si>
  <si>
    <t>[강릉] 55년 역사 로컬 중국집 원성식당 feat. 비오는 안목해변</t>
  </si>
  <si>
    <t>https://blog.naver.com/PostView.naver?blogId=kinnear152&amp;logNo=223895381908&amp;redirect=Dlog&amp;widgetTypeCall=true&amp;directAccess=false</t>
  </si>
  <si>
    <t>[공연] 서울시향 얍 판 츠베덴과 아우구스틴 하델리히</t>
  </si>
  <si>
    <t>https://blog.naver.com/PostView.naver?blogId=hindro&amp;logNo=223905199721&amp;redirect=Dlog&amp;widgetTypeCall=true&amp;directAccess=false</t>
  </si>
  <si>
    <t>신우</t>
  </si>
  <si>
    <t>2025 부여서동연꽃축제</t>
  </si>
  <si>
    <t>https://blog.naver.com/PostView.naver?blogId=sin_woo1&amp;logNo=223905176350&amp;redirect=Dlog&amp;widgetTypeCall=true&amp;directAccess=false</t>
  </si>
  <si>
    <t>하늘농사꾼</t>
  </si>
  <si>
    <t>차기 대통령 후보 ?김민석과 권력의 전당' 칭화 대학</t>
  </si>
  <si>
    <t>https://blog.naver.com/PostView.naver?blogId=ksch3305&amp;logNo=223905163536&amp;redirect=Dlog&amp;widgetTypeCall=true&amp;directAccess=false</t>
  </si>
  <si>
    <t>코리아 우라 돌격 전투씬(KBS 대하드라마 먼동 48회)</t>
  </si>
  <si>
    <t>https://blog.naver.com/PostView.naver?blogId=sotaebo0043&amp;logNo=223905160027&amp;redirect=Dlog&amp;widgetTypeCall=true&amp;directAccess=false</t>
  </si>
  <si>
    <t>김호중 노래 천만뷰 영상(7) '할무니' 그리움이 노래로 물들다.(발매 5주년 축하 해요)</t>
  </si>
  <si>
    <t>https://blog.naver.com/PostView.naver?blogId=jeokrh&amp;logNo=223905060729&amp;redirect=Dlog&amp;widgetTypeCall=true&amp;directAccess=false</t>
  </si>
  <si>
    <t>팥죽팥죽팥죽~</t>
  </si>
  <si>
    <t>https://blog.naver.com/PostView.naver?blogId=mablok&amp;logNo=223905005669&amp;redirect=Dlog&amp;widgetTypeCall=true&amp;directAccess=false</t>
  </si>
  <si>
    <t>책, 놀이가 되다…아이와 함께 즐기는 코엑스 도서 축제</t>
  </si>
  <si>
    <t>https://blog.naver.com/PostView.naver?blogId=momscareer&amp;logNo=223904976765&amp;redirect=Dlog&amp;widgetTypeCall=true&amp;directAccess=false</t>
  </si>
  <si>
    <t>msDukHu</t>
  </si>
  <si>
    <t>생방송투데이 상황삼계탕 6.17</t>
  </si>
  <si>
    <t>https://blog.naver.com/PostView.naver?blogId=kimfocus&amp;logNo=223904969579&amp;redirect=Dlog&amp;widgetTypeCall=true&amp;directAccess=false</t>
  </si>
  <si>
    <t>송파구 새마을전통시장 6시내고향에?! …여기 찐 맛집은 어디? (+맛집, 먹거리, 향수)</t>
  </si>
  <si>
    <t>https://blog.naver.com/PostView.naver?blogId=qoswlfdl-&amp;logNo=223904903769&amp;redirect=Dlog&amp;widgetTypeCall=true&amp;directAccess=false</t>
  </si>
  <si>
    <t>토요맨</t>
  </si>
  <si>
    <t>롯데콘서트홀에서 펼쳐지는 클래식 거장과의 특별한 아침</t>
  </si>
  <si>
    <t>https://blog.naver.com/PostView.naver?blogId=toyo_news&amp;logNo=223904871247&amp;redirect=Dlog&amp;widgetTypeCall=true&amp;directAccess=false</t>
  </si>
  <si>
    <t>리밍</t>
  </si>
  <si>
    <t>Ep.20_25.06 上</t>
  </si>
  <si>
    <t>https://blog.naver.com/PostView.naver?blogId=yeyer&amp;logNo=223904836404&amp;redirect=Dlog&amp;widgetTypeCall=true&amp;directAccess=false</t>
  </si>
  <si>
    <t>250619 옥탑방의 문제아들 272회 예고 / 김종민 "결혼 후 안정감 들어…2세는 딸 1명·아들 1명 계획 중" (옥문아)</t>
  </si>
  <si>
    <t>https://blog.naver.com/PostView.naver?blogId=kbmbc_8919&amp;logNo=223904715478&amp;redirect=Dlog&amp;widgetTypeCall=true&amp;directAccess=false</t>
  </si>
  <si>
    <t>아왜나무</t>
  </si>
  <si>
    <t>https://blog.naver.com/PostView.naver?blogId=sgaonnuri&amp;logNo=223904711442&amp;redirect=Dlog&amp;widgetTypeCall=true&amp;directAccess=false</t>
  </si>
  <si>
    <t>ellize153</t>
  </si>
  <si>
    <t>명연주 명음반..</t>
  </si>
  <si>
    <t>https://blog.naver.com/PostView.naver?blogId=ellize153&amp;logNo=223904685357&amp;redirect=Dlog&amp;widgetTypeCall=true&amp;directAccess=false</t>
  </si>
  <si>
    <t>2025 KBS 양양 전국사이클 선수권 대회 개최</t>
  </si>
  <si>
    <t>https://blog.naver.com/PostView.naver?blogId=metrotimes&amp;logNo=223904664722&amp;redirect=Dlog&amp;widgetTypeCall=true&amp;directAccess=false</t>
  </si>
  <si>
    <t>모 닥 불</t>
  </si>
  <si>
    <t>2025년 6월16~18일 날씨 월요일 오후부터 맑음</t>
  </si>
  <si>
    <t>https://blog.naver.com/PostView.naver?blogId=mongbl01&amp;logNo=223904622174&amp;redirect=Dlog&amp;widgetTypeCall=true&amp;directAccess=false</t>
  </si>
  <si>
    <t>dongbunews</t>
  </si>
  <si>
    <t>https://blog.naver.com/PostView.naver?blogId=dobunews&amp;logNo=223904606424&amp;redirect=Dlog&amp;widgetTypeCall=true&amp;directAccess=false</t>
  </si>
  <si>
    <t>다희의사는이야기</t>
  </si>
  <si>
    <t>5월 마지막 주에 떠났던 충남 당진 아그로랜드 태신목장 수레국화와 자연 즐기기</t>
  </si>
  <si>
    <t>https://blog.naver.com/PostView.naver?blogId=ss5604509&amp;logNo=223904579852&amp;redirect=Dlog&amp;widgetTypeCall=true&amp;directAccess=false</t>
  </si>
  <si>
    <t>역시 간첩 협조당들의 행위 및 형태</t>
  </si>
  <si>
    <t>https://blog.naver.com/PostView.naver?blogId=yasinn001&amp;logNo=223904568919&amp;redirect=Dlog&amp;widgetTypeCall=true&amp;directAccess=false</t>
  </si>
  <si>
    <t>저출산고령사회위원회</t>
  </si>
  <si>
    <t>인구위기, 지자체·기업·종교계가 함께 대응하고 있어요! 2025년 6월 TMB 뉴스</t>
  </si>
  <si>
    <t>https://blog.naver.com/PostView.naver?blogId=futurehope2017&amp;logNo=223904562814&amp;redirect=Dlog&amp;widgetTypeCall=true&amp;directAccess=false</t>
  </si>
  <si>
    <t>혜석</t>
  </si>
  <si>
    <t>우리 모두 - 『단 한 번의 삶』</t>
  </si>
  <si>
    <t>https://blog.naver.com/PostView.naver?blogId=wall612&amp;logNo=223904510026&amp;redirect=Dlog&amp;widgetTypeCall=true&amp;directAccess=false</t>
  </si>
  <si>
    <t>삐삐뽀뽀, 소방차가 나갑니다</t>
  </si>
  <si>
    <t>https://blog.naver.com/PostView.naver?blogId=kwyhg&amp;logNo=223904492075&amp;redirect=Dlog&amp;widgetTypeCall=true&amp;directAccess=false</t>
  </si>
  <si>
    <t>자유달</t>
  </si>
  <si>
    <t>KBS 수신료 청구 해지 신청- 너무 싫다^^</t>
  </si>
  <si>
    <t>https://blog.naver.com/PostView.naver?blogId=anan21c&amp;logNo=223904447813&amp;redirect=Dlog&amp;widgetTypeCall=true&amp;directAccess=false</t>
  </si>
  <si>
    <t>[충격 먹방 여행!] ‘남겨서 뭐하게’ 청도 촬영지 민박집 밥상… 이영자도 반한 보양식 클래스</t>
  </si>
  <si>
    <t>https://blog.naver.com/PostView.naver?blogId=dew2by_&amp;logNo=223904434465&amp;redirect=Dlog&amp;widgetTypeCall=true&amp;directAccess=false</t>
  </si>
  <si>
    <t>블랙앤하트</t>
  </si>
  <si>
    <t>일본에서 지진이 발생한다면 어떤일이 벌어질까</t>
  </si>
  <si>
    <t>https://blog.naver.com/PostView.naver?blogId=1personbz&amp;logNo=223904430295&amp;redirect=Dlog&amp;widgetTypeCall=true&amp;directAccess=false</t>
  </si>
  <si>
    <t>휘뚜루</t>
  </si>
  <si>
    <t>자연이 원시의 모습 그대로 거기 있는 그곳..영월 내리(늡다리)계곡을 다녀오다.</t>
  </si>
  <si>
    <t>https://blog.naver.com/PostView.naver?blogId=pile35&amp;logNo=223904395512&amp;redirect=Dlog&amp;widgetTypeCall=true&amp;directAccess=false</t>
  </si>
  <si>
    <t>쥬르</t>
  </si>
  <si>
    <t>[올바른 농부학교] 제주 친환경 텃밭 경작해 보기! 오늘은 입학식 2.22</t>
  </si>
  <si>
    <t>https://blog.naver.com/PostView.naver?blogId=jour0122&amp;logNo=223904303644&amp;redirect=Dlog&amp;widgetTypeCall=true&amp;directAccess=false</t>
  </si>
  <si>
    <t>남주의 첫날밤을 가져버렸다 재방송 ott 다시보기</t>
  </si>
  <si>
    <t>https://blog.naver.com/PostView.naver?blogId=somedayview&amp;logNo=223904281537&amp;redirect=Dlog&amp;widgetTypeCall=true&amp;directAccess=false</t>
  </si>
  <si>
    <t>이찬원, '방판뮤직:어디든가요' 세상 귀여운 기절 연기로 사랑스러움 한도초과</t>
  </si>
  <si>
    <t>https://blog.naver.com/PostView.naver?blogId=zukero7&amp;logNo=223904276096&amp;redirect=Dlog&amp;widgetTypeCall=true&amp;directAccess=false</t>
  </si>
  <si>
    <t>눈범</t>
  </si>
  <si>
    <t>🎬&lt;양치기&gt; 📍6월 20일 금요일 밤 11시 30분 KBS1TV @indiefilm__ 독립영화관</t>
  </si>
  <si>
    <t>https://blog.naver.com/PostView.naver?blogId=snowleo101&amp;logNo=223904272994&amp;redirect=Dlog&amp;widgetTypeCall=true&amp;directAccess=false</t>
  </si>
  <si>
    <t>세종 (世宗大王, King Sejong the Great, 1397~1450)</t>
  </si>
  <si>
    <t>https://blog.naver.com/PostView.naver?blogId=365nhealth&amp;logNo=223904247166&amp;redirect=Dlog&amp;widgetTypeCall=true&amp;directAccess=false</t>
  </si>
  <si>
    <t>공기업 공공기관 자격증 어학점수 오기재 대처방법(실수라도 불합격 처리)</t>
  </si>
  <si>
    <t>https://blog.naver.com/PostView.naver?blogId=hellstudy&amp;logNo=223903972211&amp;redirect=Dlog&amp;widgetTypeCall=true&amp;directAccess=false</t>
  </si>
  <si>
    <t>hiiiiiiiii</t>
  </si>
  <si>
    <t>(가평) 이색 오마카세 가평 맛집 "된장 오마카세"</t>
  </si>
  <si>
    <t>https://blog.naver.com/PostView.naver?blogId=hi_journey&amp;logNo=223904068543&amp;redirect=Dlog&amp;widgetTypeCall=true&amp;directAccess=false</t>
  </si>
  <si>
    <t>2025년 6월19일 목요일 KBS19번 인간극장 사돈끼리 찰떡 육아 4부 보다</t>
  </si>
  <si>
    <t>https://blog.naver.com/PostView.naver?blogId=ch921017&amp;logNo=223904234417&amp;redirect=Dlog&amp;widgetTypeCall=true&amp;directAccess=false</t>
  </si>
  <si>
    <t>설이꾸꾸</t>
  </si>
  <si>
    <t>존 카밧진의 왜 마음챙김 명상인가?</t>
  </si>
  <si>
    <t>https://blog.naver.com/PostView.naver?blogId=hhj9523&amp;logNo=223904227053&amp;redirect=Dlog&amp;widgetTypeCall=true&amp;directAccess=false</t>
  </si>
  <si>
    <t>어다오</t>
  </si>
  <si>
    <t>해외에서 달리다(홍콩 &amp; 프랑스)</t>
  </si>
  <si>
    <t>https://blog.naver.com/PostView.naver?blogId=todayisdifferent&amp;logNo=223899125019&amp;redirect=Dlog&amp;widgetTypeCall=true&amp;directAccess=false</t>
  </si>
  <si>
    <t>고요한섬</t>
  </si>
  <si>
    <t>한우곰탕/울산맛집/언양맛집/언양알프스시장맛집/임시주차장/2시간무료/혼밥가능/KBS울산방송방영/내돈내산/포장판매</t>
  </si>
  <si>
    <t>https://blog.naver.com/PostView.naver?blogId=angus2010&amp;logNo=223902693948&amp;redirect=Dlog&amp;widgetTypeCall=true&amp;directAccess=false</t>
  </si>
  <si>
    <t>한국 영화배우 6월 브랜드순위 1위 이제훈,2위 이재인,3위 손석구,4위 이병헌,5위 유해진</t>
  </si>
  <si>
    <t>https://blog.naver.com/PostView.naver?blogId=wjdwlrtjd&amp;logNo=223904200491&amp;redirect=Dlog&amp;widgetTypeCall=true&amp;directAccess=false</t>
  </si>
  <si>
    <t>[예능 리뷰] 『비밀남녀』 (2022) - 정체불명의 비밀 로맨스 게임! 근데.. 비밀 맞아요?</t>
  </si>
  <si>
    <t>https://blog.naver.com/PostView.naver?blogId=nesbox&amp;logNo=223904167665&amp;redirect=Dlog&amp;widgetTypeCall=true&amp;directAccess=false</t>
  </si>
  <si>
    <t>위대한동행</t>
  </si>
  <si>
    <t>에쓰오일, 소방영웅지킴이 후원금 5억6,500만원 전달</t>
  </si>
  <si>
    <t>https://blog.naver.com/PostView.naver?blogId=ilmaremer&amp;logNo=223904130124&amp;redirect=Dlog&amp;widgetTypeCall=true&amp;directAccess=false</t>
  </si>
  <si>
    <t>호주에서의 한국문학 창작 현황과 전망(1)</t>
  </si>
  <si>
    <t>https://blog.naver.com/PostView.naver?blogId=shpoem&amp;logNo=223904121669&amp;redirect=Dlog&amp;widgetTypeCall=true&amp;directAccess=false</t>
  </si>
  <si>
    <t>리야</t>
  </si>
  <si>
    <t>[KBS 더시즌즈*박보검의 칸타빌레] 방청 당첨만 4번째..♥ 당첨꿀팁, 지정석 방청 후기 / 카더가든 ,샘킴</t>
  </si>
  <si>
    <t>https://blog.naver.com/PostView.naver?blogId=gofl0591&amp;logNo=223904064913&amp;redirect=Dlog&amp;widgetTypeCall=true&amp;directAccess=false</t>
  </si>
  <si>
    <t>소정</t>
  </si>
  <si>
    <t>2025.06.20 ~ 2025.06.24 베트남</t>
  </si>
  <si>
    <t>https://blog.naver.com/PostView.naver?blogId=sj430417&amp;logNo=223911785058&amp;redirect=Dlog&amp;widgetTypeCall=true&amp;directAccess=false</t>
  </si>
  <si>
    <t>Sojeonglog</t>
  </si>
  <si>
    <t>20대,  나의 강사 도전기 |KBS방송국 견학홀 | 농협 사내강사 |현대백화점 사내강사</t>
  </si>
  <si>
    <t>https://blog.naver.com/PostView.naver?blogId=sojeong_log&amp;logNo=223911743140&amp;redirect=Dlog&amp;widgetTypeCall=true&amp;directAccess=false</t>
  </si>
  <si>
    <t>빽가, 충격 실화 고백…"승무원이 키스 요청" ✈️</t>
  </si>
  <si>
    <t>https://blog.naver.com/PostView.naver?blogId=entoday1025&amp;logNo=223911685123&amp;redirect=Dlog&amp;widgetTypeCall=true&amp;directAccess=false</t>
  </si>
  <si>
    <t>연애의 참견 다시 보고싶다</t>
  </si>
  <si>
    <t>https://blog.naver.com/PostView.naver?blogId=dnpelddps&amp;logNo=223911672477&amp;redirect=Dlog&amp;widgetTypeCall=true&amp;directAccess=false</t>
  </si>
  <si>
    <t>부산 개금동 아파트 화재 사망 10살 친구 추모 7살 장기 기증</t>
  </si>
  <si>
    <t>https://blog.naver.com/PostView.naver?blogId=stella5092&amp;logNo=223911628102&amp;redirect=Dlog&amp;widgetTypeCall=true&amp;directAccess=false</t>
  </si>
  <si>
    <t>동인천 삼치거리…인생 삼치 맛집?! 비법은 OO에 있었다 (+생생정보, 노포맛집, 삼치구이)</t>
  </si>
  <si>
    <t>https://blog.naver.com/PostView.naver?blogId=jeju0520-&amp;logNo=223911617963&amp;redirect=Dlog&amp;widgetTypeCall=true&amp;directAccess=false</t>
  </si>
  <si>
    <t>"상위 1% 유전자" 김준호 아들 정우, 펜싱 천재 예고…슈돌에서 웃음과 감동 전한 데뷔 무대</t>
  </si>
  <si>
    <t>https://blog.naver.com/PostView.naver?blogId=apahghfej&amp;logNo=223911610247&amp;redirect=Dlog&amp;widgetTypeCall=true&amp;directAccess=false</t>
  </si>
  <si>
    <t>궁남지의 여름, 연꽃 개화 실시간, 점등식,부여 서동 연꽃 축제 (부여)</t>
  </si>
  <si>
    <t>https://blog.naver.com/PostView.naver?blogId=kor9157&amp;logNo=223911602182&amp;redirect=Dlog&amp;widgetTypeCall=true&amp;directAccess=false</t>
  </si>
  <si>
    <t>"정일우 주말극 복귀" KBS '화려한 날들', 트렌디 슈트핏으로 첫 등장</t>
  </si>
  <si>
    <t>https://blog.naver.com/PostView.naver?blogId=apahghfej&amp;logNo=223911601705&amp;redirect=Dlog&amp;widgetTypeCall=true&amp;directAccess=false</t>
  </si>
  <si>
    <t>우리말 겨루기 사제동행</t>
  </si>
  <si>
    <t>https://blog.naver.com/PostView.naver?blogId=class_seo&amp;logNo=223911562146&amp;redirect=Dlog&amp;widgetTypeCall=true&amp;directAccess=false</t>
  </si>
  <si>
    <t>잇자나</t>
  </si>
  <si>
    <t>미지의서울 박진영 배우 프로필 MBTI 군대 드라마 인스타그램</t>
  </si>
  <si>
    <t>https://blog.naver.com/PostView.naver?blogId=eatzana&amp;logNo=223910157507&amp;redirect=Dlog&amp;widgetTypeCall=true&amp;directAccess=false</t>
  </si>
  <si>
    <t>Asan</t>
  </si>
  <si>
    <t>‘트로트 신동’ 고아인, 충남도의회 홍보대사 위촉</t>
  </si>
  <si>
    <t>https://blog.naver.com/PostView.naver?blogId=cn_asan&amp;logNo=223911469494&amp;redirect=Dlog&amp;widgetTypeCall=true&amp;directAccess=false</t>
  </si>
  <si>
    <t>신안군, 세계유산 갯벌에 낙지 4천 마리 방류…생태계 회복 앞장</t>
  </si>
  <si>
    <t>https://blog.naver.com/PostView.naver?blogId=kbsn_kr&amp;logNo=223911402727&amp;redirect=Dlog&amp;widgetTypeCall=true&amp;directAccess=false</t>
  </si>
  <si>
    <t>중부포커스</t>
  </si>
  <si>
    <t>제10회 청주시 시민의 날 기념행사 7월 1일 개최</t>
  </si>
  <si>
    <t>https://blog.naver.com/PostView.naver?blogId=jbfocus__&amp;logNo=223911357612&amp;redirect=Dlog&amp;widgetTypeCall=true&amp;directAccess=false</t>
  </si>
  <si>
    <t>다니엘</t>
  </si>
  <si>
    <t>아기 공룡 둘리(Baby Saurs Dooly/TV 만화/1987~1996년작)</t>
  </si>
  <si>
    <t>https://blog.naver.com/PostView.naver?blogId=lodemnamoo67&amp;logNo=223911351162&amp;redirect=Dlog&amp;widgetTypeCall=true&amp;directAccess=false</t>
  </si>
  <si>
    <t>양광찬란</t>
  </si>
  <si>
    <t>내 이름이 꽃이 되는 시간, 안아감 이름꽃미술관에서</t>
  </si>
  <si>
    <t>https://blog.naver.com/PostView.naver?blogId=jelly4794&amp;logNo=223911348823&amp;redirect=Dlog&amp;widgetTypeCall=true&amp;directAccess=false</t>
  </si>
  <si>
    <t>이본, 21년 만의 라디오 복귀…KBS ‘이본의 라라랜드’로 청취자와 다시 만난다</t>
  </si>
  <si>
    <t>https://blog.naver.com/PostView.naver?blogId=news1star&amp;logNo=223911325372&amp;redirect=Dlog&amp;widgetTypeCall=true&amp;directAccess=false</t>
  </si>
  <si>
    <t>Eddie</t>
  </si>
  <si>
    <t>2017. 싱가포르 Day 1, 2 [칼튼 호텔 싱가포르]</t>
  </si>
  <si>
    <t>https://blog.naver.com/PostView.naver?blogId=eddie_0322&amp;logNo=223911302920&amp;redirect=Dlog&amp;widgetTypeCall=true&amp;directAccess=false</t>
  </si>
  <si>
    <t>깐펜</t>
  </si>
  <si>
    <t>브래드 피트 주연 영화 F1 더 무비 후기, 롯데시네마 아트카드</t>
  </si>
  <si>
    <t>https://blog.naver.com/PostView.naver?blogId=ganji_flower&amp;logNo=223911286910&amp;redirect=Dlog&amp;widgetTypeCall=true&amp;directAccess=false</t>
  </si>
  <si>
    <t>김희산</t>
  </si>
  <si>
    <t>서울무료박물관, 20년만에 다녀온 국립중앙박물관 데이트(주차/금액/소요시간)</t>
  </si>
  <si>
    <t>https://blog.naver.com/PostView.naver?blogId=isk1210&amp;logNo=223911278480&amp;redirect=Dlog&amp;widgetTypeCall=true&amp;directAccess=false</t>
  </si>
  <si>
    <t>큐티언니</t>
  </si>
  <si>
    <t>돈공부하자!  경제다큐</t>
  </si>
  <si>
    <t>https://blog.naver.com/PostView.naver?blogId=luck_haiyue&amp;logNo=223911242949&amp;redirect=Dlog&amp;widgetTypeCall=true&amp;directAccess=false</t>
  </si>
  <si>
    <t>서현, 남주의 첫날밤 중심으로 단역에서 타임라인 정리</t>
  </si>
  <si>
    <t>https://blog.naver.com/PostView.naver?blogId=odmwd2&amp;logNo=223911230170&amp;redirect=Dlog&amp;widgetTypeCall=true&amp;directAccess=false</t>
  </si>
  <si>
    <t>Rissa</t>
  </si>
  <si>
    <t>[남주의 첫날밤을 가져버렸다]-B급 웹툰원작 사극드라마 리뷰</t>
  </si>
  <si>
    <t>https://blog.naver.com/PostView.naver?blogId=aftertape_rissa&amp;logNo=223911201723&amp;redirect=Dlog&amp;widgetTypeCall=true&amp;directAccess=false</t>
  </si>
  <si>
    <t>테너 김호중 [THE CLASSIC ALBUM – My Favorite Arias] 타이틀곡 'NESSUN DORMA'</t>
  </si>
  <si>
    <t>https://blog.naver.com/PostView.naver?blogId=hms3475&amp;logNo=223911175590&amp;redirect=Dlog&amp;widgetTypeCall=true&amp;directAccess=false</t>
  </si>
  <si>
    <t>[2025.6.20] 부천필하모닉오케스트라 제327회 정기연주회 - 베르디, 레퀴엠</t>
  </si>
  <si>
    <t>https://blog.naver.com/PostView.naver?blogId=yskimeng&amp;logNo=223911172950&amp;redirect=Dlog&amp;widgetTypeCall=true&amp;directAccess=false</t>
  </si>
  <si>
    <t>통영마당</t>
  </si>
  <si>
    <t>민선 8기 3주년, 실천으로 증명한 변화의 힘</t>
  </si>
  <si>
    <t>https://blog.naver.com/PostView.naver?blogId=tymagazine&amp;logNo=223911128243&amp;redirect=Dlog&amp;widgetTypeCall=true&amp;directAccess=false</t>
  </si>
  <si>
    <t>샐리작가님</t>
  </si>
  <si>
    <t>여덟 번째 이야기</t>
  </si>
  <si>
    <t>https://blog.naver.com/PostView.naver?blogId=tpdus6643&amp;logNo=223911102052&amp;redirect=Dlog&amp;widgetTypeCall=true&amp;directAccess=false</t>
  </si>
  <si>
    <t>세팡이</t>
  </si>
  <si>
    <t>[경기광주 화담숲맛집]역발산한우곱창</t>
  </si>
  <si>
    <t>https://blog.naver.com/PostView.naver?blogId=akcsa-_-&amp;logNo=223911087545&amp;redirect=Dlog&amp;widgetTypeCall=true&amp;directAccess=false</t>
  </si>
  <si>
    <t>전남도, 광양을 ‘K-첨단산업 심장’으로… 철강·이차전지 육성 본격화</t>
  </si>
  <si>
    <t>https://blog.naver.com/PostView.naver?blogId=kbsn_kr&amp;logNo=223911070955&amp;redirect=Dlog&amp;widgetTypeCall=true&amp;directAccess=false</t>
  </si>
  <si>
    <t>회사형님들 지금 퇴직금땡겨서 아파트 계약부터 하시던데 ㄷㄷ</t>
  </si>
  <si>
    <t>https://blog.naver.com/PostView.naver?blogId=ojh919&amp;logNo=223911047858&amp;redirect=Dlog&amp;widgetTypeCall=true&amp;directAccess=false</t>
  </si>
  <si>
    <t>화음챔버오케스트라</t>
  </si>
  <si>
    <t>[畵/音.zine vol.14] 한국 창작음악의 현장을 짓다 (I): 창작, 현대, 현장의 경계 허물기</t>
  </si>
  <si>
    <t>https://blog.naver.com/PostView.naver?blogId=hwaumchamberorch&amp;logNo=223911037782&amp;redirect=Dlog&amp;widgetTypeCall=true&amp;directAccess=false</t>
  </si>
  <si>
    <t>[나는 어떤 사람이 되고 싶었을까?] 하고 싶은 것도 좋아하는 것도 모르는 너희들에게</t>
  </si>
  <si>
    <t>https://blog.naver.com/PostView.naver?blogId=hdhdd&amp;logNo=223908368525&amp;redirect=Dlog&amp;widgetTypeCall=true&amp;directAccess=false</t>
  </si>
  <si>
    <t>루시아Lucia</t>
  </si>
  <si>
    <t>모리스 라벨 &lt;피아노 협주곡 G장조&gt; 몽환적이면서 화려한..</t>
  </si>
  <si>
    <t>https://blog.naver.com/PostView.naver?blogId=kimsgic&amp;logNo=223911026121&amp;redirect=Dlog&amp;widgetTypeCall=true&amp;directAccess=false</t>
  </si>
  <si>
    <t>살다오다JEJU</t>
  </si>
  <si>
    <t>장사익 소리판 꽃을준다 나에게 후기</t>
  </si>
  <si>
    <t>https://blog.naver.com/PostView.naver?blogId=ekrud0927&amp;logNo=223911022838&amp;redirect=Dlog&amp;widgetTypeCall=true&amp;directAccess=false</t>
  </si>
  <si>
    <t>dagdha1</t>
  </si>
  <si>
    <t>저승사자는 원래 우리가 알던 모습이 아니었다?</t>
  </si>
  <si>
    <t>https://blog.naver.com/PostView.naver?blogId=dagdha1&amp;logNo=223911003653&amp;redirect=Dlog&amp;widgetTypeCall=true&amp;directAccess=false</t>
  </si>
  <si>
    <t>광주광역시, 대통령기 양궁대회로 세계선수권 예열…결승전은 5·18민주광장에서</t>
  </si>
  <si>
    <t>https://blog.naver.com/PostView.naver?blogId=kbsn_kr&amp;logNo=223910994743&amp;redirect=Dlog&amp;widgetTypeCall=true&amp;directAccess=false</t>
  </si>
  <si>
    <t>홍승철</t>
  </si>
  <si>
    <t>멘델스존</t>
  </si>
  <si>
    <t>https://blog.naver.com/PostView.naver?blogId=daon33&amp;logNo=223910942884&amp;redirect=Dlog&amp;widgetTypeCall=true&amp;directAccess=false</t>
  </si>
  <si>
    <t>김성엽 교육과 자문</t>
  </si>
  <si>
    <t>리더의 말과 자세</t>
  </si>
  <si>
    <t>https://blog.naver.com/PostView.naver?blogId=k2s3y4&amp;logNo=223910931843&amp;redirect=Dlog&amp;widgetTypeCall=true&amp;directAccess=false</t>
  </si>
  <si>
    <t>똑똑이</t>
  </si>
  <si>
    <t>⚖️ “전직 대통령, 법의 격랑 속으로…” – 윤석열 ‘체포영장 청구’</t>
  </si>
  <si>
    <t>https://blog.naver.com/PostView.naver?blogId=chldbfl107&amp;logNo=223910906716&amp;redirect=Dlog&amp;widgetTypeCall=true&amp;directAccess=false</t>
  </si>
  <si>
    <t>여행을 말하다</t>
  </si>
  <si>
    <t>7월 부여 궁남지 연꽃축제, 천만 송이 연꽃 바다에서 즐기는 여름 피서지</t>
  </si>
  <si>
    <t>https://blog.naver.com/PostView.naver?blogId=telltrip&amp;logNo=223910252644&amp;redirect=Dlog&amp;widgetTypeCall=true&amp;directAccess=false</t>
  </si>
  <si>
    <t>드라마 여왕의 집 43회 자신의 거짓말이 들통난 강세리</t>
  </si>
  <si>
    <t>https://blog.naver.com/PostView.naver?blogId=curina1234&amp;logNo=223910874201&amp;redirect=Dlog&amp;widgetTypeCall=true&amp;directAccess=false</t>
  </si>
  <si>
    <t>소년 1994.2. 스무고개 놀이</t>
  </si>
  <si>
    <t>https://blog.naver.com/PostView.naver?blogId=noritv&amp;logNo=223910856310&amp;redirect=Dlog&amp;widgetTypeCall=true&amp;directAccess=false</t>
  </si>
  <si>
    <t>강화도 가볼 만한 곳, 이국적인 '스페인 마을' 있다.</t>
  </si>
  <si>
    <t>https://blog.naver.com/PostView.naver?blogId=jhk5610&amp;logNo=223910822656&amp;redirect=Dlog&amp;widgetTypeCall=true&amp;directAccess=false</t>
  </si>
  <si>
    <t>[유퀴즈] 전국노래자랑 아프리카 적도 기니 유학생 ‘온유’ 프로필</t>
  </si>
  <si>
    <t>https://blog.naver.com/PostView.naver?blogId=universal_studeo&amp;logNo=223910805333&amp;redirect=Dlog&amp;widgetTypeCall=true&amp;directAccess=false</t>
  </si>
  <si>
    <t>1107. [가사 해석] Swiss Boy_Lou Sern</t>
  </si>
  <si>
    <t>https://blog.naver.com/PostView.naver?blogId=josebjkim&amp;logNo=223910793665&amp;redirect=Dlog&amp;widgetTypeCall=true&amp;directAccess=false</t>
  </si>
  <si>
    <t>수홍매</t>
  </si>
  <si>
    <t>예전에 kBS 제  1 FM으로 클래식 듣던 때 생각난다</t>
  </si>
  <si>
    <t>https://blog.naver.com/PostView.naver?blogId=heajo7890&amp;logNo=223910777069&amp;redirect=Dlog&amp;widgetTypeCall=true&amp;directAccess=false</t>
  </si>
  <si>
    <t>장애인 소식 알리기 35</t>
  </si>
  <si>
    <t>https://blog.naver.com/PostView.naver?blogId=bhcho0409&amp;logNo=223910772023&amp;redirect=Dlog&amp;widgetTypeCall=true&amp;directAccess=false</t>
  </si>
  <si>
    <t>yeon</t>
  </si>
  <si>
    <t>인턴일기 (하)</t>
  </si>
  <si>
    <t>https://blog.naver.com/PostView.naver?blogId=blueme_&amp;logNo=223910769559&amp;redirect=Dlog&amp;widgetTypeCall=true&amp;directAccess=false</t>
  </si>
  <si>
    <t>천재 뮤지션 이찬혁에 반하다</t>
  </si>
  <si>
    <t>https://blog.naver.com/PostView.naver?blogId=nkts5903&amp;logNo=223910755324&amp;redirect=Dlog&amp;widgetTypeCall=true&amp;directAccess=false</t>
  </si>
  <si>
    <t>동물농장</t>
  </si>
  <si>
    <t>기지시줄다리기 보존회 주관, 임진각 남북통일 기원제.  2025.6.21.</t>
  </si>
  <si>
    <t>https://blog.naver.com/PostView.naver?blogId=csm6485&amp;logNo=223910746353&amp;redirect=Dlog&amp;widgetTypeCall=true&amp;directAccess=false</t>
  </si>
  <si>
    <t>파일럿</t>
  </si>
  <si>
    <t>6.25. 한국전쟁 (1950~1953)</t>
  </si>
  <si>
    <t>https://blog.naver.com/PostView.naver?blogId=ogooodman&amp;logNo=223910677354&amp;redirect=Dlog&amp;widgetTypeCall=true&amp;directAccess=false</t>
  </si>
  <si>
    <t>이주빈 77만원 OOTD 대체 어디에 썼길래? … 역대급 여름 휴가룩 프로필부터 인스타 싹 다 털었다 (+나무위키, 작품활동, 여름패션)</t>
  </si>
  <si>
    <t>https://blog.naver.com/PostView.naver?blogId=min5591ha&amp;logNo=223910684136&amp;redirect=Dlog&amp;widgetTypeCall=true&amp;directAccess=false</t>
  </si>
  <si>
    <t>heerimming_</t>
  </si>
  <si>
    <t>[인계동] 피곤할 때 장어 먹고 스태미나 회복!!_연산강숯불민물장어</t>
  </si>
  <si>
    <t>https://blog.naver.com/PostView.naver?blogId=heerimming_&amp;logNo=223910636945&amp;redirect=Dlog&amp;widgetTypeCall=true&amp;directAccess=false</t>
  </si>
  <si>
    <t>KBS 1 "다큐 온 - 그 곳에 소년이 있었다 - ."</t>
  </si>
  <si>
    <t>https://blog.naver.com/PostView.naver?blogId=idearman001&amp;logNo=223910601506&amp;redirect=Dlog&amp;widgetTypeCall=true&amp;directAccess=false</t>
  </si>
  <si>
    <t>25.6.24 뉴스 - Pax Americana. MAGA Start.</t>
  </si>
  <si>
    <t>https://blog.naver.com/PostView.naver?blogId=gogosophy&amp;logNo=223910589059&amp;redirect=Dlog&amp;widgetTypeCall=true&amp;directAccess=false</t>
  </si>
  <si>
    <t>연예인 행사 정보</t>
  </si>
  <si>
    <t>[25.06.29] 나눔사랑문화예술봉사단 창립기념 및 소외계층 시민과 어르신들을 위한 효(孝) 축제</t>
  </si>
  <si>
    <t>https://blog.naver.com/PostView.naver?blogId=historia315&amp;logNo=223910535843&amp;redirect=Dlog&amp;widgetTypeCall=true&amp;directAccess=false</t>
  </si>
  <si>
    <t>가미귀비탕</t>
  </si>
  <si>
    <t>250530 동두천 도시기본계획, 임장</t>
  </si>
  <si>
    <t>https://blog.naver.com/PostView.naver?blogId=gmgbt&amp;logNo=223910526737&amp;redirect=Dlog&amp;widgetTypeCall=true&amp;directAccess=false</t>
  </si>
  <si>
    <t>재난재해로부터 안전</t>
  </si>
  <si>
    <t>[한국재난안전뉴스][기획] DB손해보험, 고객 안전·정보보호 강화…ESG·윤리경영도 정착</t>
  </si>
  <si>
    <t>https://blog.naver.com/PostView.naver?blogId=kdsnkorea&amp;logNo=223910518911&amp;redirect=Dlog&amp;widgetTypeCall=true&amp;directAccess=false</t>
  </si>
  <si>
    <t>KBS 특집 환경 다큐멘터리 "해수면 상승으로 바다에 잠기는 필리핀 보홀주 바타산 섬" 촬영</t>
  </si>
  <si>
    <t>https://blog.naver.com/PostView.naver?blogId=newskorea778&amp;logNo=223910462409&amp;redirect=Dlog&amp;widgetTypeCall=true&amp;directAccess=false</t>
  </si>
  <si>
    <t>크리스탈아이</t>
  </si>
  <si>
    <t>CBS 라디오의 발견</t>
  </si>
  <si>
    <t>https://blog.naver.com/PostView.naver?blogId=mhchogt&amp;logNo=223910432727&amp;redirect=Dlog&amp;widgetTypeCall=true&amp;directAccess=false</t>
  </si>
  <si>
    <t>국립중앙극장, KBS국악관현악단, 국립국악원 국립기관 3곳, 국악기 연구 성과 함께 나눈다</t>
  </si>
  <si>
    <t>https://blog.naver.com/PostView.naver?blogId=withinnews&amp;logNo=223910420652&amp;redirect=Dlog&amp;widgetTypeCall=true&amp;directAccess=false</t>
  </si>
  <si>
    <t>박현식 박사</t>
  </si>
  <si>
    <t>소설 [동리정사] 출간</t>
  </si>
  <si>
    <t>https://blog.naver.com/PostView.naver?blogId=henry529&amp;logNo=223910417220&amp;redirect=Dlog&amp;widgetTypeCall=true&amp;directAccess=false</t>
  </si>
  <si>
    <t>레띠</t>
  </si>
  <si>
    <t>https://blog.naver.com/PostView.naver?blogId=azurehat67&amp;logNo=223910416869&amp;redirect=Dlog&amp;widgetTypeCall=true&amp;directAccess=false</t>
  </si>
  <si>
    <t>테너 김호중 클래식의 품격을 노래하다 'THE CLASSIC ALBUM'</t>
  </si>
  <si>
    <t>https://blog.naver.com/PostView.naver?blogId=hms3475&amp;logNo=223910402020&amp;redirect=Dlog&amp;widgetTypeCall=true&amp;directAccess=false</t>
  </si>
  <si>
    <t>김무무</t>
  </si>
  <si>
    <t>43년째 2,500원? KBS, 결국 수신료 인상 카드 꺼냈다</t>
  </si>
  <si>
    <t>https://blog.naver.com/PostView.naver?blogId=editor_mumu&amp;logNo=223910400174&amp;redirect=Dlog&amp;widgetTypeCall=true&amp;directAccess=false</t>
  </si>
  <si>
    <t>요하임</t>
  </si>
  <si>
    <t>[상계역 봉평메밀막국수] 불암산 등산 후 맛집: 메밀막국수와 메밀비빔국수</t>
  </si>
  <si>
    <t>https://blog.naver.com/PostView.naver?blogId=jyh1751&amp;logNo=223910355747&amp;redirect=Dlog&amp;widgetTypeCall=true&amp;directAccess=false</t>
  </si>
  <si>
    <t>핀디그 뉴스</t>
  </si>
  <si>
    <t>2025 부여서동연꽃축제 내달 4일 궁남지에서 화려한 개막</t>
  </si>
  <si>
    <t>https://blog.naver.com/PostView.naver?blogId=fyndignews&amp;logNo=223910283472&amp;redirect=Dlog&amp;widgetTypeCall=true&amp;directAccess=false</t>
  </si>
  <si>
    <t>한국 부정선거 이슈 美 전역으로 확산된다...고든창 "이재명은 합법적인 대통령 아니다"</t>
  </si>
  <si>
    <t>https://blog.naver.com/PostView.naver?blogId=js00lee2&amp;logNo=223910275119&amp;redirect=Dlog&amp;widgetTypeCall=true&amp;directAccess=false</t>
  </si>
  <si>
    <t>[당신이너무좋아] 팬콘서트 다녀왔어요^^</t>
  </si>
  <si>
    <t>https://blog.naver.com/PostView.naver?blogId=seongri0406&amp;logNo=223910273011&amp;redirect=Dlog&amp;widgetTypeCall=true&amp;directAccess=false</t>
  </si>
  <si>
    <t>Starboy</t>
  </si>
  <si>
    <t>2025-06-24 화</t>
  </si>
  <si>
    <t>https://blog.naver.com/PostView.naver?blogId=star38495&amp;logNo=223910264282&amp;redirect=Dlog&amp;widgetTypeCall=true&amp;directAccess=false</t>
  </si>
  <si>
    <t>semo</t>
  </si>
  <si>
    <t>북한 핵폐수 방류 의혹, 주류언론은 왜 침묵하나?</t>
  </si>
  <si>
    <t>https://blog.naver.com/PostView.naver?blogId=algobonizm&amp;logNo=223910236922&amp;redirect=Dlog&amp;widgetTypeCall=true&amp;directAccess=false</t>
  </si>
  <si>
    <t>전남 광양시, 시민 중심 교통환경 개선 나서…현장서 해법 찾는다</t>
  </si>
  <si>
    <t>https://blog.naver.com/PostView.naver?blogId=kbsn_kr&amp;logNo=223910223842&amp;redirect=Dlog&amp;widgetTypeCall=true&amp;directAccess=false</t>
  </si>
  <si>
    <t>다문화인터넷신문</t>
  </si>
  <si>
    <t>[한국다문화인터넷신문] 충남도의회, 트로트 신동 고아인 학생 홍보대사 위촉</t>
  </si>
  <si>
    <t>https://blog.naver.com/PostView.naver?blogId=kkt0520&amp;logNo=223910204570&amp;redirect=Dlog&amp;widgetTypeCall=true&amp;directAccess=false</t>
  </si>
  <si>
    <t>대한항공 1533편 활주로 이탈 사고 재조명(포항경주공항)</t>
  </si>
  <si>
    <t>https://blog.naver.com/PostView.naver?blogId=gulgomi&amp;logNo=223910187653&amp;redirect=Dlog&amp;widgetTypeCall=true&amp;directAccess=false</t>
  </si>
  <si>
    <t>6시내고향 순천 매실 주문 홍보장사만만세</t>
  </si>
  <si>
    <t>https://blog.naver.com/PostView.naver?blogId=dnjftndlqcjsdjr&amp;logNo=223910182351&amp;redirect=Dlog&amp;widgetTypeCall=true&amp;directAccess=false</t>
  </si>
  <si>
    <t>mwejk1219</t>
  </si>
  <si>
    <t>인구 분산 정책</t>
  </si>
  <si>
    <t>https://blog.naver.com/PostView.naver?blogId=mwejk1219&amp;logNo=223910151350&amp;redirect=Dlog&amp;widgetTypeCall=true&amp;directAccess=false</t>
  </si>
  <si>
    <t>충남도의회, ‘트로트 신동’ 고아인 홍보대사로 위촉</t>
  </si>
  <si>
    <t>https://blog.naver.com/PostView.naver?blogId=asandailynew&amp;logNo=223910143851&amp;redirect=Dlog&amp;widgetTypeCall=true&amp;directAccess=false</t>
  </si>
  <si>
    <t>2년 연속 교통문화 우수 도시…순천시, 시민 교통환경 개선 앞장</t>
  </si>
  <si>
    <t>https://blog.naver.com/PostView.naver?blogId=kbsn_kr&amp;logNo=223910139768&amp;redirect=Dlog&amp;widgetTypeCall=true&amp;directAccess=false</t>
  </si>
  <si>
    <t>심플</t>
  </si>
  <si>
    <t>우리는 친구~~(나이를 이길 장사는 없나 보다.)</t>
  </si>
  <si>
    <t>https://blog.naver.com/PostView.naver?blogId=simplelove78&amp;logNo=223910099251&amp;redirect=Dlog&amp;widgetTypeCall=true&amp;directAccess=false</t>
  </si>
  <si>
    <t>일산백병원</t>
  </si>
  <si>
    <t>[방송] [KBS] &lt;무엇이든 물어보세요&gt; '닥터의 경고' 삶을 위협하는 질환, 방치하면 실명된다! / 일산백병원 안과 이도형 교수</t>
  </si>
  <si>
    <t>https://blog.naver.com/PostView.naver?blogId=ilsanpaik100&amp;logNo=223910021498&amp;redirect=Dlog&amp;widgetTypeCall=true&amp;directAccess=false</t>
  </si>
  <si>
    <t>공정민아나운서</t>
  </si>
  <si>
    <t>https://blog.naver.com/PostView.naver?blogId=yang83529&amp;logNo=223910003150&amp;redirect=Dlog&amp;widgetTypeCall=true&amp;directAccess=false</t>
  </si>
  <si>
    <t>혼성그룹 코요태 신지 웨딩촬영 내년 결혼식 올린다? 예비 남편 7살 연하 가수 문원 프로필·본명·소속사⭐️코요태 김종민 빽가 모친상·어머니·카페·원년 멤버 근황?</t>
  </si>
  <si>
    <t>https://blog.naver.com/PostView.naver?blogId=lilycole2006&amp;logNo=223909952327&amp;redirect=Dlog&amp;widgetTypeCall=true&amp;directAccess=false</t>
  </si>
  <si>
    <t>[노래] 유자차_브로콜리너마저</t>
  </si>
  <si>
    <t>https://blog.naver.com/PostView.naver?blogId=roven_song&amp;logNo=223909904539&amp;redirect=Dlog&amp;widgetTypeCall=true&amp;directAccess=false</t>
  </si>
  <si>
    <t>최정수 박사 “올바른 인성과 두뇌 계발은 바늘과 실, 최정수박사한자속독이 답이다”</t>
  </si>
  <si>
    <t>https://blog.naver.com/PostView.naver?blogId=myangelleemy&amp;logNo=223909885609&amp;redirect=Dlog&amp;widgetTypeCall=true&amp;directAccess=false</t>
  </si>
  <si>
    <t>광주서 열린 시도지사 정책토론회…“지방분권이 국가전략”</t>
  </si>
  <si>
    <t>https://blog.naver.com/PostView.naver?blogId=kbsn_kr&amp;logNo=223909858329&amp;redirect=Dlog&amp;widgetTypeCall=true&amp;directAccess=false</t>
  </si>
  <si>
    <t>해피영영데이</t>
  </si>
  <si>
    <t>KBS 티비 수신료 해지 방법과 법적 근거</t>
  </si>
  <si>
    <t>https://blog.naver.com/PostView.naver?blogId=daldal_yy&amp;logNo=223909847810&amp;redirect=Dlog&amp;widgetTypeCall=true&amp;directAccess=false</t>
  </si>
  <si>
    <t>맨샬제포나04</t>
  </si>
  <si>
    <t>[공연 후기] 부산콘서트홀 개막공연 정명훈 베토벤 9번 "합창</t>
  </si>
  <si>
    <t>https://blog.naver.com/PostView.naver?blogId=jleagoe1st&amp;logNo=223909821932&amp;redirect=Dlog&amp;widgetTypeCall=true&amp;directAccess=false</t>
  </si>
  <si>
    <t>새 정부, 교육에선 무얼할까?</t>
  </si>
  <si>
    <t>https://blog.naver.com/PostView.naver?blogId=meta_com&amp;logNo=223909811716&amp;redirect=Dlog&amp;widgetTypeCall=true&amp;directAccess=false</t>
  </si>
  <si>
    <t>안전박사</t>
  </si>
  <si>
    <t>KBS 서울시 땅꺼짐(싱크홀) 위험지도 공개예정</t>
  </si>
  <si>
    <t>https://blog.naver.com/PostView.naver?blogId=c95019&amp;logNo=223909800723&amp;redirect=Dlog&amp;widgetTypeCall=true&amp;directAccess=false</t>
  </si>
  <si>
    <t>둥이들</t>
  </si>
  <si>
    <t>트럼프의 이란 공격 그 이후</t>
  </si>
  <si>
    <t>https://blog.naver.com/PostView.naver?blogId=kyd318&amp;logNo=223909796847&amp;redirect=Dlog&amp;widgetTypeCall=true&amp;directAccess=false</t>
  </si>
  <si>
    <t>소주천사</t>
  </si>
  <si>
    <t>대구수창국민학교(대구)58회</t>
  </si>
  <si>
    <t>https://blog.naver.com/PostView.naver?blogId=bibichow2&amp;logNo=223908007994&amp;redirect=Dlog&amp;widgetTypeCall=true&amp;directAccess=false</t>
  </si>
  <si>
    <t>제이미니</t>
  </si>
  <si>
    <t>[공연] KBS교향악단 X 정명훈 X 선우예권</t>
  </si>
  <si>
    <t>https://blog.naver.com/PostView.naver?blogId=mini123_&amp;logNo=223909761014&amp;redirect=Dlog&amp;widgetTypeCall=true&amp;directAccess=false</t>
  </si>
  <si>
    <t>진트</t>
  </si>
  <si>
    <t>20250624 매일경제</t>
  </si>
  <si>
    <t>https://blog.naver.com/PostView.naver?blogId=jint0717&amp;logNo=223909697003&amp;redirect=Dlog&amp;widgetTypeCall=true&amp;directAccess=false</t>
  </si>
  <si>
    <t>블루문</t>
  </si>
  <si>
    <t>KBS 수신료 인상 재추진</t>
  </si>
  <si>
    <t>https://blog.naver.com/PostView.naver?blogId=kickthebaby&amp;logNo=223909670130&amp;redirect=Dlog&amp;widgetTypeCall=true&amp;directAccess=false</t>
  </si>
  <si>
    <t>2025년 6월 24일 국내·외 주요 뉴스</t>
  </si>
  <si>
    <t>https://blog.naver.com/PostView.naver?blogId=ksahn1960&amp;logNo=223909632713&amp;redirect=Dlog&amp;widgetTypeCall=true&amp;directAccess=false</t>
  </si>
  <si>
    <t>드라마 여왕의집 42회 YL그룹에 들어간 정오성과 김도윤</t>
  </si>
  <si>
    <t>https://blog.naver.com/PostView.naver?blogId=curina1234&amp;logNo=223909613121&amp;redirect=Dlog&amp;widgetTypeCall=true&amp;directAccess=false</t>
  </si>
  <si>
    <t>조선 6대왕, 단종 (Danjong, 端宗, 1441~1457) _ 어린 비운의 왕, 명분과 왕권의 희생자</t>
  </si>
  <si>
    <t>https://blog.naver.com/PostView.naver?blogId=365nhealth&amp;logNo=223909596180&amp;redirect=Dlog&amp;widgetTypeCall=true&amp;directAccess=false</t>
  </si>
  <si>
    <t>★ 화요일에 비가 내리면///박미경</t>
  </si>
  <si>
    <t>https://blog.naver.com/PostView.naver?blogId=mbcswallow&amp;logNo=223908764363&amp;redirect=Dlog&amp;widgetTypeCall=true&amp;directAccess=false</t>
  </si>
  <si>
    <t>검이불누 화이불치</t>
  </si>
  <si>
    <t>(250624) AI 재연 영상</t>
  </si>
  <si>
    <t>https://blog.naver.com/PostView.naver?blogId=uinourpeace&amp;logNo=223909555143&amp;redirect=Dlog&amp;widgetTypeCall=true&amp;directAccess=false</t>
  </si>
  <si>
    <t>한국콘텐츠진흥원, 자카르타 ‘2025 한·아세안 K-콘텐츠 비즈위크’ 개최</t>
  </si>
  <si>
    <t>https://blog.naver.com/PostView.naver?blogId=print5931&amp;logNo=223909536656&amp;redirect=Dlog&amp;widgetTypeCall=true&amp;directAccess=false</t>
  </si>
  <si>
    <t>2025년 6월24일 마지막화요일 KBS19번 인간극장 내사랑 목비2부 보다</t>
  </si>
  <si>
    <t>https://blog.naver.com/PostView.naver?blogId=ch921017&amp;logNo=223909520468&amp;redirect=Dlog&amp;widgetTypeCall=true&amp;directAccess=false</t>
  </si>
  <si>
    <t>빌레뜨</t>
  </si>
  <si>
    <t>2025.06.23 (월) 『야구의 참견』이 선정한 이주의 선수는?6월 17일 (화)~ 6월 22일 (일) 가장 뜨거웠던 선수는?</t>
  </si>
  <si>
    <t>https://blog.naver.com/PostView.naver?blogId=villettes&amp;logNo=223909498844&amp;redirect=Dlog&amp;widgetTypeCall=true&amp;directAccess=false</t>
  </si>
  <si>
    <t>♣ 오늘의 고사성어故事成語 (765) : 자포자기自暴自棄</t>
  </si>
  <si>
    <t>https://blog.naver.com/PostView.naver?blogId=mbcswallow&amp;logNo=223862001678&amp;redirect=Dlog&amp;widgetTypeCall=true&amp;directAccess=false</t>
  </si>
  <si>
    <t>이츠마이턴</t>
  </si>
  <si>
    <t>KBS 수신료 인상, 볼 것인가 vs. 해지할 것인가?</t>
  </si>
  <si>
    <t>https://blog.naver.com/PostView.naver?blogId=itsmyturn-&amp;logNo=223909316469&amp;redirect=Dlog&amp;widgetTypeCall=true&amp;directAccess=false</t>
  </si>
  <si>
    <t>쿠아</t>
  </si>
  <si>
    <t>미디잡(Midijob)</t>
  </si>
  <si>
    <t>https://blog.naver.com/PostView.naver?blogId=fayyum&amp;logNo=223909489856&amp;redirect=Dlog&amp;widgetTypeCall=true&amp;directAccess=false</t>
  </si>
  <si>
    <t>비즈아미고</t>
  </si>
  <si>
    <t>06.24 (화) 매경뉴스 : 원화값 하루새 18원 급락</t>
  </si>
  <si>
    <t>https://blog.naver.com/PostView.naver?blogId=businessamigo&amp;logNo=223909481719&amp;redirect=Dlog&amp;widgetTypeCall=true&amp;directAccess=false</t>
  </si>
  <si>
    <t>이상준 인기남 등극, 신봉선 박은혜 ♥ 받았다..."동료 아닌 남자로" [오만추]</t>
  </si>
  <si>
    <t>https://blog.naver.com/PostView.naver?blogId=plug_and_play_life&amp;logNo=223909466407&amp;redirect=Dlog&amp;widgetTypeCall=true&amp;directAccess=false</t>
  </si>
  <si>
    <t>2025년도 2분기 회고</t>
  </si>
  <si>
    <t>https://blog.naver.com/PostView.naver?blogId=charmant77777&amp;logNo=223909455771&amp;redirect=Dlog&amp;widgetTypeCall=true&amp;directAccess=false</t>
  </si>
  <si>
    <t>세이내</t>
  </si>
  <si>
    <t>ACI 작곡가 시리즈 &lt;차이콥스키&gt; II - 홍석원•양인모•KBS교향악단</t>
  </si>
  <si>
    <t>https://blog.naver.com/PostView.naver?blogId=seinlog_&amp;logNo=223909397925&amp;redirect=Dlog&amp;widgetTypeCall=true&amp;directAccess=false</t>
  </si>
  <si>
    <t>16년 장사의 신 비법! OO 민물매운탕 밀키트…집에서 끓였을 뿐인데 100% 그 맛?! (생생정보, 매운탕집, 전통)</t>
  </si>
  <si>
    <t>https://blog.naver.com/PostView.naver?blogId=min5591ha&amp;logNo=223909396041&amp;redirect=Dlog&amp;widgetTypeCall=true&amp;directAccess=false</t>
  </si>
  <si>
    <t>프로비</t>
  </si>
  <si>
    <t>20250621 미국 공격으로 이스라엘,이란 사태 확장</t>
  </si>
  <si>
    <t>https://blog.naver.com/PostView.naver?blogId=hyejin1977&amp;logNo=223909383139&amp;redirect=Dlog&amp;widgetTypeCall=true&amp;directAccess=false</t>
  </si>
  <si>
    <t>🌅 2025년 6월 24일(화) | 오늘의 주요 뉴스</t>
  </si>
  <si>
    <t>https://blog.naver.com/PostView.naver?blogId=back2grace&amp;logNo=223909247415&amp;redirect=Dlog&amp;widgetTypeCall=true&amp;directAccess=false</t>
  </si>
  <si>
    <t>2025년 6월 20~23일 날씨 일요일부터 맑음</t>
  </si>
  <si>
    <t>https://blog.naver.com/PostView.naver?blogId=mongbl01&amp;logNo=223909341494&amp;redirect=Dlog&amp;widgetTypeCall=true&amp;directAccess=false</t>
  </si>
  <si>
    <t>낭만곰</t>
  </si>
  <si>
    <t>[국립공원스탬프투어2]청산도《완도항터미널에서》_20250624</t>
  </si>
  <si>
    <t>https://blog.naver.com/PostView.naver?blogId=romanticgom&amp;logNo=223904304598&amp;redirect=Dlog&amp;widgetTypeCall=true&amp;directAccess=false</t>
  </si>
  <si>
    <t>참 괜찮은 태도 / 박지현</t>
  </si>
  <si>
    <t>https://blog.naver.com/PostView.naver?blogId=jupitide&amp;logNo=223909251681&amp;redirect=Dlog&amp;widgetTypeCall=true&amp;directAccess=false</t>
  </si>
  <si>
    <t>허쉬드링크</t>
  </si>
  <si>
    <t>KBS무대 '별 일도 아닌데' 후기 - 낯선 방에 납치된 건가?</t>
  </si>
  <si>
    <t>https://blog.naver.com/PostView.naver?blogId=luminstudio&amp;logNo=223909251767&amp;redirect=Dlog&amp;widgetTypeCall=true&amp;directAccess=false</t>
  </si>
  <si>
    <t>ysbokjinews</t>
  </si>
  <si>
    <t>쌍봉복지관, 어르신 외식 지원 사업 “방방곡곡 행복 밥상” 선정</t>
  </si>
  <si>
    <t>https://blog.naver.com/PostView.naver?blogId=ysbokjinews&amp;logNo=223909224301&amp;redirect=Dlog&amp;widgetTypeCall=true&amp;directAccess=false</t>
  </si>
  <si>
    <t>클라리오</t>
  </si>
  <si>
    <t>울릉도 성인봉 (986.5m)</t>
  </si>
  <si>
    <t>https://blog.naver.com/PostView.naver?blogId=chemicla&amp;logNo=223909221590&amp;redirect=Dlog&amp;widgetTypeCall=true&amp;directAccess=false</t>
  </si>
  <si>
    <t>혜리부터 송혜교까지 , 같은 드레스 누가 제일 잘어울렸을까 ? + 핑크공</t>
  </si>
  <si>
    <t>https://blog.naver.com/PostView.naver?blogId=euene1111&amp;logNo=223909215438&amp;redirect=Dlog&amp;widgetTypeCall=true&amp;directAccess=false</t>
  </si>
  <si>
    <t>보랏빛인생</t>
  </si>
  <si>
    <t>도서 - 트럼프 2.0시대/저자 박종훈/경제학박사출신/경제전문가/KBC 대표경제기자/KBS퇴사/경제유튜브 (2025.06.20)</t>
  </si>
  <si>
    <t>https://blog.naver.com/PostView.naver?blogId=favor7777&amp;logNo=223909199729&amp;redirect=Dlog&amp;widgetTypeCall=true&amp;directAccess=false</t>
  </si>
  <si>
    <t>책 추천하는 사내</t>
  </si>
  <si>
    <t>[책 추천/리뷰] 기억력도 스펙이다 (KBS과학카페기억력제작팀)</t>
  </si>
  <si>
    <t>https://blog.naver.com/PostView.naver?blogId=habit041644&amp;logNo=223909192393&amp;redirect=Dlog&amp;widgetTypeCall=true&amp;directAccess=false</t>
  </si>
  <si>
    <t>윤플라워</t>
  </si>
  <si>
    <t>윤화의 일기 #5</t>
  </si>
  <si>
    <t>https://blog.naver.com/PostView.naver?blogId=yoonhwa1999&amp;logNo=223909187904&amp;redirect=Dlog&amp;widgetTypeCall=true&amp;directAccess=false</t>
  </si>
  <si>
    <t>인문과 과학의 경계를 넘다… 동국대 ‘미래융합여해아카데미’ 4기 모집(ACN아시아콘텐츠뉴스)</t>
  </si>
  <si>
    <t>https://blog.naver.com/PostView.naver?blogId=hsy3665&amp;logNo=223909059640&amp;redirect=Dlog&amp;widgetTypeCall=true&amp;directAccess=false</t>
  </si>
  <si>
    <t>인간의 성장을 가로막는 AI에는 브레이크가 필요하다고 본다</t>
  </si>
  <si>
    <t>https://blog.naver.com/PostView.naver?blogId=grace_seonmi&amp;logNo=223909048135&amp;redirect=Dlog&amp;widgetTypeCall=true&amp;directAccess=false</t>
  </si>
  <si>
    <t>[사회] KBS, 수신료 인상 재추진</t>
  </si>
  <si>
    <t>https://blog.naver.com/PostView.naver?blogId=parkcckr&amp;logNo=223909031900&amp;redirect=Dlog&amp;widgetTypeCall=true&amp;directAccess=false</t>
  </si>
  <si>
    <t>이스라엘-이란' 사실상 전쟁 개시...대구 시민단체 "전면전 안돼, 한국 정부 침묵 말아야"</t>
  </si>
  <si>
    <t>https://blog.naver.com/PostView.naver?blogId=pnnews&amp;logNo=223908933168&amp;redirect=Dlog&amp;widgetTypeCall=true&amp;directAccess=false</t>
  </si>
  <si>
    <t>아랑가(ArangGA)-1159. 당신의 마음</t>
  </si>
  <si>
    <t>https://blog.naver.com/PostView.naver?blogId=ycy519444&amp;logNo=223908897390&amp;redirect=Dlog&amp;widgetTypeCall=true&amp;directAccess=false</t>
  </si>
  <si>
    <t>7광구’ 산유국 꿈 이대로 깨지나…정치권 “대책 세워야”</t>
  </si>
  <si>
    <t>https://blog.naver.com/PostView.naver?blogId=ormaverh-m&amp;logNo=223908892415&amp;redirect=Dlog&amp;widgetTypeCall=true&amp;directAccess=false</t>
  </si>
  <si>
    <t>웬수</t>
  </si>
  <si>
    <t>HUG, 'KBS 동행' 저소득 가정 지원 후원금 5천만원 전달</t>
  </si>
  <si>
    <t>https://blog.naver.com/PostView.naver?blogId=jinrocals&amp;logNo=223908858828&amp;redirect=Dlog&amp;widgetTypeCall=true&amp;directAccess=false</t>
  </si>
  <si>
    <t>세계가 반한 거장들의 강렬한 클래식 향연…  그라시아스합창단·오케스트라, 창단 25주년 기념 `스바보드나`</t>
  </si>
  <si>
    <t>https://blog.naver.com/PostView.naver?blogId=gst3000&amp;logNo=223908822802&amp;redirect=Dlog&amp;widgetTypeCall=true&amp;directAccess=false</t>
  </si>
  <si>
    <t>하나의별</t>
  </si>
  <si>
    <t>부산 기장 죽성드림세트장 후기 유럽 느낌 인생샷 명소 발견!</t>
  </si>
  <si>
    <t>https://blog.naver.com/PostView.naver?blogId=byulyih&amp;logNo=223908696103&amp;redirect=Dlog&amp;widgetTypeCall=true&amp;directAccess=false</t>
  </si>
  <si>
    <t>KBS가 버린 드라마?? tvN ‘미지의 서울’ 10회 동시간대 전국 시청률 1위 차지</t>
  </si>
  <si>
    <t>https://blog.naver.com/PostView.naver?blogId=nimy07&amp;logNo=223908815136&amp;redirect=Dlog&amp;widgetTypeCall=true&amp;directAccess=false</t>
  </si>
  <si>
    <t>RoAD</t>
  </si>
  <si>
    <t>[태백] 철암탄광역사촌, 태백고원자연휴양림</t>
  </si>
  <si>
    <t>https://blog.naver.com/PostView.naver?blogId=syjyacht&amp;logNo=223908814565&amp;redirect=Dlog&amp;widgetTypeCall=true&amp;directAccess=false</t>
  </si>
  <si>
    <t>대통령 11개 부처 장관 후보자 지명, 안규백 국방.송미령 농림 유임. 해수부 전재수</t>
  </si>
  <si>
    <t>https://blog.naver.com/PostView.naver?blogId=koolap&amp;logNo=223908783452&amp;redirect=Dlog&amp;widgetTypeCall=true&amp;directAccess=false</t>
  </si>
  <si>
    <t>초록별</t>
  </si>
  <si>
    <t>예쁜 아이</t>
  </si>
  <si>
    <t>https://blog.naver.com/PostView.naver?blogId=sss620-26&amp;logNo=223908715512&amp;redirect=Dlog&amp;widgetTypeCall=true&amp;directAccess=false</t>
  </si>
  <si>
    <t>동대문구 구민 대상, '세종의 소통법' 강의 후기</t>
  </si>
  <si>
    <t>https://blog.naver.com/PostView.naver?blogId=k2s3y4&amp;logNo=223908678455&amp;redirect=Dlog&amp;widgetTypeCall=true&amp;directAccess=false</t>
  </si>
  <si>
    <t>으녕아</t>
  </si>
  <si>
    <t>https://blog.naver.com/PostView.naver?blogId=mecomifish&amp;logNo=223908660241&amp;redirect=Dlog&amp;widgetTypeCall=true&amp;directAccess=false</t>
  </si>
  <si>
    <t>생각대로 살지 않으면 사는대로 생각하게 된다</t>
  </si>
  <si>
    <t>https://blog.naver.com/PostView.naver?blogId=yoojinpooh&amp;logNo=223908632258&amp;redirect=Dlog&amp;widgetTypeCall=true&amp;directAccess=false</t>
  </si>
  <si>
    <t>105. 20250613</t>
  </si>
  <si>
    <t>https://blog.naver.com/PostView.naver?blogId=nongrim&amp;logNo=223908600608&amp;redirect=Dlog&amp;widgetTypeCall=true&amp;directAccess=false</t>
  </si>
  <si>
    <t>🧡유튜브 반려동물 🥩250623월13 영상모음</t>
  </si>
  <si>
    <t>https://blog.naver.com/PostView.naver?blogId=gusteam&amp;logNo=223908596173&amp;redirect=Dlog&amp;widgetTypeCall=true&amp;directAccess=false</t>
  </si>
  <si>
    <t>피칸하와이</t>
  </si>
  <si>
    <t>[월요뮤직] 가수 장필순.</t>
  </si>
  <si>
    <t>https://blog.naver.com/PostView.naver?blogId=monattube&amp;logNo=223908566239&amp;redirect=Dlog&amp;widgetTypeCall=true&amp;directAccess=false</t>
  </si>
  <si>
    <t>개그맨 홍현호, 기아 ‘초록여행’ 응원릴레이 4호 주자 참여</t>
  </si>
  <si>
    <t>https://blog.naver.com/PostView.naver?blogId=koreadisablednews&amp;logNo=223908564861&amp;redirect=Dlog&amp;widgetTypeCall=true&amp;directAccess=false</t>
  </si>
  <si>
    <t>타워루</t>
  </si>
  <si>
    <t>2025년 6월 14일 ~ 23일</t>
  </si>
  <si>
    <t>https://blog.naver.com/PostView.naver?blogId=jdy765&amp;logNo=223908559227&amp;redirect=Dlog&amp;widgetTypeCall=true&amp;directAccess=false</t>
  </si>
  <si>
    <t>동구라미</t>
  </si>
  <si>
    <t>일주일 기록 (6/16~6/22)</t>
  </si>
  <si>
    <t>https://blog.naver.com/PostView.naver?blogId=dong_9_rami&amp;logNo=223908558268&amp;redirect=Dlog&amp;widgetTypeCall=true&amp;directAccess=false</t>
  </si>
  <si>
    <t>거풍</t>
  </si>
  <si>
    <t>[파주]지혜의 숲, 베르나르 올리비에 ‘나는 걷는다’</t>
  </si>
  <si>
    <t>https://blog.naver.com/PostView.naver?blogId=unviajero&amp;logNo=223908535156&amp;redirect=Dlog&amp;widgetTypeCall=true&amp;directAccess=false</t>
  </si>
  <si>
    <t>눈뜬장님</t>
  </si>
  <si>
    <t>이스라엘 vs. 이란 전쟁... 피하기 어려운 진짜 이유 / 트럼프에 이란이 만만한 이유, 이란의 보복 가능성은?(박종훈의 지식한방)</t>
  </si>
  <si>
    <t>https://blog.naver.com/PostView.naver?blogId=contextessay&amp;logNo=223908459884&amp;redirect=Dlog&amp;widgetTypeCall=true&amp;directAccess=false</t>
  </si>
  <si>
    <t>코리아방송</t>
  </si>
  <si>
    <t>광주시체육회, G-스포츠클럽 U18 축구팀 명예단장에 한준희 해설위원 위촉</t>
  </si>
  <si>
    <t>https://blog.naver.com/PostView.naver?blogId=kk6031kk&amp;logNo=223908405725&amp;redirect=Dlog&amp;widgetTypeCall=true&amp;directAccess=false</t>
  </si>
  <si>
    <t>cutejjung</t>
  </si>
  <si>
    <t>통영 맛집 통영중앙시장맛집 통영 가볼만한곳</t>
  </si>
  <si>
    <t>https://blog.naver.com/PostView.naver?blogId=cutejjung_&amp;logNo=223908386564&amp;redirect=Dlog&amp;widgetTypeCall=true&amp;directAccess=false</t>
  </si>
  <si>
    <t>국정기획위원회 마찰음</t>
  </si>
  <si>
    <t>https://blog.naver.com/PostView.naver?blogId=meta_com&amp;logNo=223908382672&amp;redirect=Dlog&amp;widgetTypeCall=true&amp;directAccess=false</t>
  </si>
  <si>
    <t>윤사월</t>
  </si>
  <si>
    <t>섭지코지 일출, 섭지코지 수국, 성산읍 섭지코지</t>
  </si>
  <si>
    <t>https://blog.naver.com/PostView.naver?blogId=cassia96&amp;logNo=223908364402&amp;redirect=Dlog&amp;widgetTypeCall=true&amp;directAccess=false</t>
  </si>
  <si>
    <t>https://blog.naver.com/PostView.naver?blogId=chonchu&amp;logNo=223908364406&amp;redirect=Dlog&amp;widgetTypeCall=true&amp;directAccess=false</t>
  </si>
  <si>
    <t>메건쓰</t>
  </si>
  <si>
    <t>충남청양 고추가공업소</t>
  </si>
  <si>
    <t>https://blog.naver.com/PostView.naver?blogId=kim1384523&amp;logNo=223905890515&amp;redirect=Dlog&amp;widgetTypeCall=true&amp;directAccess=false</t>
  </si>
  <si>
    <t>1982년 9월 20일 KBS2에서 TV유치원 하나둘셋이 첫 전파를 탔다.</t>
  </si>
  <si>
    <t>https://blog.naver.com/PostView.naver?blogId=dongneep&amp;logNo=223908343568&amp;redirect=Dlog&amp;widgetTypeCall=true&amp;directAccess=false</t>
  </si>
  <si>
    <t>★ 어느 소녀의 사랑 이야기///민해경</t>
  </si>
  <si>
    <t>https://blog.naver.com/PostView.naver?blogId=mbcswallow&amp;logNo=223907683941&amp;redirect=Dlog&amp;widgetTypeCall=true&amp;directAccess=false</t>
  </si>
  <si>
    <t>백오천하</t>
  </si>
  <si>
    <t>부여서동연꽃축제 기본 정보 주차장 궁남지 판타지 무료 연지 카누 탐험 트롯 공연(ft. 장민호 안성훈)</t>
  </si>
  <si>
    <t>https://blog.naver.com/PostView.naver?blogId=105baego&amp;logNo=223906876274&amp;redirect=Dlog&amp;widgetTypeCall=true&amp;directAccess=false</t>
  </si>
  <si>
    <t>아웃소싱타임스</t>
  </si>
  <si>
    <t>[오늘의 공기업 채용정보] 한국방송공사(KBS), 2025년 신입직원 71명 채용</t>
  </si>
  <si>
    <t>https://blog.naver.com/PostView.naver?blogId=m41870&amp;logNo=223908305225&amp;redirect=Dlog&amp;widgetTypeCall=true&amp;directAccess=false</t>
  </si>
  <si>
    <t>드라마 비켜라 운명아 정보 출연진 줄거리 리뷰</t>
  </si>
  <si>
    <t>https://blog.naver.com/PostView.naver?blogId=lit_raon&amp;logNo=223886006315&amp;redirect=Dlog&amp;widgetTypeCall=true&amp;directAccess=false</t>
  </si>
  <si>
    <t>살찌 Salzzi</t>
  </si>
  <si>
    <t>유지니</t>
  </si>
  <si>
    <t>렉싱턴 이틀째..</t>
  </si>
  <si>
    <t>https://blog.naver.com/PostView.naver?blogId=yj1068&amp;logNo=223908230924&amp;redirect=Dlog&amp;widgetTypeCall=true&amp;directAccess=false</t>
  </si>
  <si>
    <t>은</t>
  </si>
  <si>
    <t>2975 - 분실물이 돌아왔습니다</t>
  </si>
  <si>
    <t>https://blog.naver.com/PostView.naver?blogId=naraeun33&amp;logNo=223908227842&amp;redirect=Dlog&amp;widgetTypeCall=true&amp;directAccess=false</t>
  </si>
  <si>
    <t>라밍</t>
  </si>
  <si>
    <t>🇨🇳 告诉我你想要的, 我会成为那样的人。</t>
  </si>
  <si>
    <t>https://blog.naver.com/PostView.naver?blogId=ram1010&amp;logNo=223908199874&amp;redirect=Dlog&amp;widgetTypeCall=true&amp;directAccess=false</t>
  </si>
  <si>
    <t>키움 매각 이번에는 진짜? 구체적 힌트까지 등장! [키움]</t>
  </si>
  <si>
    <t>https://blog.naver.com/PostView.naver?blogId=yyagudang&amp;logNo=223908181932&amp;redirect=Dlog&amp;widgetTypeCall=true&amp;directAccess=false</t>
  </si>
  <si>
    <t>편스토랑·194억 건물주 가수 겸 배우 이정현 집 이사 위치? 주방 거대 철판 등장⭐️이정현 데뷔·프로필·가족·엄마·의사 남편·병원·자녀 둘째</t>
  </si>
  <si>
    <t>https://blog.naver.com/PostView.naver?blogId=rachelwood6&amp;logNo=223908162786&amp;redirect=Dlog&amp;widgetTypeCall=true&amp;directAccess=false</t>
  </si>
  <si>
    <t>연떨</t>
  </si>
  <si>
    <t>250621 국립중앙박물관</t>
  </si>
  <si>
    <t>https://blog.naver.com/PostView.naver?blogId=industj00&amp;logNo=223908151805&amp;redirect=Dlog&amp;widgetTypeCall=true&amp;directAccess=false</t>
  </si>
  <si>
    <t>SHY</t>
  </si>
  <si>
    <t>[몰타 한달살기] 20250621토요일 21일차</t>
  </si>
  <si>
    <t>https://blog.naver.com/PostView.naver?blogId=hyyung1998&amp;logNo=223908133859&amp;redirect=Dlog&amp;widgetTypeCall=true&amp;directAccess=false</t>
  </si>
  <si>
    <t>비온다</t>
  </si>
  <si>
    <t>20250622 대전</t>
  </si>
  <si>
    <t>https://blog.naver.com/PostView.naver?blogId=bi_ondaa&amp;logNo=223908121218&amp;redirect=Dlog&amp;widgetTypeCall=true&amp;directAccess=false</t>
  </si>
  <si>
    <t>도남남</t>
  </si>
  <si>
    <t>2025년 6월 ③</t>
  </si>
  <si>
    <t>https://blog.naver.com/PostView.naver?blogId=wanxonam&amp;logNo=223908106665&amp;redirect=Dlog&amp;widgetTypeCall=true&amp;directAccess=false</t>
  </si>
  <si>
    <t>조순익</t>
  </si>
  <si>
    <t>광양금호도서관에서 그림 속 숨겨진 인권 이야기 들어볼래요?/광양만권경자청, 전남동부이민외국인종합지원센터와 업무협약 체결[호남매일_2025년 6월 27일_15_조순익 기자]</t>
  </si>
  <si>
    <t>https://blog.naver.com/PostView.naver?blogId=inhyangin&amp;logNo=223915970435&amp;redirect=Dlog&amp;widgetTypeCall=true&amp;directAccess=false</t>
  </si>
  <si>
    <t>econob</t>
  </si>
  <si>
    <t>2025년 6월 5주차 경제 시황 및 전망</t>
  </si>
  <si>
    <t>https://blog.naver.com/PostView.naver?blogId=econob&amp;logNo=223915966526&amp;redirect=Dlog&amp;widgetTypeCall=true&amp;directAccess=false</t>
  </si>
  <si>
    <t>백군</t>
  </si>
  <si>
    <t>군산여행 모녀의하루 선유도유람선 경암동철길마을 이성당</t>
  </si>
  <si>
    <t>https://blog.naver.com/PostView.naver?blogId=watercolor5&amp;logNo=223915958453&amp;redirect=Dlog&amp;widgetTypeCall=true&amp;directAccess=false</t>
  </si>
  <si>
    <t>약사 그리고 직딩</t>
  </si>
  <si>
    <t>프로포즈 받은 날 💍 🤧</t>
  </si>
  <si>
    <t>https://blog.naver.com/PostView.naver?blogId=jyoung04190&amp;logNo=223915913219&amp;redirect=Dlog&amp;widgetTypeCall=true&amp;directAccess=false</t>
  </si>
  <si>
    <t>생에 감사해'를 읽고</t>
  </si>
  <si>
    <t>https://blog.naver.com/PostView.naver?blogId=lsy1004g&amp;logNo=223915911521&amp;redirect=Dlog&amp;widgetTypeCall=true&amp;directAccess=false</t>
  </si>
  <si>
    <t>제이짱Jzzang</t>
  </si>
  <si>
    <t>광주시향 정기연주회 396회 Contrast 후기</t>
  </si>
  <si>
    <t>https://blog.naver.com/PostView.naver?blogId=thegrimadventures&amp;logNo=223915839920&amp;redirect=Dlog&amp;widgetTypeCall=true&amp;directAccess=false</t>
  </si>
  <si>
    <t>동자승</t>
  </si>
  <si>
    <t>[공기업 취업] [공공기관 채용]아직도 유료로? 이제는 [윈스펙]으로 한방에 해결하자!!. (feat. 할인 및 서포터즈 미션 혜택)</t>
  </si>
  <si>
    <t>https://blog.naver.com/PostView.naver?blogId=jerald94&amp;logNo=223915755364&amp;redirect=Dlog&amp;widgetTypeCall=true&amp;directAccess=false</t>
  </si>
  <si>
    <t>매니저</t>
  </si>
  <si>
    <t>[섬섬옥수] 오늘을 지키는 섬, 손죽도 - 전남 여수 | KBS 250606 방송</t>
  </si>
  <si>
    <t>https://blog.naver.com/PostView.naver?blogId=rhkrtjdaks1&amp;logNo=223915741546&amp;redirect=Dlog&amp;widgetTypeCall=true&amp;directAccess=false</t>
  </si>
  <si>
    <t>충북도(도지사 김영환), 청주국제공항 민간항공기 전용활주로 건설 서명 동참호소 4~6월까지100만명-7월 정부 국토교통부.정치권 전달방침</t>
  </si>
  <si>
    <t>https://blog.naver.com/PostView.naver?blogId=aeran0704&amp;logNo=223915740805&amp;redirect=Dlog&amp;widgetTypeCall=true&amp;directAccess=false</t>
  </si>
  <si>
    <t>독수리 오형제를 부탁해 장모님 치매야? 44회 박정수 오흥수 ♥ 현진영 주말드라마 추천</t>
  </si>
  <si>
    <t>https://blog.naver.com/PostView.naver?blogId=chummilmil99&amp;logNo=223915739330&amp;redirect=Dlog&amp;widgetTypeCall=true&amp;directAccess=false</t>
  </si>
  <si>
    <t>미소</t>
  </si>
  <si>
    <t>한강 &lt;소년이 온다&gt;</t>
  </si>
  <si>
    <t>https://blog.naver.com/PostView.naver?blogId=miso_smileee&amp;logNo=223915716709&amp;redirect=Dlog&amp;widgetTypeCall=true&amp;directAccess=false</t>
  </si>
  <si>
    <t>윤형빈, 유튜버 밴쯔에 1라운드 TKO 승.. 굽네 로드fc 073 격투기 은퇴 무대서 통쾌한 마무리</t>
  </si>
  <si>
    <t>https://blog.naver.com/PostView.naver?blogId=qmffndis777&amp;logNo=223915711395&amp;redirect=Dlog&amp;widgetTypeCall=true&amp;directAccess=false</t>
  </si>
  <si>
    <t>쾌속달팽이</t>
  </si>
  <si>
    <t>더현대 맛집 | 여의도 수제버거 원탑 번패티번</t>
  </si>
  <si>
    <t>https://blog.naver.com/PostView.naver?blogId=speedysnail&amp;logNo=223908848915&amp;redirect=Dlog&amp;widgetTypeCall=true&amp;directAccess=false</t>
  </si>
  <si>
    <t>박정수, 안재욱 엄지원 결혼에 '충격' 반대 고백 왜? "내 딸 자리에…" (+재혼, 장모, 가족갈등)</t>
  </si>
  <si>
    <t>https://blog.naver.com/PostView.naver?blogId=ovonews&amp;logNo=223915653491&amp;redirect=Dlog&amp;widgetTypeCall=true&amp;directAccess=false</t>
  </si>
  <si>
    <t>25/6/29/counti report</t>
  </si>
  <si>
    <t>https://blog.naver.com/PostView.naver?blogId=gbho0914&amp;logNo=223915640494&amp;redirect=Dlog&amp;widgetTypeCall=true&amp;directAccess=false</t>
  </si>
  <si>
    <t>Haero</t>
  </si>
  <si>
    <t>[KBS한국어능력시험] 한 달 독학 후 1급 취득한 후기 | 2025년 4월 시험</t>
  </si>
  <si>
    <t>https://blog.naver.com/PostView.naver?blogId=haroepong&amp;logNo=223915639784&amp;redirect=Dlog&amp;widgetTypeCall=true&amp;directAccess=false</t>
  </si>
  <si>
    <t>미국 채권, 지금 사도 될까? 外 [250628 KBS 머니올라]</t>
  </si>
  <si>
    <t>https://blog.naver.com/PostView.naver?blogId=pick_me_kab&amp;logNo=223915589201&amp;redirect=Dlog&amp;widgetTypeCall=true&amp;directAccess=false</t>
  </si>
  <si>
    <t>뇨롱</t>
  </si>
  <si>
    <t>[250615] 유튜브 팬페스트 코리아2025</t>
  </si>
  <si>
    <t>https://blog.naver.com/PostView.naver?blogId=moonjy234&amp;logNo=223915542565&amp;redirect=Dlog&amp;widgetTypeCall=true&amp;directAccess=false</t>
  </si>
  <si>
    <t>지니코리안</t>
  </si>
  <si>
    <t>[초급 문법 설명] A/V-지않다ㅣ한국어 문법 배우기ㅣBasic Korean Grammar : not</t>
  </si>
  <si>
    <t>https://blog.naver.com/PostView.naver?blogId=jinikorean12&amp;logNo=223915526501&amp;redirect=Dlog&amp;widgetTypeCall=true&amp;directAccess=false</t>
  </si>
  <si>
    <t>느낌 대박이라는 개그우먼 장도연 GQ 화보 근황.jpg</t>
  </si>
  <si>
    <t>https://blog.naver.com/PostView.naver?blogId=cleo1112&amp;logNo=223915519324&amp;redirect=Dlog&amp;widgetTypeCall=true&amp;directAccess=false</t>
  </si>
  <si>
    <t>블랙 코미디 드라마 &lt;다리미 패밀리&gt; 1~36화 전체 줄거리 요약 리뷰 사건의 발단 및 등장인물 결말 살펴보기</t>
  </si>
  <si>
    <t>https://blog.naver.com/PostView.naver?blogId=bomnaleen&amp;logNo=223915480146&amp;redirect=Dlog&amp;widgetTypeCall=true&amp;directAccess=false</t>
  </si>
  <si>
    <t>까망</t>
  </si>
  <si>
    <t>정명훈의 브람스 x KBS교향악단 - 브람스 교향곡 3번 4번 후기</t>
  </si>
  <si>
    <t>https://blog.naver.com/PostView.naver?blogId=laharoom&amp;logNo=223915469973&amp;redirect=Dlog&amp;widgetTypeCall=true&amp;directAccess=false</t>
  </si>
  <si>
    <t>Peacebewithu</t>
  </si>
  <si>
    <t>친일을 정리하는 건,다음 세대를 위한 약속이다.</t>
  </si>
  <si>
    <t>https://blog.naver.com/PostView.naver?blogId=dam_journal&amp;logNo=223915467712&amp;redirect=Dlog&amp;widgetTypeCall=true&amp;directAccess=false</t>
  </si>
  <si>
    <t>멋있는</t>
  </si>
  <si>
    <t>이언주의 한국은행 총재 비난, 몰라서 그런 것...</t>
  </si>
  <si>
    <t>https://blog.naver.com/PostView.naver?blogId=ks100rock&amp;logNo=223915418385&amp;redirect=Dlog&amp;widgetTypeCall=true&amp;directAccess=false</t>
  </si>
  <si>
    <t>[코리아미래콜로키움 주간 브리핑] 한 페이지로 끝내는 안보외교북한 뉴스 (20250629)</t>
  </si>
  <si>
    <t>https://blog.naver.com/PostView.naver?blogId=kimdaeganda&amp;logNo=223915414047&amp;redirect=Dlog&amp;widgetTypeCall=true&amp;directAccess=false</t>
  </si>
  <si>
    <t>코알라 gjchung11119</t>
  </si>
  <si>
    <t>주카자흐스탄 한국문화원 ‘2025 중앙아시아 K-POP 커버댄스 챔피언’ 경연대회</t>
  </si>
  <si>
    <t>https://blog.naver.com/PostView.naver?blogId=gjchung11119&amp;logNo=223915331011&amp;redirect=Dlog&amp;widgetTypeCall=true&amp;directAccess=false</t>
  </si>
  <si>
    <t>맘테스트</t>
  </si>
  <si>
    <t>성균관 스캔들과 칠교판</t>
  </si>
  <si>
    <t>https://blog.naver.com/PostView.naver?blogId=momtest54&amp;logNo=223915264710&amp;redirect=Dlog&amp;widgetTypeCall=true&amp;directAccess=false</t>
  </si>
  <si>
    <t>충청북도교육청</t>
  </si>
  <si>
    <t>충북체고 레슬링부, 제50회 KBS배 전국레슬링대회 양형 동반 단체우승 쾌거</t>
  </si>
  <si>
    <t>https://blog.naver.com/PostView.naver?blogId=cbe_news&amp;logNo=223913636533&amp;redirect=Dlog&amp;widgetTypeCall=true&amp;directAccess=false</t>
  </si>
  <si>
    <t>독수리 오형제를 부탁해 43회 하니 엄마 등장 충격｜박정수 너무해?｜나영은♥독고세리 삼각관계 예고｜주말드라마 몰입 포인트</t>
  </si>
  <si>
    <t>https://blog.naver.com/PostView.naver?blogId=luxblue83&amp;logNo=223915242190&amp;redirect=Dlog&amp;widgetTypeCall=true&amp;directAccess=false</t>
  </si>
  <si>
    <t>유민의 비워두기</t>
  </si>
  <si>
    <t>KBS불후의명곡2025왕중왕전  조째즈우승곡스물다섯스물하나</t>
  </si>
  <si>
    <t>https://blog.naver.com/PostView.naver?blogId=writeryoomin&amp;logNo=223915227122&amp;redirect=Dlog&amp;widgetTypeCall=true&amp;directAccess=false</t>
  </si>
  <si>
    <t>독수리 5형제' 박정수, 엄지원에 일침 "결혼 반대…내 딸 자리 대신할 사람 아냐"</t>
  </si>
  <si>
    <t>https://blog.naver.com/PostView.naver?blogId=lsb3002&amp;logNo=223915225211&amp;redirect=Dlog&amp;widgetTypeCall=true&amp;directAccess=false</t>
  </si>
  <si>
    <t>롸켓</t>
  </si>
  <si>
    <t>샌프란시스코 3박 4일 여행기</t>
  </si>
  <si>
    <t>https://blog.naver.com/PostView.naver?blogId=sonny215&amp;logNo=223915209344&amp;redirect=Dlog&amp;widgetTypeCall=true&amp;directAccess=false</t>
  </si>
  <si>
    <t>[예능 리뷰] 『내일은 미스트롯』 (2019) - 엄마만 보던 트로트, 한때 전국이 미쳐버린 이유</t>
  </si>
  <si>
    <t>https://blog.naver.com/PostView.naver?blogId=nesbox&amp;logNo=223915197322&amp;redirect=Dlog&amp;widgetTypeCall=true&amp;directAccess=false</t>
  </si>
  <si>
    <t>툐다</t>
  </si>
  <si>
    <t>6월 끝! 상반기 끝!</t>
  </si>
  <si>
    <t>https://blog.naver.com/PostView.naver?blogId=thfk2328&amp;logNo=223915161956&amp;redirect=Dlog&amp;widgetTypeCall=true&amp;directAccess=false</t>
  </si>
  <si>
    <t>린린</t>
  </si>
  <si>
    <t>[2025 재외공관 공공외교 현장실습원] ep3. 최종합격 이후 발대식까지‥!</t>
  </si>
  <si>
    <t>https://blog.naver.com/PostView.naver?blogId=0819an&amp;logNo=223915128878&amp;redirect=Dlog&amp;widgetTypeCall=true&amp;directAccess=false</t>
  </si>
  <si>
    <t>컬처칠러</t>
  </si>
  <si>
    <t>#26. 주간 문화 트렌드 (25.6.22~28)</t>
  </si>
  <si>
    <t>https://blog.naver.com/PostView.naver?blogId=ssacho0213&amp;logNo=223915112210&amp;redirect=Dlog&amp;widgetTypeCall=true&amp;directAccess=false</t>
  </si>
  <si>
    <t>[서울 여의도 샛강역 순대국 맛집 추천] “화목순대국”</t>
  </si>
  <si>
    <t>https://blog.naver.com/PostView.naver?blogId=my___oneday&amp;logNo=223915085102&amp;redirect=Dlog&amp;widgetTypeCall=true&amp;directAccess=false</t>
  </si>
  <si>
    <t>그로리치맘</t>
  </si>
  <si>
    <t>불후의 명곡</t>
  </si>
  <si>
    <t>https://blog.naver.com/PostView.naver?blogId=growrichmam&amp;logNo=223915082777&amp;redirect=Dlog&amp;widgetTypeCall=true&amp;directAccess=false</t>
  </si>
  <si>
    <t>홍차개구리</t>
  </si>
  <si>
    <t>부산콘서트홀(정명훈의 피델리오) 그리고 아트센터인천(살로넨)</t>
  </si>
  <si>
    <t>https://blog.naver.com/PostView.naver?blogId=yeh0730&amp;logNo=223915046781&amp;redirect=Dlog&amp;widgetTypeCall=true&amp;directAccess=false</t>
  </si>
  <si>
    <t>사람</t>
  </si>
  <si>
    <t>미지의 서울 이강작가님 천재</t>
  </si>
  <si>
    <t>https://blog.naver.com/PostView.naver?blogId=mmchu9317&amp;logNo=223915045782&amp;redirect=Dlog&amp;widgetTypeCall=true&amp;directAccess=false</t>
  </si>
  <si>
    <t>ohhoho_ma_nyeo</t>
  </si>
  <si>
    <t>2025년 상반기 - 내가 즐겨봤던 유튜브 추천 채널들</t>
  </si>
  <si>
    <t>https://blog.naver.com/PostView.naver?blogId=ohhoho_ma_nyeo&amp;logNo=223915000109&amp;redirect=Dlog&amp;widgetTypeCall=true&amp;directAccess=false</t>
  </si>
  <si>
    <t>hkmo1</t>
  </si>
  <si>
    <t>[테너 진원] 손태진 &amp; 진원 - 클레이 사격 ^^ 'P'의 도파민 가득한 제주 여행 (ft. 원이의 몰래카메라👀) | 진이 왜 저래? EP.37 &amp; 사랑은 생명의 꽃♬</t>
  </si>
  <si>
    <t>https://blog.naver.com/PostView.naver?blogId=hkmo1&amp;logNo=223914989384&amp;redirect=Dlog&amp;widgetTypeCall=true&amp;directAccess=false</t>
  </si>
  <si>
    <t>미인 - 손태진 전유진 - 불후의명곡 - 250628</t>
  </si>
  <si>
    <t>https://blog.naver.com/PostView.naver?blogId=somclouds&amp;logNo=223914953544&amp;redirect=Dlog&amp;widgetTypeCall=true&amp;directAccess=false</t>
  </si>
  <si>
    <t>독수리 오형제를 부탁해 박정수 너무해? 43회 하니 엄마 ♥ 나영은 독고세리 주말드라마 추천</t>
  </si>
  <si>
    <t>https://blog.naver.com/PostView.naver?blogId=chummilmil99&amp;logNo=223914892277&amp;redirect=Dlog&amp;widgetTypeCall=true&amp;directAccess=false</t>
  </si>
  <si>
    <t>복둥이맘</t>
  </si>
  <si>
    <t>&lt;되돌릴 수 없는 미래&gt; 신방실 지음</t>
  </si>
  <si>
    <t>https://blog.naver.com/PostView.naver?blogId=biolovesh&amp;logNo=223914886298&amp;redirect=Dlog&amp;widgetTypeCall=true&amp;directAccess=false</t>
  </si>
  <si>
    <t>달달핑크</t>
  </si>
  <si>
    <t>내 눈물버튼인 동시에 감사한 하루의 동력 KBS동행 (해피빈)</t>
  </si>
  <si>
    <t>https://blog.naver.com/PostView.naver?blogId=aorwn002&amp;logNo=223914883720&amp;redirect=Dlog&amp;widgetTypeCall=true&amp;directAccess=false</t>
  </si>
  <si>
    <t>박신숙</t>
  </si>
  <si>
    <t>127개 단체 참여한 『인천사랑 범시민네트워크』 출범식 성료</t>
  </si>
  <si>
    <t>https://blog.naver.com/PostView.naver?blogId=ssp422&amp;logNo=223914848227&amp;redirect=Dlog&amp;widgetTypeCall=true&amp;directAccess=false</t>
  </si>
  <si>
    <t>[2025년 신규사업  3] 구로구청 복지지원국 ... 전동보장구 보험지원등</t>
  </si>
  <si>
    <t>https://blog.naver.com/PostView.naver?blogId=kurotime&amp;logNo=223914692073&amp;redirect=Dlog&amp;widgetTypeCall=true&amp;directAccess=false</t>
  </si>
  <si>
    <t>임사라 대체 정체가 뭐야? 지누 아내… 변호사 사업가 미모 다 갖춘 그녀의 엄청난 스펙 (+지누션, 살림남2, 금수저)</t>
  </si>
  <si>
    <t>https://blog.naver.com/PostView.naver?blogId=qoswlfdl-&amp;logNo=223914827558&amp;redirect=Dlog&amp;widgetTypeCall=true&amp;directAccess=false</t>
  </si>
  <si>
    <t>한비시</t>
  </si>
  <si>
    <t>KBS 독립영화관 부천국제판타스틱영화제 음어오아, 문박지호, 아주먼곳</t>
  </si>
  <si>
    <t>https://blog.naver.com/PostView.naver?blogId=dkdaf&amp;logNo=223914699864&amp;redirect=Dlog&amp;widgetTypeCall=true&amp;directAccess=false</t>
  </si>
  <si>
    <t>소란 지선 조째즈 신유 김소향…(대체 무슨 조합이지) 열린음악회 1530회 초특급 라인업 공개 (+이지연 유연정 윤시내)</t>
  </si>
  <si>
    <t>https://blog.naver.com/PostView.naver?blogId=qoswlfdl-&amp;logNo=223914673093&amp;redirect=Dlog&amp;widgetTypeCall=true&amp;directAccess=false</t>
  </si>
  <si>
    <t>[KBS NEWS] ‘주담대 한도 6억’ 초강수…서울 집값 잡힐까?</t>
  </si>
  <si>
    <t>https://blog.naver.com/PostView.naver?blogId=quietrich&amp;logNo=223914620715&amp;redirect=Dlog&amp;widgetTypeCall=true&amp;directAccess=false</t>
  </si>
  <si>
    <t>이민정 폭로 이병헌, 밥차 달려가는 현실 모습… 대체 왜? (+반전, 아우라, 인간미)</t>
  </si>
  <si>
    <t>https://blog.naver.com/PostView.naver?blogId=minha051126&amp;logNo=223914611970&amp;redirect=Dlog&amp;widgetTypeCall=true&amp;directAccess=false</t>
  </si>
  <si>
    <t>미인 - 전유진, 손태진</t>
  </si>
  <si>
    <t>https://blog.naver.com/PostView.naver?blogId=dkyoo&amp;logNo=223914588653&amp;redirect=Dlog&amp;widgetTypeCall=true&amp;directAccess=false</t>
  </si>
  <si>
    <t>도쿄 한 바퀴! 도쿄 참치 장인의 초밥을 먹을 수 있는 "하라구치'</t>
  </si>
  <si>
    <t>https://blog.naver.com/PostView.naver?blogId=ndsibs&amp;logNo=223914584717&amp;redirect=Dlog&amp;widgetTypeCall=true&amp;directAccess=false</t>
  </si>
  <si>
    <t>박서진 아버지, 칠순 잔치 코앞에 닥친 충격적인 사건…대체 무슨 일이? 지누는 힙합 빠삐용에서 살림남으로 완벽 변신 (+살림남, 박서진, 지누)</t>
  </si>
  <si>
    <t>https://blog.naver.com/PostView.naver?blogId=min5591ha&amp;logNo=223914560387&amp;redirect=Dlog&amp;widgetTypeCall=true&amp;directAccess=false</t>
  </si>
  <si>
    <t>영</t>
  </si>
  <si>
    <t>여의도 윤곽관리 ‘빚어내어, 빛을내다’</t>
  </si>
  <si>
    <t>https://blog.naver.com/PostView.naver?blogId=kmiy16&amp;logNo=223914542605&amp;redirect=Dlog&amp;widgetTypeCall=true&amp;directAccess=false</t>
  </si>
  <si>
    <t>명랑한염세가</t>
  </si>
  <si>
    <t>Linkin Park -The Emptiness Machine (Feat. 불후의명곡)</t>
  </si>
  <si>
    <t>https://blog.naver.com/PostView.naver?blogId=leehoo71&amp;logNo=223914526155&amp;redirect=Dlog&amp;widgetTypeCall=true&amp;directAccess=false</t>
  </si>
  <si>
    <t>전통음악의 미래를 만나다! 2인전통음악축제 'I am you' 개막!</t>
  </si>
  <si>
    <t>https://blog.naver.com/PostView.naver?blogId=seenedom&amp;logNo=223914501225&amp;redirect=Dlog&amp;widgetTypeCall=true&amp;directAccess=false</t>
  </si>
  <si>
    <t>Il suono</t>
  </si>
  <si>
    <t>남산북측순환로 5회전</t>
  </si>
  <si>
    <t>https://blog.naver.com/PostView.naver?blogId=rich_ricky&amp;logNo=223914489095&amp;redirect=Dlog&amp;widgetTypeCall=true&amp;directAccess=false</t>
  </si>
  <si>
    <t>길 영</t>
  </si>
  <si>
    <t>교수가 되어볼까? 자네는 F일세</t>
  </si>
  <si>
    <t>https://blog.naver.com/PostView.naver?blogId=for_new_life_&amp;logNo=223914488004&amp;redirect=Dlog&amp;widgetTypeCall=true&amp;directAccess=false</t>
  </si>
  <si>
    <t>봉준호 기생충 21세기 최고의 영화 1위, 뉴욕타임즈 선정</t>
  </si>
  <si>
    <t>https://blog.naver.com/PostView.naver?blogId=marmo29&amp;logNo=223914443209&amp;redirect=Dlog&amp;widgetTypeCall=true&amp;directAccess=false</t>
  </si>
  <si>
    <t>드라마 드림하이1 정보 출연진 줄거리 리뷰</t>
  </si>
  <si>
    <t>https://blog.naver.com/PostView.naver?blogId=lit_raon&amp;logNo=223894562664&amp;redirect=Dlog&amp;widgetTypeCall=true&amp;directAccess=false</t>
  </si>
  <si>
    <t>박규영, 예능 첫 출연부터 방귀 멘트? “감독님들이 방귀 뀐다고 해요” 😂</t>
  </si>
  <si>
    <t>https://blog.naver.com/PostView.naver?blogId=enterhong77&amp;logNo=223914408225&amp;redirect=Dlog&amp;widgetTypeCall=true&amp;directAccess=false</t>
  </si>
  <si>
    <t>기억창고</t>
  </si>
  <si>
    <t>공영방송의 본분을 잊고 개인 홍보를 하는 KBS</t>
  </si>
  <si>
    <t>https://blog.naver.com/PostView.naver?blogId=digital1&amp;logNo=223914395418&amp;redirect=Dlog&amp;widgetTypeCall=true&amp;directAccess=false</t>
  </si>
  <si>
    <t>KBS 라디오 극장 - 하쿠다 사진관</t>
  </si>
  <si>
    <t>https://blog.naver.com/PostView.naver?blogId=naraeun33&amp;logNo=223914387315&amp;redirect=Dlog&amp;widgetTypeCall=true&amp;directAccess=false</t>
  </si>
  <si>
    <t>더원</t>
  </si>
  <si>
    <t>생애 첫 핸드볼, 생애 첫 국가대표 한일전 직관</t>
  </si>
  <si>
    <t>https://blog.naver.com/PostView.naver?blogId=arthurmyth&amp;logNo=223914387055&amp;redirect=Dlog&amp;widgetTypeCall=true&amp;directAccess=false</t>
  </si>
  <si>
    <t>1억뷰 눈앞! 임영웅 '사랑은 늘 도망가' 9700만뷰</t>
  </si>
  <si>
    <t>https://blog.naver.com/PostView.naver?blogId=simba6&amp;logNo=223914345727&amp;redirect=Dlog&amp;widgetTypeCall=true&amp;directAccess=false</t>
  </si>
  <si>
    <t>사옹베리 농원 텃밭 감자 수확</t>
  </si>
  <si>
    <t>https://blog.naver.com/PostView.naver?blogId=saong50&amp;logNo=223914341393&amp;redirect=Dlog&amp;widgetTypeCall=true&amp;directAccess=false</t>
  </si>
  <si>
    <t>티풀</t>
  </si>
  <si>
    <t>[여의도/맛집추천] KBS 별관 근처 한우 대창구이가 맛있는 호우정</t>
  </si>
  <si>
    <t>https://blog.naver.com/PostView.naver?blogId=b2uty_full&amp;logNo=223914329849&amp;redirect=Dlog&amp;widgetTypeCall=true&amp;directAccess=false</t>
  </si>
  <si>
    <t>전현무, 과거 신동엽과의 에피소드 공개 "4년간 많은 조언과 시행착오 겪었다" [전현무계획]</t>
  </si>
  <si>
    <t>https://blog.naver.com/PostView.naver?blogId=issuereview&amp;logNo=223914273533&amp;redirect=Dlog&amp;widgetTypeCall=true&amp;directAccess=false</t>
  </si>
  <si>
    <t>knj24034</t>
  </si>
  <si>
    <t>KBS 스페셜 - 밴 플리트 장군, 아들의 시신을 찾는다면 한국에 남겨두겠다.20160626</t>
  </si>
  <si>
    <t>https://blog.naver.com/PostView.naver?blogId=knj24034&amp;logNo=223914269099&amp;redirect=Dlog&amp;widgetTypeCall=true&amp;directAccess=false</t>
  </si>
  <si>
    <t>이유비, 청순한 분위기의 풋풋한 비주얼</t>
  </si>
  <si>
    <t>https://blog.naver.com/PostView.naver?blogId=tmrlahxhdbal&amp;logNo=223914240733&amp;redirect=Dlog&amp;widgetTypeCall=true&amp;directAccess=false</t>
  </si>
  <si>
    <t>https://blog.naver.com/PostView.naver?blogId=brain016&amp;logNo=223914227111&amp;redirect=Dlog&amp;widgetTypeCall=true&amp;directAccess=false</t>
  </si>
  <si>
    <t>각림동 Soldier</t>
  </si>
  <si>
    <t>10.05 무장공비 침투</t>
  </si>
  <si>
    <t>https://blog.naver.com/PostView.naver?blogId=cha077&amp;logNo=223914223238&amp;redirect=Dlog&amp;widgetTypeCall=true&amp;directAccess=false</t>
  </si>
  <si>
    <t>yonn</t>
  </si>
  <si>
    <t>[동네한바퀴] 도쿄 한국 청년 이수현 신오쿠보역 / 한일프 퓨전요리 / 한국식 포차 열리씨 / 바이올린 제작 장인</t>
  </si>
  <si>
    <t>https://blog.naver.com/PostView.naver?blogId=sooiiis&amp;logNo=223914210727&amp;redirect=Dlog&amp;widgetTypeCall=true&amp;directAccess=false</t>
  </si>
  <si>
    <t>사각문화뉴스</t>
  </si>
  <si>
    <t>충무공의 충신들</t>
  </si>
  <si>
    <t>https://blog.naver.com/PostView.naver?blogId=nonstop0404&amp;logNo=223914203410&amp;redirect=Dlog&amp;widgetTypeCall=true&amp;directAccess=false</t>
  </si>
  <si>
    <t>쿼카</t>
  </si>
  <si>
    <t>6.27</t>
  </si>
  <si>
    <t>https://blog.naver.com/PostView.naver?blogId=hyunseon_bjj&amp;logNo=223914133015&amp;redirect=Dlog&amp;widgetTypeCall=true&amp;directAccess=false</t>
  </si>
  <si>
    <t>제천 동산 선 남근석, 무암사 원점회귀(2025. 6. 26.)</t>
  </si>
  <si>
    <t>https://blog.naver.com/PostView.naver?blogId=coloursense&amp;logNo=223914122212&amp;redirect=Dlog&amp;widgetTypeCall=true&amp;directAccess=false</t>
  </si>
  <si>
    <t>시월</t>
  </si>
  <si>
    <t>직장인 KBS한국어능력시험 2주 3+급 합격후기</t>
  </si>
  <si>
    <t>https://blog.naver.com/PostView.naver?blogId=kail0426&amp;logNo=223914081345&amp;redirect=Dlog&amp;widgetTypeCall=true&amp;directAccess=false</t>
  </si>
  <si>
    <t>만수르 오여사</t>
  </si>
  <si>
    <t>전주 신시가지 한식 뷔페 밥꽃세상</t>
  </si>
  <si>
    <t>https://blog.naver.com/PostView.naver?blogId=omksh&amp;logNo=223914021812&amp;redirect=Dlog&amp;widgetTypeCall=true&amp;directAccess=false</t>
  </si>
  <si>
    <t>1988~2025년</t>
  </si>
  <si>
    <t>https://blog.naver.com/PostView.naver?blogId=gomthink&amp;logNo=223914018647&amp;redirect=Dlog&amp;widgetTypeCall=true&amp;directAccess=false</t>
  </si>
  <si>
    <t>엠뉴스</t>
  </si>
  <si>
    <t>목천고, 2025 KBS 양양 전국사이클선수권대회 고등부 종합 2위 쾌거</t>
  </si>
  <si>
    <t>https://blog.naver.com/PostView.naver?blogId=mnews_&amp;logNo=223914009412&amp;redirect=Dlog&amp;widgetTypeCall=true&amp;directAccess=false</t>
  </si>
  <si>
    <t>이민정, 오징어 게임 비하인드 드디어 공개?! 충격적인 …(촬영장 비밀) 단독 입수 (+가는정 오는정, 7회, 웃음 폭탄)</t>
  </si>
  <si>
    <t>https://blog.naver.com/PostView.naver?blogId=min5591ha&amp;logNo=223913969954&amp;redirect=Dlog&amp;widgetTypeCall=true&amp;directAccess=false</t>
  </si>
  <si>
    <t>비밥</t>
  </si>
  <si>
    <t>영상만 보면 돈을 줘? 부업 사기 조심</t>
  </si>
  <si>
    <t>https://blog.naver.com/PostView.naver?blogId=muhanjang&amp;logNo=223913955811&amp;redirect=Dlog&amp;widgetTypeCall=true&amp;directAccess=false</t>
  </si>
  <si>
    <t>크리스</t>
  </si>
  <si>
    <t>6월 수영 🏊</t>
  </si>
  <si>
    <t>https://blog.naver.com/PostView.naver?blogId=hy_chr__&amp;logNo=223913926386&amp;redirect=Dlog&amp;widgetTypeCall=true&amp;directAccess=false</t>
  </si>
  <si>
    <t>https://blog.naver.com/PostView.naver?blogId=frequency101&amp;logNo=223913883773&amp;redirect=Dlog&amp;widgetTypeCall=true&amp;directAccess=false</t>
  </si>
  <si>
    <t>산타자산타</t>
  </si>
  <si>
    <t>울릉도 성인봉 산행 및 해담길 트래킹 준비물</t>
  </si>
  <si>
    <t>https://blog.naver.com/PostView.naver?blogId=80wind&amp;logNo=223913873360&amp;redirect=Dlog&amp;widgetTypeCall=true&amp;directAccess=false</t>
  </si>
  <si>
    <t>BIG BET</t>
  </si>
  <si>
    <t>JYP엔터 올해 주가 전망</t>
  </si>
  <si>
    <t>https://blog.naver.com/PostView.naver?blogId=bigbet&amp;logNo=223913855528&amp;redirect=Dlog&amp;widgetTypeCall=true&amp;directAccess=false</t>
  </si>
  <si>
    <t>KBS 이슈 PICK 쌤과 함께, 분노와 불안의 시대…샤갈이 전하는 마음 치유법</t>
  </si>
  <si>
    <t>https://blog.naver.com/PostView.naver?blogId=hmknews&amp;logNo=223913837492&amp;redirect=Dlog&amp;widgetTypeCall=true&amp;directAccess=false</t>
  </si>
  <si>
    <t>KBS 인간극장, 매일 철 드는 남자 '서희엽'</t>
  </si>
  <si>
    <t>https://blog.naver.com/PostView.naver?blogId=hmknews&amp;logNo=223913833868&amp;redirect=Dlog&amp;widgetTypeCall=true&amp;directAccess=false</t>
  </si>
  <si>
    <t>가오정, 오징어 게임 후 스트레스? 위하준의 반전 고백</t>
  </si>
  <si>
    <t>https://blog.naver.com/PostView.naver?blogId=kstarfashion&amp;logNo=223913832176&amp;redirect=Dlog&amp;widgetTypeCall=true&amp;directAccess=false</t>
  </si>
  <si>
    <t>6시내고향 창원 반송시장 오늘 (택배주문 전국배송 연락처)</t>
  </si>
  <si>
    <t>https://blog.naver.com/PostView.naver?blogId=nft000&amp;logNo=223913783363&amp;redirect=Dlog&amp;widgetTypeCall=true&amp;directAccess=false</t>
  </si>
  <si>
    <t>우와셤마</t>
  </si>
  <si>
    <t>&lt;염재현의 지구촌 이야기&gt; 펀드매니저의 일상</t>
  </si>
  <si>
    <t>https://blog.naver.com/PostView.naver?blogId=ije1472&amp;logNo=223913789524&amp;redirect=Dlog&amp;widgetTypeCall=true&amp;directAccess=false</t>
  </si>
  <si>
    <t>이진숙 '방통위 독임제' 주장 논란</t>
  </si>
  <si>
    <t>https://blog.naver.com/PostView.naver?blogId=tamsaj&amp;logNo=223913783734&amp;redirect=Dlog&amp;widgetTypeCall=true&amp;directAccess=false</t>
  </si>
  <si>
    <t>푸티파이</t>
  </si>
  <si>
    <t>&lt;드림하이&gt; 뮤지컬 후기, 큅 뒌슁!!</t>
  </si>
  <si>
    <t>https://blog.naver.com/PostView.naver?blogId=sarahkim773&amp;logNo=223912589061&amp;redirect=Dlog&amp;widgetTypeCall=true&amp;directAccess=false</t>
  </si>
  <si>
    <t>류재복 대기자</t>
  </si>
  <si>
    <t>한국-타이완 경제평화포럼, 서울서 개최(中)</t>
  </si>
  <si>
    <t>https://blog.naver.com/PostView.naver?blogId=rky5203&amp;logNo=223913754814&amp;redirect=Dlog&amp;widgetTypeCall=true&amp;directAccess=false</t>
  </si>
  <si>
    <t>rkswkd007</t>
  </si>
  <si>
    <t>에드워드 가드너와 제임스 에네스 _ 서울시향</t>
  </si>
  <si>
    <t>https://blog.naver.com/PostView.naver?blogId=rkswkd007&amp;logNo=223913749856&amp;redirect=Dlog&amp;widgetTypeCall=true&amp;directAccess=false</t>
  </si>
  <si>
    <t>가우라</t>
  </si>
  <si>
    <t>2025.6.26 목 오후 레벨2 - 발레리노:퍼펙트데이즈 보면서 왜 눈물이 나는걸까</t>
  </si>
  <si>
    <t>https://blog.naver.com/PostView.naver?blogId=pentath&amp;logNo=223913742820&amp;redirect=Dlog&amp;widgetTypeCall=true&amp;directAccess=false</t>
  </si>
  <si>
    <t>아웃백, ‘러브백 캠페인’통해 사회적 책임 앞장                                  서울 양재점·하남 스타필드점, 장애가족 초청해 식사 대접</t>
  </si>
  <si>
    <t>https://blog.naver.com/PostView.naver?blogId=newsnanumy&amp;logNo=223913703079&amp;redirect=Dlog&amp;widgetTypeCall=true&amp;directAccess=false</t>
  </si>
  <si>
    <t>임재범 '낙인' 드라마 추노 ost</t>
  </si>
  <si>
    <t>https://blog.naver.com/PostView.naver?blogId=cityofalk3&amp;logNo=223913702011&amp;redirect=Dlog&amp;widgetTypeCall=true&amp;directAccess=false</t>
  </si>
  <si>
    <t>안효섭 박보검 투샷을 볼 수 있다고? 칸타빌레 출연</t>
  </si>
  <si>
    <t>https://blog.naver.com/PostView.naver?blogId=js2y86&amp;logNo=223913695646&amp;redirect=Dlog&amp;widgetTypeCall=true&amp;directAccess=false</t>
  </si>
  <si>
    <t>진보당 국회의원 전종덕 프로필 나이 고향 학력 경력 "송미령 장관 유임 철회 요구"</t>
  </si>
  <si>
    <t>https://blog.naver.com/PostView.naver?blogId=happyair4&amp;logNo=223913627216&amp;redirect=Dlog&amp;widgetTypeCall=true&amp;directAccess=false</t>
  </si>
  <si>
    <t>프리오스</t>
  </si>
  <si>
    <t>주몽</t>
  </si>
  <si>
    <t>https://blog.naver.com/PostView.naver?blogId=nprios79&amp;logNo=223913618671&amp;redirect=Dlog&amp;widgetTypeCall=true&amp;directAccess=false</t>
  </si>
  <si>
    <t>장천 김성태 기획초대전 〈나랏말글씨 – The Seed Cores of Hangul〉 무우수갤러리   인사동에 위치한 무우수갤러리에서 오는 2025년 7월 1일(화)부터 7월 28</t>
  </si>
  <si>
    <t>https://blog.naver.com/PostView.naver?blogId=kimjajoong&amp;logNo=223913600083&amp;redirect=Dlog&amp;widgetTypeCall=true&amp;directAccess=false</t>
  </si>
  <si>
    <t>세계 거장들과 함께하는 그라시아스 특별콘서트 ‘스바보드나’</t>
  </si>
  <si>
    <t>https://blog.naver.com/PostView.naver?blogId=tukung2&amp;logNo=223913599052&amp;redirect=Dlog&amp;widgetTypeCall=true&amp;directAccess=false</t>
  </si>
  <si>
    <t>제4회 청룡시리즈어워즈 후보, 중증외상센터 vs 폭싹속았수다 이번엔 누가 대상?</t>
  </si>
  <si>
    <t>https://blog.naver.com/PostView.naver?blogId=treewg&amp;logNo=223913590385&amp;redirect=Dlog&amp;widgetTypeCall=true&amp;directAccess=false</t>
  </si>
  <si>
    <t>아나운서 김병찬, 사업하다 "400억 빌려" 결국 투자금 포기</t>
  </si>
  <si>
    <t>https://blog.naver.com/PostView.naver?blogId=goodlife_me&amp;logNo=223913575311&amp;redirect=Dlog&amp;widgetTypeCall=true&amp;directAccess=false</t>
  </si>
  <si>
    <t>드라마 여왕의 집 45회 강승우 출생의 비밀</t>
  </si>
  <si>
    <t>https://blog.naver.com/PostView.naver?blogId=curina1234&amp;logNo=223913566562&amp;redirect=Dlog&amp;widgetTypeCall=true&amp;directAccess=false</t>
  </si>
  <si>
    <t>청룡시리즈어워즈' 이/병/헌- 박보검 -주/지/훈 남우주연상 겨룬다! 최종 후보 공개</t>
  </si>
  <si>
    <t>https://blog.naver.com/PostView.naver?blogId=0o0o93&amp;logNo=223913544057&amp;redirect=Dlog&amp;widgetTypeCall=true&amp;directAccess=false</t>
  </si>
  <si>
    <t>시장 하락은 시작인가</t>
  </si>
  <si>
    <t>https://blog.naver.com/PostView.naver?blogId=jsfam1018&amp;logNo=223913539269&amp;redirect=Dlog&amp;widgetTypeCall=true&amp;directAccess=false</t>
  </si>
  <si>
    <t>드라마 순수 정보 출연진 줄거리 리뷰</t>
  </si>
  <si>
    <t>https://blog.naver.com/PostView.naver?blogId=lit_raon&amp;logNo=223902203400&amp;redirect=Dlog&amp;widgetTypeCall=true&amp;directAccess=false</t>
  </si>
  <si>
    <t>창원미용학원 6월의 마무리~❤️❤️❤️</t>
  </si>
  <si>
    <t>https://blog.naver.com/PostView.naver?blogId=cwkbsmt23_&amp;logNo=223913467976&amp;redirect=Dlog&amp;widgetTypeCall=true&amp;directAccess=false</t>
  </si>
  <si>
    <t>수협중앙회 소식</t>
  </si>
  <si>
    <t>수협중앙회, 임직원 대상 청렴지식인 선발대회 열어 🏅</t>
  </si>
  <si>
    <t>https://blog.naver.com/PostView.naver?blogId=suhyup_mf&amp;logNo=223912798819&amp;redirect=Dlog&amp;widgetTypeCall=true&amp;directAccess=false</t>
  </si>
  <si>
    <t>[라디오 당첨] 배달의 민족 모바일 상품권 등록 및 사용방법 (ft. 이각경의 해피타임 4시)</t>
  </si>
  <si>
    <t>https://blog.naver.com/PostView.naver?blogId=lululalalia&amp;logNo=223913395666&amp;redirect=Dlog&amp;widgetTypeCall=true&amp;directAccess=false</t>
  </si>
  <si>
    <t>안경 벗은 추사랑, 웨딩드레스 입은 모습에 ‘깜짝’…야노시호 뭉클한 눈물</t>
  </si>
  <si>
    <t>https://blog.naver.com/PostView.naver?blogId=dew2by_&amp;logNo=223913388558&amp;redirect=Dlog&amp;widgetTypeCall=true&amp;directAccess=false</t>
  </si>
  <si>
    <t>임영웅 1억뷰 눈앞! 사랑은 늘 도망가' 9700만뷰 축하드려요</t>
  </si>
  <si>
    <t>https://blog.naver.com/PostView.naver?blogId=vgbhjk6335&amp;logNo=223913378307&amp;redirect=Dlog&amp;widgetTypeCall=true&amp;directAccess=false</t>
  </si>
  <si>
    <t>쌍둥이</t>
  </si>
  <si>
    <t>https://blog.naver.com/PostView.naver?blogId=jdd6404&amp;logNo=223913370921&amp;redirect=Dlog&amp;widgetTypeCall=true&amp;directAccess=false</t>
  </si>
  <si>
    <t>남주의 첫날밤을 가져버렸다 6회 아찔한 뜨밤의 기억_드라마 추천</t>
  </si>
  <si>
    <t>https://blog.naver.com/PostView.naver?blogId=zephyros0&amp;logNo=223913355968&amp;redirect=Dlog&amp;widgetTypeCall=true&amp;directAccess=false</t>
  </si>
  <si>
    <t>SE</t>
  </si>
  <si>
    <t>어디서부터 써야할지 감도 안오네</t>
  </si>
  <si>
    <t>https://blog.naver.com/PostView.naver?blogId=am10_14serene&amp;logNo=223913333238&amp;redirect=Dlog&amp;widgetTypeCall=true&amp;directAccess=false</t>
  </si>
  <si>
    <t>시간의 산책자</t>
  </si>
  <si>
    <t>소재원 작가의 은인 찾기</t>
  </si>
  <si>
    <t>https://blog.naver.com/PostView.naver?blogId=kakdugi22&amp;logNo=223913324076&amp;redirect=Dlog&amp;widgetTypeCall=true&amp;directAccess=false</t>
  </si>
  <si>
    <t>https://blog.naver.com/PostView.naver?blogId=mschi0616&amp;logNo=223913311062&amp;redirect=Dlog&amp;widgetTypeCall=true&amp;directAccess=false</t>
  </si>
  <si>
    <t>고경민</t>
  </si>
  <si>
    <t>또래학습멘토링 4차시</t>
  </si>
  <si>
    <t>https://blog.naver.com/PostView.naver?blogId=gokokm1212&amp;logNo=223913299470&amp;redirect=Dlog&amp;widgetTypeCall=true&amp;directAccess=false</t>
  </si>
  <si>
    <t>초롱아롱</t>
  </si>
  <si>
    <t>2025년 85회 KBS한국어능력시험 3+급 후기</t>
  </si>
  <si>
    <t>https://blog.naver.com/PostView.naver?blogId=hodlt1232&amp;logNo=223912858392&amp;redirect=Dlog&amp;widgetTypeCall=true&amp;directAccess=false</t>
  </si>
  <si>
    <t>★ 오늘 밤에 만나요///장혜리</t>
  </si>
  <si>
    <t>https://blog.naver.com/PostView.naver?blogId=mbcswallow&amp;logNo=223912501772&amp;redirect=Dlog&amp;widgetTypeCall=true&amp;directAccess=false</t>
  </si>
  <si>
    <t>불후의 명곡 2025 경주 APEC 특집으로 마련된 전시안 무대</t>
  </si>
  <si>
    <t>https://blog.naver.com/PostView.naver?blogId=esedae&amp;logNo=223913270277&amp;redirect=Dlog&amp;widgetTypeCall=true&amp;directAccess=false</t>
  </si>
  <si>
    <t>이민정, ‘오징어 게임’ 배우들과 예능 맞짱!</t>
  </si>
  <si>
    <t>https://blog.naver.com/PostView.naver?blogId=kstarfashion&amp;logNo=223913261038&amp;redirect=Dlog&amp;widgetTypeCall=true&amp;directAccess=false</t>
  </si>
  <si>
    <t>장관직 사임과 파면의 차이점</t>
  </si>
  <si>
    <t>https://blog.naver.com/PostView.naver?blogId=aa6753&amp;logNo=223913260501&amp;redirect=Dlog&amp;widgetTypeCall=true&amp;directAccess=false</t>
  </si>
  <si>
    <t>드라마 넝쿨째 굴러온 당신 정보 출연진 줄거리 리뷰</t>
  </si>
  <si>
    <t>https://blog.naver.com/PostView.naver?blogId=lit_raon&amp;logNo=223893063961&amp;redirect=Dlog&amp;widgetTypeCall=true&amp;directAccess=false</t>
  </si>
  <si>
    <t>2025년 6월27일 마지막 금 요일 KBS19번 인간극장 내사랑 목비5부 보다</t>
  </si>
  <si>
    <t>https://blog.naver.com/PostView.naver?blogId=ch921017&amp;logNo=223913255108&amp;redirect=Dlog&amp;widgetTypeCall=true&amp;directAccess=false</t>
  </si>
  <si>
    <t>김준현, ‘감금 먹방’ 예고… 편스토랑이 개미지옥 됐다</t>
  </si>
  <si>
    <t>https://blog.naver.com/PostView.naver?blogId=kstarfashion&amp;logNo=223913251308&amp;redirect=Dlog&amp;widgetTypeCall=true&amp;directAccess=false</t>
  </si>
  <si>
    <t>“여자친구라고?”… 황민호, 트로트 요정 이수연 앞 ‘얼음’된 사연</t>
  </si>
  <si>
    <t>https://blog.naver.com/PostView.naver?blogId=kstarfashion&amp;logNo=223913245108&amp;redirect=Dlog&amp;widgetTypeCall=true&amp;directAccess=false</t>
  </si>
  <si>
    <t>[공식] '59세' 지석진, 결혼 27년 차에 기쁜 소식 전했다…지예은과 데뷔 후 첫 듀엣곡 발매</t>
  </si>
  <si>
    <t>https://blog.naver.com/PostView.naver?blogId=wookiecinebox&amp;logNo=223913222535&amp;redirect=Dlog&amp;widgetTypeCall=true&amp;directAccess=false</t>
  </si>
  <si>
    <t>농부의 아들</t>
  </si>
  <si>
    <t>2025년 06월 27일 금요일 아침 세상소식</t>
  </si>
  <si>
    <t>https://blog.naver.com/PostView.naver?blogId=qhgus3651&amp;logNo=223912709138&amp;redirect=Dlog&amp;widgetTypeCall=true&amp;directAccess=false</t>
  </si>
  <si>
    <t>인간극장 KBS 250623 ~ 7</t>
  </si>
  <si>
    <t>https://blog.naver.com/PostView.naver?blogId=cyclelkh1&amp;logNo=223913198941&amp;redirect=Dlog&amp;widgetTypeCall=true&amp;directAccess=false</t>
  </si>
  <si>
    <t>임영웅, 우리들의 블루스 뮤비 ‘4000만뷰’ 보인다</t>
  </si>
  <si>
    <t>https://blog.naver.com/PostView.naver?blogId=harmony310&amp;logNo=223913161220&amp;redirect=Dlog&amp;widgetTypeCall=true&amp;directAccess=false</t>
  </si>
  <si>
    <t>[기사] 불장 부동산, 불은 아직 잉걸불인가?</t>
  </si>
  <si>
    <t>https://blog.naver.com/PostView.naver?blogId=foryoutoyoy&amp;logNo=223913156250&amp;redirect=Dlog&amp;widgetTypeCall=true&amp;directAccess=false</t>
  </si>
  <si>
    <t>효</t>
  </si>
  <si>
    <t>너에게 주고픈 선물은 이 세상의 모든 아름다운 것들이야</t>
  </si>
  <si>
    <t>https://blog.naver.com/PostView.naver?blogId=dawninfeb&amp;logNo=223913124374&amp;redirect=Dlog&amp;widgetTypeCall=true&amp;directAccess=false</t>
  </si>
  <si>
    <t>이대로</t>
  </si>
  <si>
    <t>국립국악관현악단공연</t>
  </si>
  <si>
    <t>https://blog.naver.com/PostView.naver?blogId=greapl&amp;logNo=223913118539&amp;redirect=Dlog&amp;widgetTypeCall=true&amp;directAccess=false</t>
  </si>
  <si>
    <t>[공유] [이슈] '아들 학교 찾아가 동급생 폭행' 혐의 30대 아버지 입건/2025년 6월 26일(목)/KBS</t>
  </si>
  <si>
    <t>https://blog.naver.com/PostView.naver?blogId=yjhyjhy&amp;logNo=223913107958&amp;redirect=Dlog&amp;widgetTypeCall=true&amp;directAccess=false</t>
  </si>
  <si>
    <t>이순재님이 연극영화과 교수시절 무조건 C학점 준 유명 여배우</t>
  </si>
  <si>
    <t>https://blog.naver.com/PostView.naver?blogId=cleo1112&amp;logNo=223913030790&amp;redirect=Dlog&amp;widgetTypeCall=true&amp;directAccess=false</t>
  </si>
  <si>
    <t>우니우니</t>
  </si>
  <si>
    <t>창원 진해 문화센터 인어공주  공연 가족 라이브 뮤지컬</t>
  </si>
  <si>
    <t>https://blog.naver.com/PostView.naver?blogId=ollsosllo&amp;logNo=223913044857&amp;redirect=Dlog&amp;widgetTypeCall=true&amp;directAccess=false</t>
  </si>
  <si>
    <t>endropia</t>
  </si>
  <si>
    <t>관악산(자하능선)_2025여름</t>
  </si>
  <si>
    <t>https://blog.naver.com/PostView.naver?blogId=endropia&amp;logNo=223913043941&amp;redirect=Dlog&amp;widgetTypeCall=true&amp;directAccess=false</t>
  </si>
  <si>
    <t>collect_phrase</t>
  </si>
  <si>
    <t>배수아 인터뷰 “언어로 형용하기 힘든 소녀의 감정이 글 쓰는 나를 자극”</t>
  </si>
  <si>
    <t>https://blog.naver.com/PostView.naver?blogId=collect_phrase&amp;logNo=223913037249&amp;redirect=Dlog&amp;widgetTypeCall=true&amp;directAccess=false</t>
  </si>
  <si>
    <t>홍당무</t>
  </si>
  <si>
    <t>“현대 전기차 생산중단?” 언론 프레임이 만든 착시</t>
  </si>
  <si>
    <t>https://blog.naver.com/PostView.naver?blogId=semin_p&amp;logNo=223913028962&amp;redirect=Dlog&amp;widgetTypeCall=true&amp;directAccess=false</t>
  </si>
  <si>
    <t>블루37 2도 불꽃</t>
  </si>
  <si>
    <t>무기여 잘있거라</t>
  </si>
  <si>
    <t>https://blog.naver.com/PostView.naver?blogId=jjmk119&amp;logNo=223913028594&amp;redirect=Dlog&amp;widgetTypeCall=true&amp;directAccess=false</t>
  </si>
  <si>
    <t>개미베짱이</t>
  </si>
  <si>
    <t>KBS한국어능력시험 2-급: 일주일 공부</t>
  </si>
  <si>
    <t>https://blog.naver.com/PostView.naver?blogId=breezingwind&amp;logNo=223913027622&amp;redirect=Dlog&amp;widgetTypeCall=true&amp;directAccess=false</t>
  </si>
  <si>
    <t>이람</t>
  </si>
  <si>
    <t>그해, 우리는 사랑하고 아팠다. &lt;오월의 청춘&gt;</t>
  </si>
  <si>
    <t>https://blog.naver.com/PostView.naver?blogId=e_rammm&amp;logNo=223913013403&amp;redirect=Dlog&amp;widgetTypeCall=true&amp;directAccess=false</t>
  </si>
  <si>
    <t>2025 &lt;DPO 클로즈업 2&gt;</t>
  </si>
  <si>
    <t>https://blog.naver.com/PostView.naver?blogId=babuli6&amp;logNo=223913010594&amp;redirect=Dlog&amp;widgetTypeCall=true&amp;directAccess=false</t>
  </si>
  <si>
    <t>KBS 다큐 인사이트 ‘발레리노퍼펙트 데이즈’  전민철의 한국 마지막 무대</t>
  </si>
  <si>
    <t>https://blog.naver.com/PostView.naver?blogId=sonamuo0810&amp;logNo=223912987653&amp;redirect=Dlog&amp;widgetTypeCall=true&amp;directAccess=false</t>
  </si>
  <si>
    <t>헐! 나 안보는데? 2025년 KBS 수신료 인상 논란, 시청자 반발과 신뢰도 하락</t>
  </si>
  <si>
    <t>https://blog.naver.com/PostView.naver?blogId=sonar&amp;logNo=223912938115&amp;redirect=Dlog&amp;widgetTypeCall=true&amp;directAccess=false</t>
  </si>
  <si>
    <t>예콩</t>
  </si>
  <si>
    <t>[더시즌즈-박보검의 칸타빌레] 방청 당첨 후기</t>
  </si>
  <si>
    <t>https://blog.naver.com/PostView.naver?blogId=aabc3320&amp;logNo=223912911020&amp;redirect=Dlog&amp;widgetTypeCall=true&amp;directAccess=false</t>
  </si>
  <si>
    <t>프리랜서 기자 비니</t>
  </si>
  <si>
    <t>KBS 국민패널, 건당 500원 실화? 마감은 왜이리 빨라?</t>
  </si>
  <si>
    <t>https://blog.naver.com/PostView.naver?blogId=zzoa0618&amp;logNo=223912905726&amp;redirect=Dlog&amp;widgetTypeCall=true&amp;directAccess=false</t>
  </si>
  <si>
    <t>남북아</t>
  </si>
  <si>
    <t>(천안함 사건) 국방부와 군(軍)의 사고장소 조작을 입증하는 방법</t>
  </si>
  <si>
    <t>https://blog.naver.com/PostView.naver?blogId=7108jy&amp;logNo=223912835582&amp;redirect=Dlog&amp;widgetTypeCall=true&amp;directAccess=false</t>
  </si>
  <si>
    <t>이가민</t>
  </si>
  <si>
    <t>경주, 아시아태평양경제협력체(APEC) 정상회의 통해 세계의 중심서 새 역사 쓰다</t>
  </si>
  <si>
    <t>https://blog.naver.com/PostView.naver?blogId=gamin0212&amp;logNo=223912827738&amp;redirect=Dlog&amp;widgetTypeCall=true&amp;directAccess=false</t>
  </si>
  <si>
    <t>푸른남</t>
  </si>
  <si>
    <t>최악의 사극 매니아한테 추천해 주고 싶은 작품</t>
  </si>
  <si>
    <t>https://blog.naver.com/PostView.naver?blogId=skyman9032&amp;logNo=223912821420&amp;redirect=Dlog&amp;widgetTypeCall=true&amp;directAccess=false</t>
  </si>
  <si>
    <t>봉화 숯불구이, 한국인의 밥상에 불꽃을 피운 그 맛…! 대체 비법이 뭐길래 (+맛집, 숯불, 한식)</t>
  </si>
  <si>
    <t>https://blog.naver.com/PostView.naver?blogId=min5591ha&amp;logNo=223912811254&amp;redirect=Dlog&amp;widgetTypeCall=true&amp;directAccess=false</t>
  </si>
  <si>
    <t>소확행</t>
  </si>
  <si>
    <t>https://blog.naver.com/PostView.naver?blogId=pjhs8630871&amp;logNo=223912806542&amp;redirect=Dlog&amp;widgetTypeCall=true&amp;directAccess=false</t>
  </si>
  <si>
    <t>DADA</t>
  </si>
  <si>
    <t>내돈내산, 김해 율하 맛도 가성비도 다 잡은, 우동 맛집. 명성제면</t>
  </si>
  <si>
    <t>https://blog.naver.com/PostView.naver?blogId=heobi-heobi&amp;logNo=223912800330&amp;redirect=Dlog&amp;widgetTypeCall=true&amp;directAccess=false</t>
  </si>
  <si>
    <t>둡둡</t>
  </si>
  <si>
    <t>[정치]유시민 “2030 여성 유권자들 존경한다” / KBS 2022.03.10</t>
  </si>
  <si>
    <t>https://blog.naver.com/PostView.naver?blogId=tofumori3&amp;logNo=223912787618&amp;redirect=Dlog&amp;widgetTypeCall=true&amp;directAccess=false</t>
  </si>
  <si>
    <t>원자력안전위원회, 고리 1호기 해체 승인</t>
  </si>
  <si>
    <t>https://blog.naver.com/PostView.naver?blogId=ksahn1960&amp;logNo=223912775940&amp;redirect=Dlog&amp;widgetTypeCall=true&amp;directAccess=false</t>
  </si>
  <si>
    <t>하늘꿈서적</t>
  </si>
  <si>
    <t>구약의 세계로 오십쇼,신약의 세계로 오십쇼(조혜련).두란노</t>
  </si>
  <si>
    <t>https://blog.naver.com/PostView.naver?blogId=jesus2127&amp;logNo=223912751657&amp;redirect=Dlog&amp;widgetTypeCall=true&amp;directAccess=false</t>
  </si>
  <si>
    <t>62marco</t>
  </si>
  <si>
    <t>초보 기자가 기억하는 88올림픽 축구의 추억</t>
  </si>
  <si>
    <t>https://blog.naver.com/PostView.naver?blogId=62marco&amp;logNo=223912733907&amp;redirect=Dlog&amp;widgetTypeCall=true&amp;directAccess=false</t>
  </si>
  <si>
    <t>숲속아침</t>
  </si>
  <si>
    <t>궁남지 연꽃, 청순함</t>
  </si>
  <si>
    <t>https://blog.naver.com/PostView.naver?blogId=kasasagi3&amp;logNo=223912686935&amp;redirect=Dlog&amp;widgetTypeCall=true&amp;directAccess=false</t>
  </si>
  <si>
    <t>치기</t>
  </si>
  <si>
    <t>한 학기의 끝(1)</t>
  </si>
  <si>
    <t>https://blog.naver.com/PostView.naver?blogId=didgmltmd35&amp;logNo=223912671455&amp;redirect=Dlog&amp;widgetTypeCall=true&amp;directAccess=false</t>
  </si>
  <si>
    <t>디어엠을 수목드라마로 본다고? 언제 어디서?</t>
  </si>
  <si>
    <t>https://blog.naver.com/PostView.naver?blogId=js2y86&amp;logNo=223912667263&amp;redirect=Dlog&amp;widgetTypeCall=true&amp;directAccess=false</t>
  </si>
  <si>
    <t>(뉴스인)이성수 소설가, 판소리 소설 '동리정사' 출간</t>
  </si>
  <si>
    <t>https://blog.naver.com/PostView.naver?blogId=kty7156&amp;logNo=223912636135&amp;redirect=Dlog&amp;widgetTypeCall=true&amp;directAccess=false</t>
  </si>
  <si>
    <t>haze</t>
  </si>
  <si>
    <t>[부여 7월 행사] 2025 서동연꽃축제 일정·체험·이벤트 총정리</t>
  </si>
  <si>
    <t>https://blog.naver.com/PostView.naver?blogId=babymingz&amp;logNo=223912633692&amp;redirect=Dlog&amp;widgetTypeCall=true&amp;directAccess=false</t>
  </si>
  <si>
    <t>박상진</t>
  </si>
  <si>
    <t>전국네트워크는 먹사니즘 강원권역(상임대표박상진 전 지역위원장)의 초청으로 설악권 일원에서 &lt;설악광역권과 함께하는 먹사니즘,  더 나은 세상을 위한 아름다운 동행&gt; 행사를 가졌다.</t>
  </si>
  <si>
    <t>https://blog.naver.com/PostView.naver?blogId=chenjin44&amp;logNo=223912629971&amp;redirect=Dlog&amp;widgetTypeCall=true&amp;directAccess=false</t>
  </si>
  <si>
    <t>Byeol</t>
  </si>
  <si>
    <t>[추천] 뮤지컬 가요톱텐</t>
  </si>
  <si>
    <t>https://blog.naver.com/PostView.naver?blogId=todrhk12&amp;logNo=223912568828&amp;redirect=Dlog&amp;widgetTypeCall=true&amp;directAccess=false</t>
  </si>
  <si>
    <t>2025 SF9 LIVE FANTASY #5 LOVE DAWN (SF9 콘서트/KBS 아레나) 후기</t>
  </si>
  <si>
    <t>https://blog.naver.com/PostView.naver?blogId=ume_e&amp;logNo=223912549648&amp;redirect=Dlog&amp;widgetTypeCall=true&amp;directAccess=false</t>
  </si>
  <si>
    <t>2025 부여서동연꽃축제, 대체 누가 나오길래… 역대급 라인업 가수 기본정보 (+서동요, 연꽃, 축제)</t>
  </si>
  <si>
    <t>https://blog.naver.com/PostView.naver?blogId=min5591ha&amp;logNo=223912514195&amp;redirect=Dlog&amp;widgetTypeCall=true&amp;directAccess=false</t>
  </si>
  <si>
    <t>🩵간추린 사건사고 🍰250626목14오후 뉴스모음</t>
  </si>
  <si>
    <t>https://blog.naver.com/PostView.naver?blogId=gusteam&amp;logNo=223912464454&amp;redirect=Dlog&amp;widgetTypeCall=true&amp;directAccess=false</t>
  </si>
  <si>
    <t>임영웅 '우리들의 블루스' 유튜브 MV 뮤비 3700만뷰 돌파</t>
  </si>
  <si>
    <t>https://blog.naver.com/PostView.naver?blogId=glsaem_hero&amp;logNo=223912461983&amp;redirect=Dlog&amp;widgetTypeCall=true&amp;directAccess=false</t>
  </si>
  <si>
    <t>6월 25일</t>
  </si>
  <si>
    <t>https://blog.naver.com/PostView.naver?blogId=hkz2323&amp;logNo=223912439455&amp;redirect=Dlog&amp;widgetTypeCall=true&amp;directAccess=false</t>
  </si>
  <si>
    <t>KBS 역사저널 그날 제작팀 &lt;역사저널 그날 고려 편 4: 충렬왕에서 최영까지&gt;</t>
  </si>
  <si>
    <t>https://blog.naver.com/PostView.naver?blogId=syunni1225&amp;logNo=223912415471&amp;redirect=Dlog&amp;widgetTypeCall=true&amp;directAccess=false</t>
  </si>
  <si>
    <t>으네</t>
  </si>
  <si>
    <t>더시즌즈 박보검의 칸타빌레 방청후기(자유석, 240번대)</t>
  </si>
  <si>
    <t>https://blog.naver.com/PostView.naver?blogId=dmsp8912&amp;logNo=223912406433&amp;redirect=Dlog&amp;widgetTypeCall=true&amp;directAccess=false</t>
  </si>
  <si>
    <t>본불망ㅡBonbulmang</t>
  </si>
  <si>
    <t>[박미선, 이봉원, 임미숙, 김학래=趙李金게리]=북쪽에서 네려온 사람들(아! 씨발.)</t>
  </si>
  <si>
    <t>https://blog.naver.com/PostView.naver?blogId=blackbald_eun&amp;logNo=223912395525&amp;redirect=Dlog&amp;widgetTypeCall=true&amp;directAccess=false</t>
  </si>
  <si>
    <t>틈틈희</t>
  </si>
  <si>
    <t>부산콘서트홀 개관 페스티벌 조성진 협연 후기, 황제 그리고 오르간 / AL 3열 N번 좌석 시야</t>
  </si>
  <si>
    <t>https://blog.naver.com/PostView.naver?blogId=teumteumhee&amp;logNo=223912351103&amp;redirect=Dlog&amp;widgetTypeCall=true&amp;directAccess=false</t>
  </si>
  <si>
    <t>muji</t>
  </si>
  <si>
    <t>KBS 무대 [죽거나 죽이거나]</t>
  </si>
  <si>
    <t>https://blog.naver.com/PostView.naver?blogId=mujiyo&amp;logNo=223912319694&amp;redirect=Dlog&amp;widgetTypeCall=true&amp;directAccess=false</t>
  </si>
  <si>
    <t>직무유기ᆢ카는거잇다.    폭탄하는애가ㆍ저거앞에왓는대ㆍ일을 안해서ᆢ계속ㆍ경미ㆍ카는심장내과저능애나ㆍ통해서ㆍ토는ㆍ기다리면서ᆢ오래</t>
  </si>
  <si>
    <t>https://blog.naver.com/PostView.naver?blogId=firejar&amp;logNo=223912276633&amp;redirect=Dlog&amp;widgetTypeCall=true&amp;directAccess=false</t>
  </si>
  <si>
    <t>인생우상향 경제 스터디 - 3주차(5)</t>
  </si>
  <si>
    <t>https://blog.naver.com/PostView.naver?blogId=jooya1120&amp;logNo=223912221222&amp;redirect=Dlog&amp;widgetTypeCall=true&amp;directAccess=false</t>
  </si>
  <si>
    <t>김진하 양양군수 성추행 뇌물수수 혐의 여성 민원인 앞에서 바지 훌렁벗어 부적절행위 1심 선고</t>
  </si>
  <si>
    <t>https://blog.naver.com/PostView.naver?blogId=psepeter&amp;logNo=223912197760&amp;redirect=Dlog&amp;widgetTypeCall=true&amp;directAccess=false</t>
  </si>
  <si>
    <t>데이터 랩</t>
  </si>
  <si>
    <t>김동률 '취중진담' 감미로운 목소리의 고백</t>
  </si>
  <si>
    <t>https://blog.naver.com/PostView.naver?blogId=man12821&amp;logNo=223912177995&amp;redirect=Dlog&amp;widgetTypeCall=true&amp;directAccess=false</t>
  </si>
  <si>
    <t>빛이 이끄는 곳으로/백희성/북로망스</t>
  </si>
  <si>
    <t>https://blog.naver.com/PostView.naver?blogId=loveiistory&amp;logNo=223912159440&amp;redirect=Dlog&amp;widgetTypeCall=true&amp;directAccess=false</t>
  </si>
  <si>
    <t>우주의순환</t>
  </si>
  <si>
    <t>꼭꼭씹기의 23가지 잇점</t>
  </si>
  <si>
    <t>https://blog.naver.com/PostView.naver?blogId=hyesungk2008&amp;logNo=223912103880&amp;redirect=Dlog&amp;widgetTypeCall=true&amp;directAccess=false</t>
  </si>
  <si>
    <t>충북뉴스</t>
  </si>
  <si>
    <t>7월 1일 청주 시민의 날 행사…문화 공연 풍성</t>
  </si>
  <si>
    <t>https://blog.naver.com/PostView.naver?blogId=cbnew114&amp;logNo=223912097035&amp;redirect=Dlog&amp;widgetTypeCall=true&amp;directAccess=false</t>
  </si>
  <si>
    <t>‘불후의 어벤져스’ 손이지유, 여성 보컬 그룹 전성기 재현 도전</t>
  </si>
  <si>
    <t>https://blog.naver.com/PostView.naver?blogId=kstarfashion&amp;logNo=223912085204&amp;redirect=Dlog&amp;widgetTypeCall=true&amp;directAccess=false</t>
  </si>
  <si>
    <t>광주시립교향악단, 여름밤 물들이는 정기연주회 ‘Brilliant Colours’</t>
  </si>
  <si>
    <t>https://blog.naver.com/PostView.naver?blogId=sturums&amp;logNo=223902840838&amp;redirect=Dlog&amp;widgetTypeCall=true&amp;directAccess=false</t>
  </si>
  <si>
    <t>단양 8경 옥순봉 구담봉 만끽 청풍호 유람선 충주호 유람선 장회나루 코스</t>
  </si>
  <si>
    <t>https://blog.naver.com/PostView.naver?blogId=sunnyssam73&amp;logNo=223911971118&amp;redirect=Dlog&amp;widgetTypeCall=true&amp;directAccess=false</t>
  </si>
  <si>
    <t>KBS시청자위원회 전국대회</t>
  </si>
  <si>
    <t>https://blog.naver.com/PostView.naver?blogId=nkts5903&amp;logNo=223912023103&amp;redirect=Dlog&amp;widgetTypeCall=true&amp;directAccess=false</t>
  </si>
  <si>
    <t>2025년 6월 26일 마지막 목요일 KBS19번 인간극장내사랑 목비 4부 보다</t>
  </si>
  <si>
    <t>https://blog.naver.com/PostView.naver?blogId=ch921017&amp;logNo=223912019206&amp;redirect=Dlog&amp;widgetTypeCall=true&amp;directAccess=false</t>
  </si>
  <si>
    <t>6. 26(목) 경찰관련기사</t>
  </si>
  <si>
    <t>https://blog.naver.com/PostView.naver?blogId=tobiaspia&amp;logNo=223912016044&amp;redirect=Dlog&amp;widgetTypeCall=true&amp;directAccess=false</t>
  </si>
  <si>
    <t>예지몽</t>
  </si>
  <si>
    <t>⏰ 1분 뉴스_250626</t>
  </si>
  <si>
    <t>https://blog.naver.com/PostView.naver?blogId=yj_mong_&amp;logNo=223912015221&amp;redirect=Dlog&amp;widgetTypeCall=true&amp;directAccess=false</t>
  </si>
  <si>
    <t>고양시 발칵 뒤집힌 7000원 한우뚝배기불고기… 도대체 무슨 비밀이?! (+가성비, 한우맛집, 가격파괴)</t>
  </si>
  <si>
    <t>https://blog.naver.com/PostView.naver?blogId=qoswlfdl-&amp;logNo=223911970679&amp;redirect=Dlog&amp;widgetTypeCall=true&amp;directAccess=false</t>
  </si>
  <si>
    <t>불타는 장미의 계절, 6월!</t>
  </si>
  <si>
    <t>https://blog.naver.com/PostView.naver?blogId=lisalisalee&amp;logNo=223911970164&amp;redirect=Dlog&amp;widgetTypeCall=true&amp;directAccess=false</t>
  </si>
  <si>
    <t>레샤</t>
  </si>
  <si>
    <t>제85회 KBS 한국어능력시험 3+급 한 달 독학 합격 후기/난이도</t>
  </si>
  <si>
    <t>https://blog.naver.com/PostView.naver?blogId=ocean_39&amp;logNo=223911911782&amp;redirect=Dlog&amp;widgetTypeCall=true&amp;directAccess=false</t>
  </si>
  <si>
    <t>현쥐</t>
  </si>
  <si>
    <t>여름이랑께</t>
  </si>
  <si>
    <t>https://blog.naver.com/PostView.naver?blogId=maruji_&amp;logNo=223911902806&amp;redirect=Dlog&amp;widgetTypeCall=true&amp;directAccess=false</t>
  </si>
  <si>
    <t>간지폭발 지연님</t>
  </si>
  <si>
    <t>크래프톤이 750억엔에 ADK를 매수 omg(oh my god)</t>
  </si>
  <si>
    <t>https://blog.naver.com/PostView.naver?blogId=chaosmyth_&amp;logNo=223911865044&amp;redirect=Dlog&amp;widgetTypeCall=true&amp;directAccess=false</t>
  </si>
  <si>
    <t>아이들 소연, 큐워 히트곡 'My Name Is Malguem' 리메이크 음원 6월 27일 발매</t>
  </si>
  <si>
    <t>https://blog.naver.com/PostView.naver?blogId=tmrlahxhdbal&amp;logNo=223911857972&amp;redirect=Dlog&amp;widgetTypeCall=true&amp;directAccess=false</t>
  </si>
  <si>
    <t>우니</t>
  </si>
  <si>
    <t>우리 콘서트 또 하자!</t>
  </si>
  <si>
    <t>https://blog.naver.com/PostView.naver?blogId=abluenight_07&amp;logNo=223911819663&amp;redirect=Dlog&amp;widgetTypeCall=true&amp;directAccess=false</t>
  </si>
  <si>
    <t>빽가 충격 고백 비행기 안에서 도대체 무슨 일이 승무원이 갑자기 …(상상초월) 키스 요구 왜 (+라디오쇼, 실화, 논란)</t>
  </si>
  <si>
    <t>https://blog.naver.com/PostView.naver?blogId=jeju0520-&amp;logNo=223911816054&amp;redirect=Dlog&amp;widgetTypeCall=true&amp;directAccess=false</t>
  </si>
  <si>
    <t>sosigtong</t>
  </si>
  <si>
    <t>2025 제5회 글로벌컬쳐명인대상시상식 성대히 열리다</t>
  </si>
  <si>
    <t>https://blog.naver.com/PostView.naver?blogId=sosigtongtv&amp;logNo=223917260962&amp;redirect=Dlog&amp;widgetTypeCall=true&amp;directAccess=false</t>
  </si>
  <si>
    <t>그여자</t>
  </si>
  <si>
    <t>동선을 바꾸면 인생이 바뀐다</t>
  </si>
  <si>
    <t>https://blog.naver.com/PostView.naver?blogId=airplane1000&amp;logNo=223917252328&amp;redirect=Dlog&amp;widgetTypeCall=true&amp;directAccess=false</t>
  </si>
  <si>
    <t>단독] 윤석열 정부, ‘대통령실 공사비 미지급’ 피소 [9시 뉴스] / KBS 2025.06.30.</t>
  </si>
  <si>
    <t>https://blog.naver.com/PostView.naver?blogId=redrose117&amp;logNo=223917228668&amp;redirect=Dlog&amp;widgetTypeCall=true&amp;directAccess=false</t>
  </si>
  <si>
    <t>서연</t>
  </si>
  <si>
    <t>2025.05.01~31</t>
  </si>
  <si>
    <t>https://blog.naver.com/PostView.naver?blogId=onion_zzang&amp;logNo=223917209684&amp;redirect=Dlog&amp;widgetTypeCall=true&amp;directAccess=false</t>
  </si>
  <si>
    <t>까만콩 이본 라디오 DJ로 돌아왔다. 이 언니 라디오 진행을 다시 듣게되다니..</t>
  </si>
  <si>
    <t>https://blog.naver.com/PostView.naver?blogId=todayyoungs&amp;logNo=223917199693&amp;redirect=Dlog&amp;widgetTypeCall=true&amp;directAccess=false</t>
  </si>
  <si>
    <t>[디지몬 심포니: 선택받은 아이들 ENCORE] 티켓오픈 안내 &amp; 2025년 7월 26일 개최</t>
  </si>
  <si>
    <t>https://blog.naver.com/PostView.naver?blogId=shos0730&amp;logNo=223917183108&amp;redirect=Dlog&amp;widgetTypeCall=true&amp;directAccess=false</t>
  </si>
  <si>
    <t>다인</t>
  </si>
  <si>
    <t>2025(6)</t>
  </si>
  <si>
    <t>https://blog.naver.com/PostView.naver?blogId=ekilitahw&amp;logNo=223917166366&amp;redirect=Dlog&amp;widgetTypeCall=true&amp;directAccess=false</t>
  </si>
  <si>
    <t>내일이 오면 오늘보다 나아지겟지~ 🎶</t>
  </si>
  <si>
    <t>https://blog.naver.com/PostView.naver?blogId=jy050930&amp;logNo=223917140998&amp;redirect=Dlog&amp;widgetTypeCall=true&amp;directAccess=false</t>
  </si>
  <si>
    <t>사바나 암사자</t>
  </si>
  <si>
    <t>[사회] 북한 핵폐수 방류, 마약 밀반입</t>
  </si>
  <si>
    <t>https://blog.naver.com/PostView.naver?blogId=dana_han37&amp;logNo=223916327176&amp;redirect=Dlog&amp;widgetTypeCall=true&amp;directAccess=false</t>
  </si>
  <si>
    <t>(음 25-73) 서울시향 - 에드워드 가드너&amp; 제임스 에네스 (feat. 롯데콘서트홀 주차장 하이패스)</t>
  </si>
  <si>
    <t>https://blog.naver.com/PostView.naver?blogId=rchyna&amp;logNo=223917136779&amp;redirect=Dlog&amp;widgetTypeCall=true&amp;directAccess=false</t>
  </si>
  <si>
    <t>querencia</t>
  </si>
  <si>
    <t>Trump no prorrogará el plazo de las negociaciones sobre arancelesWrite: 2025-06-30 13:12:52/Update:</t>
  </si>
  <si>
    <t>https://blog.naver.com/PostView.naver?blogId=lamina2&amp;logNo=223917118243&amp;redirect=Dlog&amp;widgetTypeCall=true&amp;directAccess=false</t>
  </si>
  <si>
    <t>https://blog.naver.com/PostView.naver?blogId=myfvo0o&amp;logNo=223917084954&amp;redirect=Dlog&amp;widgetTypeCall=true&amp;directAccess=false</t>
  </si>
  <si>
    <t>하나굿뉴스</t>
  </si>
  <si>
    <t>“십자가 앞에, 교회가 복음 앞에 다시 서게 하소서!”</t>
  </si>
  <si>
    <t>https://blog.naver.com/PostView.naver?blogId=gbhana&amp;logNo=223917074803&amp;redirect=Dlog&amp;widgetTypeCall=true&amp;directAccess=false</t>
  </si>
  <si>
    <t>은수 좋은 날' 두 번째 스틸 사진 + 기사 발췌</t>
  </si>
  <si>
    <t>https://blog.naver.com/PostView.naver?blogId=cuterobbie&amp;logNo=223917072796&amp;redirect=Dlog&amp;widgetTypeCall=true&amp;directAccess=false</t>
  </si>
  <si>
    <t>미래의 한국 클래식 주역을 기르는 금호문화재단 영뮤지션 지원사업</t>
  </si>
  <si>
    <t>https://blog.naver.com/PostView.naver?blogId=withinnews&amp;logNo=223917058338&amp;redirect=Dlog&amp;widgetTypeCall=true&amp;directAccess=false</t>
  </si>
  <si>
    <t>루샐파</t>
  </si>
  <si>
    <t>2025.06 :: k bye</t>
  </si>
  <si>
    <t>https://blog.naver.com/PostView.naver?blogId=lusalpa&amp;logNo=223917043931&amp;redirect=Dlog&amp;widgetTypeCall=true&amp;directAccess=false</t>
  </si>
  <si>
    <t>SUNMI</t>
  </si>
  <si>
    <t>5년 만에 신혼여행 / 장강명</t>
  </si>
  <si>
    <t>https://blog.naver.com/PostView.naver?blogId=crazynnet&amp;logNo=223917032972&amp;redirect=Dlog&amp;widgetTypeCall=true&amp;directAccess=false</t>
  </si>
  <si>
    <t>chaelin</t>
  </si>
  <si>
    <t>치열한 이 세상에 살아남는 법 ~~ㅋㅋ</t>
  </si>
  <si>
    <t>https://blog.naver.com/PostView.naver?blogId=cathy0220&amp;logNo=223917020335&amp;redirect=Dlog&amp;widgetTypeCall=true&amp;directAccess=false</t>
  </si>
  <si>
    <t>250630 저녁메뉴: 던킨도넛 약간(?) 과 다이소 티젠콤부차(+덕질)</t>
  </si>
  <si>
    <t>https://blog.naver.com/PostView.naver?blogId=ujungoldtree&amp;logNo=223916996081&amp;redirect=Dlog&amp;widgetTypeCall=true&amp;directAccess=false</t>
  </si>
  <si>
    <t>[공유] 새리 맥킨토시.. 한국을 유난히 사랑한 미국인들</t>
  </si>
  <si>
    <t>https://blog.naver.com/PostView.naver?blogId=polestar_1&amp;logNo=223916973423&amp;redirect=Dlog&amp;widgetTypeCall=true&amp;directAccess=false</t>
  </si>
  <si>
    <t>2025 ‘국악의 날’ 지정 기념 국립국악관현악단·KBS국악관현악단 합동 포럼 개최</t>
  </si>
  <si>
    <t>https://blog.naver.com/PostView.naver?blogId=withinnews&amp;logNo=223916945072&amp;redirect=Dlog&amp;widgetTypeCall=true&amp;directAccess=false</t>
  </si>
  <si>
    <t>다함께</t>
  </si>
  <si>
    <t>나와서는 안 될 유물이 나왔다.. 아직도 풀리지 않은 천마도의 비밀 | KBS 20101113 방송</t>
  </si>
  <si>
    <t>https://blog.naver.com/PostView.naver?blogId=goldtram&amp;logNo=223916914566&amp;redirect=Dlog&amp;widgetTypeCall=true&amp;directAccess=false</t>
  </si>
  <si>
    <t>히수</t>
  </si>
  <si>
    <t>25 June</t>
  </si>
  <si>
    <t>https://blog.naver.com/PostView.naver?blogId=us_eeeh_&amp;logNo=223916911154&amp;redirect=Dlog&amp;widgetTypeCall=true&amp;directAccess=false</t>
  </si>
  <si>
    <t>두자리</t>
  </si>
  <si>
    <t>[뮤지컬] 드림하이 - 서울 앙코르</t>
  </si>
  <si>
    <t>https://blog.naver.com/PostView.naver?blogId=woflawh&amp;logNo=223916877124&amp;redirect=Dlog&amp;widgetTypeCall=true&amp;directAccess=false</t>
  </si>
  <si>
    <t>안영모</t>
  </si>
  <si>
    <t>전원생활7월-전원의 꿈 일구는 생활정보지</t>
  </si>
  <si>
    <t>https://blog.naver.com/PostView.naver?blogId=ddangozip&amp;logNo=223916224744&amp;redirect=Dlog&amp;widgetTypeCall=true&amp;directAccess=false</t>
  </si>
  <si>
    <t>류종원</t>
  </si>
  <si>
    <t>천안예술의전당 페스티벌 오케스트라 공연 감상후기 (25.06.28)</t>
  </si>
  <si>
    <t>https://blog.naver.com/PostView.naver?blogId=bookworms21&amp;logNo=223916857112&amp;redirect=Dlog&amp;widgetTypeCall=true&amp;directAccess=false</t>
  </si>
  <si>
    <t>지리</t>
  </si>
  <si>
    <t>제85회 KBS한국어능력시험 후기 (+omr 마킹용 샤프 : 다이소 납작샤프 vs 모닝글로리 스케치샤프)</t>
  </si>
  <si>
    <t>https://blog.naver.com/PostView.naver?blogId=ingneunziri&amp;logNo=223916775826&amp;redirect=Dlog&amp;widgetTypeCall=true&amp;directAccess=false</t>
  </si>
  <si>
    <t>당신 곁의 아리아-인간의 가장 뜨거운 내면 노래한 열여섯 개 아리아</t>
  </si>
  <si>
    <t>https://blog.naver.com/PostView.naver?blogId=joskee&amp;logNo=223916776629&amp;redirect=Dlog&amp;widgetTypeCall=true&amp;directAccess=false</t>
  </si>
  <si>
    <t>키스미</t>
  </si>
  <si>
    <t>[한눈에 이슈] 꽁꽁 숨어 '자비는 없다. 전투 시작'…트럼프 '휴전 없다. 무조건 항복뿐' / KBS 2025.06.18.</t>
  </si>
  <si>
    <t>https://blog.naver.com/PostView.naver?blogId=ksksmeme&amp;logNo=223904411674&amp;redirect=Dlog&amp;widgetTypeCall=true&amp;directAccess=false</t>
  </si>
  <si>
    <t>KIMI</t>
  </si>
  <si>
    <t>6월 첫번째 KIMI_table( 요즘근황, -1kg, 먹는 일기)</t>
  </si>
  <si>
    <t>https://blog.naver.com/PostView.naver?blogId=kimjooy92&amp;logNo=223916762381&amp;redirect=Dlog&amp;widgetTypeCall=true&amp;directAccess=false</t>
  </si>
  <si>
    <t>#오피셜 #방영예정 _ #트웰브 _ 디즈니+, U+모바일, KBS</t>
  </si>
  <si>
    <t>https://blog.naver.com/PostView.naver?blogId=today_midnight&amp;logNo=223916747757&amp;redirect=Dlog&amp;widgetTypeCall=true&amp;directAccess=false</t>
  </si>
  <si>
    <t>장성군 동화면 ‘제2회 동화나라 버베나축제’ 성황리에 마무리</t>
  </si>
  <si>
    <t>https://blog.naver.com/PostView.naver?blogId=kbsn_kr&amp;logNo=223916723814&amp;redirect=Dlog&amp;widgetTypeCall=true&amp;directAccess=false</t>
  </si>
  <si>
    <t>내외뉴스 내외방송</t>
  </si>
  <si>
    <t>진화하는 콘텐츠, K-컬쳐의 새로운 가능성 만드는 시도</t>
  </si>
  <si>
    <t>https://blog.naver.com/PostView.naver?blogId=nwtnews&amp;logNo=223916705267&amp;redirect=Dlog&amp;widgetTypeCall=true&amp;directAccess=false</t>
  </si>
  <si>
    <t>AI와 문화콘텐츠의 융합, 새로운 콘텐츠 모색... '문화대전환'의 화두가 되다</t>
  </si>
  <si>
    <t>https://blog.naver.com/PostView.naver?blogId=nwtnews&amp;logNo=223916680929&amp;redirect=Dlog&amp;widgetTypeCall=true&amp;directAccess=false</t>
  </si>
  <si>
    <t>Sunshine</t>
  </si>
  <si>
    <t>주체사상이 위대한 이유에 관하여</t>
  </si>
  <si>
    <t>https://blog.naver.com/PostView.naver?blogId=wannaflyaway15&amp;logNo=223916664215&amp;redirect=Dlog&amp;widgetTypeCall=true&amp;directAccess=false</t>
  </si>
  <si>
    <t>유민</t>
  </si>
  <si>
    <t>6월 반틈 정리! 😵</t>
  </si>
  <si>
    <t>https://blog.naver.com/PostView.naver?blogId=yumingg___&amp;logNo=223916621195&amp;redirect=Dlog&amp;widgetTypeCall=true&amp;directAccess=false</t>
  </si>
  <si>
    <t>dandi</t>
  </si>
  <si>
    <t>은수 좋은 날, 트웰브 KBS토일 미니시리즈!!</t>
  </si>
  <si>
    <t>https://blog.naver.com/PostView.naver?blogId=dandi0714_&amp;logNo=223916619265&amp;redirect=Dlog&amp;widgetTypeCall=true&amp;directAccess=false</t>
  </si>
  <si>
    <t>주주</t>
  </si>
  <si>
    <t>5월은 먹금하고 6월 블로그나 들어와</t>
  </si>
  <si>
    <t>https://blog.naver.com/PostView.naver?blogId=hxaxxx&amp;logNo=223916574032&amp;redirect=Dlog&amp;widgetTypeCall=true&amp;directAccess=false</t>
  </si>
  <si>
    <t>국민은 이재명 정권에게 강력한 언론개혁 원한다</t>
  </si>
  <si>
    <t>https://blog.naver.com/PostView.naver?blogId=jang0355&amp;logNo=223916574080&amp;redirect=Dlog&amp;widgetTypeCall=true&amp;directAccess=false</t>
  </si>
  <si>
    <t>인생은 여행</t>
  </si>
  <si>
    <t>웃음도 펀치도 한방! 개그맨 윤형빈, 먹방 유튜버 밴쯔와의 격투기에서 TKO 승!</t>
  </si>
  <si>
    <t>https://blog.naver.com/PostView.naver?blogId=bliss-79&amp;logNo=223916551383&amp;redirect=Dlog&amp;widgetTypeCall=true&amp;directAccess=false</t>
  </si>
  <si>
    <t>[전남 담양] 할머니시장국수 | 담양 현지인 맛집/담양국수거리🎋</t>
  </si>
  <si>
    <t>https://blog.naver.com/PostView.naver?blogId=j_ieuny&amp;logNo=223916546174&amp;redirect=Dlog&amp;widgetTypeCall=true&amp;directAccess=false</t>
  </si>
  <si>
    <t>드라마 여왕의 집 46회 디자인 유출 범인을 찾은 강재인</t>
  </si>
  <si>
    <t>https://blog.naver.com/PostView.naver?blogId=curina1234&amp;logNo=223916521959&amp;redirect=Dlog&amp;widgetTypeCall=true&amp;directAccess=false</t>
  </si>
  <si>
    <t>미시오</t>
  </si>
  <si>
    <t>고수의부엌</t>
  </si>
  <si>
    <t>https://blog.naver.com/PostView.naver?blogId=misyoh2&amp;logNo=223916490077&amp;redirect=Dlog&amp;widgetTypeCall=true&amp;directAccess=false</t>
  </si>
  <si>
    <t>2025년 공군 모집, 지원부터 입대까지 한눈에 보는 완벽 가이드</t>
  </si>
  <si>
    <t>https://blog.naver.com/PostView.naver?blogId=hybum1&amp;logNo=223916464824&amp;redirect=Dlog&amp;widgetTypeCall=true&amp;directAccess=false</t>
  </si>
  <si>
    <t>AI와 사주</t>
  </si>
  <si>
    <t>https://blog.naver.com/PostView.naver?blogId=commbooks&amp;logNo=223916488315&amp;redirect=Dlog&amp;widgetTypeCall=true&amp;directAccess=false</t>
  </si>
  <si>
    <t>뮤지컬 오세이사</t>
  </si>
  <si>
    <t>https://blog.naver.com/PostView.naver?blogId=thecryptokroea&amp;logNo=223916481649&amp;redirect=Dlog&amp;widgetTypeCall=true&amp;directAccess=false</t>
  </si>
  <si>
    <t>기후 위기와 인공지능</t>
  </si>
  <si>
    <t>https://blog.naver.com/PostView.naver?blogId=commbooks&amp;logNo=223916475602&amp;redirect=Dlog&amp;widgetTypeCall=true&amp;directAccess=false</t>
  </si>
  <si>
    <t>R</t>
  </si>
  <si>
    <t>기억력도 스펙이다</t>
  </si>
  <si>
    <t>https://blog.naver.com/PostView.naver?blogId=funmyblog&amp;logNo=223916473246&amp;redirect=Dlog&amp;widgetTypeCall=true&amp;directAccess=false</t>
  </si>
  <si>
    <t>[강원태백맛집] 황지동청솔아파트주변 맛집 태백산물닭갈비</t>
  </si>
  <si>
    <t>https://blog.naver.com/PostView.naver?blogId=ujin4ujin&amp;logNo=223916447989&amp;redirect=Dlog&amp;widgetTypeCall=true&amp;directAccess=false</t>
  </si>
  <si>
    <t>선릉아트홀, 제8회 2인전통음악축제 ‘I am you’ 5일 개막</t>
  </si>
  <si>
    <t>https://blog.naver.com/PostView.naver?blogId=kmts9&amp;logNo=223916435169&amp;redirect=Dlog&amp;widgetTypeCall=true&amp;directAccess=false</t>
  </si>
  <si>
    <t>기쁨</t>
  </si>
  <si>
    <t>울산 7월 공연 - 디스 이즈 잇 뮤지컬/ 공연장, 카페가 함께 있는 아트홀 마당</t>
  </si>
  <si>
    <t>https://blog.naver.com/PostView.naver?blogId=with_gibbeum&amp;logNo=223916429176&amp;redirect=Dlog&amp;widgetTypeCall=true&amp;directAccess=false</t>
  </si>
  <si>
    <t>2025 제5회 글로벌컬쳐명인대상시상식 성황리 개최</t>
  </si>
  <si>
    <t>https://blog.naver.com/PostView.naver?blogId=kbeautynews&amp;logNo=223916419322&amp;redirect=Dlog&amp;widgetTypeCall=true&amp;directAccess=false</t>
  </si>
  <si>
    <t>상주시청 조선영 선수, 국제사이클대회 은빛 질주</t>
  </si>
  <si>
    <t>https://blog.naver.com/PostView.naver?blogId=gminews12&amp;logNo=223916417847&amp;redirect=Dlog&amp;widgetTypeCall=true&amp;directAccess=false</t>
  </si>
  <si>
    <t>알렉스 J</t>
  </si>
  <si>
    <t>이야 2년만이다</t>
  </si>
  <si>
    <t>https://blog.naver.com/PostView.naver?blogId=sixfeetunder&amp;logNo=223916411109&amp;redirect=Dlog&amp;widgetTypeCall=true&amp;directAccess=false</t>
  </si>
  <si>
    <t>성균관대 EMBA</t>
  </si>
  <si>
    <t>[교수 기고문] 김안드레아 교수(매니지먼트 전공) _자유를 심으면 싹트는 행복</t>
  </si>
  <si>
    <t>https://blog.naver.com/PostView.naver?blogId=emba_skku&amp;logNo=223916399577&amp;redirect=Dlog&amp;widgetTypeCall=true&amp;directAccess=false</t>
  </si>
  <si>
    <t>관악FM</t>
  </si>
  <si>
    <t>“국경도, 종교도 음악 앞에선 하나” 가수 마리코와 혜선 스님, 관악FM &lt;가요톡톡&gt;에서 삶과 음악 이야기 전해 [가요톡톡-월]</t>
  </si>
  <si>
    <t>https://blog.naver.com/PostView.naver?blogId=radiogfm1003&amp;logNo=223916370201&amp;redirect=Dlog&amp;widgetTypeCall=true&amp;directAccess=false</t>
  </si>
  <si>
    <t>피아노박</t>
  </si>
  <si>
    <t>Pianist 박연우</t>
  </si>
  <si>
    <t>https://blog.naver.com/PostView.naver?blogId=parkklavier&amp;logNo=223916351381&amp;redirect=Dlog&amp;widgetTypeCall=true&amp;directAccess=false</t>
  </si>
  <si>
    <t>여우비</t>
  </si>
  <si>
    <t>2025.6.29 한강(1호기)</t>
  </si>
  <si>
    <t>https://blog.naver.com/PostView.naver?blogId=cappa207&amp;logNo=223916337325&amp;redirect=Dlog&amp;widgetTypeCall=true&amp;directAccess=false</t>
  </si>
  <si>
    <t>‘장’으로 세계와 소통… 케이푸드 경연 10월 남도 결선 눈앞</t>
  </si>
  <si>
    <t>https://blog.naver.com/PostView.naver?blogId=kbsn_kr&amp;logNo=223916306310&amp;redirect=Dlog&amp;widgetTypeCall=true&amp;directAccess=false</t>
  </si>
  <si>
    <t>출판사 보라색물결</t>
  </si>
  <si>
    <t>돈과 자본이 안전을 매장하는 나라.</t>
  </si>
  <si>
    <t>https://blog.naver.com/PostView.naver?blogId=waveofpurple&amp;logNo=223916298655&amp;redirect=Dlog&amp;widgetTypeCall=true&amp;directAccess=false</t>
  </si>
  <si>
    <t>즐거운날</t>
  </si>
  <si>
    <t>일본은 우리에게 어떤 나라인가?</t>
  </si>
  <si>
    <t>https://blog.naver.com/PostView.naver?blogId=keys01&amp;logNo=223916293569&amp;redirect=Dlog&amp;widgetTypeCall=true&amp;directAccess=false</t>
  </si>
  <si>
    <t>milano_parkk</t>
  </si>
  <si>
    <t>창원 신월 은아(신월1구역) 2025년 정기총회 내용</t>
  </si>
  <si>
    <t>https://blog.naver.com/PostView.naver?blogId=milano_parkk&amp;logNo=223916281504&amp;redirect=Dlog&amp;widgetTypeCall=true&amp;directAccess=false</t>
  </si>
  <si>
    <t>인연사랑</t>
  </si>
  <si>
    <t>박옥경저 "삶과 철학이 담긴 악세서리"를 읽고, 유월의 마지막날</t>
  </si>
  <si>
    <t>https://blog.naver.com/PostView.naver?blogId=interwon56&amp;logNo=223916262228&amp;redirect=Dlog&amp;widgetTypeCall=true&amp;directAccess=false</t>
  </si>
  <si>
    <t>Youngman</t>
  </si>
  <si>
    <t>낭랑 18세의 꿈</t>
  </si>
  <si>
    <t>https://blog.naver.com/PostView.naver?blogId=kmakeworld&amp;logNo=223916233977&amp;redirect=Dlog&amp;widgetTypeCall=true&amp;directAccess=false</t>
  </si>
  <si>
    <t>서울시교육청, 30일 ‘문해력·수리력’ 정책포럼 개최</t>
  </si>
  <si>
    <t>https://blog.naver.com/PostView.naver?blogId=jeonmaenews&amp;logNo=223916200423&amp;redirect=Dlog&amp;widgetTypeCall=true&amp;directAccess=false</t>
  </si>
  <si>
    <t>2025년 6월30일 마지막 월요일 KBS19번 인간극장 매일철드는남자 서희엽 1부 보다</t>
  </si>
  <si>
    <t>https://blog.naver.com/PostView.naver?blogId=ch921017&amp;logNo=223916183495&amp;redirect=Dlog&amp;widgetTypeCall=true&amp;directAccess=false</t>
  </si>
  <si>
    <t>관악산 문원폭포, 미소능선 산행...</t>
  </si>
  <si>
    <t>https://blog.naver.com/PostView.naver?blogId=edtdjk&amp;logNo=223916161244&amp;redirect=Dlog&amp;widgetTypeCall=true&amp;directAccess=false</t>
  </si>
  <si>
    <t>감</t>
  </si>
  <si>
    <t>[서울 영등포] KBS 견학홀 견학 신청과 방문 후기(초1)</t>
  </si>
  <si>
    <t>https://blog.naver.com/PostView.naver?blogId=jdsm21&amp;logNo=223916141159&amp;redirect=Dlog&amp;widgetTypeCall=true&amp;directAccess=false</t>
  </si>
  <si>
    <t>정보사냥꾼</t>
  </si>
  <si>
    <t>Michael Hoppe (마이클 호페) 뉴에이지 연주 9곡</t>
  </si>
  <si>
    <t>https://blog.naver.com/PostView.naver?blogId=iksg62&amp;logNo=223914868335&amp;redirect=Dlog&amp;widgetTypeCall=true&amp;directAccess=false</t>
  </si>
  <si>
    <t>눈꽃사랑</t>
  </si>
  <si>
    <t>그땐 그랬었는데...김희재 의 전국노래자랑 무대를 보면서..</t>
  </si>
  <si>
    <t>https://blog.naver.com/PostView.naver?blogId=oklink147&amp;logNo=223916131158&amp;redirect=Dlog&amp;widgetTypeCall=true&amp;directAccess=false</t>
  </si>
  <si>
    <t>예솔</t>
  </si>
  <si>
    <t>테토녀의 삶</t>
  </si>
  <si>
    <t>https://blog.naver.com/PostView.naver?blogId=yessolkim&amp;logNo=223916078985&amp;redirect=Dlog&amp;widgetTypeCall=true&amp;directAccess=false</t>
  </si>
  <si>
    <t>쭈사장</t>
  </si>
  <si>
    <t>갈무리</t>
  </si>
  <si>
    <t>https://blog.naver.com/PostView.naver?blogId=jujamong&amp;logNo=223916071443&amp;redirect=Dlog&amp;widgetTypeCall=true&amp;directAccess=false</t>
  </si>
  <si>
    <t>송지원 바이올린 독주회</t>
  </si>
  <si>
    <t>https://blog.naver.com/PostView.naver?blogId=artinbank-news&amp;logNo=223916044857&amp;redirect=Dlog&amp;widgetTypeCall=true&amp;directAccess=false</t>
  </si>
  <si>
    <t>전현무 홍주연 결혼설 아직도 화제? 사당귀 핑크빛 농담의 진실과 비하인드</t>
  </si>
  <si>
    <t>https://blog.naver.com/PostView.naver?blogId=qnzjn8&amp;logNo=223915867925&amp;redirect=Dlog&amp;widgetTypeCall=true&amp;directAccess=false</t>
  </si>
  <si>
    <t>https://blog.naver.com/PostView.naver?blogId=keincue&amp;logNo=223915979120&amp;redirect=Dlog&amp;widgetTypeCall=true&amp;directAccess=false</t>
  </si>
  <si>
    <t>이투데이</t>
  </si>
  <si>
    <t>RAY</t>
  </si>
  <si>
    <t>케이팝 데몬 헌터스, 2025</t>
  </si>
  <si>
    <t>https://blog.naver.com/PostView.naver?blogId=evmin728&amp;logNo=223916780359&amp;redirect=Dlog&amp;widgetTypeCall=true&amp;directAccess=false</t>
  </si>
  <si>
    <t>[장외시황] 비상장주식, 반등 마감…제이피아이헬스케어, 증권신고서 제...</t>
  </si>
  <si>
    <t>https://blog.naver.com/PostView.naver?blogId=ogolga7&amp;logNo=223914358858&amp;redirect=Dlog&amp;widgetTypeCall=true&amp;directAccess=false</t>
  </si>
  <si>
    <t>2025.6.27-금요일</t>
  </si>
  <si>
    <t>https://blog.naver.com/PostView.naver?blogId=my-dream-&amp;logNo=223914106068&amp;redirect=Dlog&amp;widgetTypeCall=true&amp;directAccess=false</t>
  </si>
  <si>
    <t>아자윤</t>
  </si>
  <si>
    <t>[환경보건 기사 스크랩] 250627</t>
  </si>
  <si>
    <t>https://blog.naver.com/PostView.naver?blogId=wldbs6707&amp;logNo=223913568460&amp;redirect=Dlog&amp;widgetTypeCall=true&amp;directAccess=false</t>
  </si>
  <si>
    <t>2025-06-26 특징주</t>
  </si>
  <si>
    <t>https://blog.naver.com/PostView.naver?blogId=namwung1&amp;logNo=223912440306&amp;redirect=Dlog&amp;widgetTypeCall=true&amp;directAccess=false</t>
  </si>
  <si>
    <t>늘어나는 학교 노후건물… IoT 활용 실시간 안전관리</t>
  </si>
  <si>
    <t>https://blog.naver.com/PostView.naver?blogId=printingconsultant&amp;logNo=223912005105&amp;redirect=Dlog&amp;widgetTypeCall=true&amp;directAccess=false</t>
  </si>
  <si>
    <t>3주차 경제단어 인증 3</t>
  </si>
  <si>
    <t>https://blog.naver.com/PostView.naver?blogId=kyuhaeart&amp;logNo=223911822203&amp;redirect=Dlog&amp;widgetTypeCall=true&amp;directAccess=false</t>
  </si>
  <si>
    <t>5월달 테슬라 유럽전체판매량 8700대, 한국 판매량 6200대</t>
  </si>
  <si>
    <t>https://blog.naver.com/PostView.naver?blogId=jdwndz&amp;logNo=223911289036&amp;redirect=Dlog&amp;widgetTypeCall=true&amp;directAccess=false</t>
  </si>
  <si>
    <t>[장외시황] 비상장주식, 6거래일 연속 상승 마감…아우토크립트, 30일...</t>
  </si>
  <si>
    <t>https://blog.naver.com/PostView.naver?blogId=3d4utech&amp;logNo=223910758015&amp;redirect=Dlog&amp;widgetTypeCall=true&amp;directAccess=false</t>
  </si>
  <si>
    <t>[장외시황] 비상장 주식시장 상승세 지속…뉴엔AI 공모주 청약 시작</t>
  </si>
  <si>
    <t>https://blog.naver.com/PostView.naver?blogId=3d4utech&amp;logNo=223909506455&amp;redirect=Dlog&amp;widgetTypeCall=true&amp;directAccess=false</t>
  </si>
  <si>
    <t>[日日新又日新 - 250623] KOSPI</t>
  </si>
  <si>
    <t>https://blog.naver.com/PostView.naver?blogId=seed_eng&amp;logNo=223908466469&amp;redirect=Dlog&amp;widgetTypeCall=true&amp;directAccess=false</t>
  </si>
  <si>
    <t>20250620 달러 패권 흔들기(Feat. 중국 &amp; 유로)</t>
  </si>
  <si>
    <t>https://blog.naver.com/PostView.naver?blogId=lgs6674&amp;logNo=223906787902&amp;redirect=Dlog&amp;widgetTypeCall=true&amp;directAccess=false</t>
  </si>
  <si>
    <t>2025-06-20 특징주</t>
  </si>
  <si>
    <t>https://blog.naver.com/PostView.naver?blogId=namwung1&amp;logNo=223905828204&amp;redirect=Dlog&amp;widgetTypeCall=true&amp;directAccess=false</t>
  </si>
  <si>
    <t>알파부동산개발</t>
  </si>
  <si>
    <t>평택 브레인시티 아파트 분양 왜 어려운가? 자족도시 아직멀어</t>
  </si>
  <si>
    <t>https://blog.naver.com/PostView.naver?blogId=ptalpha&amp;logNo=223905409213&amp;redirect=Dlog&amp;widgetTypeCall=true&amp;directAccess=false</t>
  </si>
  <si>
    <t>[장외시황] 비상장주식, 대체로 상승 마감…지투지바이오, 증권신고서...</t>
  </si>
  <si>
    <t>https://blog.naver.com/PostView.naver?blogId=3d4utech&amp;logNo=223904219910&amp;redirect=Dlog&amp;widgetTypeCall=true&amp;directAccess=false</t>
  </si>
  <si>
    <t>재이의 반도체투자</t>
  </si>
  <si>
    <t>6월 18일자 경제 뉴스 - 소비심리증가, 태양광 공제폐지,K뷰티, 코스피 3200간다, 아마존이 찜한 울산,스테이블코인</t>
  </si>
  <si>
    <t>https://blog.naver.com/PostView.naver?blogId=bh10540&amp;logNo=223904084646&amp;redirect=Dlog&amp;widgetTypeCall=true&amp;directAccess=false</t>
  </si>
  <si>
    <t>메디버</t>
  </si>
  <si>
    <t>메디버, 한국 그랜드 제너레이션 브랜드 대상 '신상품 개발 부문' 수상 [포토]</t>
  </si>
  <si>
    <t>https://blog.naver.com/PostView.naver?blogId=mediverkr&amp;logNo=223902418551&amp;redirect=Dlog&amp;widgetTypeCall=true&amp;directAccess=false</t>
  </si>
  <si>
    <t>다원포레온</t>
  </si>
  <si>
    <t>※상속주택과 공동상속주택의 '비과세 특례'</t>
  </si>
  <si>
    <t>https://blog.naver.com/PostView.naver?blogId=ky006480&amp;logNo=223902149068&amp;redirect=Dlog&amp;widgetTypeCall=true&amp;directAccess=false</t>
  </si>
  <si>
    <t>위메이드 매수</t>
  </si>
  <si>
    <t>https://blog.naver.com/PostView.naver?blogId=jsfam1018&amp;logNo=223901944890&amp;redirect=Dlog&amp;widgetTypeCall=true&amp;directAccess=false</t>
  </si>
  <si>
    <t>갱호</t>
  </si>
  <si>
    <t>AJ네트웍스_(2)</t>
  </si>
  <si>
    <t>https://blog.naver.com/PostView.naver?blogId=khpark1998&amp;logNo=223900227473&amp;redirect=Dlog&amp;widgetTypeCall=true&amp;directAccess=false</t>
  </si>
  <si>
    <t>이란 총사령관 살라미 이란 혁명수비대 총사령관 사망</t>
  </si>
  <si>
    <t>https://blog.naver.com/PostView.naver?blogId=marmo29&amp;logNo=223897912282&amp;redirect=Dlog&amp;widgetTypeCall=true&amp;directAccess=false</t>
  </si>
  <si>
    <t>20250613 경제단어공부 5일차</t>
  </si>
  <si>
    <t>https://blog.naver.com/PostView.naver?blogId=lovely_618&amp;logNo=223897874414&amp;redirect=Dlog&amp;widgetTypeCall=true&amp;directAccess=false</t>
  </si>
  <si>
    <t>[장외시황]비상장 주식시장 상승세 지속…빅텍스 5주 최고가 기록</t>
  </si>
  <si>
    <t>https://blog.naver.com/PostView.naver?blogId=ogolga7&amp;logNo=223897652651&amp;redirect=Dlog&amp;widgetTypeCall=true&amp;directAccess=false</t>
  </si>
  <si>
    <t>한국형 스테이블코인(feat. 카카오페이, 다날)</t>
  </si>
  <si>
    <t>https://blog.naver.com/PostView.naver?blogId=economyyyy&amp;logNo=223896569071&amp;redirect=Dlog&amp;widgetTypeCall=true&amp;directAccess=false</t>
  </si>
  <si>
    <t>[6/10]장마감</t>
  </si>
  <si>
    <t>https://blog.naver.com/PostView.naver?blogId=infinitepositivity&amp;logNo=223895209764&amp;redirect=Dlog&amp;widgetTypeCall=true&amp;directAccess=false</t>
  </si>
  <si>
    <t>“"저도 담고 있어요" 외국인들 돈 싸들고 한국 몰려왔다. 지금 돈 몰리는 주도주는 여기, 단 '이 신호' 뜨면 싹 정리하세요 (강환국 작가 / 풀버전)” 의 영상 요약</t>
  </si>
  <si>
    <t>https://blog.naver.com/PostView.naver?blogId=lucidjun&amp;logNo=223894845375&amp;redirect=Dlog&amp;widgetTypeCall=true&amp;directAccess=false</t>
  </si>
  <si>
    <t>2025년 6월 10일 오늘의 보험뉴스 정리 및 분석</t>
  </si>
  <si>
    <t>https://blog.naver.com/PostView.naver?blogId=kimsonsa4972&amp;logNo=223894164252&amp;redirect=Dlog&amp;widgetTypeCall=true&amp;directAccess=false</t>
  </si>
  <si>
    <t>다날(064260)</t>
  </si>
  <si>
    <t>https://blog.naver.com/PostView.naver?blogId=kang-pro1023&amp;logNo=223893387054&amp;redirect=Dlog&amp;widgetTypeCall=true&amp;directAccess=false</t>
  </si>
  <si>
    <t>국내 부동산에 투자한 외국인 규모와 요인은 무얼까?</t>
  </si>
  <si>
    <t>https://blog.naver.com/PostView.naver?blogId=whkim0408&amp;logNo=223893326542&amp;redirect=Dlog&amp;widgetTypeCall=true&amp;directAccess=false</t>
  </si>
  <si>
    <t>[윤석열 6차 공판][묵묵부답]6차 공판 출석 윤석열, 대선 결과 질문 '침묵' [포토]</t>
  </si>
  <si>
    <t>https://blog.naver.com/PostView.naver?blogId=eithty2&amp;logNo=223893117365&amp;redirect=Dlog&amp;widgetTypeCall=true&amp;directAccess=false</t>
  </si>
  <si>
    <t>스테이킹과 예치의 차이: 금융 상품으로서의 이해</t>
  </si>
  <si>
    <t>https://blog.naver.com/PostView.naver?blogId=triff3567&amp;logNo=223890190364&amp;redirect=Dlog&amp;widgetTypeCall=true&amp;directAccess=false</t>
  </si>
  <si>
    <t>토트넘 vs PSG, 2025 UEFA 슈퍼컵 대결의 모든 것</t>
  </si>
  <si>
    <t>https://blog.naver.com/PostView.naver?blogId=lupin1800&amp;logNo=223888056265&amp;redirect=Dlog&amp;widgetTypeCall=true&amp;directAccess=false</t>
  </si>
  <si>
    <t>[셀비온] 글로벌 빅파마가 주목! 셀비온의 상업화 시계 빨라진다.</t>
  </si>
  <si>
    <t>https://blog.naver.com/PostView.naver?blogId=stoner0328&amp;logNo=223885373982&amp;redirect=Dlog&amp;widgetTypeCall=true&amp;directAccess=false</t>
  </si>
  <si>
    <t>아이쓰리시스템(스터디 발표용)</t>
  </si>
  <si>
    <t>https://blog.naver.com/PostView.naver?blogId=youlooloo&amp;logNo=223885194344&amp;redirect=Dlog&amp;widgetTypeCall=true&amp;directAccess=false</t>
  </si>
  <si>
    <t>BreakNews</t>
  </si>
  <si>
    <t>그러고 싶어서 그렇게 되기야 했겠냐마는…</t>
  </si>
  <si>
    <t>https://blog.naver.com/PostView.naver?blogId=yujmmm&amp;logNo=223914483706&amp;redirect=Dlog&amp;widgetTypeCall=true&amp;directAccess=false</t>
  </si>
  <si>
    <t>3d4u-tech</t>
  </si>
  <si>
    <t>방탄소년단(BTS) 진, 팬콘서트 투어 개최 D-1..“아미에 행복·재미 드리...</t>
  </si>
  <si>
    <t>https://blog.naver.com/PostView.naver?blogId=3d4u-tech&amp;logNo=223913396449&amp;redirect=Dlog&amp;widgetTypeCall=true&amp;directAccess=false</t>
  </si>
  <si>
    <t>차대신문</t>
  </si>
  <si>
    <t>이란-이스라엘 전쟁으로 번진 갈등의 원인</t>
  </si>
  <si>
    <t>https://blog.naver.com/PostView.naver?blogId=chauris&amp;logNo=223910858941&amp;redirect=Dlog&amp;widgetTypeCall=true&amp;directAccess=false</t>
  </si>
  <si>
    <t>전남 해남 들판의 땀방울, 광주고려인마을에 초록빛으로 돌아오다</t>
  </si>
  <si>
    <t>https://blog.naver.com/PostView.naver?blogId=3d4u-tech&amp;logNo=223908289602&amp;redirect=Dlog&amp;widgetTypeCall=true&amp;directAccess=false</t>
  </si>
  <si>
    <t>경제 단어 공부 7</t>
  </si>
  <si>
    <t>https://blog.naver.com/PostView.naver?blogId=k3zero&amp;logNo=223908063630&amp;redirect=Dlog&amp;widgetTypeCall=true&amp;directAccess=false</t>
  </si>
  <si>
    <t>yhc114</t>
  </si>
  <si>
    <t>영덕 오션비치 골프장 노사 갈등 장기화…지역 경제에 타격</t>
  </si>
  <si>
    <t>https://blog.naver.com/PostView.naver?blogId=yhc114&amp;logNo=223903562619&amp;redirect=Dlog&amp;widgetTypeCall=true&amp;directAccess=false</t>
  </si>
  <si>
    <t>장종태</t>
  </si>
  <si>
    <t>[브레이크뉴스]장종태 국회의원, 대한미용사회중앙회 정기총회서 감사패 수상</t>
  </si>
  <si>
    <t>https://blog.naver.com/PostView.naver?blogId=changjt&amp;logNo=223903561155&amp;redirect=Dlog&amp;widgetTypeCall=true&amp;directAccess=false</t>
  </si>
  <si>
    <t>평화의 세계</t>
  </si>
  <si>
    <t>[브레이크뉴스 ]G08 등 7개 시민단체 공동주최 ‘그날을 담아, 내일을 부르다’ 음악회</t>
  </si>
  <si>
    <t>https://blog.naver.com/PostView.naver?blogId=luttgiy&amp;logNo=223897200615&amp;redirect=Dlog&amp;widgetTypeCall=true&amp;directAccess=false</t>
  </si>
  <si>
    <t>오션비치 반복되는 불법행위…대구지방고용청 왜 방치하나!</t>
  </si>
  <si>
    <t>https://blog.naver.com/PostView.naver?blogId=yhc114&amp;logNo=223894797891&amp;redirect=Dlog&amp;widgetTypeCall=true&amp;directAccess=false</t>
  </si>
  <si>
    <t>도시친구</t>
  </si>
  <si>
    <t>6/10부동산뉴스</t>
  </si>
  <si>
    <t>https://blog.naver.com/PostView.naver?blogId=dongan4272&amp;logNo=223894566973&amp;redirect=Dlog&amp;widgetTypeCall=true&amp;directAccess=false</t>
  </si>
  <si>
    <t>Bottle</t>
  </si>
  <si>
    <t>【타이중】펑지아 야시장 맛집 추천!</t>
  </si>
  <si>
    <t>https://blog.naver.com/PostView.naver?blogId=lyp_kitchen&amp;logNo=223889874439&amp;redirect=Dlog&amp;widgetTypeCall=true&amp;directAccess=false</t>
  </si>
  <si>
    <t>남동구도시관리공단</t>
  </si>
  <si>
    <t>남동구 도시관리공단, 인권 슬로건 공모전 시상식 개최</t>
  </si>
  <si>
    <t>https://blog.naver.com/PostView.naver?blogId=ndcmc0514&amp;logNo=223888303249&amp;redirect=Dlog&amp;widgetTypeCall=true&amp;directAccess=false</t>
  </si>
  <si>
    <t>R비드</t>
  </si>
  <si>
    <t>김문수 5.18 민주화운동정신 헌법전문 반영하겠다</t>
  </si>
  <si>
    <t>https://blog.naver.com/PostView.naver?blogId=currencytrader&amp;logNo=223885839590&amp;redirect=Dlog&amp;widgetTypeCall=true&amp;directAccess=false</t>
  </si>
  <si>
    <t>짐 로저스 이재명 지지선언한 적 없다ㅡ민주당 또 가짜뉴스 유포</t>
  </si>
  <si>
    <t>https://blog.naver.com/PostView.naver?blogId=inbible-ark&amp;logNo=223885172445&amp;redirect=Dlog&amp;widgetTypeCall=true&amp;directAccess=false</t>
  </si>
  <si>
    <t>코리아헤럴드</t>
  </si>
  <si>
    <t>마두영어</t>
  </si>
  <si>
    <t>전국대학생English Essay 대회마다 대상 타던 시절</t>
  </si>
  <si>
    <t>https://blog.naver.com/PostView.naver?blogId=easyenglish4u&amp;logNo=223914257083&amp;redirect=Dlog&amp;widgetTypeCall=true&amp;directAccess=false</t>
  </si>
  <si>
    <t>LovelySo</t>
  </si>
  <si>
    <t>헤럴드 영어공부2</t>
  </si>
  <si>
    <t>https://blog.naver.com/PostView.naver?blogId=young00787&amp;logNo=223912787518&amp;redirect=Dlog&amp;widgetTypeCall=true&amp;directAccess=false</t>
  </si>
  <si>
    <t>현중맘</t>
  </si>
  <si>
    <t>2022년 76세 우리 아빠 기록</t>
  </si>
  <si>
    <t>https://blog.naver.com/PostView.naver?blogId=doonber&amp;logNo=223910885277&amp;redirect=Dlog&amp;widgetTypeCall=true&amp;directAccess=false</t>
  </si>
  <si>
    <t>헤럴드 영자신문 영어공부20</t>
  </si>
  <si>
    <t>https://blog.naver.com/PostView.naver?blogId=young00787&amp;logNo=223910415732&amp;redirect=Dlog&amp;widgetTypeCall=true&amp;directAccess=false</t>
  </si>
  <si>
    <t>헤럴드 영어기사 공부19</t>
  </si>
  <si>
    <t>https://blog.naver.com/PostView.naver?blogId=young00787&amp;logNo=223909304506&amp;redirect=Dlog&amp;widgetTypeCall=true&amp;directAccess=false</t>
  </si>
  <si>
    <t>지니와 투투혀니</t>
  </si>
  <si>
    <t>2025 서울도전페스티벌 및 도전의날 모범인상 시상식과 국민통합 음악회 개최</t>
  </si>
  <si>
    <t>https://blog.naver.com/PostView.naver?blogId=sosigtongtv&amp;logNo=223897121284&amp;redirect=Dlog&amp;widgetTypeCall=true&amp;directAccess=false</t>
  </si>
  <si>
    <t>📰25.6.11(수) 신문스크랩</t>
  </si>
  <si>
    <t>https://blog.naver.com/PostView.naver?blogId=glorydays365&amp;logNo=223895562808&amp;redirect=Dlog&amp;widgetTypeCall=true&amp;directAccess=false</t>
  </si>
  <si>
    <t>효지기</t>
  </si>
  <si>
    <t>헤럴드 영어기사 공부10</t>
  </si>
  <si>
    <t>https://blog.naver.com/PostView.naver?blogId=young00787&amp;logNo=223889841558&amp;redirect=Dlog&amp;widgetTypeCall=true&amp;directAccess=false</t>
  </si>
  <si>
    <t>china-hao</t>
  </si>
  <si>
    <t>&lt;환구시보 사설&gt;: 중한 관계의 새로운 출발을 기대한다.</t>
  </si>
  <si>
    <t>https://blog.naver.com/PostView.naver?blogId=china-hao&amp;logNo=223889628094&amp;redirect=Dlog&amp;widgetTypeCall=true&amp;directAccess=false</t>
  </si>
  <si>
    <t>인천일보</t>
  </si>
  <si>
    <t>온해피</t>
  </si>
  <si>
    <t>온해피, 제5회 누리아침소리 조찬 강연회 개최</t>
  </si>
  <si>
    <t>https://blog.naver.com/PostView.naver?blogId=2013onhappy&amp;logNo=223916843793&amp;redirect=Dlog&amp;widgetTypeCall=true&amp;directAccess=false</t>
  </si>
  <si>
    <t>긴</t>
  </si>
  <si>
    <t>핑계</t>
  </si>
  <si>
    <t>https://blog.naver.com/PostView.naver?blogId=dntladls3&amp;logNo=223915898841&amp;redirect=Dlog&amp;widgetTypeCall=true&amp;directAccess=false</t>
  </si>
  <si>
    <t>라떼</t>
  </si>
  <si>
    <t>섬마을 찾은 천사들</t>
  </si>
  <si>
    <t>https://blog.naver.com/PostView.naver?blogId=noorionceo&amp;logNo=223915838819&amp;redirect=Dlog&amp;widgetTypeCall=true&amp;directAccess=false</t>
  </si>
  <si>
    <t>사회공헌, 체계적으로 실천</t>
  </si>
  <si>
    <t>https://blog.naver.com/PostView.naver?blogId=noorionceo&amp;logNo=223915824863&amp;redirect=Dlog&amp;widgetTypeCall=true&amp;directAccess=false</t>
  </si>
  <si>
    <t>“후배사랑 실천”…박미자 인천여상 총동창회장 취임</t>
  </si>
  <si>
    <t>https://blog.naver.com/PostView.naver?blogId=noorionceo&amp;logNo=223915811280&amp;redirect=Dlog&amp;widgetTypeCall=true&amp;directAccess=false</t>
  </si>
  <si>
    <t>자원봉사자 보수교육 마무리</t>
  </si>
  <si>
    <t>https://blog.naver.com/PostView.naver?blogId=noorionceo&amp;logNo=223915738853&amp;redirect=Dlog&amp;widgetTypeCall=true&amp;directAccess=false</t>
  </si>
  <si>
    <t>[인천일보]세계봉사단 원로 경우회원 초대 삼계탕 대접</t>
  </si>
  <si>
    <t>https://blog.naver.com/PostView.naver?blogId=starkujk&amp;logNo=223914731575&amp;redirect=Dlog&amp;widgetTypeCall=true&amp;directAccess=false</t>
  </si>
  <si>
    <t>오름</t>
  </si>
  <si>
    <t>인천 사월마을, 친환경 도시 ‘에코메타시티’로?</t>
  </si>
  <si>
    <t>https://blog.naver.com/PostView.naver?blogId=5-reum&amp;logNo=223913418211&amp;redirect=Dlog&amp;widgetTypeCall=true&amp;directAccess=false</t>
  </si>
  <si>
    <t>한국커피문화진흥원</t>
  </si>
  <si>
    <t>‘커피로 더 향기로워지는 청소년·여성의 삶'을 위한 업무협약식</t>
  </si>
  <si>
    <t>https://blog.naver.com/PostView.naver?blogId=kcca-20&amp;logNo=223912806017&amp;redirect=Dlog&amp;widgetTypeCall=true&amp;directAccess=false</t>
  </si>
  <si>
    <t>이팀장01082342007</t>
  </si>
  <si>
    <t>복정역세권 개발 - 3블럭에 1377세대 오피스텔 공급예정(2026년도 착공 예정)</t>
  </si>
  <si>
    <t>https://blog.naver.com/PostView.naver?blogId=shinhyelee0510&amp;logNo=223912708479&amp;redirect=Dlog&amp;widgetTypeCall=true&amp;directAccess=false</t>
  </si>
  <si>
    <t>프라이버시365</t>
  </si>
  <si>
    <t>공기업 개인정보 보호 역량 높인다(인천일보2025.06.25.)</t>
  </si>
  <si>
    <t>https://blog.naver.com/PostView.naver?blogId=privacy365&amp;logNo=223912403253&amp;redirect=Dlog&amp;widgetTypeCall=true&amp;directAccess=false</t>
  </si>
  <si>
    <t>[인천일보]2008.07.15.굴곡진 역사 속에서도 '대중일보' 맥 이어</t>
  </si>
  <si>
    <t>https://blog.naver.com/PostView.naver?blogId=camiplay&amp;logNo=223911678558&amp;redirect=Dlog&amp;widgetTypeCall=true&amp;directAccess=false</t>
  </si>
  <si>
    <t>김교흥</t>
  </si>
  <si>
    <t>&lt;인천일보&gt; 김교흥 국회의원, 인천·포항·울산 등 ‘위기에 내몰린 철강·석유 산업을 살리자’</t>
  </si>
  <si>
    <t>https://blog.naver.com/PostView.naver?blogId=kimkh4u&amp;logNo=223910111880&amp;redirect=Dlog&amp;widgetTypeCall=true&amp;directAccess=false</t>
  </si>
  <si>
    <t>트럼프 2.0시대, 기업의 대응전략은?</t>
  </si>
  <si>
    <t>https://blog.naver.com/PostView.naver?blogId=noorionceo&amp;logNo=223908800643&amp;redirect=Dlog&amp;widgetTypeCall=true&amp;directAccess=false</t>
  </si>
  <si>
    <t>공기업 개인정보 보호 역량 높인다</t>
  </si>
  <si>
    <t>https://blog.naver.com/PostView.naver?blogId=noorionceo&amp;logNo=223908792728&amp;redirect=Dlog&amp;widgetTypeCall=true&amp;directAccess=false</t>
  </si>
  <si>
    <t>“청소년 건전문화 조성, 함께해요”</t>
  </si>
  <si>
    <t>https://blog.naver.com/PostView.naver?blogId=noorionceo&amp;logNo=223908761836&amp;redirect=Dlog&amp;widgetTypeCall=true&amp;directAccess=false</t>
  </si>
  <si>
    <t>손뜨개 전문봉사단 ‘한코사랑’이 뜬다</t>
  </si>
  <si>
    <t>https://blog.naver.com/PostView.naver?blogId=noorionceo&amp;logNo=223908745189&amp;redirect=Dlog&amp;widgetTypeCall=true&amp;directAccess=false</t>
  </si>
  <si>
    <t>경기도의회 더민주</t>
  </si>
  <si>
    <t>더불어민주당 의원 의정활동 언론보도(25.06.23.)</t>
  </si>
  <si>
    <t>https://blog.naver.com/PostView.naver?blogId=theminjoo_ggc11&amp;logNo=223908614062&amp;redirect=Dlog&amp;widgetTypeCall=true&amp;directAccess=false</t>
  </si>
  <si>
    <t>제3연륙교 이름 두고 영종 청라 신경전</t>
  </si>
  <si>
    <t>https://blog.naver.com/PostView.naver?blogId=iyhs1828&amp;logNo=223905081328&amp;redirect=Dlog&amp;widgetTypeCall=true&amp;directAccess=false</t>
  </si>
  <si>
    <t>고양 스프링힐스 골프장 18홀 증설 본격화</t>
  </si>
  <si>
    <t>https://blog.naver.com/PostView.naver?blogId=yhc114&amp;logNo=223904715339&amp;redirect=Dlog&amp;widgetTypeCall=true&amp;directAccess=false</t>
  </si>
  <si>
    <t>고양시, 제30회 경기환경대상 수상- 환경우수기관부문 수상 영예…지속가능한 탄소중립 선도 도시 도약</t>
  </si>
  <si>
    <t>https://blog.naver.com/PostView.naver?blogId=juminjachi&amp;logNo=223904238764&amp;redirect=Dlog&amp;widgetTypeCall=true&amp;directAccess=false</t>
  </si>
  <si>
    <t>지하철5호선 연장 : 인천과 김포의 합의의 끝은 장기-검단?</t>
  </si>
  <si>
    <t>https://blog.naver.com/PostView.naver?blogId=somethingk&amp;logNo=223903784304&amp;redirect=Dlog&amp;widgetTypeCall=true&amp;directAccess=false</t>
  </si>
  <si>
    <t>든든한 경영 파트너</t>
  </si>
  <si>
    <t>(신문기사모음) 특별기획 릴레이 경제특강(2) 김영민 LG경영연구원 원장 초청 제36회 명사특강</t>
  </si>
  <si>
    <t>https://blog.naver.com/PostView.naver?blogId=kivanam&amp;logNo=223903762735&amp;redirect=Dlog&amp;widgetTypeCall=true&amp;directAccess=false</t>
  </si>
  <si>
    <t>첨단의료복합단지 추가 지정 인천 가능성은</t>
  </si>
  <si>
    <t>https://blog.naver.com/PostView.naver?blogId=iyhs1828&amp;logNo=223903110524&amp;redirect=Dlog&amp;widgetTypeCall=true&amp;directAccess=false</t>
  </si>
  <si>
    <t>송도 아파트 단지 바로 옆 군 사격장</t>
  </si>
  <si>
    <t>https://blog.naver.com/PostView.naver?blogId=iyhs1828&amp;logNo=223903038455&amp;redirect=Dlog&amp;widgetTypeCall=true&amp;directAccess=false</t>
  </si>
  <si>
    <t>인천일보 오피니언 [기고]  2023.06.12 19면  세계 초일류도시 인천, 이렇게 필자는 초일류도시 인천으로 거듭나길 소망하며 유정복시장에게 몇 가지 덧붙여 제안한다.</t>
  </si>
  <si>
    <t>https://blog.naver.com/PostView.naver?blogId=law2033&amp;logNo=223899662635&amp;redirect=Dlog&amp;widgetTypeCall=true&amp;directAccess=false</t>
  </si>
  <si>
    <t>봉재산 사유지 정보공개청구 사유지 표시 연수구청 자료제공 조성호 받은자료</t>
  </si>
  <si>
    <t>https://blog.naver.com/PostView.naver?blogId=law2033&amp;logNo=223899313875&amp;redirect=Dlog&amp;widgetTypeCall=true&amp;directAccess=false</t>
  </si>
  <si>
    <t>[인천일보] 조선 세종때부터 명문가로 재부상</t>
  </si>
  <si>
    <t>https://blog.naver.com/PostView.naver?blogId=camiplay&amp;logNo=223899014850&amp;redirect=Dlog&amp;widgetTypeCall=true&amp;directAccess=false</t>
  </si>
  <si>
    <t>식약일보</t>
  </si>
  <si>
    <t>심평원 인천본부, ‘인천환경대상’ 수상</t>
  </si>
  <si>
    <t>https://blog.naver.com/PostView.naver?blogId=kfdn77&amp;logNo=223898498116&amp;redirect=Dlog&amp;widgetTypeCall=true&amp;directAccess=false</t>
  </si>
  <si>
    <t>listener_16</t>
  </si>
  <si>
    <t>인천의 민간투자사업 관련 기사들, 경기도 고양 K-컬쳐밸리</t>
  </si>
  <si>
    <t>https://blog.naver.com/PostView.naver?blogId=listener_16&amp;logNo=223897025602&amp;redirect=Dlog&amp;widgetTypeCall=true&amp;directAccess=false</t>
  </si>
  <si>
    <t>2025년 6월 12일(목)  17~31°C ☀️ 미세,초미세 좋음😁</t>
  </si>
  <si>
    <t>https://blog.naver.com/PostView.naver?blogId=jaeeunjung&amp;logNo=223896472282&amp;redirect=Dlog&amp;widgetTypeCall=true&amp;directAccess=false</t>
  </si>
  <si>
    <t>생각하는 사람</t>
  </si>
  <si>
    <t>미세먼지</t>
  </si>
  <si>
    <t>https://blog.naver.com/PostView.naver?blogId=dhrms107&amp;logNo=223896375436&amp;redirect=Dlog&amp;widgetTypeCall=true&amp;directAccess=false</t>
  </si>
  <si>
    <t>대중교통 혼잡</t>
  </si>
  <si>
    <t>https://blog.naver.com/PostView.naver?blogId=dhrms107&amp;logNo=223896374938&amp;redirect=Dlog&amp;widgetTypeCall=true&amp;directAccess=false</t>
  </si>
  <si>
    <t>[인천일보] 멈춘 심장으로 생명 이을까…희망 커진 장기이식 대기자(25.06.09)</t>
  </si>
  <si>
    <t>https://blog.naver.com/PostView.naver?blogId=m2hwaseo&amp;logNo=223894193353&amp;redirect=Dlog&amp;widgetTypeCall=true&amp;directAccess=false</t>
  </si>
  <si>
    <t>자도남</t>
  </si>
  <si>
    <t>인천도시축전과 자전거 1</t>
  </si>
  <si>
    <t>https://blog.naver.com/PostView.naver?blogId=icbikecity&amp;logNo=223890241004&amp;redirect=Dlog&amp;widgetTypeCall=true&amp;directAccess=false</t>
  </si>
  <si>
    <t>양종천 밝은나라</t>
  </si>
  <si>
    <t>수원 대형-소 점포 '상생 성장' 돕는다 - (수원시의회 내 연구단체인...)</t>
  </si>
  <si>
    <t>https://blog.naver.com/PostView.naver?blogId=jcyang5115&amp;logNo=223887023604&amp;redirect=Dlog&amp;widgetTypeCall=true&amp;directAccess=false</t>
  </si>
  <si>
    <t>전자신문</t>
  </si>
  <si>
    <t>가냐더</t>
  </si>
  <si>
    <t>Wenn Sie ein Goethe-Insititut Konto haben...(feat. 전자 도서관 Onleihe)</t>
  </si>
  <si>
    <t>https://blog.naver.com/PostView.naver?blogId=v50311js&amp;logNo=223917217712&amp;redirect=Dlog&amp;widgetTypeCall=true&amp;directAccess=false</t>
  </si>
  <si>
    <t>25-06-30</t>
  </si>
  <si>
    <t>https://blog.naver.com/PostView.naver?blogId=sedeyes&amp;logNo=223916225945&amp;redirect=Dlog&amp;widgetTypeCall=true&amp;directAccess=false</t>
  </si>
  <si>
    <t>알래스카LNG 가스관 찐 수혜주 찾기</t>
  </si>
  <si>
    <t>https://blog.naver.com/PostView.naver?blogId=positive__attitude&amp;logNo=223915783282&amp;redirect=Dlog&amp;widgetTypeCall=true&amp;directAccess=false</t>
  </si>
  <si>
    <t>달빛가리개</t>
  </si>
  <si>
    <t>AI반도체 수요</t>
  </si>
  <si>
    <t>https://blog.naver.com/PostView.naver?blogId=easternease&amp;logNo=223915378593&amp;redirect=Dlog&amp;widgetTypeCall=true&amp;directAccess=false</t>
  </si>
  <si>
    <t>세계 여행 버킷 리스트, 카리브해 아름다운 휴양지 여행_푸에르토리코</t>
  </si>
  <si>
    <t>https://blog.naver.com/PostView.naver?blogId=hyjang0908&amp;logNo=223914821499&amp;redirect=Dlog&amp;widgetTypeCall=true&amp;directAccess=false</t>
  </si>
  <si>
    <t>쏠리드 (보고서)</t>
  </si>
  <si>
    <t>https://blog.naver.com/PostView.naver?blogId=normal_life_dream&amp;logNo=223912346151&amp;redirect=Dlog&amp;widgetTypeCall=true&amp;directAccess=false</t>
  </si>
  <si>
    <t>5온</t>
  </si>
  <si>
    <t>LG이노텍, 초슬림 스마트폰 특화 '코퍼 포스트' 기판 상용화…“세계 최초 양산”</t>
  </si>
  <si>
    <t>https://blog.naver.com/PostView.naver?blogId=kinjo1627&amp;logNo=223912074543&amp;redirect=Dlog&amp;widgetTypeCall=true&amp;directAccess=false</t>
  </si>
  <si>
    <t>서울사이버대학교</t>
  </si>
  <si>
    <t>서울사이버대 AI크리에이터학과, '버추얼 크리에이터가 바꾸는 1인 콘텐츠의 미래' 특강 성료</t>
  </si>
  <si>
    <t>https://blog.naver.com/PostView.naver?blogId=iscu_univ&amp;logNo=223912015690&amp;redirect=Dlog&amp;widgetTypeCall=true&amp;directAccess=false</t>
  </si>
  <si>
    <t>스포츠 행복발전소</t>
  </si>
  <si>
    <t>KPGA 선수권 우승 옥태훈, 2주 연속 우승 도전</t>
  </si>
  <si>
    <t>https://blog.naver.com/PostView.naver?blogId=ygates7&amp;logNo=223911123654&amp;redirect=Dlog&amp;widgetTypeCall=true&amp;directAccess=false</t>
  </si>
  <si>
    <t>정보통신산업진흥원</t>
  </si>
  <si>
    <t>[ICT인사이트] 국가컴퓨팅센터의 시대, AI 주권을 설계하다</t>
  </si>
  <si>
    <t>https://blog.naver.com/PostView.naver?blogId=with_nipa&amp;logNo=223909597677&amp;redirect=Dlog&amp;widgetTypeCall=true&amp;directAccess=false</t>
  </si>
  <si>
    <t>6월23일 매매후기 및 뉴스</t>
  </si>
  <si>
    <t>https://blog.naver.com/PostView.naver?blogId=vitaminbt&amp;logNo=223909154225&amp;redirect=Dlog&amp;widgetTypeCall=true&amp;directAccess=false</t>
  </si>
  <si>
    <t>GENESIS AND</t>
  </si>
  <si>
    <t>옥태훈, KPGA 선수권 우승…상금·제네시스 포인트 모두 1위로</t>
  </si>
  <si>
    <t>https://blog.naver.com/PostView.naver?blogId=joseph3013&amp;logNo=223908938239&amp;redirect=Dlog&amp;widgetTypeCall=true&amp;directAccess=false</t>
  </si>
  <si>
    <t>힐링로미</t>
  </si>
  <si>
    <t>[경제 챌린지] 2025.06.23. 상한가 종목과 이유/ 로보티즈, 위메이드맥스, 넥써쓰, 위메이드플레이, 브릿지바이오테라퓨틱스</t>
  </si>
  <si>
    <t>https://blog.naver.com/PostView.naver?blogId=goodpower514&amp;logNo=223908837184&amp;redirect=Dlog&amp;widgetTypeCall=true&amp;directAccess=false</t>
  </si>
  <si>
    <t>포시에스</t>
  </si>
  <si>
    <t>[보도자료] 포시에스 이폼사인, 네이버 CLOVA X 활용 초거대 AI 정부과제 선정... AI 전자계약·전자문서 서비스 'eformsign AI' 하반기 출시 목표</t>
  </si>
  <si>
    <t>https://blog.naver.com/PostView.naver?blogId=forcsblog&amp;logNo=223908707564&amp;redirect=Dlog&amp;widgetTypeCall=true&amp;directAccess=false</t>
  </si>
  <si>
    <t>sorkim1197</t>
  </si>
  <si>
    <t>하반기 신차 2대 중 1대는 '전기차'…캐즘 돌파 승부수</t>
  </si>
  <si>
    <t>https://blog.naver.com/PostView.naver?blogId=sorkim1197&amp;logNo=223908055640&amp;redirect=Dlog&amp;widgetTypeCall=true&amp;directAccess=false</t>
  </si>
  <si>
    <t>[Who Is ?] 김영섬 코난테크놀로지 대표이사 어록</t>
  </si>
  <si>
    <t>https://blog.naver.com/PostView.naver?blogId=oricms&amp;logNo=223907864166&amp;redirect=Dlog&amp;widgetTypeCall=true&amp;directAccess=false</t>
  </si>
  <si>
    <t>2025.06.21(토) 심플랫폼 #네이버 #소버린AI</t>
  </si>
  <si>
    <t>https://blog.naver.com/PostView.naver?blogId=moneytime0135&amp;logNo=223906903074&amp;redirect=Dlog&amp;widgetTypeCall=true&amp;directAccess=false</t>
  </si>
  <si>
    <t>윤산</t>
  </si>
  <si>
    <t>딥페이크 [deepfake]</t>
  </si>
  <si>
    <t>https://blog.naver.com/PostView.naver?blogId=sucheong&amp;logNo=223905588967&amp;redirect=Dlog&amp;widgetTypeCall=true&amp;directAccess=false</t>
  </si>
  <si>
    <t>모조</t>
  </si>
  <si>
    <t>초등에서도 가능한 신문을 활용한 초등 미디어리터러시 수업법｜팩트체크 수업자료 공유</t>
  </si>
  <si>
    <t>https://blog.naver.com/PostView.naver?blogId=pickle1117&amp;logNo=223905399355&amp;redirect=Dlog&amp;widgetTypeCall=true&amp;directAccess=false</t>
  </si>
  <si>
    <t>곰말나무</t>
  </si>
  <si>
    <t>서경 하늘이 내린 재앙은 오히려 피할 수 있으나 스스로 만든 재앙에는 살 길이 없다.</t>
  </si>
  <si>
    <t>https://blog.naver.com/PostView.naver?blogId=pljh01&amp;logNo=223904509099&amp;redirect=Dlog&amp;widgetTypeCall=true&amp;directAccess=false</t>
  </si>
  <si>
    <t>이십일</t>
  </si>
  <si>
    <t>yes24 단상</t>
  </si>
  <si>
    <t>https://blog.naver.com/PostView.naver?blogId=seearomi&amp;logNo=223904456244&amp;redirect=Dlog&amp;widgetTypeCall=true&amp;directAccess=false</t>
  </si>
  <si>
    <t>대청봉</t>
  </si>
  <si>
    <t>속초 강원의역사, 강원일보 창간 80주년 기념 속초의 어제와 오늘</t>
  </si>
  <si>
    <t>https://blog.naver.com/PostView.naver?blogId=daichung&amp;logNo=223901935505&amp;redirect=Dlog&amp;widgetTypeCall=true&amp;directAccess=false</t>
  </si>
  <si>
    <t>아리랑 6호 발사 내년 1분기로 연기, 자력 발사 능력 확보 시급?</t>
  </si>
  <si>
    <t>https://blog.naver.com/PostView.naver?blogId=kuk1271&amp;logNo=223901793535&amp;redirect=Dlog&amp;widgetTypeCall=true&amp;directAccess=false</t>
  </si>
  <si>
    <t>베트남경제연구소장</t>
  </si>
  <si>
    <t>베트남 국회, 온라인 콘텐츠에 대한 책임 강화 위해, 광고법 개정안 통과</t>
  </si>
  <si>
    <t>https://blog.naver.com/PostView.naver?blogId=kswkso&amp;logNo=223901348069&amp;redirect=Dlog&amp;widgetTypeCall=true&amp;directAccess=false</t>
  </si>
  <si>
    <t>아이폰과 애플워치에서 티머니 사용 가능</t>
  </si>
  <si>
    <t>https://blog.naver.com/PostView.naver?blogId=creta22&amp;logNo=223900687584&amp;redirect=Dlog&amp;widgetTypeCall=true&amp;directAccess=false</t>
  </si>
  <si>
    <t>중국 허베이성 한단시에서 발생한 싱크홀 사고로 차량 2대 빠짐</t>
  </si>
  <si>
    <t>https://blog.naver.com/PostView.naver?blogId=krsongc2&amp;logNo=223899084402&amp;redirect=Dlog&amp;widgetTypeCall=true&amp;directAccess=false</t>
  </si>
  <si>
    <t>세계 여행 버킷 리스트, 레게 음악의 카리브해 여행_자메이카</t>
  </si>
  <si>
    <t>https://blog.naver.com/PostView.naver?blogId=hyjang0908&amp;logNo=223898351966&amp;redirect=Dlog&amp;widgetTypeCall=true&amp;directAccess=false</t>
  </si>
  <si>
    <t>[시니어 마케팅] AI를 활용한 시니어 케어 시스템</t>
  </si>
  <si>
    <t>https://blog.naver.com/PostView.naver?blogId=msp3441&amp;logNo=223896868570&amp;redirect=Dlog&amp;widgetTypeCall=true&amp;directAccess=false</t>
  </si>
  <si>
    <t>세계 여행 버킷 리스트, 열정이 넘치는 카리브해 여행_쿠바</t>
  </si>
  <si>
    <t>https://blog.naver.com/PostView.naver?blogId=hyjang0908&amp;logNo=223896088000&amp;redirect=Dlog&amp;widgetTypeCall=true&amp;directAccess=false</t>
  </si>
  <si>
    <t>므째이토마토</t>
  </si>
  <si>
    <t>2025.06.11 기사 스크랩</t>
  </si>
  <si>
    <t>https://blog.naver.com/PostView.naver?blogId=0322abc&amp;logNo=223895309306&amp;redirect=Dlog&amp;widgetTypeCall=true&amp;directAccess=false</t>
  </si>
  <si>
    <t>우연</t>
  </si>
  <si>
    <t>우리나라 경제? 이제 올라갈꼐~</t>
  </si>
  <si>
    <t>https://blog.naver.com/PostView.naver?blogId=jms07122&amp;logNo=223893047184&amp;redirect=Dlog&amp;widgetTypeCall=true&amp;directAccess=false</t>
  </si>
  <si>
    <t>[스크랩] 폭증하는 반도체 제조 데이터… 'CPU→GPU' 전환 시도</t>
  </si>
  <si>
    <t>https://blog.naver.com/PostView.naver?blogId=236summer&amp;logNo=223888918494&amp;redirect=Dlog&amp;widgetTypeCall=true&amp;directAccess=false</t>
  </si>
  <si>
    <t>김태현</t>
  </si>
  <si>
    <t>삼성서울병원, '맞춤형 AI 모델' 서비스 환경 구축</t>
  </si>
  <si>
    <t>https://blog.naver.com/PostView.naver?blogId=teahyun0408&amp;logNo=223891436059&amp;redirect=Dlog&amp;widgetTypeCall=true&amp;directAccess=false</t>
  </si>
  <si>
    <t>[스크랩] 마이크론, 모바일용 1감마 D램 업계 최초 출하</t>
  </si>
  <si>
    <t>https://blog.naver.com/PostView.naver?blogId=236summer&amp;logNo=223888917010&amp;redirect=Dlog&amp;widgetTypeCall=true&amp;directAccess=false</t>
  </si>
  <si>
    <t>세계 여행 버킷 리스트, 지구의 마지막 오지 태평양 여행_파푸아뉴기니</t>
  </si>
  <si>
    <t>https://blog.naver.com/PostView.naver?blogId=hyjang0908&amp;logNo=223889892039&amp;redirect=Dlog&amp;widgetTypeCall=true&amp;directAccess=false</t>
  </si>
  <si>
    <t>로봇 개, 미국 텍사스에서 택배 배송 시작한다..</t>
  </si>
  <si>
    <t>https://blog.naver.com/PostView.naver?blogId=smarter0921&amp;logNo=223889119713&amp;redirect=Dlog&amp;widgetTypeCall=true&amp;directAccess=false</t>
  </si>
  <si>
    <t>진꾸</t>
  </si>
  <si>
    <t>[중국 상하이] Peet's Coffee 皮爷咖啡(南京路步行街店)</t>
  </si>
  <si>
    <t>https://blog.naver.com/PostView.naver?blogId=piruna2&amp;logNo=223887955078&amp;redirect=Dlog&amp;widgetTypeCall=true&amp;directAccess=false</t>
  </si>
  <si>
    <t>찰리멍구</t>
  </si>
  <si>
    <t>2025년 06월 04일 - 더존비즈온 사업보고서를 읽어본다.</t>
  </si>
  <si>
    <t>https://blog.naver.com/PostView.naver?blogId=buffet83&amp;logNo=223887993246&amp;redirect=Dlog&amp;widgetTypeCall=true&amp;directAccess=false</t>
  </si>
  <si>
    <t>새벽</t>
  </si>
  <si>
    <t>제21대 대통령 선거와 바람</t>
  </si>
  <si>
    <t>https://blog.naver.com/PostView.naver?blogId=office0&amp;logNo=223887890651&amp;redirect=Dlog&amp;widgetTypeCall=true&amp;directAccess=false</t>
  </si>
  <si>
    <t>LG전자-AI안전연구소, '책임 있는 AI' 연구한다</t>
  </si>
  <si>
    <t>https://blog.naver.com/PostView.naver?blogId=eremoval&amp;logNo=223887099152&amp;redirect=Dlog&amp;widgetTypeCall=true&amp;directAccess=false</t>
  </si>
  <si>
    <t>국제신문</t>
  </si>
  <si>
    <t>문승주</t>
  </si>
  <si>
    <t>함양 팔봉산(655)</t>
  </si>
  <si>
    <t>https://blog.naver.com/PostView.naver?blogId=msj08123&amp;logNo=223916676011&amp;redirect=Dlog&amp;widgetTypeCall=true&amp;directAccess=false</t>
  </si>
  <si>
    <t>디딤돌·버팀목 대출 한도 최대 1억 원 줄인다. 주택 구입 후 6개월 내 처분[출처. 국제신문]</t>
  </si>
  <si>
    <t>https://blog.naver.com/PostView.naver?blogId=qlms3059&amp;logNo=223916400368&amp;redirect=Dlog&amp;widgetTypeCall=true&amp;directAccess=false</t>
  </si>
  <si>
    <t>2025년 6월 30일 (월) 국제신문</t>
  </si>
  <si>
    <t>https://blog.naver.com/PostView.naver?blogId=theblock101&amp;logNo=223916199090&amp;redirect=Dlog&amp;widgetTypeCall=true&amp;directAccess=false</t>
  </si>
  <si>
    <t>수석</t>
  </si>
  <si>
    <t>영남알프스둘레길 17구간</t>
  </si>
  <si>
    <t>https://blog.naver.com/PostView.naver?blogId=haneuigu&amp;logNo=223915536644&amp;redirect=Dlog&amp;widgetTypeCall=true&amp;directAccess=false</t>
  </si>
  <si>
    <t>맥화랑</t>
  </si>
  <si>
    <t>[맥화랑 보도자료 | 국제신문] 2025. 06. 11일자: [전시] 맥화랑 ‘멀고 가까운 섬들’</t>
  </si>
  <si>
    <t>https://blog.naver.com/PostView.naver?blogId=gallery_mac&amp;logNo=223913705222&amp;redirect=Dlog&amp;widgetTypeCall=true&amp;directAccess=false</t>
  </si>
  <si>
    <t>신길동 복덕방</t>
  </si>
  <si>
    <t>폐교된 부산남고, 워케이션 센터로 활용 추진</t>
  </si>
  <si>
    <t>https://blog.naver.com/PostView.naver?blogId=landnhousing&amp;logNo=223913685836&amp;redirect=Dlog&amp;widgetTypeCall=true&amp;directAccess=false</t>
  </si>
  <si>
    <t>해운대 ‘라운지 클럽’ 돌아온다. 야간 국내외 관광객 유입 기대[출처. 국제신문]</t>
  </si>
  <si>
    <t>https://blog.naver.com/PostView.naver?blogId=qlms3059&amp;logNo=223913337315&amp;redirect=Dlog&amp;widgetTypeCall=true&amp;directAccess=false</t>
  </si>
  <si>
    <t>2025년 6월 27일 (금) 국제신문</t>
  </si>
  <si>
    <t>https://blog.naver.com/PostView.naver?blogId=theblock101&amp;logNo=223913265568&amp;redirect=Dlog&amp;widgetTypeCall=true&amp;directAccess=false</t>
  </si>
  <si>
    <t>부산이전 公기관, 올해 500여 명 신입사원 뽑는다</t>
  </si>
  <si>
    <t>https://blog.naver.com/PostView.naver?blogId=seomyeonposco8545&amp;logNo=223912735436&amp;redirect=Dlog&amp;widgetTypeCall=true&amp;directAccess=false</t>
  </si>
  <si>
    <t>[중대재해] 울산 울주군, 전기 공정 점검 중 근로자 추락 사망</t>
  </si>
  <si>
    <t>https://blog.naver.com/PostView.naver?blogId=safefirst1004&amp;logNo=223912066154&amp;redirect=Dlog&amp;widgetTypeCall=true&amp;directAccess=false</t>
  </si>
  <si>
    <t>하남 아파트 지하주차장서 전기차 화재…75명 대피·2명 구조</t>
  </si>
  <si>
    <t>https://blog.naver.com/PostView.naver?blogId=meangju2020&amp;logNo=223910864270&amp;redirect=Dlog&amp;widgetTypeCall=true&amp;directAccess=false</t>
  </si>
  <si>
    <t>2025년 6월 25일 (수) 국제신문</t>
  </si>
  <si>
    <t>https://blog.naver.com/PostView.naver?blogId=theblock101&amp;logNo=223910785265&amp;redirect=Dlog&amp;widgetTypeCall=true&amp;directAccess=false</t>
  </si>
  <si>
    <t>부산동래 온천장 금강공원 금어사(金魚寺)와 차밭골문화원 방문기</t>
  </si>
  <si>
    <t>https://blog.naver.com/PostView.naver?blogId=babyksd&amp;logNo=223910142849&amp;redirect=Dlog&amp;widgetTypeCall=true&amp;directAccess=false</t>
  </si>
  <si>
    <t>영남알프스둘레길 16구간</t>
  </si>
  <si>
    <t>https://blog.naver.com/PostView.naver?blogId=haneuigu&amp;logNo=223908548343&amp;redirect=Dlog&amp;widgetTypeCall=true&amp;directAccess=false</t>
  </si>
  <si>
    <t>haorem</t>
  </si>
  <si>
    <t>신임 해수부 차관에 김성범… 업무 정통한 해양 관료</t>
  </si>
  <si>
    <t>https://blog.naver.com/PostView.naver?blogId=haorem&amp;logNo=223908522364&amp;redirect=Dlog&amp;widgetTypeCall=true&amp;directAccess=false</t>
  </si>
  <si>
    <t>benel</t>
  </si>
  <si>
    <t>[산] 양산_동산 장성길 20210925</t>
  </si>
  <si>
    <t>https://blog.naver.com/PostView.naver?blogId=benel&amp;logNo=223905177292&amp;redirect=Dlog&amp;widgetTypeCall=true&amp;directAccess=false</t>
  </si>
  <si>
    <t>규미</t>
  </si>
  <si>
    <t>언제나 거기 그대로, 남포동 LP바 코헨</t>
  </si>
  <si>
    <t>https://blog.naver.com/PostView.naver?blogId=subaru0912&amp;logNo=223905164909&amp;redirect=Dlog&amp;widgetTypeCall=true&amp;directAccess=false</t>
  </si>
  <si>
    <t>박물관에서 꺼낸 바다 &lt;42&gt; 집요한 탐구와 따뜻한 시선 사이 ‘우해이어보’</t>
  </si>
  <si>
    <t>https://blog.naver.com/PostView.naver?blogId=dwyun60&amp;logNo=223904482821&amp;redirect=Dlog&amp;widgetTypeCall=true&amp;directAccess=false</t>
  </si>
  <si>
    <t>[수장고에서 찾아낸 유물이야기] &lt;146&gt; 구한말 홍보용 태극기</t>
  </si>
  <si>
    <t>https://blog.naver.com/PostView.naver?blogId=dwyun60&amp;logNo=223904480897&amp;redirect=Dlog&amp;widgetTypeCall=true&amp;directAccess=false</t>
  </si>
  <si>
    <t>[수장고에서 찾아낸 유물이야기] &lt;145&gt; 연산동 고분군 M3호분 출토 검릉형행엽(劍菱形杏葉)</t>
  </si>
  <si>
    <t>https://blog.naver.com/PostView.naver?blogId=dwyun60&amp;logNo=223904479878&amp;redirect=Dlog&amp;widgetTypeCall=true&amp;directAccess=false</t>
  </si>
  <si>
    <t>영남알프스둘레길 15구간</t>
  </si>
  <si>
    <t>https://blog.naver.com/PostView.naver?blogId=haneuigu&amp;logNo=223904422636&amp;redirect=Dlog&amp;widgetTypeCall=true&amp;directAccess=false</t>
  </si>
  <si>
    <t>천산정복</t>
  </si>
  <si>
    <t>북암산,문바위 산행 (2025,06,18) 25-35</t>
  </si>
  <si>
    <t>https://blog.naver.com/PostView.naver?blogId=lckyu6933&amp;logNo=223903812957&amp;redirect=Dlog&amp;widgetTypeCall=true&amp;directAccess=false</t>
  </si>
  <si>
    <t>2025년 6월 16일, 오늘은 오후까지 전국에 비. X 반응.</t>
  </si>
  <si>
    <t>https://blog.naver.com/PostView.naver?blogId=shinswoong75&amp;logNo=223901386854&amp;redirect=Dlog&amp;widgetTypeCall=true&amp;directAccess=false</t>
  </si>
  <si>
    <t>Robert Kim</t>
  </si>
  <si>
    <t>부산시설공단, 홍보기자단 ‘BISCO리포터’ 실무교육 실시</t>
  </si>
  <si>
    <t>https://blog.naver.com/PostView.naver?blogId=sattoefl&amp;logNo=223897029049&amp;redirect=Dlog&amp;widgetTypeCall=true&amp;directAccess=false</t>
  </si>
  <si>
    <t>BFC</t>
  </si>
  <si>
    <t>(국제신문) [CEO 칼럼]해양패권 재건을 꿈꾸는 미국... 한국도 해양 비서관 신설해야...</t>
  </si>
  <si>
    <t>https://blog.naver.com/PostView.naver?blogId=busanfinc&amp;logNo=223896817248&amp;redirect=Dlog&amp;widgetTypeCall=true&amp;directAccess=false</t>
  </si>
  <si>
    <t>밤꽃이 피는 시절....</t>
  </si>
  <si>
    <t>https://blog.naver.com/PostView.naver?blogId=edtdjk&amp;logNo=223896454219&amp;redirect=Dlog&amp;widgetTypeCall=true&amp;directAccess=false</t>
  </si>
  <si>
    <t>거제동 매물왕</t>
  </si>
  <si>
    <t>무주택자만 '줍줍'가능</t>
  </si>
  <si>
    <t>https://blog.naver.com/PostView.naver?blogId=kimb107081&amp;logNo=223895940168&amp;redirect=Dlog&amp;widgetTypeCall=true&amp;directAccess=false</t>
  </si>
  <si>
    <t>악마</t>
  </si>
  <si>
    <t>2025년 6월 두번째 주간일상</t>
  </si>
  <si>
    <t>https://blog.naver.com/PostView.naver?blogId=genzer&amp;logNo=223895736345&amp;redirect=Dlog&amp;widgetTypeCall=true&amp;directAccess=false</t>
  </si>
  <si>
    <t>경남 고성군 용호항 정주 여건 몰라보게 달라진다</t>
  </si>
  <si>
    <t>https://blog.naver.com/PostView.naver?blogId=haorem&amp;logNo=223893882831&amp;redirect=Dlog&amp;widgetTypeCall=true&amp;directAccess=false</t>
  </si>
  <si>
    <t>“아들 죽음 원인조차 몰라” 마음病 깊어지고 일상 망가져</t>
  </si>
  <si>
    <t>https://blog.naver.com/PostView.naver?blogId=yfish66&amp;logNo=223892887229&amp;redirect=Dlog&amp;widgetTypeCall=true&amp;directAccess=false</t>
  </si>
  <si>
    <t>`25.6.9. 뉴스&amp;생각(양극화 심화)</t>
  </si>
  <si>
    <t>https://blog.naver.com/PostView.naver?blogId=life2p&amp;logNo=223892863679&amp;redirect=Dlog&amp;widgetTypeCall=true&amp;directAccess=false</t>
  </si>
  <si>
    <t>산마루</t>
  </si>
  <si>
    <t>영지둘레길,영지석불좌상,원성왕릉(괘릉)</t>
  </si>
  <si>
    <t>https://blog.naver.com/PostView.naver?blogId=kbh0403&amp;logNo=223886496477&amp;redirect=Dlog&amp;widgetTypeCall=true&amp;directAccess=false</t>
  </si>
  <si>
    <t>영남알프스둘레길 14구간</t>
  </si>
  <si>
    <t>https://blog.naver.com/PostView.naver?blogId=haneuigu&amp;logNo=223892395215&amp;redirect=Dlog&amp;widgetTypeCall=true&amp;directAccess=false</t>
  </si>
  <si>
    <t>영남알프스둘레길 13구간</t>
  </si>
  <si>
    <t>https://blog.naver.com/PostView.naver?blogId=haneuigu&amp;logNo=223890853374&amp;redirect=Dlog&amp;widgetTypeCall=true&amp;directAccess=false</t>
  </si>
  <si>
    <t>“ISA에 꼭 넣어야 할 자산 우선순위 TOP 5” 의 영상 요약</t>
  </si>
  <si>
    <t>https://blog.naver.com/PostView.naver?blogId=lucidjun&amp;logNo=223890504853&amp;redirect=Dlog&amp;widgetTypeCall=true&amp;directAccess=false</t>
  </si>
  <si>
    <t>수영강~온천천 보행교 만든다. 해운대구 건립 타당성 용역 추진[출처. 국제신문]</t>
  </si>
  <si>
    <t>https://blog.naver.com/PostView.naver?blogId=qlms3059&amp;logNo=223890306009&amp;redirect=Dlog&amp;widgetTypeCall=true&amp;directAccess=false</t>
  </si>
  <si>
    <t>금남정맥01 - 운장산(서봉) 구간 : 금남정맥의 최고봉 운장산雲長山이 금강의 길을 열다..</t>
  </si>
  <si>
    <t>https://blog.naver.com/PostView.naver?blogId=kmhcsh-&amp;logNo=223889253400&amp;redirect=Dlog&amp;widgetTypeCall=true&amp;directAccess=false</t>
  </si>
  <si>
    <t>가다미</t>
  </si>
  <si>
    <t>2025 다이아몬드브리지 국제걷기축제</t>
  </si>
  <si>
    <t>https://blog.naver.com/PostView.naver?blogId=gadami_blog&amp;logNo=223888023300&amp;redirect=Dlog&amp;widgetTypeCall=true&amp;directAccess=false</t>
  </si>
  <si>
    <t>2025년 6월 4일 (수) 국제신문 지면기사</t>
  </si>
  <si>
    <t>https://blog.naver.com/PostView.naver?blogId=theblock101&amp;logNo=223887848263&amp;redirect=Dlog&amp;widgetTypeCall=true&amp;directAccess=false</t>
  </si>
  <si>
    <t>2025년 6월 3일 (화) 국제신문 지면기사</t>
  </si>
  <si>
    <t>https://blog.naver.com/PostView.naver?blogId=theblock101&amp;logNo=223886831936&amp;redirect=Dlog&amp;widgetTypeCall=true&amp;directAccess=false</t>
  </si>
  <si>
    <t>동해 두타산▲ 베틀바위 마천루</t>
  </si>
  <si>
    <t>https://blog.naver.com/PostView.naver?blogId=onr678&amp;logNo=223886825715&amp;redirect=Dlog&amp;widgetTypeCall=true&amp;directAccess=false</t>
  </si>
  <si>
    <t>지식공감</t>
  </si>
  <si>
    <t>나를 만든 사소한 순간</t>
  </si>
  <si>
    <t>https://blog.naver.com/PostView.naver?blogId=bookdaum&amp;logNo=223885718139&amp;redirect=Dlog&amp;widgetTypeCall=true&amp;directAccess=false</t>
  </si>
  <si>
    <t>6월 2일, 과거의 오늘</t>
  </si>
  <si>
    <t>https://blog.naver.com/PostView.naver?blogId=gudtjs070&amp;logNo=223846844656&amp;redirect=Dlog&amp;widgetTypeCall=true&amp;directAccess=false</t>
  </si>
  <si>
    <t>2025년 6월 2일 (월) 국제신문 지면기사</t>
  </si>
  <si>
    <t>https://blog.naver.com/PostView.naver?blogId=theblock101&amp;logNo=223885562540&amp;redirect=Dlog&amp;widgetTypeCall=true&amp;directAccess=false</t>
  </si>
  <si>
    <t>보부</t>
  </si>
  <si>
    <t>(6월 2일 News) 경제·부동산 주요뉴스</t>
  </si>
  <si>
    <t>https://blog.naver.com/PostView.naver?blogId=boboo-&amp;logNo=223885422101&amp;redirect=Dlog&amp;widgetTypeCall=true&amp;directAccess=false</t>
  </si>
  <si>
    <t>시키노미야 사유리</t>
  </si>
  <si>
    <t>[기술] 전동차 회생전력 활용, 수소 개질기 전력에 사용에 관하여</t>
  </si>
  <si>
    <t>https://blog.naver.com/PostView.naver?blogId=shikieiki_vc&amp;logNo=223885112225&amp;redirect=Dlog&amp;widgetTypeCall=true&amp;directAccess=false</t>
  </si>
  <si>
    <t>망찬</t>
  </si>
  <si>
    <t>[2025.05.30] 주간 부산 재개발/부동산/거래/경제 동향 뉴스 ( JAK 제이에이케이 부산 )</t>
  </si>
  <si>
    <t>https://blog.naver.com/PostView.naver?blogId=himang1974&amp;logNo=223884143216&amp;redirect=Dlog&amp;widgetTypeCall=true&amp;directAccess=false</t>
  </si>
  <si>
    <t>아주경제</t>
  </si>
  <si>
    <t>[단독] 삼성전자, 6세대 D램 'D1c'개발 성공… 차세대 반도체 경쟁 본격 참전</t>
  </si>
  <si>
    <t>https://blog.naver.com/PostView.naver?blogId=fagasari&amp;logNo=223917065253&amp;redirect=Dlog&amp;widgetTypeCall=true&amp;directAccess=false</t>
  </si>
  <si>
    <t>kdk</t>
  </si>
  <si>
    <t>2015.03.25(수) 아주경제신문</t>
  </si>
  <si>
    <t>https://blog.naver.com/PostView.naver?blogId=kdkdbong&amp;logNo=223916244787&amp;redirect=Dlog&amp;widgetTypeCall=true&amp;directAccess=false</t>
  </si>
  <si>
    <t>아주경제 2025 부동산 정책포럼 서포터즈 활동 후기</t>
  </si>
  <si>
    <t>https://blog.naver.com/PostView.naver?blogId=adreaminjuly&amp;logNo=223912730057&amp;redirect=Dlog&amp;widgetTypeCall=true&amp;directAccess=false</t>
  </si>
  <si>
    <t>다지</t>
  </si>
  <si>
    <t>주진우 병역비리???? 반드시 규명되어</t>
  </si>
  <si>
    <t>https://blog.naver.com/PostView.naver?blogId=mjnsm&amp;logNo=223911967635&amp;redirect=Dlog&amp;widgetTypeCall=true&amp;directAccess=false</t>
  </si>
  <si>
    <t>푸라닭땡기네</t>
  </si>
  <si>
    <t>2025 부동산 정책포럼 후기</t>
  </si>
  <si>
    <t>https://blog.naver.com/PostView.naver?blogId=tax9810&amp;logNo=223911836816&amp;redirect=Dlog&amp;widgetTypeCall=true&amp;directAccess=false</t>
  </si>
  <si>
    <t>사람인 : 대한민국 대표 채용 플랫폼</t>
  </si>
  <si>
    <t>https://blog.naver.com/PostView.naver?blogId=yellowpotato12&amp;logNo=223892617317&amp;redirect=Dlog&amp;widgetTypeCall=true&amp;directAccess=false</t>
  </si>
  <si>
    <t>월간 중국</t>
  </si>
  <si>
    <t>중국인에게 훠궈란</t>
  </si>
  <si>
    <t>https://blog.naver.com/PostView.naver?blogId=touchchina&amp;logNo=223903150690&amp;redirect=Dlog&amp;widgetTypeCall=true&amp;directAccess=false</t>
  </si>
  <si>
    <t>ajunews 박 기자</t>
  </si>
  <si>
    <t>해운대문화회관, 호국보훈의 달 기념 ‘모차르트 레퀴엠’ 24일 무대에</t>
  </si>
  <si>
    <t>https://blog.naver.com/PostView.naver?blogId=kbshsh&amp;logNo=223908066501&amp;redirect=Dlog&amp;widgetTypeCall=true&amp;directAccess=false</t>
  </si>
  <si>
    <t>BNK금융, '가슴 뛰는 숏폼 공모전' 개최</t>
  </si>
  <si>
    <t>https://blog.naver.com/PostView.naver?blogId=kbshsh&amp;logNo=223906987625&amp;redirect=Dlog&amp;widgetTypeCall=true&amp;directAccess=false</t>
  </si>
  <si>
    <t>창원특례시, 시민 대상 모바일 자가안전진단 교육 실시</t>
  </si>
  <si>
    <t>https://blog.naver.com/PostView.naver?blogId=kbshsh&amp;logNo=223906959619&amp;redirect=Dlog&amp;widgetTypeCall=true&amp;directAccess=false</t>
  </si>
  <si>
    <t>부경대, 제15회 환태평양국제학술대회 개최</t>
  </si>
  <si>
    <t>https://blog.naver.com/PostView.naver?blogId=kbshsh&amp;logNo=223906950597&amp;redirect=Dlog&amp;widgetTypeCall=true&amp;directAccess=false</t>
  </si>
  <si>
    <t>해운대구, 사회취약계층 반려동물 장례비 지원...부산 최초 시행</t>
  </si>
  <si>
    <t>https://blog.naver.com/PostView.naver?blogId=kbshsh&amp;logNo=223906945813&amp;redirect=Dlog&amp;widgetTypeCall=true&amp;directAccess=false</t>
  </si>
  <si>
    <t>김해시민스포츠센터 빙상장, 여름 무더위 쉼터로 무료 개방</t>
  </si>
  <si>
    <t>https://blog.naver.com/PostView.naver?blogId=kbshsh&amp;logNo=223906926444&amp;redirect=Dlog&amp;widgetTypeCall=true&amp;directAccess=false</t>
  </si>
  <si>
    <t>김해공예창작지원센터, 여름 일일공예수업 참가자 모집</t>
  </si>
  <si>
    <t>https://blog.naver.com/PostView.naver?blogId=kbshsh&amp;logNo=223906924158&amp;redirect=Dlog&amp;widgetTypeCall=true&amp;directAccess=false</t>
  </si>
  <si>
    <t>2주차 우상향 경제 단어 공부 3</t>
  </si>
  <si>
    <t>https://blog.naver.com/PostView.naver?blogId=kyuhaeart&amp;logNo=223905508799&amp;redirect=Dlog&amp;widgetTypeCall=true&amp;directAccess=false</t>
  </si>
  <si>
    <t>부산교육청, 지방공무원 565명 인사 단행…“현장 지원·공정 인사 강화”</t>
  </si>
  <si>
    <t>https://blog.naver.com/PostView.naver?blogId=kbshsh&amp;logNo=223904844260&amp;redirect=Dlog&amp;widgetTypeCall=true&amp;directAccess=false</t>
  </si>
  <si>
    <t>부산교육청, 지방공무원 필기시험 21일 실시…평균 경쟁률 15.2대1</t>
  </si>
  <si>
    <t>https://blog.naver.com/PostView.naver?blogId=kbshsh&amp;logNo=223904732645&amp;redirect=Dlog&amp;widgetTypeCall=true&amp;directAccess=false</t>
  </si>
  <si>
    <t>이언주 의원 “한화오션 하청 노사 임단협 타결 환영”</t>
  </si>
  <si>
    <t>https://blog.naver.com/PostView.naver?blogId=kbshsh&amp;logNo=223904705642&amp;redirect=Dlog&amp;widgetTypeCall=true&amp;directAccess=false</t>
  </si>
  <si>
    <t>정태숙 시의원, 현장 중심 지원정책 촉구</t>
  </si>
  <si>
    <t>https://blog.naver.com/PostView.naver?blogId=kbshsh&amp;logNo=223904685129&amp;redirect=Dlog&amp;widgetTypeCall=true&amp;directAccess=false</t>
  </si>
  <si>
    <t>인생클래스</t>
  </si>
  <si>
    <t>이창용 총재 "원화 스테이블코인 발행 필요…은행산업 변화도 고려해야</t>
  </si>
  <si>
    <t>https://blog.naver.com/PostView.naver?blogId=kh1342lee&amp;logNo=223903567296&amp;redirect=Dlog&amp;widgetTypeCall=true&amp;directAccess=false</t>
  </si>
  <si>
    <t>거제시보건소, '뱃살down 근력up' 건강교실 2기 운영</t>
  </si>
  <si>
    <t>https://blog.naver.com/PostView.naver?blogId=kbshsh&amp;logNo=223902484300&amp;redirect=Dlog&amp;widgetTypeCall=true&amp;directAccess=false</t>
  </si>
  <si>
    <t>부산 동구, ‘디지털 관광주민증’ 공모 선정</t>
  </si>
  <si>
    <t>https://blog.naver.com/PostView.naver?blogId=kbshsh&amp;logNo=223902462329&amp;redirect=Dlog&amp;widgetTypeCall=true&amp;directAccess=false</t>
  </si>
  <si>
    <t>조방거리로 나온 꽃시장...부산 동구 ‘자유시장 프리마켓’ 성황</t>
  </si>
  <si>
    <t>https://blog.naver.com/PostView.naver?blogId=kbshsh&amp;logNo=223902458322&amp;redirect=Dlog&amp;widgetTypeCall=true&amp;directAccess=false</t>
  </si>
  <si>
    <t>경남정보대, 제1회 디카시 국제학술교류전 개최</t>
  </si>
  <si>
    <t>https://blog.naver.com/PostView.naver?blogId=kbshsh&amp;logNo=223902385158&amp;redirect=Dlog&amp;widgetTypeCall=true&amp;directAccess=false</t>
  </si>
  <si>
    <t>김해시, 기술혁신 선도기업 8곳 선정</t>
  </si>
  <si>
    <t>https://blog.naver.com/PostView.naver?blogId=kbshsh&amp;logNo=223902374209&amp;redirect=Dlog&amp;widgetTypeCall=true&amp;directAccess=false</t>
  </si>
  <si>
    <t>부산에 1조8천억 원 규모 AI 데이터센터 들어선다</t>
  </si>
  <si>
    <t>https://blog.naver.com/PostView.naver?blogId=kbshsh&amp;logNo=223902369571&amp;redirect=Dlog&amp;widgetTypeCall=true&amp;directAccess=false</t>
  </si>
  <si>
    <t>부산에 1조 8천억 AI 데이터센터 들어선다…이지스자산운용과 투자양해각서 체결</t>
  </si>
  <si>
    <t>https://blog.naver.com/PostView.naver?blogId=kbshsh&amp;logNo=223901792271&amp;redirect=Dlog&amp;widgetTypeCall=true&amp;directAccess=false</t>
  </si>
  <si>
    <t>김건희 서울 아산병원 입원</t>
  </si>
  <si>
    <t>https://blog.naver.com/PostView.naver?blogId=creta22&amp;logNo=223901273617&amp;redirect=Dlog&amp;widgetTypeCall=true&amp;directAccess=false</t>
  </si>
  <si>
    <t>국립부경대-부산남부소방서, 대규모 합동 소방훈련 실시..170여 명 참여</t>
  </si>
  <si>
    <t>https://blog.naver.com/PostView.naver?blogId=kbshsh&amp;logNo=223901031335&amp;redirect=Dlog&amp;widgetTypeCall=true&amp;directAccess=false</t>
  </si>
  <si>
    <t>해경, 해양종사자 인권침해 특별단속 돌입</t>
  </si>
  <si>
    <t>https://blog.naver.com/PostView.naver?blogId=kbshsh&amp;logNo=223900846554&amp;redirect=Dlog&amp;widgetTypeCall=true&amp;directAccess=false</t>
  </si>
  <si>
    <t>치치</t>
  </si>
  <si>
    <t>[기업공부] 지누스</t>
  </si>
  <si>
    <t>https://blog.naver.com/PostView.naver?blogId=stromgg&amp;logNo=223900199851&amp;redirect=Dlog&amp;widgetTypeCall=true&amp;directAccess=false</t>
  </si>
  <si>
    <t>김비비</t>
  </si>
  <si>
    <t>6월 2째주 재료공부</t>
  </si>
  <si>
    <t>https://blog.naver.com/PostView.naver?blogId=momtech2023&amp;logNo=223899233158&amp;redirect=Dlog&amp;widgetTypeCall=true&amp;directAccess=false</t>
  </si>
  <si>
    <t>청주 상당구 영운동 아파트 납치사건 대낮에 각목 들고 20대 남성 납치한 일당 3명 긴급체포</t>
  </si>
  <si>
    <t>https://blog.naver.com/PostView.naver?blogId=elqlqhk&amp;logNo=223894790000&amp;redirect=Dlog&amp;widgetTypeCall=true&amp;directAccess=false</t>
  </si>
  <si>
    <t>추미애 "혹독한 시련 닥쳐도 소중한 양심의 끈은 이어져"</t>
  </si>
  <si>
    <t>https://blog.naver.com/PostView.naver?blogId=eremoval&amp;logNo=223891978789&amp;redirect=Dlog&amp;widgetTypeCall=true&amp;directAccess=false</t>
  </si>
  <si>
    <t>oliveyoung_summary</t>
  </si>
  <si>
    <t>올리브영 소개하기</t>
  </si>
  <si>
    <t>https://blog.naver.com/PostView.naver?blogId=oliveyoung_summary&amp;logNo=223891579342&amp;redirect=Dlog&amp;widgetTypeCall=true&amp;directAccess=false</t>
  </si>
  <si>
    <t>중국라이프Life</t>
  </si>
  <si>
    <t>중국 조선족을 대표하는 전국조선족연합발전위원회 창립, 커시안그룹 박 걸 회장 취임</t>
  </si>
  <si>
    <t>https://blog.naver.com/PostView.naver?blogId=golife88&amp;logNo=223888979417&amp;redirect=Dlog&amp;widgetTypeCall=true&amp;directAccess=false</t>
  </si>
  <si>
    <t>매일신문</t>
  </si>
  <si>
    <t>[퍼옴]디딤돌·버팀목대출도 '옥죄기'…지방 상황 고려한 정책 만들어져야</t>
  </si>
  <si>
    <t>https://blog.naver.com/PostView.naver?blogId=sdg-hwasung2011&amp;logNo=223917157838&amp;redirect=Dlog&amp;widgetTypeCall=true&amp;directAccess=false</t>
  </si>
  <si>
    <t>대출 막으면 집값 안정? No! No!!</t>
  </si>
  <si>
    <t>https://blog.naver.com/PostView.naver?blogId=echoxy&amp;logNo=223917024321&amp;redirect=Dlog&amp;widgetTypeCall=true&amp;directAccess=false</t>
  </si>
  <si>
    <t>[민주노총광주본부 사무실 이전 개소식] 6/26. 100여명 참석 성황리에 개최. 광주진보연대는 신안동으로 이전.</t>
  </si>
  <si>
    <t>https://blog.naver.com/PostView.naver?blogId=powergwangju&amp;logNo=223916821157&amp;redirect=Dlog&amp;widgetTypeCall=true&amp;directAccess=false</t>
  </si>
  <si>
    <t>sionmam07</t>
  </si>
  <si>
    <t>[신문읽기] 이진숙 교육부 장관 후보자 "교육 통한 균형발전 실현"</t>
  </si>
  <si>
    <t>https://blog.naver.com/PostView.naver?blogId=sionmam07&amp;logNo=223916628623&amp;redirect=Dlog&amp;widgetTypeCall=true&amp;directAccess=false</t>
  </si>
  <si>
    <t>중구, 주민소통방서 고민 해결하는 ‘중구랑해’ 운영</t>
  </si>
  <si>
    <t>https://blog.naver.com/PostView.naver?blogId=jeonmaenews&amp;logNo=223916313132&amp;redirect=Dlog&amp;widgetTypeCall=true&amp;directAccess=false</t>
  </si>
  <si>
    <t>영등포구의회, 16일 일정 제261회 제1차 정례회 폐회</t>
  </si>
  <si>
    <t>https://blog.naver.com/PostView.naver?blogId=jeonmaenews&amp;logNo=223916296181&amp;redirect=Dlog&amp;widgetTypeCall=true&amp;directAccess=false</t>
  </si>
  <si>
    <t>영등포구, 어린이집 등 전신주 40곳에 안전보호대 설치</t>
  </si>
  <si>
    <t>https://blog.naver.com/PostView.naver?blogId=jeonmaenews&amp;logNo=223916283077&amp;redirect=Dlog&amp;widgetTypeCall=true&amp;directAccess=false</t>
  </si>
  <si>
    <t>성북구의회, 제312회 제1차 정례회 폐회…25일 일정 마무리</t>
  </si>
  <si>
    <t>https://blog.naver.com/PostView.naver?blogId=jeonmaenews&amp;logNo=223916259682&amp;redirect=Dlog&amp;widgetTypeCall=true&amp;directAccess=false</t>
  </si>
  <si>
    <t>성북구의회 공동주택정책연구회, 공동주택 정책 발전 간담회 개최</t>
  </si>
  <si>
    <t>https://blog.naver.com/PostView.naver?blogId=jeonmaenews&amp;logNo=223916249618&amp;redirect=Dlog&amp;widgetTypeCall=true&amp;directAccess=false</t>
  </si>
  <si>
    <t>성북구, 장위3동주민센터에 ‘키움센터 14호점’ 개소</t>
  </si>
  <si>
    <t>https://blog.naver.com/PostView.naver?blogId=jeonmaenews&amp;logNo=223916242305&amp;redirect=Dlog&amp;widgetTypeCall=true&amp;directAccess=false</t>
  </si>
  <si>
    <t>홍국표 시의원, 도봉구 특별교부금 27억6천만 확보</t>
  </si>
  <si>
    <t>https://blog.naver.com/PostView.naver?blogId=jeonmaenews&amp;logNo=223916228853&amp;redirect=Dlog&amp;widgetTypeCall=true&amp;directAccess=false</t>
  </si>
  <si>
    <t>왕정순 의원 대표발의, 서울시 인공지능 기본조례안 본회의 통과</t>
  </si>
  <si>
    <t>https://blog.naver.com/PostView.naver?blogId=jeonmaenews&amp;logNo=223916223429&amp;redirect=Dlog&amp;widgetTypeCall=true&amp;directAccess=false</t>
  </si>
  <si>
    <t>서울시교육청, 체육계열 수시 대학 설명회 개최</t>
  </si>
  <si>
    <t>https://blog.naver.com/PostView.naver?blogId=jeonmaenews&amp;logNo=223916212857&amp;redirect=Dlog&amp;widgetTypeCall=true&amp;directAccess=false</t>
  </si>
  <si>
    <t>2025년 6월 30일 (월) 매일신문</t>
  </si>
  <si>
    <t>https://blog.naver.com/PostView.naver?blogId=theblock101&amp;logNo=223916200091&amp;redirect=Dlog&amp;widgetTypeCall=true&amp;directAccess=false</t>
  </si>
  <si>
    <t>동대문구, ‘중랑천바람길숲조성사업’ 마무리</t>
  </si>
  <si>
    <t>https://blog.naver.com/PostView.naver?blogId=jeonmaenews&amp;logNo=223916191697&amp;redirect=Dlog&amp;widgetTypeCall=true&amp;directAccess=false</t>
  </si>
  <si>
    <t>동대문구, 암환자 ‘가발구입비’ 최대 70만 원 지원</t>
  </si>
  <si>
    <t>https://blog.naver.com/PostView.naver?blogId=jeonmaenews&amp;logNo=223916186225&amp;redirect=Dlog&amp;widgetTypeCall=true&amp;directAccess=false</t>
  </si>
  <si>
    <t>2026 완도군수 선거, 3선 제한 이후 8인 각축전…차기 군수 후보군 총정리</t>
  </si>
  <si>
    <t>https://blog.naver.com/PostView.naver?blogId=underwind-&amp;logNo=223916184472&amp;redirect=Dlog&amp;widgetTypeCall=true&amp;directAccess=false</t>
  </si>
  <si>
    <t>강서구, 화곡본동시장에 24시간 고객주차장 신설</t>
  </si>
  <si>
    <t>https://blog.naver.com/PostView.naver?blogId=jeonmaenews&amp;logNo=223916173527&amp;redirect=Dlog&amp;widgetTypeCall=true&amp;directAccess=false</t>
  </si>
  <si>
    <t>강서구, 내달 4일까지 해외시장 진출 행사 참여 기업 모집</t>
  </si>
  <si>
    <t>https://blog.naver.com/PostView.naver?blogId=jeonmaenews&amp;logNo=223916170505&amp;redirect=Dlog&amp;widgetTypeCall=true&amp;directAccess=false</t>
  </si>
  <si>
    <t>강서구, 양성평등 콘텐츠 공모전 개최</t>
  </si>
  <si>
    <t>https://blog.naver.com/PostView.naver?blogId=jeonmaenews&amp;logNo=223916165355&amp;redirect=Dlog&amp;widgetTypeCall=true&amp;directAccess=false</t>
  </si>
  <si>
    <t>이재명의 국민추천제 뭐 이래? 정은경을 복지부장관?</t>
  </si>
  <si>
    <t>https://blog.naver.com/PostView.naver?blogId=zeenokim&amp;logNo=223916139001&amp;redirect=Dlog&amp;widgetTypeCall=true&amp;directAccess=false</t>
  </si>
  <si>
    <t>한국다문화재단</t>
  </si>
  <si>
    <t>최수진 앵커</t>
  </si>
  <si>
    <t>아름다운 밤~~</t>
  </si>
  <si>
    <t>https://blog.naver.com/PostView.naver?blogId=gjc-news-google-news&amp;logNo=223915757925&amp;redirect=Dlog&amp;widgetTypeCall=true&amp;directAccess=false</t>
  </si>
  <si>
    <t>Kim the Wanderer</t>
  </si>
  <si>
    <t>1강-♡내가 명리학을 배운 이유♡</t>
  </si>
  <si>
    <t>https://blog.naver.com/PostView.naver?blogId=bws0628&amp;logNo=223914590852&amp;redirect=Dlog&amp;widgetTypeCall=true&amp;directAccess=false</t>
  </si>
  <si>
    <t>[우리들의 고향 의성] &lt;5&gt; 의성하면 마늘이지, 의성마늘의 세상</t>
  </si>
  <si>
    <t>https://blog.naver.com/PostView.naver?blogId=dwyun60&amp;logNo=223914474123&amp;redirect=Dlog&amp;widgetTypeCall=true&amp;directAccess=false</t>
  </si>
  <si>
    <t>일본 장마가 빨리 끝난 이유는</t>
  </si>
  <si>
    <t>https://blog.naver.com/PostView.naver?blogId=xianu&amp;logNo=223914070914&amp;redirect=Dlog&amp;widgetTypeCall=true&amp;directAccess=false</t>
  </si>
  <si>
    <t>중구, 주민과 함께 민선8기 ‘내편중구 성과공유회’ 개최</t>
  </si>
  <si>
    <t>https://blog.naver.com/PostView.naver?blogId=jeonmaenews&amp;logNo=223913426714&amp;redirect=Dlog&amp;widgetTypeCall=true&amp;directAccess=false</t>
  </si>
  <si>
    <t>양천구, 말라리아 담당 신속진단검사기관 23곳 운영</t>
  </si>
  <si>
    <t>https://blog.naver.com/PostView.naver?blogId=jeonmaenews&amp;logNo=223913398062&amp;redirect=Dlog&amp;widgetTypeCall=true&amp;directAccess=false</t>
  </si>
  <si>
    <t>성북구의회, ‘트렌드와 교육의 미래’ 초청강연회 개최</t>
  </si>
  <si>
    <t>https://blog.naver.com/PostView.naver?blogId=jeonmaenews&amp;logNo=223913378806&amp;redirect=Dlog&amp;widgetTypeCall=true&amp;directAccess=false</t>
  </si>
  <si>
    <t>이숙자 운영위원장, 입법·법률고문 운영 조례개정안 운영위 통과</t>
  </si>
  <si>
    <t>https://blog.naver.com/PostView.naver?blogId=jeonmaenews&amp;logNo=223913351130&amp;redirect=Dlog&amp;widgetTypeCall=true&amp;directAccess=false</t>
  </si>
  <si>
    <t>학교 자살위기대응 시스템' 구축…강동구, 서울시 단독 선정</t>
  </si>
  <si>
    <t>https://blog.naver.com/PostView.naver?blogId=jeonmaenews&amp;logNo=223913340592&amp;redirect=Dlog&amp;widgetTypeCall=true&amp;directAccess=false</t>
  </si>
  <si>
    <t>한지엽 동대문구의원 대표발의, ‘문화도시 조성’ 조례 최종 가결</t>
  </si>
  <si>
    <t>https://blog.naver.com/PostView.naver?blogId=jeonmaenews&amp;logNo=223913338609&amp;redirect=Dlog&amp;widgetTypeCall=true&amp;directAccess=false</t>
  </si>
  <si>
    <t>동대문구, 경로당 위생점검 등 어르신 여름 복지 ‘풀가동’</t>
  </si>
  <si>
    <t>https://blog.naver.com/PostView.naver?blogId=jeonmaenews&amp;logNo=223913328710&amp;redirect=Dlog&amp;widgetTypeCall=true&amp;directAccess=false</t>
  </si>
  <si>
    <t>동대문구, 공모 선정 지역 대상 간판개선사업 실시</t>
  </si>
  <si>
    <t>https://blog.naver.com/PostView.naver?blogId=jeonmaenews&amp;logNo=223913318821&amp;redirect=Dlog&amp;widgetTypeCall=true&amp;directAccess=false</t>
  </si>
  <si>
    <t>[매일춘추-조유진] 예술은 어디에나 있다</t>
  </si>
  <si>
    <t>https://blog.naver.com/PostView.naver?blogId=jauroi-&amp;logNo=223913269090&amp;redirect=Dlog&amp;widgetTypeCall=true&amp;directAccess=false</t>
  </si>
  <si>
    <t>‘양회동 열사’ 분신방조 가짜뉴스 전 조선일보 기자 고발 당해</t>
  </si>
  <si>
    <t>https://blog.naver.com/PostView.naver?blogId=3658290&amp;logNo=223913195445&amp;redirect=Dlog&amp;widgetTypeCall=true&amp;directAccess=false</t>
  </si>
  <si>
    <t>강서구의회, 25일 일정 제312회 제1차 정례회 폐회</t>
  </si>
  <si>
    <t>https://blog.naver.com/PostView.naver?blogId=jeonmaenews&amp;logNo=223913124784&amp;redirect=Dlog&amp;widgetTypeCall=true&amp;directAccess=false</t>
  </si>
  <si>
    <t>강서구, 주민체감형 행정 서비스 ‘AI 강서’ 본격 추진</t>
  </si>
  <si>
    <t>https://blog.naver.com/PostView.naver?blogId=jeonmaenews&amp;logNo=223913116123&amp;redirect=Dlog&amp;widgetTypeCall=true&amp;directAccess=false</t>
  </si>
  <si>
    <t>강서문화원, 가족 뮤지컬 ‘목마른 야채’ 공연</t>
  </si>
  <si>
    <t>https://blog.naver.com/PostView.naver?blogId=jeonmaenews&amp;logNo=223913093500&amp;redirect=Dlog&amp;widgetTypeCall=true&amp;directAccess=false</t>
  </si>
  <si>
    <t>스노우워커</t>
  </si>
  <si>
    <t>주식 일기 | 천천히, 한 바퀴부터</t>
  </si>
  <si>
    <t>https://blog.naver.com/PostView.naver?blogId=snowalker&amp;logNo=223912597383&amp;redirect=Dlog&amp;widgetTypeCall=true&amp;directAccess=false</t>
  </si>
  <si>
    <t>영등포구 ‘요양보호가족휴식제도’, 돌봄정책 성공 모델 제시</t>
  </si>
  <si>
    <t>https://blog.naver.com/PostView.naver?blogId=jeonmaenews&amp;logNo=223912585884&amp;redirect=Dlog&amp;widgetTypeCall=true&amp;directAccess=false</t>
  </si>
  <si>
    <t>이신우기자</t>
  </si>
  <si>
    <t>광진구, 이동노동자 여름 건강 챙긴다… 8월말까지 생수 지원</t>
  </si>
  <si>
    <t>https://blog.naver.com/PostView.naver?blogId=63swlee&amp;logNo=223912154062&amp;redirect=Dlog&amp;widgetTypeCall=true&amp;directAccess=false</t>
  </si>
  <si>
    <t>중구, 이순신 탄생 480주년 ‘명예도로명 선호도’ 조사</t>
  </si>
  <si>
    <t>https://blog.naver.com/PostView.naver?blogId=jeonmaenews&amp;logNo=223912065509&amp;redirect=Dlog&amp;widgetTypeCall=true&amp;directAccess=false</t>
  </si>
  <si>
    <t>중구의회, 2025년도 행정사무감사 종료</t>
  </si>
  <si>
    <t>https://blog.naver.com/PostView.naver?blogId=jeonmaenews&amp;logNo=223912059453&amp;redirect=Dlog&amp;widgetTypeCall=true&amp;directAccess=false</t>
  </si>
  <si>
    <t>고액·상습 체납액 전액 징수…강동구, 71건 21억 원</t>
  </si>
  <si>
    <t>https://blog.naver.com/PostView.naver?blogId=jeonmaenews&amp;logNo=223912058576&amp;redirect=Dlog&amp;widgetTypeCall=true&amp;directAccess=false</t>
  </si>
  <si>
    <t>영등포구, 영등포전통시장 일대 49층 주상복합으로 재건축</t>
  </si>
  <si>
    <t>https://blog.naver.com/PostView.naver?blogId=jeonmaenews&amp;logNo=223912050241&amp;redirect=Dlog&amp;widgetTypeCall=true&amp;directAccess=false</t>
  </si>
  <si>
    <t>양천구, 36년 신정2동주민센터 재건축…2027년 준공</t>
  </si>
  <si>
    <t>https://blog.naver.com/PostView.naver?blogId=jeonmaenews&amp;logNo=223912039512&amp;redirect=Dlog&amp;widgetTypeCall=true&amp;directAccess=false</t>
  </si>
  <si>
    <t>성북구, 장위10구역 올 연말 착공 2029년 준공 예정</t>
  </si>
  <si>
    <t>https://blog.naver.com/PostView.naver?blogId=jeonmaenews&amp;logNo=223912021725&amp;redirect=Dlog&amp;widgetTypeCall=true&amp;directAccess=false</t>
  </si>
  <si>
    <t>임만균 환경수자원위원장, 지역신문의날 광역의원 의정 대상 수상</t>
  </si>
  <si>
    <t>https://blog.naver.com/PostView.naver?blogId=jeonmaenews&amp;logNo=223912017358&amp;redirect=Dlog&amp;widgetTypeCall=true&amp;directAccess=false</t>
  </si>
  <si>
    <t>서울시의회 규제개혁특위, 부위원장에 김경훈·임규호 의원 선출</t>
  </si>
  <si>
    <t>https://blog.naver.com/PostView.naver?blogId=jeonmaenews&amp;logNo=223912013535&amp;redirect=Dlog&amp;widgetTypeCall=true&amp;directAccess=false</t>
  </si>
  <si>
    <t>동대문구, 행정환경 맞춰 민원행정·제도개선 계획 본격 추진</t>
  </si>
  <si>
    <t>https://blog.naver.com/PostView.naver?blogId=jeonmaenews&amp;logNo=223911999450&amp;redirect=Dlog&amp;widgetTypeCall=true&amp;directAccess=false</t>
  </si>
  <si>
    <t>2025년 6월 26일 (목) 매일신문</t>
  </si>
  <si>
    <t>https://blog.naver.com/PostView.naver?blogId=theblock101&amp;logNo=223911952564&amp;redirect=Dlog&amp;widgetTypeCall=true&amp;directAccess=false</t>
  </si>
  <si>
    <t>진교훈 강서구청장, 전기안전공사와 취약계층 전기설비 점검</t>
  </si>
  <si>
    <t>https://blog.naver.com/PostView.naver?blogId=jeonmaenews&amp;logNo=223911396526&amp;redirect=Dlog&amp;widgetTypeCall=true&amp;directAccess=false</t>
  </si>
  <si>
    <t>동대문구, 올 하반기 시중은행협력자금융자지원사업 시행</t>
  </si>
  <si>
    <t>https://blog.naver.com/PostView.naver?blogId=jeonmaenews&amp;logNo=223911390895&amp;redirect=Dlog&amp;widgetTypeCall=true&amp;directAccess=false</t>
  </si>
  <si>
    <t>동녘</t>
  </si>
  <si>
    <t>아픈 상처 6·25 '적군묘지 앞에서'</t>
  </si>
  <si>
    <t>https://blog.naver.com/PostView.naver?blogId=mkj502&amp;logNo=223911382359&amp;redirect=Dlog&amp;widgetTypeCall=true&amp;directAccess=false</t>
  </si>
  <si>
    <t>춘천 의암호에 펼쳐진 붉은 노을, 시민들 탄성</t>
  </si>
  <si>
    <t>https://blog.naver.com/PostView.naver?blogId=jeonmaenews&amp;logNo=223910866269&amp;redirect=Dlog&amp;widgetTypeCall=true&amp;directAccess=false</t>
  </si>
  <si>
    <t>자유를 선택한 대한민국 국민을 도북자, 반도자라니...</t>
  </si>
  <si>
    <t>https://blog.naver.com/PostView.naver?blogId=mydairy_book&amp;logNo=223910465693&amp;redirect=Dlog&amp;widgetTypeCall=true&amp;directAccess=false</t>
  </si>
  <si>
    <t>김홍남 동대문문화재단 대표, “진정성 있는 문화정책 추진하겠다”</t>
  </si>
  <si>
    <t>https://blog.naver.com/PostView.naver?blogId=jeonmaenews&amp;logNo=223909829113&amp;redirect=Dlog&amp;widgetTypeCall=true&amp;directAccess=false</t>
  </si>
  <si>
    <t>임만균 위원장, 한국신지식인협회 ‘신지식인’ 선정</t>
  </si>
  <si>
    <t>https://blog.naver.com/PostView.naver?blogId=jeonmaenews&amp;logNo=223909614804&amp;redirect=Dlog&amp;widgetTypeCall=true&amp;directAccess=false</t>
  </si>
  <si>
    <t>서정인 동대문구의원, 예산 통과 전 무단집행·사업변경 비판</t>
  </si>
  <si>
    <t>https://blog.naver.com/PostView.naver?blogId=jeonmaenews&amp;logNo=223909604501&amp;redirect=Dlog&amp;widgetTypeCall=true&amp;directAccess=false</t>
  </si>
  <si>
    <t>진주시, 하반기 공공일자리사업 8월 본격 시행</t>
  </si>
  <si>
    <t>https://blog.naver.com/PostView.naver?blogId=jeonmaenews&amp;logNo=223909595741&amp;redirect=Dlog&amp;widgetTypeCall=true&amp;directAccess=false</t>
  </si>
  <si>
    <t>하동군, 재활용 불가 영농폐기물 수거 사업 본격 추진</t>
  </si>
  <si>
    <t>https://blog.naver.com/PostView.naver?blogId=jeonmaenews&amp;logNo=223909594937&amp;redirect=Dlog&amp;widgetTypeCall=true&amp;directAccess=false</t>
  </si>
  <si>
    <t>중구, 중3 대상 온라인학습콘텐츠지원사업 시작</t>
  </si>
  <si>
    <t>https://blog.naver.com/PostView.naver?blogId=jeonmaenews&amp;logNo=223909592133&amp;redirect=Dlog&amp;widgetTypeCall=true&amp;directAccess=false</t>
  </si>
  <si>
    <t>광진구민 알뜰도서 무료 교환시장 25일~27일 개최</t>
  </si>
  <si>
    <t>https://blog.naver.com/PostView.naver?blogId=jeonmaenews&amp;logNo=223909588077&amp;redirect=Dlog&amp;widgetTypeCall=true&amp;directAccess=false</t>
  </si>
  <si>
    <t>영등포구, 안전·위생·질서 분야 옥외영업장 특별점검</t>
  </si>
  <si>
    <t>https://blog.naver.com/PostView.naver?blogId=jeonmaenews&amp;logNo=223909584254&amp;redirect=Dlog&amp;widgetTypeCall=true&amp;directAccess=false</t>
  </si>
  <si>
    <t>한국-베트남-캄보디아 우호 교류 상징, 국영TV 생중계 배지 수여식및 조찬회의」</t>
  </si>
  <si>
    <t>https://blog.naver.com/PostView.naver?blogId=dream00s&amp;logNo=223909582775&amp;redirect=Dlog&amp;widgetTypeCall=true&amp;directAccess=false</t>
  </si>
  <si>
    <t>양천구, 국가유공자·유족 300명 초청 ‘보훈가족 한마당’ 개최</t>
  </si>
  <si>
    <t>https://blog.naver.com/PostView.naver?blogId=jeonmaenews&amp;logNo=223909576050&amp;redirect=Dlog&amp;widgetTypeCall=true&amp;directAccess=false</t>
  </si>
  <si>
    <t>성북구, ‘성북사랑상품권’ 400억 완판…내달 100억 추가 발행</t>
  </si>
  <si>
    <t>https://blog.naver.com/PostView.naver?blogId=jeonmaenews&amp;logNo=223909564415&amp;redirect=Dlog&amp;widgetTypeCall=true&amp;directAccess=false</t>
  </si>
  <si>
    <t>김성준 서울시의원, 금천구청역 노후시설 7개월 방치 질타</t>
  </si>
  <si>
    <t>https://blog.naver.com/PostView.naver?blogId=jeonmaenews&amp;logNo=223909546899&amp;redirect=Dlog&amp;widgetTypeCall=true&amp;directAccess=false</t>
  </si>
  <si>
    <t>서울시교육청, 9월까지 초·중·고 대상 ‘오늘은 花요일’ 운영</t>
  </si>
  <si>
    <t>https://blog.naver.com/PostView.naver?blogId=jeonmaenews&amp;logNo=223909538133&amp;redirect=Dlog&amp;widgetTypeCall=true&amp;directAccess=false</t>
  </si>
  <si>
    <t>동대문구시설관리공단 이문체육문화센터, 추경 4천만 확보</t>
  </si>
  <si>
    <t>https://blog.naver.com/PostView.naver?blogId=jeonmaenews&amp;logNo=223909529497&amp;redirect=Dlog&amp;widgetTypeCall=true&amp;directAccess=false</t>
  </si>
  <si>
    <t>동대문구, 내달 1일부터 신설동주민센터 업무 개시</t>
  </si>
  <si>
    <t>https://blog.naver.com/PostView.naver?blogId=jeonmaenews&amp;logNo=223909516768&amp;redirect=Dlog&amp;widgetTypeCall=true&amp;directAccess=false</t>
  </si>
  <si>
    <t>강서구 진교훈 구청장, 어린이솜씨자랑 시상식 참석</t>
  </si>
  <si>
    <t>https://blog.naver.com/PostView.naver?blogId=jeonmaenews&amp;logNo=223909511710&amp;redirect=Dlog&amp;widgetTypeCall=true&amp;directAccess=false</t>
  </si>
  <si>
    <t>강서구, 26일 서울창업허브엠플러스서 취업박람회 개최</t>
  </si>
  <si>
    <t>https://blog.naver.com/PostView.naver?blogId=jeonmaenews&amp;logNo=223909505457&amp;redirect=Dlog&amp;widgetTypeCall=true&amp;directAccess=false</t>
  </si>
  <si>
    <t>정부의 미분양 아파트 매입, 건설사 대신 정부가 떠안는 리스크</t>
  </si>
  <si>
    <t>https://blog.naver.com/PostView.naver?blogId=mingyum119&amp;logNo=223908878885&amp;redirect=Dlog&amp;widgetTypeCall=true&amp;directAccess=false</t>
  </si>
  <si>
    <t>미국서 돌아온 두 병풍… 해외 유출 병풍 첫 공개(ACN아시아콘텐츠뉴스)</t>
  </si>
  <si>
    <t>https://blog.naver.com/PostView.naver?blogId=hsy3665&amp;logNo=223908543410&amp;redirect=Dlog&amp;widgetTypeCall=true&amp;directAccess=false</t>
  </si>
  <si>
    <t>서초구, 서울시 산림조합과 ‘사유지 내 위험 수목 관리 MOU</t>
  </si>
  <si>
    <t>https://blog.naver.com/PostView.naver?blogId=63swlee&amp;logNo=223908450918&amp;redirect=Dlog&amp;widgetTypeCall=true&amp;directAccess=false</t>
  </si>
  <si>
    <t>미 미술관 소장 병풍 2점 국내 보존처리 마치고 출국 전 첫 공개</t>
  </si>
  <si>
    <t>https://blog.naver.com/PostView.naver?blogId=ryt1658&amp;logNo=223908450847&amp;redirect=Dlog&amp;widgetTypeCall=true&amp;directAccess=false</t>
  </si>
  <si>
    <t>세종시교육청, 2025 9급 지방공무원 임용 경쟁률 9.79대 1</t>
  </si>
  <si>
    <t>https://blog.naver.com/PostView.naver?blogId=jeonmaenews&amp;logNo=223908370894&amp;redirect=Dlog&amp;widgetTypeCall=true&amp;directAccess=false</t>
  </si>
  <si>
    <t>세종시민대상 및 명예시민 후보자 추천 접수 시작</t>
  </si>
  <si>
    <t>https://blog.naver.com/PostView.naver?blogId=jeonmaenews&amp;logNo=223908370311&amp;redirect=Dlog&amp;widgetTypeCall=true&amp;directAccess=false</t>
  </si>
  <si>
    <t>보령시, 대천·무창포해수욕장 수질 ‘적합’</t>
  </si>
  <si>
    <t>https://blog.naver.com/PostView.naver?blogId=jeonmaenews&amp;logNo=223908368959&amp;redirect=Dlog&amp;widgetTypeCall=true&amp;directAccess=false</t>
  </si>
  <si>
    <t>천안시, 중소형 폐가전 수거함 추가 설치</t>
  </si>
  <si>
    <t>https://blog.naver.com/PostView.naver?blogId=jeonmaenews&amp;logNo=223908368163&amp;redirect=Dlog&amp;widgetTypeCall=true&amp;directAccess=false</t>
  </si>
  <si>
    <t>안양시, 소상공인 지원 공로 중기부 장관 표창 수상</t>
  </si>
  <si>
    <t>https://blog.naver.com/PostView.naver?blogId=jeonmaenews&amp;logNo=223908362299&amp;redirect=Dlog&amp;widgetTypeCall=true&amp;directAccess=false</t>
  </si>
  <si>
    <t>평택시, 장마 시작에 호우 대비 ‘긴급’ 점검 회의</t>
  </si>
  <si>
    <t>https://blog.naver.com/PostView.naver?blogId=jeonmaenews&amp;logNo=223908361453&amp;redirect=Dlog&amp;widgetTypeCall=true&amp;directAccess=false</t>
  </si>
  <si>
    <t>중구, 을지로동 행정복합청사 ‘을지누리센터’ 개청</t>
  </si>
  <si>
    <t>https://blog.naver.com/PostView.naver?blogId=jeonmaenews&amp;logNo=223908348135&amp;redirect=Dlog&amp;widgetTypeCall=true&amp;directAccess=false</t>
  </si>
  <si>
    <t>CPN</t>
  </si>
  <si>
    <t>CPN문화재TV - 국외소재 문화유산 국내 보존처리 마치고 출국 전 첫 공개</t>
  </si>
  <si>
    <t>https://blog.naver.com/PostView.naver?blogId=cpn2004&amp;logNo=223908341113&amp;redirect=Dlog&amp;widgetTypeCall=true&amp;directAccess=false</t>
  </si>
  <si>
    <t>오해정 양천구의원, 청소년 범죄예방 공로 검사장 표창</t>
  </si>
  <si>
    <t>https://blog.naver.com/PostView.naver?blogId=jeonmaenews&amp;logNo=223908328334&amp;redirect=Dlog&amp;widgetTypeCall=true&amp;directAccess=false</t>
  </si>
  <si>
    <t>양천구, 이용자 중심으로 ‘영어특성화도서관’ 리모델링 완료</t>
  </si>
  <si>
    <t>https://blog.naver.com/PostView.naver?blogId=jeonmaenews&amp;logNo=223908322086&amp;redirect=Dlog&amp;widgetTypeCall=true&amp;directAccess=false</t>
  </si>
  <si>
    <t>이경숙 서울시의원, 서울교통공사 보험료 관련 25억 환급 소송</t>
  </si>
  <si>
    <t>https://blog.naver.com/PostView.naver?blogId=jeonmaenews&amp;logNo=223908301130&amp;redirect=Dlog&amp;widgetTypeCall=true&amp;directAccess=false</t>
  </si>
  <si>
    <t>서울시교육청, 23일부터 서울진로직업박람회 접수</t>
  </si>
  <si>
    <t>https://blog.naver.com/PostView.naver?blogId=jeonmaenews&amp;logNo=223908293027&amp;redirect=Dlog&amp;widgetTypeCall=true&amp;directAccess=false</t>
  </si>
  <si>
    <t>서울시교육청, 일반직 공무원 4급 이상 승진·전보</t>
  </si>
  <si>
    <t>https://blog.naver.com/PostView.naver?blogId=jeonmaenews&amp;logNo=223908287856&amp;redirect=Dlog&amp;widgetTypeCall=true&amp;directAccess=false</t>
  </si>
  <si>
    <t>동대문문화재단, 서울시향과 ‘우리동네 음악회’ 개최</t>
  </si>
  <si>
    <t>https://blog.naver.com/PostView.naver?blogId=jeonmaenews&amp;logNo=223908278982&amp;redirect=Dlog&amp;widgetTypeCall=true&amp;directAccess=false</t>
  </si>
  <si>
    <t>제9대 동대문구의회, ‘청렴나무’ 식수로 청렴 실천 다짐</t>
  </si>
  <si>
    <t>https://blog.naver.com/PostView.naver?blogId=jeonmaenews&amp;logNo=223908273992&amp;redirect=Dlog&amp;widgetTypeCall=true&amp;directAccess=false</t>
  </si>
  <si>
    <t>동대문구의회, 26일 일정 제344회 정례회 폐회</t>
  </si>
  <si>
    <t>https://blog.naver.com/PostView.naver?blogId=jeonmaenews&amp;logNo=223908268522&amp;redirect=Dlog&amp;widgetTypeCall=true&amp;directAccess=false</t>
  </si>
  <si>
    <t>동대문구 홈플러스 부지, 49층 주상복합공간으로 재개발</t>
  </si>
  <si>
    <t>https://blog.naver.com/PostView.naver?blogId=jeonmaenews&amp;logNo=223908260734&amp;redirect=Dlog&amp;widgetTypeCall=true&amp;directAccess=false</t>
  </si>
  <si>
    <t>믿을 구석, 책 속에서 찾다…서울국제도서전 역대급 흥행</t>
  </si>
  <si>
    <t>https://blog.naver.com/PostView.naver?blogId=dwyun60&amp;logNo=223906160248&amp;redirect=Dlog&amp;widgetTypeCall=true&amp;directAccess=false</t>
  </si>
  <si>
    <t>a897665</t>
  </si>
  <si>
    <t>한국경찰의 위상 국제적 강화</t>
  </si>
  <si>
    <t>https://blog.naver.com/PostView.naver?blogId=a897665&amp;logNo=223905835756&amp;redirect=Dlog&amp;widgetTypeCall=true&amp;directAccess=false</t>
  </si>
  <si>
    <t>자녀의 재테크 멘토</t>
  </si>
  <si>
    <t>2025.6.20. 경제동향</t>
  </si>
  <si>
    <t>https://blog.naver.com/PostView.naver?blogId=qhal34868&amp;logNo=223905749660&amp;redirect=Dlog&amp;widgetTypeCall=true&amp;directAccess=false</t>
  </si>
  <si>
    <t>대구 캠프바이 커피명가/고급미가 가득한 동성로 카페☕️</t>
  </si>
  <si>
    <t>https://blog.naver.com/PostView.naver?blogId=akfldk704&amp;logNo=223905722249&amp;redirect=Dlog&amp;widgetTypeCall=true&amp;directAccess=false</t>
  </si>
  <si>
    <t>차인영 영등포구의원, 지하안전·데이터행정 조례 2건 발의</t>
  </si>
  <si>
    <t>https://blog.naver.com/PostView.naver?blogId=jeonmaenews&amp;logNo=223905602032&amp;redirect=Dlog&amp;widgetTypeCall=true&amp;directAccess=false</t>
  </si>
  <si>
    <t>광진구, 반려식물 활용 생활환경 개선·정서적 안정↑</t>
  </si>
  <si>
    <t>https://blog.naver.com/PostView.naver?blogId=63swlee&amp;logNo=223905574265&amp;redirect=Dlog&amp;widgetTypeCall=true&amp;directAccess=false</t>
  </si>
  <si>
    <t>중구, 남대문 쪽방촌 주민 대상 감염병예방교육 실시</t>
  </si>
  <si>
    <t>https://blog.naver.com/PostView.naver?blogId=jeonmaenews&amp;logNo=223905558119&amp;redirect=Dlog&amp;widgetTypeCall=true&amp;directAccess=false</t>
  </si>
  <si>
    <t>영등포구, 통합신청사업 도시계획위 통과…2030년 준공</t>
  </si>
  <si>
    <t>https://blog.naver.com/PostView.naver?blogId=jeonmaenews&amp;logNo=223905543581&amp;redirect=Dlog&amp;widgetTypeCall=true&amp;directAccess=false</t>
  </si>
  <si>
    <t>양천공단 양천구민체육센터, 내달 11일부터 여름방학 특강 접수</t>
  </si>
  <si>
    <t>https://blog.naver.com/PostView.naver?blogId=jeonmaenews&amp;logNo=223905524495&amp;redirect=Dlog&amp;widgetTypeCall=true&amp;directAccess=false</t>
  </si>
  <si>
    <t>동작구시설관리공단</t>
  </si>
  <si>
    <t>사당종합체육관, 어린이 축구부「제3회 동작구청장배 어린이 축구대회」 우승</t>
  </si>
  <si>
    <t>https://blog.naver.com/PostView.naver?blogId=idongjak&amp;logNo=223905495187&amp;redirect=Dlog&amp;widgetTypeCall=true&amp;directAccess=false</t>
  </si>
  <si>
    <t>성북구, 진로부터 커뮤니티까지 가능한 ‘서울청년센터 성북’ 개관</t>
  </si>
  <si>
    <t>https://blog.naver.com/PostView.naver?blogId=jeonmaenews&amp;logNo=223905486593&amp;redirect=Dlog&amp;widgetTypeCall=true&amp;directAccess=false</t>
  </si>
  <si>
    <t>성북구, 한국공정무역마을위원회 ‘공정무역도시’ 재인증 획득</t>
  </si>
  <si>
    <t>https://blog.naver.com/PostView.naver?blogId=jeonmaenews&amp;logNo=223905470763&amp;redirect=Dlog&amp;widgetTypeCall=true&amp;directAccess=false</t>
  </si>
  <si>
    <t>최호정 서울시의회 의장, 강동송파학습진단성장센터 방문</t>
  </si>
  <si>
    <t>https://blog.naver.com/PostView.naver?blogId=jeonmaenews&amp;logNo=223905441415&amp;redirect=Dlog&amp;widgetTypeCall=true&amp;directAccess=false</t>
  </si>
  <si>
    <t>이숙자 운영위원장, 반포사거리 과속방지턱 설치 현장 방문</t>
  </si>
  <si>
    <t>https://blog.naver.com/PostView.naver?blogId=jeonmaenews&amp;logNo=223905435005&amp;redirect=Dlog&amp;widgetTypeCall=true&amp;directAccess=false</t>
  </si>
  <si>
    <t>동대문구시설관리공단, 용두유수지 공영주차장 내달 7일 운영 재개</t>
  </si>
  <si>
    <t>https://blog.naver.com/PostView.naver?blogId=jeonmaenews&amp;logNo=223905427454&amp;redirect=Dlog&amp;widgetTypeCall=true&amp;directAccess=false</t>
  </si>
  <si>
    <t>동대문구, 전기이륜차 ‘해피아워’ 운영으로 온실가스 감축</t>
  </si>
  <si>
    <t>https://blog.naver.com/PostView.naver?blogId=jeonmaenews&amp;logNo=223905424079&amp;redirect=Dlog&amp;widgetTypeCall=true&amp;directAccess=false</t>
  </si>
  <si>
    <t>강서구시설관리공단, 신기술 인증 ‘스마트LED가로등’ 설치</t>
  </si>
  <si>
    <t>https://blog.naver.com/PostView.naver?blogId=jeonmaenews&amp;logNo=223905417607&amp;redirect=Dlog&amp;widgetTypeCall=true&amp;directAccess=false</t>
  </si>
  <si>
    <t>강서구, 김포공항에 국제민간항공기구 기준 적용 방안 모색</t>
  </si>
  <si>
    <t>https://blog.naver.com/PostView.naver?blogId=jeonmaenews&amp;logNo=223905412552&amp;redirect=Dlog&amp;widgetTypeCall=true&amp;directAccess=false</t>
  </si>
  <si>
    <t>진교훈 강서구청장, 현장 직접 확인하며 풍수해 집중점검</t>
  </si>
  <si>
    <t>https://blog.naver.com/PostView.naver?blogId=jeonmaenews&amp;logNo=223905401260&amp;redirect=Dlog&amp;widgetTypeCall=true&amp;directAccess=false</t>
  </si>
  <si>
    <t>예당</t>
  </si>
  <si>
    <t>경주솔거미술관/조각가 최정윤, 미디어아트 작가 이경호, 회화 작가 이철진 / 경북 중견 작가 초대전</t>
  </si>
  <si>
    <t>https://blog.naver.com/PostView.naver?blogId=poetry01&amp;logNo=223905232491&amp;redirect=Dlog&amp;widgetTypeCall=true&amp;directAccess=false</t>
  </si>
  <si>
    <t>2025년 6월 19일, "경주 APEC 진행 상황 점검"에 대한 X 반응.</t>
  </si>
  <si>
    <t>https://blog.naver.com/PostView.naver?blogId=shinswoong75&amp;logNo=223905045627&amp;redirect=Dlog&amp;widgetTypeCall=true&amp;directAccess=false</t>
  </si>
  <si>
    <t>[팔도핫플레이스] 별헤는 밤, 양평으로의 초대</t>
  </si>
  <si>
    <t>https://blog.naver.com/PostView.naver?blogId=dwyun60&amp;logNo=223904496167&amp;redirect=Dlog&amp;widgetTypeCall=true&amp;directAccess=false</t>
  </si>
  <si>
    <t>[장갑수와 함께 걷는 길]남파랑길 84코스</t>
  </si>
  <si>
    <t>https://blog.naver.com/PostView.naver?blogId=dwyun60&amp;logNo=223904444456&amp;redirect=Dlog&amp;widgetTypeCall=true&amp;directAccess=false</t>
  </si>
  <si>
    <t>이숙자 서울시의회 운영위원장, 반포사거리 과속방지턱 설치 현장 방문</t>
  </si>
  <si>
    <t>https://blog.naver.com/PostView.naver?blogId=63swlee&amp;logNo=223904349695&amp;redirect=Dlog&amp;widgetTypeCall=true&amp;directAccess=false</t>
  </si>
  <si>
    <t>포항대학교</t>
  </si>
  <si>
    <t>간호학과, 2025 포항 철강마라톤(STEEL RUN) 건강 지킴이 봉사 활동</t>
  </si>
  <si>
    <t>https://blog.naver.com/PostView.naver?blogId=pohang_phc&amp;logNo=223904334350&amp;redirect=Dlog&amp;widgetTypeCall=true&amp;directAccess=false</t>
  </si>
  <si>
    <t>파주시, 전국 최초 스마트 노상주차장 시스템 시험 운영 시작</t>
  </si>
  <si>
    <t>https://blog.naver.com/PostView.naver?blogId=jeonmaenews&amp;logNo=223904303169&amp;redirect=Dlog&amp;widgetTypeCall=true&amp;directAccess=false</t>
  </si>
  <si>
    <t>용인시, 민원 처리 담당자 보호 강화 위한 조례 개정 추진</t>
  </si>
  <si>
    <t>https://blog.naver.com/PostView.naver?blogId=jeonmaenews&amp;logNo=223904302140&amp;redirect=Dlog&amp;widgetTypeCall=true&amp;directAccess=false</t>
  </si>
  <si>
    <t>“경북 성주군 낙동강에서 60대 남성 물에 빠져 숨진 채 발견”</t>
  </si>
  <si>
    <t>https://blog.naver.com/PostView.naver?blogId=krsongc2&amp;logNo=223904270740&amp;redirect=Dlog&amp;widgetTypeCall=true&amp;directAccess=false</t>
  </si>
  <si>
    <t>[이인숙의 옛그림 예찬] &lt;303&gt;타임슬립인 듯한 19세기 기록화</t>
  </si>
  <si>
    <t>https://blog.naver.com/PostView.naver?blogId=dwyun60&amp;logNo=223904241200&amp;redirect=Dlog&amp;widgetTypeCall=true&amp;directAccess=false</t>
  </si>
  <si>
    <t>중구, 교육 만족도 2위·교육환경 만족도 1위</t>
  </si>
  <si>
    <t>https://blog.naver.com/PostView.naver?blogId=jeonmaenews&amp;logNo=223904239755&amp;redirect=Dlog&amp;widgetTypeCall=true&amp;directAccess=false</t>
  </si>
  <si>
    <t>이경숙 서울시의원, “서울교통공사 운수수입 손실 5천328억 전망”</t>
  </si>
  <si>
    <t>https://blog.naver.com/PostView.naver?blogId=jeonmaenews&amp;logNo=223904220470&amp;redirect=Dlog&amp;widgetTypeCall=true&amp;directAccess=false</t>
  </si>
  <si>
    <t>서울시교육청, ‘수학·과학·융합교육교구공유은행’ 발족</t>
  </si>
  <si>
    <t>https://blog.naver.com/PostView.naver?blogId=jeonmaenews&amp;logNo=223904215660&amp;redirect=Dlog&amp;widgetTypeCall=true&amp;directAccess=false</t>
  </si>
  <si>
    <t>정재봉 강서구의원, 주민참여예산제·일회용품 조례 상임위 통과</t>
  </si>
  <si>
    <t>https://blog.naver.com/PostView.naver?blogId=jeonmaenews&amp;logNo=223904199107&amp;redirect=Dlog&amp;widgetTypeCall=true&amp;directAccess=false</t>
  </si>
  <si>
    <t>강서구, 초등학생 대상 ‘스마트도시 탐방교실’ 운영</t>
  </si>
  <si>
    <t>https://blog.naver.com/PostView.naver?blogId=jeonmaenews&amp;logNo=223904188548&amp;redirect=Dlog&amp;widgetTypeCall=true&amp;directAccess=false</t>
  </si>
  <si>
    <t>김민석 강서구의원, 장애인복지회관 설치 조례 대표발의</t>
  </si>
  <si>
    <t>https://blog.naver.com/PostView.naver?blogId=jeonmaenews&amp;logNo=223904191959&amp;redirect=Dlog&amp;widgetTypeCall=true&amp;directAccess=false</t>
  </si>
  <si>
    <t>581020jsk</t>
  </si>
  <si>
    <t>이재태 전남도의원, 교육 현안 해결 위해 교육청-지자체 협력 강조</t>
  </si>
  <si>
    <t>https://blog.naver.com/PostView.naver?blogId=581020jsk&amp;logNo=223903641629&amp;redirect=Dlog&amp;widgetTypeCall=true&amp;directAccess=false</t>
  </si>
  <si>
    <t>담양군, 자연과 시간이 빚어낸 고즈넉한 정원, ‘명옥헌 원림’</t>
  </si>
  <si>
    <t>https://blog.naver.com/PostView.naver?blogId=jeonmaenews&amp;logNo=223903333662&amp;redirect=Dlog&amp;widgetTypeCall=true&amp;directAccess=false</t>
  </si>
  <si>
    <t>중랑구, 내년도 대학별 입시설명회 개최…방정환교육지원센터</t>
  </si>
  <si>
    <t>https://blog.naver.com/PostView.naver?blogId=63swlee&amp;logNo=223903145354&amp;redirect=Dlog&amp;widgetTypeCall=true&amp;directAccess=false</t>
  </si>
  <si>
    <t>김혜영 서울시의원, 의료관광 협력기관 애로사항 청취</t>
  </si>
  <si>
    <t>https://blog.naver.com/PostView.naver?blogId=jeonmaenews&amp;logNo=223903115665&amp;redirect=Dlog&amp;widgetTypeCall=true&amp;directAccess=false</t>
  </si>
  <si>
    <t>영어 유래의 번역어들(16) -   행복</t>
  </si>
  <si>
    <t>https://blog.naver.com/PostView.naver?blogId=oryama&amp;logNo=223903104872&amp;redirect=Dlog&amp;widgetTypeCall=true&amp;directAccess=false</t>
  </si>
  <si>
    <t>중구, 을지권역서 ‘찾아가는 마을세무사’ 운영</t>
  </si>
  <si>
    <t>https://blog.naver.com/PostView.naver?blogId=jeonmaenews&amp;logNo=223903090666&amp;redirect=Dlog&amp;widgetTypeCall=true&amp;directAccess=false</t>
  </si>
  <si>
    <t>전통시장 빈 점포 청년 카페 새 단장…광진구, 청년 창업지원</t>
  </si>
  <si>
    <t>https://blog.naver.com/PostView.naver?blogId=jeonmaenews&amp;logNo=223903085127&amp;redirect=Dlog&amp;widgetTypeCall=true&amp;directAccess=false</t>
  </si>
  <si>
    <t>중구 가온도서관, 상주작가지원사업 ‘문체부장관상’ 수상</t>
  </si>
  <si>
    <t>https://blog.naver.com/PostView.naver?blogId=jeonmaenews&amp;logNo=223903083774&amp;redirect=Dlog&amp;widgetTypeCall=true&amp;directAccess=false</t>
  </si>
  <si>
    <t>영등포구, 19~29세 청년 대상 중개보수 20% 감면</t>
  </si>
  <si>
    <t>https://blog.naver.com/PostView.naver?blogId=jeonmaenews&amp;logNo=223903071759&amp;redirect=Dlog&amp;widgetTypeCall=true&amp;directAccess=false</t>
  </si>
  <si>
    <t>동작구시설관리공단, 주민참여 숏폼 공모전‘#동작리얼후기’개최</t>
  </si>
  <si>
    <t>https://blog.naver.com/PostView.naver?blogId=idongjak&amp;logNo=223903067088&amp;redirect=Dlog&amp;widgetTypeCall=true&amp;directAccess=false</t>
  </si>
  <si>
    <t>성북구, 탄소중립 실천 ‘탄소제로왕’ 선발…시상금 200만원</t>
  </si>
  <si>
    <t>https://blog.naver.com/PostView.naver?blogId=jeonmaenews&amp;logNo=223903043123&amp;redirect=Dlog&amp;widgetTypeCall=true&amp;directAccess=false</t>
  </si>
  <si>
    <t>서울시의회 행정자치위원회, 시립종로청소년센터 예정지 현장 방문</t>
  </si>
  <si>
    <t>https://blog.naver.com/PostView.naver?blogId=jeonmaenews&amp;logNo=223903038245&amp;redirect=Dlog&amp;widgetTypeCall=true&amp;directAccess=false</t>
  </si>
  <si>
    <t>이숙자 운영위원장, 청소년 유해식품 대응 강화 촉구</t>
  </si>
  <si>
    <t>https://blog.naver.com/PostView.naver?blogId=jeonmaenews&amp;logNo=223903027018&amp;redirect=Dlog&amp;widgetTypeCall=true&amp;directAccess=false</t>
  </si>
  <si>
    <t>서울시교육청, 전국 최초로 초·중·고 ‘AI 인재상’ 제안</t>
  </si>
  <si>
    <t>https://blog.naver.com/PostView.naver?blogId=jeonmaenews&amp;logNo=223903017522&amp;redirect=Dlog&amp;widgetTypeCall=true&amp;directAccess=false</t>
  </si>
  <si>
    <t>정서윤 동대문구의원, 서울시 최초 ‘축제평가단’ 조례 제정</t>
  </si>
  <si>
    <t>https://blog.naver.com/PostView.naver?blogId=jeonmaenews&amp;logNo=223903009849&amp;redirect=Dlog&amp;widgetTypeCall=true&amp;directAccess=false</t>
  </si>
  <si>
    <t>동대문구, 새마을운동과 ‘새마을방역봉사대’ 발대식 개최</t>
  </si>
  <si>
    <t>https://blog.naver.com/PostView.naver?blogId=jeonmaenews&amp;logNo=223903004927&amp;redirect=Dlog&amp;widgetTypeCall=true&amp;directAccess=false</t>
  </si>
  <si>
    <t>강서구, 영유아 대상 이유식·위생용품 등 5천만원 지원</t>
  </si>
  <si>
    <t>https://blog.naver.com/PostView.naver?blogId=jeonmaenews&amp;logNo=223902995906&amp;redirect=Dlog&amp;widgetTypeCall=true&amp;directAccess=false</t>
  </si>
  <si>
    <t>파스타샹궈</t>
  </si>
  <si>
    <t>84type 아파트 국평의 의미가 이제는 달라진다..?</t>
  </si>
  <si>
    <t>https://blog.naver.com/PostView.naver?blogId=junrong91&amp;logNo=223902743164&amp;redirect=Dlog&amp;widgetTypeCall=true&amp;directAccess=false</t>
  </si>
  <si>
    <t>중랑구, 신개념 청렴문구 공모 수상작 발표</t>
  </si>
  <si>
    <t>https://blog.naver.com/PostView.naver?blogId=63swlee&amp;logNo=223901942995&amp;redirect=Dlog&amp;widgetTypeCall=true&amp;directAccess=false</t>
  </si>
  <si>
    <t>중구 충무아트센터, 개관 20주년 기념 ‘문화 데이’ 개최</t>
  </si>
  <si>
    <t>https://blog.naver.com/PostView.naver?blogId=jeonmaenews&amp;logNo=223901873126&amp;redirect=Dlog&amp;widgetTypeCall=true&amp;directAccess=false</t>
  </si>
  <si>
    <t>영등포구, 배달전문업소 대상 ‘주방공개사업’ 추진</t>
  </si>
  <si>
    <t>https://blog.naver.com/PostView.naver?blogId=jeonmaenews&amp;logNo=223901868220&amp;redirect=Dlog&amp;widgetTypeCall=true&amp;directAccess=false</t>
  </si>
  <si>
    <t>화성시 ‘융릉 사도세자 추모 제263주기 기신제’ 봉행</t>
  </si>
  <si>
    <t>https://blog.naver.com/PostView.naver?blogId=jeonmaenews&amp;logNo=223901857852&amp;redirect=Dlog&amp;widgetTypeCall=true&amp;directAccess=false</t>
  </si>
  <si>
    <t>‘안성맞춤 남사당 바우덕이축제’ 길놀이 퍼레이드 참가팀 모집</t>
  </si>
  <si>
    <t>https://blog.naver.com/PostView.naver?blogId=jeonmaenews&amp;logNo=223901857291&amp;redirect=Dlog&amp;widgetTypeCall=true&amp;directAccess=false</t>
  </si>
  <si>
    <t>양순임 성북구의원, 서울시수어문화제 감사패 수상</t>
  </si>
  <si>
    <t>https://blog.naver.com/PostView.naver?blogId=jeonmaenews&amp;logNo=223901838071&amp;redirect=Dlog&amp;widgetTypeCall=true&amp;directAccess=false</t>
  </si>
  <si>
    <t>서울시교육청, 초등 저학년 경미한 학폭에 ‘숙려제’ 도입</t>
  </si>
  <si>
    <t>https://blog.naver.com/PostView.naver?blogId=jeonmaenews&amp;logNo=223901815290&amp;redirect=Dlog&amp;widgetTypeCall=true&amp;directAccess=false</t>
  </si>
  <si>
    <t>동대문구, 의료봉사단 운영·미용실과 업무협약 체결</t>
  </si>
  <si>
    <t>https://blog.naver.com/PostView.naver?blogId=jeonmaenews&amp;logNo=223901801914&amp;redirect=Dlog&amp;widgetTypeCall=true&amp;directAccess=false</t>
  </si>
  <si>
    <t>강서구의회, 행정재무·미래복지·도시교통委 현장방문</t>
  </si>
  <si>
    <t>https://blog.naver.com/PostView.naver?blogId=jeonmaenews&amp;logNo=223901790064&amp;redirect=Dlog&amp;widgetTypeCall=true&amp;directAccess=false</t>
  </si>
  <si>
    <t>진교훈 강서구청장, ‘공항과 마을’ 특별전 개막식 참석</t>
  </si>
  <si>
    <t>https://blog.naver.com/PostView.naver?blogId=jeonmaenews&amp;logNo=223901776993&amp;redirect=Dlog&amp;widgetTypeCall=true&amp;directAccess=false</t>
  </si>
  <si>
    <t>송언석이 누구지?</t>
  </si>
  <si>
    <t>https://blog.naver.com/PostView.naver?blogId=silverspiri5&amp;logNo=223901230348&amp;redirect=Dlog&amp;widgetTypeCall=true&amp;directAccess=false</t>
  </si>
  <si>
    <t>(언론보도) 강필현 부산디자인진흥원장 ‘인구문제 인식개선을 위한 릴레이 캠페인’ 참여</t>
  </si>
  <si>
    <t>https://blog.naver.com/PostView.naver?blogId=dcbusan&amp;logNo=223901179813&amp;redirect=Dlog&amp;widgetTypeCall=true&amp;directAccess=false</t>
  </si>
  <si>
    <t>[심백강의 한국고대사] 세계 전쟁사에 빛나는 안시성 전투, 그 전장은 어디인가(1)</t>
  </si>
  <si>
    <t>https://blog.naver.com/PostView.naver?blogId=dwyun60&amp;logNo=223900830638&amp;redirect=Dlog&amp;widgetTypeCall=true&amp;directAccess=false</t>
  </si>
  <si>
    <t>오수열</t>
  </si>
  <si>
    <t>381.문제는 경제와 외교에 있다.</t>
  </si>
  <si>
    <t>https://blog.naver.com/PostView.naver?blogId=osy-6734&amp;logNo=223900758487&amp;redirect=Dlog&amp;widgetTypeCall=true&amp;directAccess=false</t>
  </si>
  <si>
    <t>중랑구, 재난관리평가 우수기관 선정…전 분야 우수평가</t>
  </si>
  <si>
    <t>https://blog.naver.com/PostView.naver?blogId=63swlee&amp;logNo=223900704697&amp;redirect=Dlog&amp;widgetTypeCall=true&amp;directAccess=false</t>
  </si>
  <si>
    <t>강동구, 건강실천 영상 공모전 개최</t>
  </si>
  <si>
    <t>https://blog.naver.com/PostView.naver?blogId=63swlee&amp;logNo=223900689035&amp;redirect=Dlog&amp;widgetTypeCall=true&amp;directAccess=false</t>
  </si>
  <si>
    <t>리버</t>
  </si>
  <si>
    <t>앞으로 미장보다 국장이 더 큰 기회가 될 수 있다고 생각하는 이유</t>
  </si>
  <si>
    <t>https://blog.naver.com/PostView.naver?blogId=podobox-&amp;logNo=223900671693&amp;redirect=Dlog&amp;widgetTypeCall=true&amp;directAccess=false</t>
  </si>
  <si>
    <t>중구의회, 제295회 정례회 개회…내달 2일까지 21일 일정</t>
  </si>
  <si>
    <t>https://blog.naver.com/PostView.naver?blogId=jeonmaenews&amp;logNo=223900655022&amp;redirect=Dlog&amp;widgetTypeCall=true&amp;directAccess=false</t>
  </si>
  <si>
    <t>서초구, 체감형 인성‧예술 교육 공교육 패러다임 선도</t>
  </si>
  <si>
    <t>https://blog.naver.com/PostView.naver?blogId=63swlee&amp;logNo=223900647903&amp;redirect=Dlog&amp;widgetTypeCall=true&amp;directAccess=false</t>
  </si>
  <si>
    <t>중구, 행안부 주관 재난관리평가 ‘우수구’ 선정</t>
  </si>
  <si>
    <t>https://blog.naver.com/PostView.naver?blogId=jeonmaenews&amp;logNo=223900639661&amp;redirect=Dlog&amp;widgetTypeCall=true&amp;directAccess=false</t>
  </si>
  <si>
    <t>동국제강 포항공장 화재 발생, 소방당국 진화 작업 중</t>
  </si>
  <si>
    <t>https://blog.naver.com/PostView.naver?blogId=krsongc2&amp;logNo=223900628023&amp;redirect=Dlog&amp;widgetTypeCall=true&amp;directAccess=false</t>
  </si>
  <si>
    <t>영등포구의회 1인가구정책연구회, 연구활동 본격 돌입</t>
  </si>
  <si>
    <t>https://blog.naver.com/PostView.naver?blogId=jeonmaenews&amp;logNo=223900626763&amp;redirect=Dlog&amp;widgetTypeCall=true&amp;directAccess=false</t>
  </si>
  <si>
    <t>영등포구, 복지·경제·인프라 중심 770억 2차 추경 편성</t>
  </si>
  <si>
    <t>https://blog.naver.com/PostView.naver?blogId=jeonmaenews&amp;logNo=223900616456&amp;redirect=Dlog&amp;widgetTypeCall=true&amp;directAccess=false</t>
  </si>
  <si>
    <t>성북구의회, 17일부터 9일 간 행정사무감사 실시</t>
  </si>
  <si>
    <t>https://blog.naver.com/PostView.naver?blogId=jeonmaenews&amp;logNo=223900589952&amp;redirect=Dlog&amp;widgetTypeCall=true&amp;directAccess=false</t>
  </si>
  <si>
    <t>성북구, 장위동 일대 토지거래계약 허가구역 지정</t>
  </si>
  <si>
    <t>https://blog.naver.com/PostView.naver?blogId=jeonmaenews&amp;logNo=223900577092&amp;redirect=Dlog&amp;widgetTypeCall=true&amp;directAccess=false</t>
  </si>
  <si>
    <t>서울시의회 최유희 의원, 한남3구역 ‘학교용지 부활’ 감사패 수상</t>
  </si>
  <si>
    <t>https://blog.naver.com/PostView.naver?blogId=jeonmaenews&amp;logNo=223900569048&amp;redirect=Dlog&amp;widgetTypeCall=true&amp;directAccess=false</t>
  </si>
  <si>
    <t>동대문문화재단, 동대문구탄소중립지원센터와 업무협약</t>
  </si>
  <si>
    <t>https://blog.naver.com/PostView.naver?blogId=jeonmaenews&amp;logNo=223900551250&amp;redirect=Dlog&amp;widgetTypeCall=true&amp;directAccess=false</t>
  </si>
  <si>
    <t>동대문구, ‘워킹시티’ 첫걸음…‘한마음 걷기의 날’ 성료</t>
  </si>
  <si>
    <t>https://blog.naver.com/PostView.naver?blogId=jeonmaenews&amp;logNo=223900545269&amp;redirect=Dlog&amp;widgetTypeCall=true&amp;directAccess=false</t>
  </si>
  <si>
    <t>달서구 상인동 ‘상인센트럴자이’ – 예상 분양가와 공사비 증액 현황 완전 정리</t>
  </si>
  <si>
    <t>https://blog.naver.com/PostView.naver?blogId=speed-developer&amp;logNo=223900213905&amp;redirect=Dlog&amp;widgetTypeCall=true&amp;directAccess=false</t>
  </si>
  <si>
    <t>야당도시 대구의 민주화운동 (대구역사문화대전에서 가져옴)</t>
  </si>
  <si>
    <t>https://blog.naver.com/PostView.naver?blogId=kks35679&amp;logNo=223900116760&amp;redirect=Dlog&amp;widgetTypeCall=true&amp;directAccess=false</t>
  </si>
  <si>
    <t>부동산 개발 인허가 지연에 디벨로퍼 66% "큰 어려움"</t>
  </si>
  <si>
    <t>https://blog.naver.com/PostView.naver?blogId=whkim0408&amp;logNo=223899805784&amp;redirect=Dlog&amp;widgetTypeCall=true&amp;directAccess=false</t>
  </si>
  <si>
    <t>시/에피소드 - 조향</t>
  </si>
  <si>
    <t>https://blog.naver.com/PostView.naver?blogId=yessoopark&amp;logNo=223899651312&amp;redirect=Dlog&amp;widgetTypeCall=true&amp;directAccess=false</t>
  </si>
  <si>
    <t>이화영, 이재명에 사면 요구 협박해 "모든 진실 불겠다"</t>
  </si>
  <si>
    <t>https://blog.naver.com/PostView.naver?blogId=zeenokim&amp;logNo=223899630532&amp;redirect=Dlog&amp;widgetTypeCall=true&amp;directAccess=false</t>
  </si>
  <si>
    <t>[매일신문] "공약은 있는데 설명이 없다"…장애인 정치참여 장벽 여전(25.06.14)</t>
  </si>
  <si>
    <t>https://blog.naver.com/PostView.naver?blogId=m2hwaseo&amp;logNo=223899064919&amp;redirect=Dlog&amp;widgetTypeCall=true&amp;directAccess=false</t>
  </si>
  <si>
    <t>포스코퓨처엠 : 이차전지(양극재, 음극재)소재 중심 포트폴리오 재편 기업</t>
  </si>
  <si>
    <t>https://blog.naver.com/PostView.naver?blogId=yellowpotato12&amp;logNo=223890592734&amp;redirect=Dlog&amp;widgetTypeCall=true&amp;directAccess=false</t>
  </si>
  <si>
    <t>[경제스터디] 6월 2주차 경제기사 모아보기</t>
  </si>
  <si>
    <t>https://blog.naver.com/PostView.naver?blogId=heresyj&amp;logNo=223898424772&amp;redirect=Dlog&amp;widgetTypeCall=true&amp;directAccess=false</t>
  </si>
  <si>
    <t>한국석유(004090)</t>
  </si>
  <si>
    <t>https://blog.naver.com/PostView.naver?blogId=kang-pro1023&amp;logNo=223898200786&amp;redirect=Dlog&amp;widgetTypeCall=true&amp;directAccess=false</t>
  </si>
  <si>
    <t>경북 봉화군 포크레인 매몰 사고, 운전자 사망</t>
  </si>
  <si>
    <t>https://blog.naver.com/PostView.naver?blogId=krsongc2&amp;logNo=223898154606&amp;redirect=Dlog&amp;widgetTypeCall=true&amp;directAccess=false</t>
  </si>
  <si>
    <t>중구, 공동주택활성화사업 ‘따뜻한 아파트 문화’ 호평</t>
  </si>
  <si>
    <t>https://blog.naver.com/PostView.naver?blogId=jeonmaenews&amp;logNo=223897863856&amp;redirect=Dlog&amp;widgetTypeCall=true&amp;directAccess=false</t>
  </si>
  <si>
    <t>중구의회, 직원 대상 청렴교육·전문성향상교육 실시</t>
  </si>
  <si>
    <t>https://blog.naver.com/PostView.naver?blogId=jeonmaenews&amp;logNo=223897847877&amp;redirect=Dlog&amp;widgetTypeCall=true&amp;directAccess=false</t>
  </si>
  <si>
    <t>영등포구의회, 예산결산특별위원회 구성…위원장 이순우 의원</t>
  </si>
  <si>
    <t>https://blog.naver.com/PostView.naver?blogId=jeonmaenews&amp;logNo=223897837007&amp;redirect=Dlog&amp;widgetTypeCall=true&amp;directAccess=false</t>
  </si>
  <si>
    <t>영등포구, 건강관리협회·나눔비타민과 결식아동 식사 지원 업무협약</t>
  </si>
  <si>
    <t>https://blog.naver.com/PostView.naver?blogId=jeonmaenews&amp;logNo=223897822692&amp;redirect=Dlog&amp;widgetTypeCall=true&amp;directAccess=false</t>
  </si>
  <si>
    <t>양천구, 예술 활동 73건에 2억 5천 문화진흥기금으로 지원</t>
  </si>
  <si>
    <t>https://blog.naver.com/PostView.naver?blogId=jeonmaenews&amp;logNo=223897802245&amp;redirect=Dlog&amp;widgetTypeCall=true&amp;directAccess=false</t>
  </si>
  <si>
    <t>성북구, 말라리아 예방·진단 무료검사 실시</t>
  </si>
  <si>
    <t>https://blog.naver.com/PostView.naver?blogId=jeonmaenews&amp;logNo=223897780030&amp;redirect=Dlog&amp;widgetTypeCall=true&amp;directAccess=false</t>
  </si>
  <si>
    <t>성동구, 음식물쓰레기 수거 용기 세척서비스…음식점 2천 800곳</t>
  </si>
  <si>
    <t>https://blog.naver.com/PostView.naver?blogId=63swlee&amp;logNo=223897766177&amp;redirect=Dlog&amp;widgetTypeCall=true&amp;directAccess=false</t>
  </si>
  <si>
    <t>서울시교육청, 체육계열 대학 진학 지원 행사 개최</t>
  </si>
  <si>
    <t>https://blog.naver.com/PostView.naver?blogId=jeonmaenews&amp;logNo=223897760443&amp;redirect=Dlog&amp;widgetTypeCall=true&amp;directAccess=false</t>
  </si>
  <si>
    <t>서초구, ㈜우아한형제들과 외식업 경영 아카데미 MOU</t>
  </si>
  <si>
    <t>https://blog.naver.com/PostView.naver?blogId=jeonmaenews&amp;logNo=223897751253&amp;redirect=Dlog&amp;widgetTypeCall=true&amp;directAccess=false</t>
  </si>
  <si>
    <t>동대문구시설관리공단, 범안종합사회복지관과 업무협약 체결</t>
  </si>
  <si>
    <t>https://blog.naver.com/PostView.naver?blogId=jeonmaenews&amp;logNo=223897746725&amp;redirect=Dlog&amp;widgetTypeCall=true&amp;directAccess=false</t>
  </si>
  <si>
    <t>박유진 서울시의원, “한강생태공원 5곳, 산림교육기업 1곳이 독식”</t>
  </si>
  <si>
    <t>https://blog.naver.com/PostView.naver?blogId=jeonmaenews&amp;logNo=223897724612&amp;redirect=Dlog&amp;widgetTypeCall=true&amp;directAccess=false</t>
  </si>
  <si>
    <t>서울시구청장協, 4차년도 회장에 서강석 송파구청장 선출</t>
  </si>
  <si>
    <t>https://blog.naver.com/PostView.naver?blogId=jeonmaenews&amp;logNo=223897713914&amp;redirect=Dlog&amp;widgetTypeCall=true&amp;directAccess=false</t>
  </si>
  <si>
    <t>김민석 강서구의원, HIV 감염인 3년 연속 증가 우려</t>
  </si>
  <si>
    <t>https://blog.naver.com/PostView.naver?blogId=jeonmaenews&amp;logNo=223897700037&amp;redirect=Dlog&amp;widgetTypeCall=true&amp;directAccess=false</t>
  </si>
  <si>
    <t>성북구, ‘서울야외도서관 책 읽는 성북’ 2회차 운영</t>
  </si>
  <si>
    <t>https://blog.naver.com/PostView.naver?blogId=jeonmaenews&amp;logNo=223897670642&amp;redirect=Dlog&amp;widgetTypeCall=true&amp;directAccess=false</t>
  </si>
  <si>
    <t>데이머</t>
  </si>
  <si>
    <t>경제공부(매일경제) #5</t>
  </si>
  <si>
    <t>https://blog.naver.com/PostView.naver?blogId=ssss2366&amp;logNo=223897542549&amp;redirect=Dlog&amp;widgetTypeCall=true&amp;directAccess=false</t>
  </si>
  <si>
    <t>2040 대구플랜(대구도시기본계획) 수립 용역 입찰 공고(23.01)</t>
  </si>
  <si>
    <t>https://blog.naver.com/PostView.naver?blogId=goldbabymama&amp;logNo=223897434967&amp;redirect=Dlog&amp;widgetTypeCall=true&amp;directAccess=false</t>
  </si>
  <si>
    <t>열심히살자</t>
  </si>
  <si>
    <t>경북농협, 헌혈 캠페인 전개</t>
  </si>
  <si>
    <t>https://blog.naver.com/PostView.naver?blogId=hds94036&amp;logNo=223897330363&amp;redirect=Dlog&amp;widgetTypeCall=true&amp;directAccess=false</t>
  </si>
  <si>
    <t>논픽션.사라호태풍의기억 이강 2005년10월 5일 지루한 여름이 끝나고 가을이 오기전에 태풍이 어김없이 불어온다.대서 양에서 미국 남부 플로리다및 쿠바 해안을 강타하</t>
  </si>
  <si>
    <t>https://blog.naver.com/PostView.naver?blogId=59misookpak&amp;logNo=223897322265&amp;redirect=Dlog&amp;widgetTypeCall=true&amp;directAccess=false</t>
  </si>
  <si>
    <t>한인섭 중부매일 대표이사 재선임</t>
  </si>
  <si>
    <t>https://blog.naver.com/PostView.naver?blogId=cbnew114&amp;logNo=223896733111&amp;redirect=Dlog&amp;widgetTypeCall=true&amp;directAccess=false</t>
  </si>
  <si>
    <t>서초구, 아파트 공동체 활성화 조성사업 본격 추진</t>
  </si>
  <si>
    <t>https://blog.naver.com/PostView.naver?blogId=63swlee&amp;logNo=223896655635&amp;redirect=Dlog&amp;widgetTypeCall=true&amp;directAccess=false</t>
  </si>
  <si>
    <t>[이인숙의 옛그림 예찬] &lt;302&gt;인기 화가의 소품 부채그림</t>
  </si>
  <si>
    <t>https://blog.naver.com/PostView.naver?blogId=dwyun60&amp;logNo=223896635365&amp;redirect=Dlog&amp;widgetTypeCall=true&amp;directAccess=false</t>
  </si>
  <si>
    <t>중구, 청구동마을마당 엘리베이터 설치 확정</t>
  </si>
  <si>
    <t>https://blog.naver.com/PostView.naver?blogId=jeonmaenews&amp;logNo=223896570183&amp;redirect=Dlog&amp;widgetTypeCall=true&amp;directAccess=false</t>
  </si>
  <si>
    <t>중구의회 복지건설위원회, 행감 대비 현장 4곳 방문</t>
  </si>
  <si>
    <t>https://blog.naver.com/PostView.naver?blogId=jeonmaenews&amp;logNo=223896556075&amp;redirect=Dlog&amp;widgetTypeCall=true&amp;directAccess=false</t>
  </si>
  <si>
    <t>양천구, 맞춤형 교육 프로그램으로 ‘길잡이’ 역할 강화</t>
  </si>
  <si>
    <t>https://blog.naver.com/PostView.naver?blogId=jeonmaenews&amp;logNo=223896539332&amp;redirect=Dlog&amp;widgetTypeCall=true&amp;directAccess=false</t>
  </si>
  <si>
    <t>성북구 고대상인회, 10년 만에 삼계탕 나눔 다시 시작</t>
  </si>
  <si>
    <t>https://blog.naver.com/PostView.naver?blogId=jeonmaenews&amp;logNo=223896530366&amp;redirect=Dlog&amp;widgetTypeCall=true&amp;directAccess=false</t>
  </si>
  <si>
    <t>이영실 서울시의원, 자랑스런중랑인상 정치 부문 수상</t>
  </si>
  <si>
    <t>https://blog.naver.com/PostView.naver?blogId=jeonmaenews&amp;logNo=223896518060&amp;redirect=Dlog&amp;widgetTypeCall=true&amp;directAccess=false</t>
  </si>
  <si>
    <t>서울시교육청, 최초로 장애특성화대학 온라인 입학설명회 진행</t>
  </si>
  <si>
    <t>https://blog.naver.com/PostView.naver?blogId=jeonmaenews&amp;logNo=223896504245&amp;redirect=Dlog&amp;widgetTypeCall=true&amp;directAccess=false</t>
  </si>
  <si>
    <t>동대문구의회, 개원 이후 최초로 행감 증인 채택</t>
  </si>
  <si>
    <t>https://blog.naver.com/PostView.naver?blogId=jeonmaenews&amp;logNo=223896497514&amp;redirect=Dlog&amp;widgetTypeCall=true&amp;directAccess=false</t>
  </si>
  <si>
    <t>동대문구, 동부교육지원청과 IB 운영 기반 구축 업무협약</t>
  </si>
  <si>
    <t>https://blog.naver.com/PostView.naver?blogId=jeonmaenews&amp;logNo=223896487707&amp;redirect=Dlog&amp;widgetTypeCall=true&amp;directAccess=false</t>
  </si>
  <si>
    <t>동대문구의회 제9대 후반기 1년, 25개 조례 새로 제정</t>
  </si>
  <si>
    <t>https://blog.naver.com/PostView.naver?blogId=jeonmaenews&amp;logNo=223896478431&amp;redirect=Dlog&amp;widgetTypeCall=true&amp;directAccess=false</t>
  </si>
  <si>
    <t>영등포구, 9월 30일까지 폭염종합대책 추진</t>
  </si>
  <si>
    <t>https://blog.naver.com/PostView.naver?blogId=jeonmaenews&amp;logNo=223896474548&amp;redirect=Dlog&amp;widgetTypeCall=true&amp;directAccess=false</t>
  </si>
  <si>
    <t>강서구, ‘강서꿈동산’ 제16기 어린이기자단 출범</t>
  </si>
  <si>
    <t>https://blog.naver.com/PostView.naver?blogId=jeonmaenews&amp;logNo=223896469082&amp;redirect=Dlog&amp;widgetTypeCall=true&amp;directAccess=false</t>
  </si>
  <si>
    <t>대구 수성구 녹원맨션 재건축사업 정비구역 지정(안) 공람공고(25.6.10~25.7.22)</t>
  </si>
  <si>
    <t>https://blog.naver.com/PostView.naver?blogId=goldbabymama&amp;logNo=223896266287&amp;redirect=Dlog&amp;widgetTypeCall=true&amp;directAccess=false</t>
  </si>
  <si>
    <t>피고인 이재명 대통령의 체면과 법원의 정체성…대한민국 사법부의 붕괴…민주주의는 삼권분립·법치주의로 유지, 자유·평등주의로 발전</t>
  </si>
  <si>
    <t>https://blog.naver.com/PostView.naver?blogId=frtydhwang&amp;logNo=223896061477&amp;redirect=Dlog&amp;widgetTypeCall=true&amp;directAccess=false</t>
  </si>
  <si>
    <t>강동구의회, 제316회 제2차 본회의 구정질문 벌여</t>
  </si>
  <si>
    <t>https://blog.naver.com/PostView.naver?blogId=63swlee&amp;logNo=223895786150&amp;redirect=Dlog&amp;widgetTypeCall=true&amp;directAccess=false</t>
  </si>
  <si>
    <t>영주적십자병원, 지역의료 전달체계 홍보 캠페인</t>
  </si>
  <si>
    <t>https://blog.naver.com/PostView.naver?blogId=hds94036&amp;logNo=223895681054&amp;redirect=Dlog&amp;widgetTypeCall=true&amp;directAccess=false</t>
  </si>
  <si>
    <t>중구, 구립시니어합창단 최초 창단…60~75세 22명 구성</t>
  </si>
  <si>
    <t>https://blog.naver.com/PostView.naver?blogId=jeonmaenews&amp;logNo=223895480991&amp;redirect=Dlog&amp;widgetTypeCall=true&amp;directAccess=false</t>
  </si>
  <si>
    <t>영등포구, 웃음꽃 피는 ‘상생장터’ 개최</t>
  </si>
  <si>
    <t>https://blog.naver.com/PostView.naver?blogId=jeonmaenews&amp;logNo=223895470604&amp;redirect=Dlog&amp;widgetTypeCall=true&amp;directAccess=false</t>
  </si>
  <si>
    <t>양천구, ‘러브버그’ 확산 대비 방역·대응법 홍보 진행</t>
  </si>
  <si>
    <t>https://blog.naver.com/PostView.naver?blogId=jeonmaenews&amp;logNo=223895456018&amp;redirect=Dlog&amp;widgetTypeCall=true&amp;directAccess=false</t>
  </si>
  <si>
    <t>새지평 열어가는 뉴스</t>
  </si>
  <si>
    <t>[경북정치신문] `우리가 몰랐던 박정희` 구미에서 `리더십 강연` 열린다… 6개월 연속 강연 시리즈</t>
  </si>
  <si>
    <t>https://blog.naver.com/PostView.naver?blogId=gbp1111&amp;logNo=223895429403&amp;redirect=Dlog&amp;widgetTypeCall=true&amp;directAccess=false</t>
  </si>
  <si>
    <t>동대문구, ‘여름방학 영어체험교실’ 수강생 모집</t>
  </si>
  <si>
    <t>https://blog.naver.com/PostView.naver?blogId=jeonmaenews&amp;logNo=223895421660&amp;redirect=Dlog&amp;widgetTypeCall=true&amp;directAccess=false</t>
  </si>
  <si>
    <t>강서구-귀뚜라미재단, 장학생 선발해 미래 인재 육성</t>
  </si>
  <si>
    <t>https://blog.naver.com/PostView.naver?blogId=jeonmaenews&amp;logNo=223895411093&amp;redirect=Dlog&amp;widgetTypeCall=true&amp;directAccess=false</t>
  </si>
  <si>
    <t>광주시 광남1동 ‘찾아가는 보건복지상담소, 금쪽노인상담소’ 운영</t>
  </si>
  <si>
    <t>https://blog.naver.com/PostView.naver?blogId=jeonmaenews&amp;logNo=223895409458&amp;redirect=Dlog&amp;widgetTypeCall=true&amp;directAccess=false</t>
  </si>
  <si>
    <t>평택시, 제18회 세계인의 날 행사</t>
  </si>
  <si>
    <t>https://blog.naver.com/PostView.naver?blogId=jeonmaenews&amp;logNo=223895408611&amp;redirect=Dlog&amp;widgetTypeCall=true&amp;directAccess=false</t>
  </si>
  <si>
    <t>성남시, ‘자원순환가게’ 청솔점 개소</t>
  </si>
  <si>
    <t>https://blog.naver.com/PostView.naver?blogId=jeonmaenews&amp;logNo=223895407736&amp;redirect=Dlog&amp;widgetTypeCall=true&amp;directAccess=false</t>
  </si>
  <si>
    <t>강서구, 고1·2학년 대상 대학입시 설명회 개최</t>
  </si>
  <si>
    <t>https://blog.naver.com/PostView.naver?blogId=jeonmaenews&amp;logNo=223895395654&amp;redirect=Dlog&amp;widgetTypeCall=true&amp;directAccess=false</t>
  </si>
  <si>
    <t>서울시교육청, 20일까지 제2회 검정고시 원서 접수</t>
  </si>
  <si>
    <t>https://blog.naver.com/PostView.naver?blogId=jeonmaenews&amp;logNo=223895376554&amp;redirect=Dlog&amp;widgetTypeCall=true&amp;directAccess=false</t>
  </si>
  <si>
    <t>광진구, 광진가족페스티벌 어린이대공원서 14일 개최</t>
  </si>
  <si>
    <t>https://blog.naver.com/PostView.naver?blogId=jeonmaenews&amp;logNo=223895367230&amp;redirect=Dlog&amp;widgetTypeCall=true&amp;directAccess=false</t>
  </si>
  <si>
    <t>최호정 의장, “올 첫 추경안, 치열하고 책임감 있게 심의” 당부</t>
  </si>
  <si>
    <t>https://blog.naver.com/PostView.naver?blogId=jeonmaenews&amp;logNo=223895359400&amp;redirect=Dlog&amp;widgetTypeCall=true&amp;directAccess=false</t>
  </si>
  <si>
    <t>서울시의회-우리은행, 미혼 직원 소개팅 프로그램 추진</t>
  </si>
  <si>
    <t>https://blog.naver.com/PostView.naver?blogId=jeonmaenews&amp;logNo=223895348869&amp;redirect=Dlog&amp;widgetTypeCall=true&amp;directAccess=false</t>
  </si>
  <si>
    <t>‘제17회 현진건문학상·제15회 현진건신인문학상‘ 공모</t>
  </si>
  <si>
    <t>https://blog.naver.com/PostView.naver?blogId=munhakin1&amp;logNo=223894823781&amp;redirect=Dlog&amp;widgetTypeCall=true&amp;directAccess=false</t>
  </si>
  <si>
    <t>금정농산</t>
  </si>
  <si>
    <t>경북 영주·봉화산 ‘두백감자’의 우수성</t>
  </si>
  <si>
    <t>https://blog.naver.com/PostView.naver?blogId=geumjeong_farm&amp;logNo=223894738178&amp;redirect=Dlog&amp;widgetTypeCall=true&amp;directAccess=false</t>
  </si>
  <si>
    <t>경기도 특사경, 석유사업법 위반한 판매소 3곳 적발</t>
  </si>
  <si>
    <t>https://blog.naver.com/PostView.naver?blogId=jeonmaenews&amp;logNo=223894442877&amp;redirect=Dlog&amp;widgetTypeCall=true&amp;directAccess=false</t>
  </si>
  <si>
    <t>용인특례시, 어르신 위한 체감형 복지 사업 활발히 추진</t>
  </si>
  <si>
    <t>https://blog.naver.com/PostView.naver?blogId=jeonmaenews&amp;logNo=223894442196&amp;redirect=Dlog&amp;widgetTypeCall=true&amp;directAccess=false</t>
  </si>
  <si>
    <t>남양주시, 제2경춘 연결 민자도로 사업 본격 추진</t>
  </si>
  <si>
    <t>https://blog.naver.com/PostView.naver?blogId=jeonmaenews&amp;logNo=223894440434&amp;redirect=Dlog&amp;widgetTypeCall=true&amp;directAccess=false</t>
  </si>
  <si>
    <t>성남을 음악으로 물들이다! 2025 파크콘서트 &amp; 뮤직페스타</t>
  </si>
  <si>
    <t>https://blog.naver.com/PostView.naver?blogId=jeonmaenews&amp;logNo=223894438633&amp;redirect=Dlog&amp;widgetTypeCall=true&amp;directAccess=false</t>
  </si>
  <si>
    <t>함안군, 제13회 강주해바라기 축제 개최</t>
  </si>
  <si>
    <t>https://blog.naver.com/PostView.naver?blogId=jeonmaenews&amp;logNo=223894436361&amp;redirect=Dlog&amp;widgetTypeCall=true&amp;directAccess=false</t>
  </si>
  <si>
    <t>강동구, 희망두배 청년통장·꿈나래통장 신규 참가자 모집</t>
  </si>
  <si>
    <t>https://blog.naver.com/PostView.naver?blogId=jeonmaenews&amp;logNo=223894257226&amp;redirect=Dlog&amp;widgetTypeCall=true&amp;directAccess=false</t>
  </si>
  <si>
    <t>중구, 중구장학재단·서울대평생교육원과 인재 육성 업무협약</t>
  </si>
  <si>
    <t>https://blog.naver.com/PostView.naver?blogId=jeonmaenews&amp;logNo=223894247359&amp;redirect=Dlog&amp;widgetTypeCall=true&amp;directAccess=false</t>
  </si>
  <si>
    <t>경기도, 공공건축물 그린리모델링 사업 242억 원 확보</t>
  </si>
  <si>
    <t>https://blog.naver.com/PostView.naver?blogId=jeonmaenews&amp;logNo=223894234411&amp;redirect=Dlog&amp;widgetTypeCall=true&amp;directAccess=false</t>
  </si>
  <si>
    <t>양천구시설관리공단, 공공구매제도·재무 분야 계획안 마련</t>
  </si>
  <si>
    <t>https://blog.naver.com/PostView.naver?blogId=jeonmaenews&amp;logNo=223894225900&amp;redirect=Dlog&amp;widgetTypeCall=true&amp;directAccess=false</t>
  </si>
  <si>
    <t>성북구, 200여 명 참여한 ‘2025 진학박람회’ 성료</t>
  </si>
  <si>
    <t>https://blog.naver.com/PostView.naver?blogId=jeonmaenews&amp;logNo=223894192084&amp;redirect=Dlog&amp;widgetTypeCall=true&amp;directAccess=false</t>
  </si>
  <si>
    <t>양천구, 복지사각지대 담당 ‘명예사회복지공무원’ 운영</t>
  </si>
  <si>
    <t>https://blog.naver.com/PostView.naver?blogId=jeonmaenews&amp;logNo=223894208959&amp;redirect=Dlog&amp;widgetTypeCall=true&amp;directAccess=false</t>
  </si>
  <si>
    <t>서울시 자율주행 대중교통 정책 인지도 86.2%, 이용 의향 61.9%</t>
  </si>
  <si>
    <t>https://blog.naver.com/PostView.naver?blogId=jeonmaenews&amp;logNo=223894174133&amp;redirect=Dlog&amp;widgetTypeCall=true&amp;directAccess=false</t>
  </si>
  <si>
    <t>서울시교육청, 고교학점제 전방위 지원 본격화</t>
  </si>
  <si>
    <t>https://blog.naver.com/PostView.naver?blogId=jeonmaenews&amp;logNo=223894162861&amp;redirect=Dlog&amp;widgetTypeCall=true&amp;directAccess=false</t>
  </si>
  <si>
    <t>동대문구답십리도서관, ‘도서관과 함께 책 읽기’ 3년 연속 선정</t>
  </si>
  <si>
    <t>https://blog.naver.com/PostView.naver?blogId=jeonmaenews&amp;logNo=223894148511&amp;redirect=Dlog&amp;widgetTypeCall=true&amp;directAccess=false</t>
  </si>
  <si>
    <t>강서구, 12일 마곡광장 일대서 ‘사봄마켓’ 개최</t>
  </si>
  <si>
    <t>https://blog.naver.com/PostView.naver?blogId=jeonmaenews&amp;logNo=223894143278&amp;redirect=Dlog&amp;widgetTypeCall=true&amp;directAccess=false</t>
  </si>
  <si>
    <t>진교훈 강서구청장, 모범·선행구민에 표창장 수여</t>
  </si>
  <si>
    <t>https://blog.naver.com/PostView.naver?blogId=jeonmaenews&amp;logNo=223894134404&amp;redirect=Dlog&amp;widgetTypeCall=true&amp;directAccess=false</t>
  </si>
  <si>
    <t>박성연 서울시의원, “광진구에 제4의 119안전센터 반드시 필요”</t>
  </si>
  <si>
    <t>https://blog.naver.com/PostView.naver?blogId=jeonmaenews&amp;logNo=223893048184&amp;redirect=Dlog&amp;widgetTypeCall=true&amp;directAccess=false</t>
  </si>
  <si>
    <t>서울시의회 김경 위원장, “연극계 지원 및 공공극장 인프라 확대 약속”</t>
  </si>
  <si>
    <t>https://blog.naver.com/PostView.naver?blogId=jeonmaenews&amp;logNo=223893022686&amp;redirect=Dlog&amp;widgetTypeCall=true&amp;directAccess=false</t>
  </si>
  <si>
    <t>중구, ‘주민체감형 중심’ 올 첫 추경안 22억 구의회 제출</t>
  </si>
  <si>
    <t>https://blog.naver.com/PostView.naver?blogId=jeonmaenews&amp;logNo=223893003197&amp;redirect=Dlog&amp;widgetTypeCall=true&amp;directAccess=false</t>
  </si>
  <si>
    <t>양천구, 벚꽃길공영주차장 입체화로 2배 이상 확대</t>
  </si>
  <si>
    <t>https://blog.naver.com/PostView.naver?blogId=jeonmaenews&amp;logNo=223892976964&amp;redirect=Dlog&amp;widgetTypeCall=true&amp;directAccess=false</t>
  </si>
  <si>
    <t>성북구, ‘성북구 최초’ 어린이청소년도서관 개관</t>
  </si>
  <si>
    <t>https://blog.naver.com/PostView.naver?blogId=jeonmaenews&amp;logNo=223892961951&amp;redirect=Dlog&amp;widgetTypeCall=true&amp;directAccess=false</t>
  </si>
  <si>
    <t>사인암</t>
  </si>
  <si>
    <t>계단을 걷는 사람 - 이희명</t>
  </si>
  <si>
    <t>https://blog.naver.com/PostView.naver?blogId=yong3569&amp;logNo=223892959166&amp;redirect=Dlog&amp;widgetTypeCall=true&amp;directAccess=false</t>
  </si>
  <si>
    <t>성북구, 사회적경제기업·소상공인과 성북MOA마켓 개최</t>
  </si>
  <si>
    <t>https://blog.naver.com/PostView.naver?blogId=jeonmaenews&amp;logNo=223892947963&amp;redirect=Dlog&amp;widgetTypeCall=true&amp;directAccess=false</t>
  </si>
  <si>
    <t>안중근 의사 자서전</t>
  </si>
  <si>
    <t>https://blog.naver.com/PostView.naver?blogId=tsshy&amp;logNo=223892933199&amp;redirect=Dlog&amp;widgetTypeCall=true&amp;directAccess=false</t>
  </si>
  <si>
    <t>강서구, 경력보유 여성 돕는 취업·창업 교육과정 운영</t>
  </si>
  <si>
    <t>https://blog.naver.com/PostView.naver?blogId=jeonmaenews&amp;logNo=223892927855&amp;redirect=Dlog&amp;widgetTypeCall=true&amp;directAccess=false</t>
  </si>
  <si>
    <t>Many</t>
  </si>
  <si>
    <t>한국사 블로그에 적은거 모음</t>
  </si>
  <si>
    <t>https://blog.naver.com/PostView.naver?blogId=vicary&amp;logNo=223891492922&amp;redirect=Dlog&amp;widgetTypeCall=true&amp;directAccess=false</t>
  </si>
  <si>
    <t>인천시마을기업협회</t>
  </si>
  <si>
    <t>인천마을기업협회, 인천시사회적경제 민·관 정책협의회 구성 ‘첫 회의’ 개최 참여</t>
  </si>
  <si>
    <t>https://blog.naver.com/PostView.naver?blogId=incvc&amp;logNo=223891155289&amp;redirect=Dlog&amp;widgetTypeCall=true&amp;directAccess=false</t>
  </si>
  <si>
    <t>영어 유래의 번역어들(5)-   주의(主義)와  〜주의(〜主義)</t>
  </si>
  <si>
    <t>https://blog.naver.com/PostView.naver?blogId=oryama&amp;logNo=223891140943&amp;redirect=Dlog&amp;widgetTypeCall=true&amp;directAccess=false</t>
  </si>
  <si>
    <t>뚱이</t>
  </si>
  <si>
    <t>특검찬성 칼 꽂은 친한계, 민주당 입법독주 동조자'  매일신문보도</t>
  </si>
  <si>
    <t>https://blog.naver.com/PostView.naver?blogId=myj07140&amp;logNo=223890945833&amp;redirect=Dlog&amp;widgetTypeCall=true&amp;directAccess=false</t>
  </si>
  <si>
    <t>내가 트럼프라면 연락 안 할 듯</t>
  </si>
  <si>
    <t>https://blog.naver.com/PostView.naver?blogId=silverspiri5&amp;logNo=223890918061&amp;redirect=Dlog&amp;widgetTypeCall=true&amp;directAccess=false</t>
  </si>
  <si>
    <t>영등포구, 10일 제30회 환경의 날 기념행사 개최</t>
  </si>
  <si>
    <t>https://blog.naver.com/PostView.naver?blogId=jeonmaenews&amp;logNo=223890308612&amp;redirect=Dlog&amp;widgetTypeCall=true&amp;directAccess=false</t>
  </si>
  <si>
    <t>중구, 11일 제29회 호국보훈의 달 기념식 개최</t>
  </si>
  <si>
    <t>https://blog.naver.com/PostView.naver?blogId=jeonmaenews&amp;logNo=223890301772&amp;redirect=Dlog&amp;widgetTypeCall=true&amp;directAccess=false</t>
  </si>
  <si>
    <t>영등포구의회, 제261회 제1차 정례회 의사일정 확정</t>
  </si>
  <si>
    <t>https://blog.naver.com/PostView.naver?blogId=jeonmaenews&amp;logNo=223890288634&amp;redirect=Dlog&amp;widgetTypeCall=true&amp;directAccess=false</t>
  </si>
  <si>
    <t>양천구시설관리공단, 전 직원 대상 기록물관리교육 실시</t>
  </si>
  <si>
    <t>https://blog.naver.com/PostView.naver?blogId=jeonmaenews&amp;logNo=223890284206&amp;redirect=Dlog&amp;widgetTypeCall=true&amp;directAccess=false</t>
  </si>
  <si>
    <t>성북구, 민·관·학 주민자치문화 프로그램 ‘1주1학’ 추진</t>
  </si>
  <si>
    <t>https://blog.naver.com/PostView.naver?blogId=jeonmaenews&amp;logNo=223890280146&amp;redirect=Dlog&amp;widgetTypeCall=true&amp;directAccess=false</t>
  </si>
  <si>
    <t>[팔도 핫플레이스] 바다·호수·역사를 한눈에…강원도 고성 화진포</t>
  </si>
  <si>
    <t>https://blog.naver.com/PostView.naver?blogId=dwyun60&amp;logNo=223890268957&amp;redirect=Dlog&amp;widgetTypeCall=true&amp;directAccess=false</t>
  </si>
  <si>
    <t>서울시의회 이병윤 교통위원장, 홍릉근린공원 맨발산책로 조성</t>
  </si>
  <si>
    <t>https://blog.naver.com/PostView.naver?blogId=jeonmaenews&amp;logNo=223890268610&amp;redirect=Dlog&amp;widgetTypeCall=true&amp;directAccess=false</t>
  </si>
  <si>
    <t>동대문구시설관리공단, 서울시 최초 ‘AI 윤리 가이드라인’ 도입</t>
  </si>
  <si>
    <t>https://blog.naver.com/PostView.naver?blogId=jeonmaenews&amp;logNo=223890246342&amp;redirect=Dlog&amp;widgetTypeCall=true&amp;directAccess=false</t>
  </si>
  <si>
    <t>동대문구, 옥외광고물 민관 합동 재해방재훈련 실시</t>
  </si>
  <si>
    <t>https://blog.naver.com/PostView.naver?blogId=jeonmaenews&amp;logNo=223890240850&amp;redirect=Dlog&amp;widgetTypeCall=true&amp;directAccess=false</t>
  </si>
  <si>
    <t>강서구시설관리공단, 본부청사·공영주차장 환경정비 캠페인 실시</t>
  </si>
  <si>
    <t>https://blog.naver.com/PostView.naver?blogId=jeonmaenews&amp;logNo=223890234493&amp;redirect=Dlog&amp;widgetTypeCall=true&amp;directAccess=false</t>
  </si>
  <si>
    <t>진교훈 강서구청장, 구정자문위원회 운영 등 ‘현장중심행정’ 강화</t>
  </si>
  <si>
    <t>https://blog.naver.com/PostView.naver?blogId=jeonmaenews&amp;logNo=223890231571&amp;redirect=Dlog&amp;widgetTypeCall=true&amp;directAccess=false</t>
  </si>
  <si>
    <t>강서문화원, 참여형 기획공연 ‘애니싱어롱 콘서트’ 개최</t>
  </si>
  <si>
    <t>https://blog.naver.com/PostView.naver?blogId=jeonmaenews&amp;logNo=223890225256&amp;redirect=Dlog&amp;widgetTypeCall=true&amp;directAccess=false</t>
  </si>
  <si>
    <t>이명박 대통령 재임 시기, 한 공식 행사에서의 순간을 담고 있다.</t>
  </si>
  <si>
    <t>https://blog.naver.com/PostView.naver?blogId=dream00s&amp;logNo=223889627167&amp;redirect=Dlog&amp;widgetTypeCall=true&amp;directAccess=false</t>
  </si>
  <si>
    <t>국격 추락의 신호탄</t>
  </si>
  <si>
    <t>https://blog.naver.com/PostView.naver?blogId=echoxy&amp;logNo=223889483349&amp;redirect=Dlog&amp;widgetTypeCall=true&amp;directAccess=false</t>
  </si>
  <si>
    <t>동대문구, 평생교육 전용 온라인 플랫폼 구축</t>
  </si>
  <si>
    <t>https://blog.naver.com/PostView.naver?blogId=jeonmaenews&amp;logNo=223889257551&amp;redirect=Dlog&amp;widgetTypeCall=true&amp;directAccess=false</t>
  </si>
  <si>
    <t>서울시의회, 직원 대상 ‘일상 속 규제 없애기’ 공모</t>
  </si>
  <si>
    <t>https://blog.naver.com/PostView.naver?blogId=jeonmaenews&amp;logNo=223889241387&amp;redirect=Dlog&amp;widgetTypeCall=true&amp;directAccess=false</t>
  </si>
  <si>
    <t>중구, 개관 20주년 충무아트센터 리모델링 완료</t>
  </si>
  <si>
    <t>https://blog.naver.com/PostView.naver?blogId=jeonmaenews&amp;logNo=223889214900&amp;redirect=Dlog&amp;widgetTypeCall=true&amp;directAccess=false</t>
  </si>
  <si>
    <t>중랑구, 재난대응 역량 업그레이드…예방부터 회복까지 책임</t>
  </si>
  <si>
    <t>https://blog.naver.com/PostView.naver?blogId=63swlee&amp;logNo=223889211586&amp;redirect=Dlog&amp;widgetTypeCall=true&amp;directAccess=false</t>
  </si>
  <si>
    <t>영등포구, 실길동 일대 교통·주거 갖춘 주택단지로 재개발</t>
  </si>
  <si>
    <t>https://blog.naver.com/PostView.naver?blogId=jeonmaenews&amp;logNo=223889199688&amp;redirect=Dlog&amp;widgetTypeCall=true&amp;directAccess=false</t>
  </si>
  <si>
    <t>서울시교육청, ‘기록의 날’ 행정안전부장관 표창 수상</t>
  </si>
  <si>
    <t>https://blog.naver.com/PostView.naver?blogId=jeonmaenews&amp;logNo=223889156889&amp;redirect=Dlog&amp;widgetTypeCall=true&amp;directAccess=false</t>
  </si>
  <si>
    <t>강서구, 백일·돌상 촬영 공간 대여서비스 시행</t>
  </si>
  <si>
    <t>https://blog.naver.com/PostView.naver?blogId=jeonmaenews&amp;logNo=223889145300&amp;redirect=Dlog&amp;widgetTypeCall=true&amp;directAccess=false</t>
  </si>
  <si>
    <t>전부다 박사</t>
  </si>
  <si>
    <t>ASEZ WAO '2040 플라스틱 프리' 캠페인 (하나님의 교회)</t>
  </si>
  <si>
    <t>https://blog.naver.com/PostView.naver?blogId=everything_lab&amp;logNo=223888807792&amp;redirect=Dlog&amp;widgetTypeCall=true&amp;directAccess=false</t>
  </si>
  <si>
    <t>[이인숙의 옛그림 예찬] &lt;301&gt;선비의 품격에 취향을 더한 초상화</t>
  </si>
  <si>
    <t>https://blog.naver.com/PostView.naver?blogId=dwyun60&amp;logNo=223888498266&amp;redirect=Dlog&amp;widgetTypeCall=true&amp;directAccess=false</t>
  </si>
  <si>
    <t>전진바이오팜(110020)</t>
  </si>
  <si>
    <t>https://blog.naver.com/PostView.naver?blogId=kang-pro1023&amp;logNo=223888295780&amp;redirect=Dlog&amp;widgetTypeCall=true&amp;directAccess=false</t>
  </si>
  <si>
    <t>경기도, 플랫폼노동자 산재보험료 80% 환급 지원</t>
  </si>
  <si>
    <t>https://blog.naver.com/PostView.naver?blogId=jeonmaenews&amp;logNo=223888196282&amp;redirect=Dlog&amp;widgetTypeCall=true&amp;directAccess=false</t>
  </si>
  <si>
    <t>경기도, 미취업자 대상 ‘징검다리 일자리’ 참여자 추가 모집</t>
  </si>
  <si>
    <t>https://blog.naver.com/PostView.naver?blogId=jeonmaenews&amp;logNo=223888195397&amp;redirect=Dlog&amp;widgetTypeCall=true&amp;directAccess=false</t>
  </si>
  <si>
    <t>군포시, 여성 1인가구 ‘안심 패키지’ 지원</t>
  </si>
  <si>
    <t>https://blog.naver.com/PostView.naver?blogId=jeonmaenews&amp;logNo=223888193611&amp;redirect=Dlog&amp;widgetTypeCall=true&amp;directAccess=false</t>
  </si>
  <si>
    <t>성동구, 희망두배 청년통장·꿈나래통장 신규 참여자 모집</t>
  </si>
  <si>
    <t>https://blog.naver.com/PostView.naver?blogId=63swlee&amp;logNo=223888038086&amp;redirect=Dlog&amp;widgetTypeCall=true&amp;directAccess=false</t>
  </si>
  <si>
    <t>서초구, 청년 직무캠프·서류패스 멘토링 운영…청년 취업 지원</t>
  </si>
  <si>
    <t>https://blog.naver.com/PostView.naver?blogId=jeonmaenews&amp;logNo=223888011196&amp;redirect=Dlog&amp;widgetTypeCall=true&amp;directAccess=false</t>
  </si>
  <si>
    <t>안동 3개大 '학업장려금' 줬더니 市 인구 2년 연속 증가</t>
  </si>
  <si>
    <t>https://blog.naver.com/PostView.naver?blogId=dwyun60&amp;logNo=223887982026&amp;redirect=Dlog&amp;widgetTypeCall=true&amp;directAccess=false</t>
  </si>
  <si>
    <t>영등포구, 장례식장·위문금 등 국가보훈대상자 예우 추진</t>
  </si>
  <si>
    <t>https://blog.naver.com/PostView.naver?blogId=jeonmaenews&amp;logNo=223887959654&amp;redirect=Dlog&amp;widgetTypeCall=true&amp;directAccess=false</t>
  </si>
  <si>
    <t>[건강플러스] 여성의 임신·출산·모유수유 후 처진 가슴, 어떻게 해결할 수 있을까?</t>
  </si>
  <si>
    <t>https://blog.naver.com/PostView.naver?blogId=dwyun60&amp;logNo=223887955135&amp;redirect=Dlog&amp;widgetTypeCall=true&amp;directAccess=false</t>
  </si>
  <si>
    <t>중구, 임산부에 친환경 농산물 꾸러미 첫 배송</t>
  </si>
  <si>
    <t>https://blog.naver.com/PostView.naver?blogId=jeonmaenews&amp;logNo=223887937306&amp;redirect=Dlog&amp;widgetTypeCall=true&amp;directAccess=false</t>
  </si>
  <si>
    <t>김인제 서울시의회 부의장, ‘지반침하 안전지도’ 공개 개정안 대표발의</t>
  </si>
  <si>
    <t>https://blog.naver.com/PostView.naver?blogId=jeonmaenews&amp;logNo=223887913739&amp;redirect=Dlog&amp;widgetTypeCall=true&amp;directAccess=false</t>
  </si>
  <si>
    <t>동대문구, 5일부터 11일까지 ‘환경교육주간’ 운영</t>
  </si>
  <si>
    <t>https://blog.naver.com/PostView.naver?blogId=jeonmaenews&amp;logNo=223887900162&amp;redirect=Dlog&amp;widgetTypeCall=true&amp;directAccess=false</t>
  </si>
  <si>
    <t>별지기</t>
  </si>
  <si>
    <t>국립서울현충원 - 민족의 성역</t>
  </si>
  <si>
    <t>https://blog.naver.com/PostView.naver?blogId=starshine867&amp;logNo=223887895945&amp;redirect=Dlog&amp;widgetTypeCall=true&amp;directAccess=false</t>
  </si>
  <si>
    <t>강서구의회, 제312회 제1차 정례회 개회</t>
  </si>
  <si>
    <t>https://blog.naver.com/PostView.naver?blogId=jeonmaenews&amp;logNo=223887892337&amp;redirect=Dlog&amp;widgetTypeCall=true&amp;directAccess=false</t>
  </si>
  <si>
    <t>강서구, 18일 아리홀서 전통문화공연 ‘풍류25’ 개최</t>
  </si>
  <si>
    <t>https://blog.naver.com/PostView.naver?blogId=jeonmaenews&amp;logNo=223887876669&amp;redirect=Dlog&amp;widgetTypeCall=true&amp;directAccess=false</t>
  </si>
  <si>
    <t>2025년 6월 3일 (화) 매일신문 지면기사</t>
  </si>
  <si>
    <t>https://blog.naver.com/PostView.naver?blogId=theblock101&amp;logNo=223886833472&amp;redirect=Dlog&amp;widgetTypeCall=true&amp;directAccess=false</t>
  </si>
  <si>
    <t>짐 로저스는 ‘support’... 보수언론은 ‘endorse’라고 곤궁에 빠트려</t>
  </si>
  <si>
    <t>https://blog.naver.com/PostView.naver?blogId=chookk7&amp;logNo=223886750705&amp;redirect=Dlog&amp;widgetTypeCall=true&amp;directAccess=false</t>
  </si>
  <si>
    <t>한경대전518</t>
  </si>
  <si>
    <t>일본 규모6.0이상 지진 현황 및 수상한 양산단층 움직임!!</t>
  </si>
  <si>
    <t>https://blog.naver.com/PostView.naver?blogId=jegokgosin2024&amp;logNo=223886724107&amp;redirect=Dlog&amp;widgetTypeCall=true&amp;directAccess=false</t>
  </si>
  <si>
    <t>🤯국제적 해프닝! 짐 로저스, 이재명 지지 사건 요약</t>
  </si>
  <si>
    <t>https://blog.naver.com/PostView.naver?blogId=black43&amp;logNo=223886535322&amp;redirect=Dlog&amp;widgetTypeCall=true&amp;directAccess=false</t>
  </si>
  <si>
    <t>중랑구, 어려운 이웃 릴레이 사랑나눔 ‘훈훈’</t>
  </si>
  <si>
    <t>https://blog.naver.com/PostView.naver?blogId=63swlee&amp;logNo=223885816013&amp;redirect=Dlog&amp;widgetTypeCall=true&amp;directAccess=false</t>
  </si>
  <si>
    <t>진교훈 강서구청장, 지반침하 예방 도로하부 공동조사 현장점검</t>
  </si>
  <si>
    <t>https://blog.naver.com/PostView.naver?blogId=jeonmaenews&amp;logNo=223885750111&amp;redirect=Dlog&amp;widgetTypeCall=true&amp;directAccess=false</t>
  </si>
  <si>
    <t>동대문구, 서울 자치구 최초로 수상스포츠 본격 운영</t>
  </si>
  <si>
    <t>https://blog.naver.com/PostView.naver?blogId=jeonmaenews&amp;logNo=223885738849&amp;redirect=Dlog&amp;widgetTypeCall=true&amp;directAccess=false</t>
  </si>
  <si>
    <t>김규남 서울시의원, ‘도시형캠퍼스’ 설립 조례 대표발의</t>
  </si>
  <si>
    <t>https://blog.naver.com/PostView.naver?blogId=jeonmaenews&amp;logNo=223885707084&amp;redirect=Dlog&amp;widgetTypeCall=true&amp;directAccess=false</t>
  </si>
  <si>
    <t>서울시교육청 학생교육원, ‘찾아가는 늘봄놀이교실’ 운영</t>
  </si>
  <si>
    <t>https://blog.naver.com/PostView.naver?blogId=jeonmaenews&amp;logNo=223885718204&amp;redirect=Dlog&amp;widgetTypeCall=true&amp;directAccess=false</t>
  </si>
  <si>
    <t>강동구, 청년 행정체험단 71명 모집</t>
  </si>
  <si>
    <t>https://blog.naver.com/PostView.naver?blogId=jeonmaenews&amp;logNo=223885702765&amp;redirect=Dlog&amp;widgetTypeCall=true&amp;directAccess=false</t>
  </si>
  <si>
    <t>이승로 성북구청장, 교통·공원·주거·환경 등 4개 현안 현장점검</t>
  </si>
  <si>
    <t>https://blog.naver.com/PostView.naver?blogId=jeonmaenews&amp;logNo=223885693851&amp;redirect=Dlog&amp;widgetTypeCall=true&amp;directAccess=false</t>
  </si>
  <si>
    <t>양천구, 공동주택 분야 공사·용역 등 전문자문단 운영</t>
  </si>
  <si>
    <t>https://blog.naver.com/PostView.naver?blogId=jeonmaenews&amp;logNo=223885672229&amp;redirect=Dlog&amp;widgetTypeCall=true&amp;directAccess=false</t>
  </si>
  <si>
    <t>영등포구, 대림동·신길동 등 복지센터 두 곳 연달아 개관</t>
  </si>
  <si>
    <t>https://blog.naver.com/PostView.naver?blogId=jeonmaenews&amp;logNo=223885656191&amp;redirect=Dlog&amp;widgetTypeCall=true&amp;directAccess=false</t>
  </si>
  <si>
    <t>중구, 커피전문점 커피박 수거해 자원으로 재활용</t>
  </si>
  <si>
    <t>https://blog.naver.com/PostView.naver?blogId=jeonmaenews&amp;logNo=223885629338&amp;redirect=Dlog&amp;widgetTypeCall=true&amp;directAccess=false</t>
  </si>
  <si>
    <t>2025년 6월 2일 (월) 매일신문 지면기사</t>
  </si>
  <si>
    <t>https://blog.naver.com/PostView.naver?blogId=theblock101&amp;logNo=223885565422&amp;redirect=Dlog&amp;widgetTypeCall=true&amp;directAccess=false</t>
  </si>
  <si>
    <t>[국제적 망신] ✅ 짐 로저스  “이재명 지지 선언한 적 없다. 이건 사기" ✅ 5월 29일 국회에서 민주당이 연 '짐 로저스 회장, 개성공단 기업 대표단 이재명 후보 지지</t>
  </si>
  <si>
    <t>https://blog.naver.com/PostView.naver?blogId=hwebs&amp;logNo=223885564201&amp;redirect=Dlog&amp;widgetTypeCall=true&amp;directAccess=false</t>
  </si>
  <si>
    <t>짐 로저스 이재명 지지한 적 없다 -  사실 확인 되지 않은 지지선언! 팩트 체크 들어갑니다</t>
  </si>
  <si>
    <t>https://blog.naver.com/PostView.naver?blogId=bassluvv&amp;logNo=223885450394&amp;redirect=Dlog&amp;widgetTypeCall=true&amp;directAccess=false</t>
  </si>
  <si>
    <t>짐 로저스 "이재명 지지 선언한 적 없다. 이건 사기" (한국경제 최종 기사)</t>
  </si>
  <si>
    <t>https://blog.naver.com/PostView.naver?blogId=godloveyouforever&amp;logNo=223885142289&amp;redirect=Dlog&amp;widgetTypeCall=true&amp;directAccess=false</t>
  </si>
  <si>
    <t>경기일보</t>
  </si>
  <si>
    <t>안성시, 2025 안성맞춤컵 전국 50·60대 축구대회 성황리에 개최</t>
  </si>
  <si>
    <t>https://blog.naver.com/PostView.naver?blogId=jb11101&amp;logNo=223916544298&amp;redirect=Dlog&amp;widgetTypeCall=true&amp;directAccess=false</t>
  </si>
  <si>
    <t>2025년 6월 30일 (월) 경기일보</t>
  </si>
  <si>
    <t>https://blog.naver.com/PostView.naver?blogId=theblock101&amp;logNo=223916198580&amp;redirect=Dlog&amp;widgetTypeCall=true&amp;directAccess=false</t>
  </si>
  <si>
    <t>“우리동네 절대 안돼”… 장사시설 ‘님비’ 여전</t>
  </si>
  <si>
    <t>https://blog.naver.com/PostView.naver?blogId=yfish66&amp;logNo=223916161705&amp;redirect=Dlog&amp;widgetTypeCall=true&amp;directAccess=false</t>
  </si>
  <si>
    <t>원장</t>
  </si>
  <si>
    <t>교통환경 변화에 맞춤형 교통안전교육이 절실하다</t>
  </si>
  <si>
    <t>https://blog.naver.com/PostView.naver?blogId=interpower-mobility&amp;logNo=223913991179&amp;redirect=Dlog&amp;widgetTypeCall=true&amp;directAccess=false</t>
  </si>
  <si>
    <t>"고양시가 청년을 버렸다"…시 청년기본소득 사업 중단에 비판 고조</t>
  </si>
  <si>
    <t>https://blog.naver.com/PostView.naver?blogId=gywatchdog&amp;logNo=223913811993&amp;redirect=Dlog&amp;widgetTypeCall=true&amp;directAccess=false</t>
  </si>
  <si>
    <t>2025년 6월 27일 (금) 경기일보</t>
  </si>
  <si>
    <t>https://blog.naver.com/PostView.naver?blogId=theblock101&amp;logNo=223913265118&amp;redirect=Dlog&amp;widgetTypeCall=true&amp;directAccess=false</t>
  </si>
  <si>
    <t>ALUV</t>
  </si>
  <si>
    <t>2025년 6월 26일 (목) 경기일보</t>
  </si>
  <si>
    <t>https://blog.naver.com/PostView.naver?blogId=theblock101&amp;logNo=223911951459&amp;redirect=Dlog&amp;widgetTypeCall=true&amp;directAccess=false</t>
  </si>
  <si>
    <t>비전21뉴스</t>
  </si>
  <si>
    <t>정흥범 화성시의회 부의장, ‘제32회 경기일보 공직대상’ 자치의정대상 수상</t>
  </si>
  <si>
    <t>https://blog.naver.com/PostView.naver?blogId=sycnews21&amp;logNo=223911457702&amp;redirect=Dlog&amp;widgetTypeCall=true&amp;directAccess=false</t>
  </si>
  <si>
    <t>김낙의변호사</t>
  </si>
  <si>
    <t>형사전문변호사, 가족회사·친족간 거액 횡령 혐의, 불기소(기소유예) 처분을 이끌어내다.</t>
  </si>
  <si>
    <t>https://blog.naver.com/PostView.naver?blogId=kne1293&amp;logNo=223911313274&amp;redirect=Dlog&amp;widgetTypeCall=true&amp;directAccess=false</t>
  </si>
  <si>
    <t>김덕현 연천군수, 공직대상 ‘자치경영대상’ 수상 - 연천뉴스</t>
  </si>
  <si>
    <t>https://blog.naver.com/PostView.naver?blogId=wonsun1963&amp;logNo=223911282570&amp;redirect=Dlog&amp;widgetTypeCall=true&amp;directAccess=false</t>
  </si>
  <si>
    <t>“반딧불이 못살면 우리도 못살아”... 남양주 내방3리 주민들 골프장 건립 반대</t>
  </si>
  <si>
    <t>https://blog.naver.com/PostView.naver?blogId=yhc114&amp;logNo=223911137768&amp;redirect=Dlog&amp;widgetTypeCall=true&amp;directAccess=false</t>
  </si>
  <si>
    <t>한북정맥 8구간 : 불곡산구간 - 산에서 만나는 고독과 악수하며...</t>
  </si>
  <si>
    <t>https://blog.naver.com/PostView.naver?blogId=kmhcsh-&amp;logNo=223911028315&amp;redirect=Dlog&amp;widgetTypeCall=true&amp;directAccess=false</t>
  </si>
  <si>
    <t>2025년 6월 25일 (수) 경기일보</t>
  </si>
  <si>
    <t>https://blog.naver.com/PostView.naver?blogId=theblock101&amp;logNo=223910784820&amp;redirect=Dlog&amp;widgetTypeCall=true&amp;directAccess=false</t>
  </si>
  <si>
    <t>일본, 7월 대지진 진짜 오나? 사흘간 300번 넘는 지진.</t>
  </si>
  <si>
    <t>https://blog.naver.com/PostView.naver?blogId=zeenokim&amp;logNo=223910751751&amp;redirect=Dlog&amp;widgetTypeCall=true&amp;directAccess=false</t>
  </si>
  <si>
    <t>수원·화성 주민 81% “軍 항공기 소음 불편”</t>
  </si>
  <si>
    <t>https://blog.naver.com/PostView.naver?blogId=sonyk17&amp;logNo=223910193428&amp;redirect=Dlog&amp;widgetTypeCall=true&amp;directAccess=false</t>
  </si>
  <si>
    <t>경기도 광주시 역동 공사현장, 근로자 1명 20m 추락 사고 발생</t>
  </si>
  <si>
    <t>https://blog.naver.com/PostView.naver?blogId=krsongc2&amp;logNo=223910182768&amp;redirect=Dlog&amp;widgetTypeCall=true&amp;directAccess=false</t>
  </si>
  <si>
    <t>인천김포고속도로에서 차량 추돌 사고 발생, 램프 구간 통제</t>
  </si>
  <si>
    <t>https://blog.naver.com/PostView.naver?blogId=krsongc2&amp;logNo=223910178866&amp;redirect=Dlog&amp;widgetTypeCall=true&amp;directAccess=false</t>
  </si>
  <si>
    <t>오가날</t>
  </si>
  <si>
    <t>경춘선 따라서(7) 금곡역(8) 독립운동가 이석영 기념관, 신흥무관학교의 실질적 설립자인 이석영은 가난에 지쳐 두부 비지로 연명하다가 아사하였다.</t>
  </si>
  <si>
    <t>https://blog.naver.com/PostView.naver?blogId=ujgismi&amp;logNo=223909488494&amp;redirect=Dlog&amp;widgetTypeCall=true&amp;directAccess=false</t>
  </si>
  <si>
    <t>[2025 서울시민리그 예선] 남대부 A,B,C조 Preview</t>
  </si>
  <si>
    <t>https://blog.naver.com/PostView.naver?blogId=aluv_7&amp;logNo=223908084293&amp;redirect=Dlog&amp;widgetTypeCall=true&amp;directAccess=false</t>
  </si>
  <si>
    <t>친환경 경제운전 활성화를 위한 노력과 성과</t>
  </si>
  <si>
    <t>https://blog.naver.com/PostView.naver?blogId=interpower-mobility&amp;logNo=223908696615&amp;redirect=Dlog&amp;widgetTypeCall=true&amp;directAccess=false</t>
  </si>
  <si>
    <t>갑자기 펑! 나리타로 향하던 아시아나항공 여객기 엔진에서 불길이..</t>
  </si>
  <si>
    <t>https://blog.naver.com/PostView.naver?blogId=yanink&amp;logNo=223907209273&amp;redirect=Dlog&amp;widgetTypeCall=true&amp;directAccess=false</t>
  </si>
  <si>
    <t>2025년 6월 21일, "이재명 대통령, 변화와 혁신으로 새로운 미래를 준비해 갑시다"에 대한 X 반응.</t>
  </si>
  <si>
    <t>https://blog.naver.com/PostView.naver?blogId=shinswoong75&amp;logNo=223907104141&amp;redirect=Dlog&amp;widgetTypeCall=true&amp;directAccess=false</t>
  </si>
  <si>
    <t>라임</t>
  </si>
  <si>
    <t>수박껍질 음식물 쓰레기일까? 제대로 된 분리수거법</t>
  </si>
  <si>
    <t>https://blog.naver.com/PostView.naver?blogId=iamsom7&amp;logNo=223906757011&amp;redirect=Dlog&amp;widgetTypeCall=true&amp;directAccess=false</t>
  </si>
  <si>
    <t>서울호서예술실용전문학교 2025학년도 1학기 연기예술계열 × 방송성우연기계열 학기말 공연</t>
  </si>
  <si>
    <t>https://blog.naver.com/PostView.naver?blogId=shoseoart&amp;logNo=223905825458&amp;redirect=Dlog&amp;widgetTypeCall=true&amp;directAccess=false</t>
  </si>
  <si>
    <t>&lt;윤대통령에 대한 헌재의 위헌불법인 탄핵결정과 더불당 내란 배설질로 선전선동하는 무능,무책임 좌경용공 민주팔이의 망상 대국민 사기극..기사무관&gt;강득구 “내란잔당·윤석열 아바타, 주</t>
  </si>
  <si>
    <t>https://blog.naver.com/PostView.naver?blogId=yesktj&amp;logNo=223904962752&amp;redirect=Dlog&amp;widgetTypeCall=true&amp;directAccess=false</t>
  </si>
  <si>
    <t>&lt;윤대통령에 대한 헌재의 위헌불법인 탄핵결정과 더불당 내란 배설질은 무능,무책임 좌경용공 민주팔이의 망상 대국민 사기극..기사무관&gt;김병기 "尹 거리 활보, 金 병원행...내란 세력</t>
  </si>
  <si>
    <t>https://blog.naver.com/PostView.naver?blogId=yesktj&amp;logNo=223903456511&amp;redirect=Dlog&amp;widgetTypeCall=true&amp;directAccess=false</t>
  </si>
  <si>
    <t>강화군 가축분뇨 처리시설에서 사고 발생, 1명 사망·3명 부상</t>
  </si>
  <si>
    <t>https://blog.naver.com/PostView.naver?blogId=krsongc2&amp;logNo=223903454270&amp;redirect=Dlog&amp;widgetTypeCall=true&amp;directAccess=false</t>
  </si>
  <si>
    <t>친환경 경제운전으로 지속가능한 교통사회를</t>
  </si>
  <si>
    <t>https://blog.naver.com/PostView.naver?blogId=interpower-mobility&amp;logNo=223902983197&amp;redirect=Dlog&amp;widgetTypeCall=true&amp;directAccess=false</t>
  </si>
  <si>
    <t>경기도의회 민주당, "이재명 정부, 위대한 민주주의 승리이자 국민 승리"</t>
  </si>
  <si>
    <t>https://blog.naver.com/PostView.naver?blogId=goodyongin&amp;logNo=223902254127&amp;redirect=Dlog&amp;widgetTypeCall=true&amp;directAccess=false</t>
  </si>
  <si>
    <t>머니루트</t>
  </si>
  <si>
    <t>엉터리 한글 등장</t>
  </si>
  <si>
    <t>https://blog.naver.com/PostView.naver?blogId=goldenmean161&amp;logNo=223901189227&amp;redirect=Dlog&amp;widgetTypeCall=true&amp;directAccess=false</t>
  </si>
  <si>
    <t>평택 현덕면 창고 화재, 농작물 소실…인명 피해는 없어</t>
  </si>
  <si>
    <t>https://blog.naver.com/PostView.naver?blogId=krsongc2&amp;logNo=223900674542&amp;redirect=Dlog&amp;widgetTypeCall=true&amp;directAccess=false</t>
  </si>
  <si>
    <t>인천 부평구 식품공장 화재 발생, 커피 부산물 연소기 과열로 추정</t>
  </si>
  <si>
    <t>https://blog.naver.com/PostView.naver?blogId=krsongc2&amp;logNo=223900605346&amp;redirect=Dlog&amp;widgetTypeCall=true&amp;directAccess=false</t>
  </si>
  <si>
    <t>수진이네 도서관</t>
  </si>
  <si>
    <t>지하철 빌런ㅡ 제재</t>
  </si>
  <si>
    <t>https://blog.naver.com/PostView.naver?blogId=lotus8286&amp;logNo=223899747889&amp;redirect=Dlog&amp;widgetTypeCall=true&amp;directAccess=false</t>
  </si>
  <si>
    <t>□결국 해체 수순…?</t>
  </si>
  <si>
    <t>https://blog.naver.com/PostView.naver?blogId=nahm1002&amp;logNo=223897865204&amp;redirect=Dlog&amp;widgetTypeCall=true&amp;directAccess=false</t>
  </si>
  <si>
    <t>평택 물류센터서 30대 중국 국적 근로자 사망, 경찰 수사 착수</t>
  </si>
  <si>
    <t>https://blog.naver.com/PostView.naver?blogId=krsongc2&amp;logNo=223897766634&amp;redirect=Dlog&amp;widgetTypeCall=true&amp;directAccess=false</t>
  </si>
  <si>
    <t>34편: 인천 학교 조리실무사 인력난 문제</t>
  </si>
  <si>
    <t>https://blog.naver.com/PostView.naver?blogId=jose24&amp;logNo=223897542485&amp;redirect=Dlog&amp;widgetTypeCall=true&amp;directAccess=false</t>
  </si>
  <si>
    <t>파주교육지원청</t>
  </si>
  <si>
    <t>(2025. 6. 12.) 파주교육지원청, 2025년 학생맞춤통합지원 체계 구축을 위한 굿네이버스 경기2사업본부와 업무협약 체결</t>
  </si>
  <si>
    <t>https://blog.naver.com/PostView.naver?blogId=goepj203&amp;logNo=223897005373&amp;redirect=Dlog&amp;widgetTypeCall=true&amp;directAccess=false</t>
  </si>
  <si>
    <t>행정심판: 직접 처분, 간접강제, 손해배상, 처분 시정</t>
  </si>
  <si>
    <t>https://blog.naver.com/PostView.naver?blogId=hanggagong&amp;logNo=223895666894&amp;redirect=Dlog&amp;widgetTypeCall=true&amp;directAccess=false</t>
  </si>
  <si>
    <t>빅데이터와 AI로 대응하는 교통(안전) 영역을 확장하자</t>
  </si>
  <si>
    <t>https://blog.naver.com/PostView.naver?blogId=interpower-mobility&amp;logNo=223895165800&amp;redirect=Dlog&amp;widgetTypeCall=true&amp;directAccess=false</t>
  </si>
  <si>
    <t>사망 1시간 전까지 썼는데… 휴대전화 1년째 행방묘연</t>
  </si>
  <si>
    <t>https://blog.naver.com/PostView.naver?blogId=yfish66&amp;logNo=223892885953&amp;redirect=Dlog&amp;widgetTypeCall=true&amp;directAccess=false</t>
  </si>
  <si>
    <t>비즈인천</t>
  </si>
  <si>
    <t>인천시의회 건교위, 인천시 도시개발제도 혁신 논의</t>
  </si>
  <si>
    <t>https://blog.naver.com/PostView.naver?blogId=bizincheon&amp;logNo=223892756180&amp;redirect=Dlog&amp;widgetTypeCall=true&amp;directAccess=false</t>
  </si>
  <si>
    <t>빚의 굴레 속 어디선가 들리는 곡소리</t>
  </si>
  <si>
    <t>https://blog.naver.com/PostView.naver?blogId=mydairy_book&amp;logNo=223892703463&amp;redirect=Dlog&amp;widgetTypeCall=true&amp;directAccess=false</t>
  </si>
  <si>
    <t>경기국제공항추진의 어려움</t>
  </si>
  <si>
    <t>https://blog.naver.com/PostView.naver?blogId=koreanews2025&amp;logNo=223892469925&amp;redirect=Dlog&amp;widgetTypeCall=true&amp;directAccess=false</t>
  </si>
  <si>
    <t>옴 마니 반메 훔</t>
  </si>
  <si>
    <t>https://blog.naver.com/PostView.naver?blogId=bohakdang123&amp;logNo=223892219233&amp;redirect=Dlog&amp;widgetTypeCall=true&amp;directAccess=false</t>
  </si>
  <si>
    <t>인천시의회, ‘인천형 도시개발 실태 분석 및 제도 운영 개선 방안’ 세미나 개최…미래 도시 발전 전략 모색</t>
  </si>
  <si>
    <t>https://blog.naver.com/PostView.naver?blogId=metrotimes&amp;logNo=223892189086&amp;redirect=Dlog&amp;widgetTypeCall=true&amp;directAccess=false</t>
  </si>
  <si>
    <t>용인 서천동 아파트 사고 복선전철 공사장 중장비 천공기 넘어져 베란다 창문 등 일부 파손 주민대피</t>
  </si>
  <si>
    <t>https://blog.naver.com/PostView.naver?blogId=dbenfl23&amp;logNo=223890621373&amp;redirect=Dlog&amp;widgetTypeCall=true&amp;directAccess=false</t>
  </si>
  <si>
    <t>기아 슈마</t>
  </si>
  <si>
    <t>항타기 장비가 아파트 덮치는 사고.</t>
  </si>
  <si>
    <t>https://blog.naver.com/PostView.naver?blogId=y463ch&amp;logNo=223890529490&amp;redirect=Dlog&amp;widgetTypeCall=true&amp;directAccess=false</t>
  </si>
  <si>
    <t>복승아</t>
  </si>
  <si>
    <t>첫글, 우당탕탕 2025 상반기</t>
  </si>
  <si>
    <t>https://blog.naver.com/PostView.naver?blogId=kessay_11&amp;logNo=223890266847&amp;redirect=Dlog&amp;widgetTypeCall=true&amp;directAccess=false</t>
  </si>
  <si>
    <t>[2025] [이재명 정부] 취임선서 오전 11시 국회 로텐더홀</t>
  </si>
  <si>
    <t>https://blog.naver.com/PostView.naver?blogId=kbs4677&amp;logNo=223888012775&amp;redirect=Dlog&amp;widgetTypeCall=true&amp;directAccess=false</t>
  </si>
  <si>
    <t>2025년 6월 3일 (화) 경기일보 지면기사</t>
  </si>
  <si>
    <t>https://blog.naver.com/PostView.naver?blogId=theblock101&amp;logNo=223886831337&amp;redirect=Dlog&amp;widgetTypeCall=true&amp;directAccess=false</t>
  </si>
  <si>
    <t>유정복 인천시장, 김문수 선거운동원과 사진...참여연대 '위법' 규탄</t>
  </si>
  <si>
    <t>https://blog.naver.com/PostView.naver?blogId=3658290&amp;logNo=223886747336&amp;redirect=Dlog&amp;widgetTypeCall=true&amp;directAccess=false</t>
  </si>
  <si>
    <t>김포 전자기기업체 창고에서 50대 근로자 추락 사고로 사망, 경찰과 노동당국 수사 착수</t>
  </si>
  <si>
    <t>https://blog.naver.com/PostView.naver?blogId=krsongc2&amp;logNo=223886464002&amp;redirect=Dlog&amp;widgetTypeCall=true&amp;directAccess=false</t>
  </si>
  <si>
    <t>수원군공항대응지킴이</t>
  </si>
  <si>
    <t>&lt;오늘뉴스&gt; 경기국제공항 조성 사업 또 '난항'... 연구용역 재공모 입찰 '0곳'</t>
  </si>
  <si>
    <t>https://blog.naver.com/PostView.naver?blogId=hs_save&amp;logNo=223886336749&amp;redirect=Dlog&amp;widgetTypeCall=true&amp;directAccess=false</t>
  </si>
  <si>
    <t>경기국제공항 조성 사업 또 '난항'... 연구용역 재공모 입찰 '0곳'</t>
  </si>
  <si>
    <t>https://blog.naver.com/PostView.naver?blogId=jcyang5115&amp;logNo=223886100214&amp;redirect=Dlog&amp;widgetTypeCall=true&amp;directAccess=false</t>
  </si>
  <si>
    <t>(2025. 6. 2.) 파주교육지원청, 학교폭력 예방을 위한 파.스.타 프로젝트 추진</t>
  </si>
  <si>
    <t>https://blog.naver.com/PostView.naver?blogId=goepj203&amp;logNo=223886096273&amp;redirect=Dlog&amp;widgetTypeCall=true&amp;directAccess=false</t>
  </si>
  <si>
    <t>이상일 용인특례시장</t>
  </si>
  <si>
    <t>이상일 용인특례시장, 주말도 시민과 함께…반려견 걷기 행사·체육대회 참석</t>
  </si>
  <si>
    <t>https://blog.naver.com/PostView.naver?blogId=spokesmanlee&amp;logNo=223885782157&amp;redirect=Dlog&amp;widgetTypeCall=true&amp;directAccess=false</t>
  </si>
  <si>
    <t>까자두브라질</t>
  </si>
  <si>
    <t>제21대 대통령 선거를 위해 거리에 걸린 현수막 기록들</t>
  </si>
  <si>
    <t>https://blog.naver.com/PostView.naver?blogId=rikar01&amp;logNo=223885707104&amp;redirect=Dlog&amp;widgetTypeCall=true&amp;directAccess=false</t>
  </si>
  <si>
    <t>군포 상가주택 화재 발생, 다행히 인명 피해는 없어</t>
  </si>
  <si>
    <t>https://blog.naver.com/PostView.naver?blogId=krsongc2&amp;logNo=223885701010&amp;redirect=Dlog&amp;widgetTypeCall=true&amp;directAccess=false</t>
  </si>
  <si>
    <t>2025년 6월 2일 (월) 경기일보 지면기사</t>
  </si>
  <si>
    <t>https://blog.naver.com/PostView.naver?blogId=theblock101&amp;logNo=223885561815&amp;redirect=Dlog&amp;widgetTypeCall=true&amp;directAccess=false</t>
  </si>
  <si>
    <t>수원 중학교 교사폭행 사건 중학생이 수업중 야구방망이로 교사 폭행 경찰 조사 착수 어디?</t>
  </si>
  <si>
    <t>https://blog.naver.com/PostView.naver?blogId=dbenfl23&amp;logNo=223885079114&amp;redirect=Dlog&amp;widgetTypeCall=true&amp;directAccess=false</t>
  </si>
  <si>
    <t>달그림자</t>
  </si>
  <si>
    <t>첫 배구 대회 : 용인 경기일보 전국 남녀생활체육 배구대회</t>
  </si>
  <si>
    <t>https://blog.naver.com/PostView.naver?blogId=yurimii&amp;logNo=223884919921&amp;redirect=Dlog&amp;widgetTypeCall=true&amp;directAccess=false</t>
  </si>
  <si>
    <t>whatever</t>
  </si>
  <si>
    <t>진짜 대한민국 1</t>
  </si>
  <si>
    <t>https://blog.naver.com/PostView.naver?blogId=whatever2025&amp;logNo=223884578687&amp;redirect=Dlog&amp;widgetTypeCall=true&amp;directAccess=false</t>
  </si>
  <si>
    <t>금강일보</t>
  </si>
  <si>
    <t>한국철도 익산역, 제131주년 철도의 날 기념음악회 개최</t>
  </si>
  <si>
    <t>https://blog.naver.com/PostView.naver?blogId=event00&amp;logNo=223916793572&amp;redirect=Dlog&amp;widgetTypeCall=true&amp;directAccess=false</t>
  </si>
  <si>
    <t>지역 안전 지킴이들 소통·화합의 장 ‘활짝’</t>
  </si>
  <si>
    <t>https://blog.naver.com/PostView.naver?blogId=event00&amp;logNo=223916792403&amp;redirect=Dlog&amp;widgetTypeCall=true&amp;directAccess=false</t>
  </si>
  <si>
    <t>원광대학교병원, 권역 내 119 대원·현장 응급의료 종사자 전문화 교육 실시</t>
  </si>
  <si>
    <t>https://blog.naver.com/PostView.naver?blogId=event00&amp;logNo=223912746828&amp;redirect=Dlog&amp;widgetTypeCall=true&amp;directAccess=false</t>
  </si>
  <si>
    <t>글로벌 생명산업 거점대학 실현… 통합 원광대학교 출범</t>
  </si>
  <si>
    <t>https://blog.naver.com/PostView.naver?blogId=event00&amp;logNo=223911489310&amp;redirect=Dlog&amp;widgetTypeCall=true&amp;directAccess=false</t>
  </si>
  <si>
    <t>육군부사관학교, 24일 호국보훈의 달 맞아 초청행사 개최</t>
  </si>
  <si>
    <t>https://blog.naver.com/PostView.naver?blogId=event00&amp;logNo=223910308126&amp;redirect=Dlog&amp;widgetTypeCall=true&amp;directAccess=false</t>
  </si>
  <si>
    <t>방위산업 특성화·지역인재 양성으로 글로벌 시장 경쟁력 강화</t>
  </si>
  <si>
    <t>https://blog.naver.com/PostView.naver?blogId=event00&amp;logNo=223910306411&amp;redirect=Dlog&amp;widgetTypeCall=true&amp;directAccess=false</t>
  </si>
  <si>
    <t>든든한 식사 한 끼에 이웃 사랑 ‘듬뿍’</t>
  </si>
  <si>
    <t>https://blog.naver.com/PostView.naver?blogId=event00&amp;logNo=223910300926&amp;redirect=Dlog&amp;widgetTypeCall=true&amp;directAccess=false</t>
  </si>
  <si>
    <t>익산 삼불암, 올해도 ‘호국 위령 영산대재’ 봉행</t>
  </si>
  <si>
    <t>https://blog.naver.com/PostView.naver?blogId=event00&amp;logNo=223908818237&amp;redirect=Dlog&amp;widgetTypeCall=true&amp;directAccess=false</t>
  </si>
  <si>
    <t>의생명·농생명 분야 인재 양성 ‘합심’</t>
  </si>
  <si>
    <t>https://blog.naver.com/PostView.naver?blogId=event00&amp;logNo=223908807572&amp;redirect=Dlog&amp;widgetTypeCall=true&amp;directAccess=false</t>
  </si>
  <si>
    <t>국산 파프리카 우수성 소비자에게 전파</t>
  </si>
  <si>
    <t>https://blog.naver.com/PostView.naver?blogId=event00&amp;logNo=223908806230&amp;redirect=Dlog&amp;widgetTypeCall=true&amp;directAccess=false</t>
  </si>
  <si>
    <t>anuta</t>
  </si>
  <si>
    <t>아누타 쇼케이스' 대전 은행동에 그랜드 오픈 (금강일보)</t>
  </si>
  <si>
    <t>https://blog.naver.com/PostView.naver?blogId=anutaworks&amp;logNo=223908440452&amp;redirect=Dlog&amp;widgetTypeCall=true&amp;directAccess=false</t>
  </si>
  <si>
    <t>익산경찰서, 여름철 자연재난 대비 선제적 현장점검</t>
  </si>
  <si>
    <t>https://blog.naver.com/PostView.naver?blogId=event00&amp;logNo=223906102800&amp;redirect=Dlog&amp;widgetTypeCall=true&amp;directAccess=false</t>
  </si>
  <si>
    <t>피보다진하게주생아</t>
  </si>
  <si>
    <t>코스피/코스닥 주식 장 정리 2025년 6월 18일</t>
  </si>
  <si>
    <t>https://blog.naver.com/PostView.naver?blogId=riverminsik&amp;logNo=223903927275&amp;redirect=Dlog&amp;widgetTypeCall=true&amp;directAccess=false</t>
  </si>
  <si>
    <t>“李 정부 성공 위해 맡은 소임에 최선”</t>
  </si>
  <si>
    <t>https://blog.naver.com/PostView.naver?blogId=event00&amp;logNo=223903372403&amp;redirect=Dlog&amp;widgetTypeCall=true&amp;directAccess=false</t>
  </si>
  <si>
    <t>2025/06/17 이슈체크</t>
  </si>
  <si>
    <t>https://blog.naver.com/PostView.naver?blogId=dodostockmarket&amp;logNo=223902656560&amp;redirect=Dlog&amp;widgetTypeCall=true&amp;directAccess=false</t>
  </si>
  <si>
    <t>배구 유망주들, 익산서 ‘열전’</t>
  </si>
  <si>
    <t>https://blog.naver.com/PostView.naver?blogId=event00&amp;logNo=223901283828&amp;redirect=Dlog&amp;widgetTypeCall=true&amp;directAccess=false</t>
  </si>
  <si>
    <t>산업 동향부터 시장 환경까지… 기업 분석으로 취업 경쟁력 ‘쑥’</t>
  </si>
  <si>
    <t>https://blog.naver.com/PostView.naver?blogId=event00&amp;logNo=223901281877&amp;redirect=Dlog&amp;widgetTypeCall=true&amp;directAccess=false</t>
  </si>
  <si>
    <t>2025/06/13 이슈체크</t>
  </si>
  <si>
    <t>https://blog.naver.com/PostView.naver?blogId=dodostockmarket&amp;logNo=223900226207&amp;redirect=Dlog&amp;widgetTypeCall=true&amp;directAccess=false</t>
  </si>
  <si>
    <t>“선배 전우의 호국정신 계승”… 육군부사관학교, 전쟁영웅상 시상</t>
  </si>
  <si>
    <t>https://blog.naver.com/PostView.naver?blogId=event00&amp;logNo=223900059674&amp;redirect=Dlog&amp;widgetTypeCall=true&amp;directAccess=false</t>
  </si>
  <si>
    <t>25.06.12.등락률상위 1-100</t>
  </si>
  <si>
    <t>https://blog.naver.com/PostView.naver?blogId=rogwa&amp;logNo=223897509808&amp;redirect=Dlog&amp;widgetTypeCall=true&amp;directAccess=false</t>
  </si>
  <si>
    <t>aaaa4006</t>
  </si>
  <si>
    <t>논산시-육군훈련소, 군 장병 위한 독서문화사업 추진</t>
  </si>
  <si>
    <t>https://blog.naver.com/PostView.naver?blogId=aaaa4006&amp;logNo=223897263122&amp;redirect=Dlog&amp;widgetTypeCall=true&amp;directAccess=false</t>
  </si>
  <si>
    <t>해외교육봉사로 글로벌 교육 리더 양성</t>
  </si>
  <si>
    <t>https://blog.naver.com/PostView.naver?blogId=event00&amp;logNo=223897223300&amp;redirect=Dlog&amp;widgetTypeCall=true&amp;directAccess=false</t>
  </si>
  <si>
    <t>익산시 영등1동주민자치회 "소라공원 개발에 주민의견 반영해 달라"</t>
  </si>
  <si>
    <t>https://blog.naver.com/PostView.naver?blogId=event00&amp;logNo=223896065294&amp;redirect=Dlog&amp;widgetTypeCall=true&amp;directAccess=false</t>
  </si>
  <si>
    <t>입장료는 라면… 익산예술의전당서 ‘제41회 라면음악회’성료</t>
  </si>
  <si>
    <t>https://blog.naver.com/PostView.naver?blogId=event00&amp;logNo=223894491870&amp;redirect=Dlog&amp;widgetTypeCall=true&amp;directAccess=false</t>
  </si>
  <si>
    <t>하늘채어린이집, 나눔 가치 실천… 익산 평화동에 개원 축하 쌀 기탁</t>
  </si>
  <si>
    <t>https://blog.naver.com/PostView.naver?blogId=event00&amp;logNo=223894487104&amp;redirect=Dlog&amp;widgetTypeCall=true&amp;directAccess=false</t>
  </si>
  <si>
    <t>아름다운 쌤</t>
  </si>
  <si>
    <t>제 48회 전북특별자치도 공예대전 대상</t>
  </si>
  <si>
    <t>https://blog.naver.com/PostView.naver?blogId=jksin0602&amp;logNo=223893165562&amp;redirect=Dlog&amp;widgetTypeCall=true&amp;directAccess=false</t>
  </si>
  <si>
    <t>[기획] “익산의 문화예술 콘텐츠 글로벌화 위해 온 힘”</t>
  </si>
  <si>
    <t>https://blog.naver.com/PostView.naver?blogId=event00&amp;logNo=223893155533&amp;redirect=Dlog&amp;widgetTypeCall=true&amp;directAccess=false</t>
  </si>
  <si>
    <t>일상 속 친환경 실천… 식품진흥원, 2025년 환경주간 운영</t>
  </si>
  <si>
    <t>https://blog.naver.com/PostView.naver?blogId=event00&amp;logNo=223893097994&amp;redirect=Dlog&amp;widgetTypeCall=true&amp;directAccess=false</t>
  </si>
  <si>
    <t>하림, 다회용기 사용으로 ESG 경영 실천</t>
  </si>
  <si>
    <t>https://blog.naver.com/PostView.naver?blogId=event00&amp;logNo=223888478984&amp;redirect=Dlog&amp;widgetTypeCall=true&amp;directAccess=false</t>
  </si>
  <si>
    <t>“익산지역 여성 청소년을 위해”… 전북은행, 보건위생용품 기탁</t>
  </si>
  <si>
    <t>https://blog.naver.com/PostView.naver?blogId=event00&amp;logNo=223888466718&amp;redirect=Dlog&amp;widgetTypeCall=true&amp;directAccess=false</t>
  </si>
  <si>
    <t>대입전형·고교 교육과정 연계 강화 ‘성과’</t>
  </si>
  <si>
    <t>https://blog.naver.com/PostView.naver?blogId=event00&amp;logNo=223888464771&amp;redirect=Dlog&amp;widgetTypeCall=true&amp;directAccess=false</t>
  </si>
  <si>
    <t>[기자수첩] 죽 쒀서 개 주니 닭 쫓던 개 지붕 쳐다봤다</t>
  </si>
  <si>
    <t>https://blog.naver.com/PostView.naver?blogId=event00&amp;logNo=223885882134&amp;redirect=Dlog&amp;widgetTypeCall=true&amp;directAccess=false</t>
  </si>
  <si>
    <t>[기자수첩] 사회복지는 개인의 영달을 위한 도구가 아니다</t>
  </si>
  <si>
    <t>https://blog.naver.com/PostView.naver?blogId=event00&amp;logNo=223885880722&amp;redirect=Dlog&amp;widgetTypeCall=true&amp;directAccess=false</t>
  </si>
  <si>
    <t>[기자수첩] 지역 발전을 위한 단상, 혼자가 아닌 무소의 뿔처럼 함께 가라</t>
  </si>
  <si>
    <t>https://blog.naver.com/PostView.naver?blogId=event00&amp;logNo=223885879308&amp;redirect=Dlog&amp;widgetTypeCall=true&amp;directAccess=false</t>
  </si>
  <si>
    <t>[기자수첩]불법 현수막 근절 솔선수범의 마음이 필요할 때</t>
  </si>
  <si>
    <t>https://blog.naver.com/PostView.naver?blogId=event00&amp;logNo=223885877029&amp;redirect=Dlog&amp;widgetTypeCall=true&amp;directAccess=false</t>
  </si>
  <si>
    <t>[기고] 마약성 양귀비 재배·사용은 ‘중대범죄’</t>
  </si>
  <si>
    <t>https://blog.naver.com/PostView.naver?blogId=event00&amp;logNo=223885825649&amp;redirect=Dlog&amp;widgetTypeCall=true&amp;directAccess=false</t>
  </si>
  <si>
    <t>익산시, 중앙동 구도심 ‘안전 인프라’확충</t>
  </si>
  <si>
    <t>https://blog.naver.com/PostView.naver?blogId=event00&amp;logNo=223885809170&amp;redirect=Dlog&amp;widgetTypeCall=true&amp;directAccess=false</t>
  </si>
  <si>
    <t>“소중한 한 표… 시민 권리 행사, 안전하게”</t>
  </si>
  <si>
    <t>https://blog.naver.com/PostView.naver?blogId=event00&amp;logNo=223885807763&amp;redirect=Dlog&amp;widgetTypeCall=true&amp;directAccess=false</t>
  </si>
  <si>
    <t>elcain</t>
  </si>
  <si>
    <t>몽골  울란바토르</t>
  </si>
  <si>
    <t>https://blog.naver.com/PostView.naver?blogId=elcain9899&amp;logNo=223885279454&amp;redirect=Dlog&amp;widgetTypeCall=true&amp;directAccess=false</t>
  </si>
  <si>
    <t>카스</t>
  </si>
  <si>
    <t>공주시 석장리유적박물관. 공산성</t>
  </si>
  <si>
    <t>https://blog.naver.com/PostView.naver?blogId=gookun&amp;logNo=223884950709&amp;redirect=Dlog&amp;widgetTypeCall=true&amp;directAccess=false</t>
  </si>
  <si>
    <t>하바마스</t>
  </si>
  <si>
    <t>[종목리뷰] 한화솔루션 2</t>
  </si>
  <si>
    <t>https://blog.naver.com/PostView.naver?blogId=songliya&amp;logNo=223884768554&amp;redirect=Dlog&amp;widgetTypeCall=true&amp;directAccess=false</t>
  </si>
  <si>
    <t>전북도민일보</t>
  </si>
  <si>
    <t>부동산킴변</t>
  </si>
  <si>
    <t>지방에서 '외국인투자' 유치하면 특구면적을 늘려준다고? "기회발전특구" 핵심정리</t>
  </si>
  <si>
    <t>https://blog.naver.com/PostView.naver?blogId=seonkwan_kim&amp;logNo=223906229605&amp;redirect=Dlog&amp;widgetTypeCall=true&amp;directAccess=false</t>
  </si>
  <si>
    <t>새로운 문화를 찾아가는 술 이야기&lt;84&gt; 금주법과 술- 5. 금주법 시대에 마피아가 벌인 비어전쟁①</t>
  </si>
  <si>
    <t>https://blog.naver.com/PostView.naver?blogId=dwyun60&amp;logNo=223904471044&amp;redirect=Dlog&amp;widgetTypeCall=true&amp;directAccess=false</t>
  </si>
  <si>
    <t>예수병원</t>
  </si>
  <si>
    <t>예수병원, 캄보디아 IU의과대학 학술 교육 협약 체결</t>
  </si>
  <si>
    <t>https://blog.naver.com/PostView.naver?blogId=pmcpr1898&amp;logNo=223900707780&amp;redirect=Dlog&amp;widgetTypeCall=true&amp;directAccess=false</t>
  </si>
  <si>
    <t>국제와이즈멘 전북지구 윤성중 총재 등 임원진 전북도민일보 방문</t>
  </si>
  <si>
    <t>https://blog.naver.com/PostView.naver?blogId=leebangheui&amp;logNo=223895685438&amp;redirect=Dlog&amp;widgetTypeCall=true&amp;directAccess=false</t>
  </si>
  <si>
    <t>대표 신민수</t>
  </si>
  <si>
    <t>박영삼 사진작가 개인전 ‘정담(情談)’ 개최…‘카페’ 주제로 26점 선보여</t>
  </si>
  <si>
    <t>https://blog.naver.com/PostView.naver?blogId=sms1038&amp;logNo=223894230385&amp;redirect=Dlog&amp;widgetTypeCall=true&amp;directAccess=false</t>
  </si>
  <si>
    <t>아시아투데이</t>
  </si>
  <si>
    <t>bz4 뉴스링크 - 1,724호 (2025.07.01 화)</t>
  </si>
  <si>
    <t>https://blog.naver.com/PostView.naver?blogId=lettermate&amp;logNo=223917186665&amp;redirect=Dlog&amp;widgetTypeCall=true&amp;directAccess=false</t>
  </si>
  <si>
    <t>자재박사</t>
  </si>
  <si>
    <t>롯데하이마트가 바꾸는 '가전관념'                            1, 2인 가구 위한 가전 'PLUX'</t>
  </si>
  <si>
    <t>https://blog.naver.com/PostView.naver?blogId=jajae888&amp;logNo=223913352864&amp;redirect=Dlog&amp;widgetTypeCall=true&amp;directAccess=false</t>
  </si>
  <si>
    <t>비온미디어</t>
  </si>
  <si>
    <t>하나은행도 스테이블코인 행보 본격화…상표권 16건 출원·협의체 참여 예고</t>
  </si>
  <si>
    <t>https://blog.naver.com/PostView.naver?blogId=bon-media&amp;logNo=223912124800&amp;redirect=Dlog&amp;widgetTypeCall=true&amp;directAccess=false</t>
  </si>
  <si>
    <t>20250625 경제단어공부 13일차</t>
  </si>
  <si>
    <t>https://blog.naver.com/PostView.naver?blogId=lovely_618&amp;logNo=223911359066&amp;redirect=Dlog&amp;widgetTypeCall=true&amp;directAccess=false</t>
  </si>
  <si>
    <t>거창군 (재)거창군장학회, 미래의 주역들을 위한 꾸준한 기부 이어져</t>
  </si>
  <si>
    <t>https://blog.naver.com/PostView.naver?blogId=jbkjbk2002&amp;logNo=223911116601&amp;redirect=Dlog&amp;widgetTypeCall=true&amp;directAccess=false</t>
  </si>
  <si>
    <t>‘한국전 75주년’ 새에덴교회 국군 참전용사 초청 보훈 음악회 성료</t>
  </si>
  <si>
    <t>https://blog.naver.com/PostView.naver?blogId=jcyang5115&amp;logNo=223908807714&amp;redirect=Dlog&amp;widgetTypeCall=true&amp;directAccess=false</t>
  </si>
  <si>
    <t>이든</t>
  </si>
  <si>
    <t>좋아하는 것들로</t>
  </si>
  <si>
    <t>https://blog.naver.com/PostView.naver?blogId=edenle01&amp;logNo=223907992758&amp;redirect=Dlog&amp;widgetTypeCall=true&amp;directAccess=false</t>
  </si>
  <si>
    <t>노마형님</t>
  </si>
  <si>
    <t>신세계家, 경영 분리 성적표…이마트·㈜신세계 주가 희비</t>
  </si>
  <si>
    <t>https://blog.naver.com/PostView.naver?blogId=noma1115&amp;logNo=223905902270&amp;redirect=Dlog&amp;widgetTypeCall=true&amp;directAccess=false</t>
  </si>
  <si>
    <t>2025 총동문회장배 동문친선골프대회 성황리에 개최</t>
  </si>
  <si>
    <t>https://blog.naver.com/PostView.naver?blogId=hyanews&amp;logNo=223901141620&amp;redirect=Dlog&amp;widgetTypeCall=true&amp;directAccess=false</t>
  </si>
  <si>
    <t>인생우상향 경제 스터디 1주차 - (2)</t>
  </si>
  <si>
    <t>https://blog.naver.com/PostView.naver?blogId=mingdayz&amp;logNo=223898729032&amp;redirect=Dlog&amp;widgetTypeCall=true&amp;directAccess=false</t>
  </si>
  <si>
    <t>복지정보네트워크</t>
  </si>
  <si>
    <t>[안전,환경,생활]동구청 '식품접객업소 30곳' 청소 지원</t>
  </si>
  <si>
    <t>https://blog.naver.com/PostView.naver?blogId=dong_gu-info&amp;logNo=223897818623&amp;redirect=Dlog&amp;widgetTypeCall=true&amp;directAccess=false</t>
  </si>
  <si>
    <t>더봄출판</t>
  </si>
  <si>
    <t>백록원(白鹿原)_천중스(陳忠實) 장편소설</t>
  </si>
  <si>
    <t>https://blog.naver.com/PostView.naver?blogId=thebom21&amp;logNo=223895380480&amp;redirect=Dlog&amp;widgetTypeCall=true&amp;directAccess=false</t>
  </si>
  <si>
    <t>미래MVP</t>
  </si>
  <si>
    <t>제21대 이재명 대통령 핵심정책</t>
  </si>
  <si>
    <t>https://blog.naver.com/PostView.naver?blogId=advany&amp;logNo=223893314611&amp;redirect=Dlog&amp;widgetTypeCall=true&amp;directAccess=false</t>
  </si>
  <si>
    <t>이전 김일성 시절 "솔방울이 수류탄이 됐다"고 구라쳤던 북한 기레기가 생각난다/최석태/</t>
  </si>
  <si>
    <t>https://blog.naver.com/PostView.naver?blogId=choisttt1&amp;logNo=223890567147&amp;redirect=Dlog&amp;widgetTypeCall=true&amp;directAccess=false</t>
  </si>
  <si>
    <t>학선</t>
  </si>
  <si>
    <t>道와 나, 그리고 행복 / &lt;7&gt; 한국인의 자화상</t>
  </si>
  <si>
    <t>https://blog.naver.com/PostView.naver?blogId=haksun5353&amp;logNo=223889985981&amp;redirect=Dlog&amp;widgetTypeCall=true&amp;directAccess=false</t>
  </si>
  <si>
    <t>포토 - 2025 서울국제정원박람회 '인기 만점'</t>
  </si>
  <si>
    <t>https://blog.naver.com/PostView.naver?blogId=paxleesoo&amp;logNo=223887948559&amp;redirect=Dlog&amp;widgetTypeCall=true&amp;directAccess=false</t>
  </si>
  <si>
    <t>김문수국 방안보 공약 자세히 분석  국민의힘</t>
  </si>
  <si>
    <t>https://blog.naver.com/PostView.naver?blogId=kmmc3377&amp;logNo=223886982829&amp;redirect=Dlog&amp;widgetTypeCall=true&amp;directAccess=false</t>
  </si>
  <si>
    <t>그안에</t>
  </si>
  <si>
    <t>"김문수 후보로 이미 골든 크로스는 이뤄졌다. 투표만 하면 된다." 민심이 뒤집어졌다! 6.3 대선 반드시 투표합시다. 투표율 80%이상 김문수대통령 만들어 자유대한민국 수호 !</t>
  </si>
  <si>
    <t>https://blog.naver.com/PostView.naver?blogId=solupro&amp;logNo=223886590781&amp;redirect=Dlog&amp;widgetTypeCall=true&amp;directAccess=false</t>
  </si>
  <si>
    <t>어이무사10</t>
  </si>
  <si>
    <t>리박스쿨 손효숙 프로필(나무위키)</t>
  </si>
  <si>
    <t>https://blog.naver.com/PostView.naver?blogId=10sunmusa&amp;logNo=223886550679&amp;redirect=Dlog&amp;widgetTypeCall=true&amp;directAccess=false</t>
  </si>
  <si>
    <t>서울 80곳 아파트 '주택거래' 현장점검 결과…"위법 의심거래 108건 적발"</t>
  </si>
  <si>
    <t>https://blog.naver.com/PostView.naver?blogId=samo2001&amp;logNo=223885646193&amp;redirect=Dlog&amp;widgetTypeCall=true&amp;directAccess=false</t>
  </si>
  <si>
    <t>사랑의 질서</t>
  </si>
  <si>
    <t>2025 인사아트위크'/ 6월 4~14일 인사동 일대(ft. 정태춘 붓글전 ‘노래여, 노래여’)</t>
  </si>
  <si>
    <t>https://blog.naver.com/PostView.naver?blogId=choo4345&amp;logNo=223884668001&amp;redirect=Dlog&amp;widgetTypeCall=true&amp;directAccess=false</t>
  </si>
  <si>
    <t>강원도민일보</t>
  </si>
  <si>
    <t>이하 이만식</t>
  </si>
  <si>
    <t>동서고속화철도 속초 진입과 터미널 관련 토목 공사 설명회</t>
  </si>
  <si>
    <t>https://blog.naver.com/PostView.naver?blogId=iha2006&amp;logNo=223916827387&amp;redirect=Dlog&amp;widgetTypeCall=true&amp;directAccess=false</t>
  </si>
  <si>
    <t>글씨당</t>
  </si>
  <si>
    <t>[도민시론] 여행의 이유</t>
  </si>
  <si>
    <t>https://blog.naver.com/PostView.naver?blogId=geulseedang_&amp;logNo=223916818426&amp;redirect=Dlog&amp;widgetTypeCall=true&amp;directAccess=false</t>
  </si>
  <si>
    <t>류종현 객원교수</t>
  </si>
  <si>
    <t>지역소멸 부채질 이중삼중 규제 완화·독자적 발전 틀 절실</t>
  </si>
  <si>
    <t>https://blog.naver.com/PostView.naver?blogId=rjh6178&amp;logNo=223915949765&amp;redirect=Dlog&amp;widgetTypeCall=true&amp;directAccess=false</t>
  </si>
  <si>
    <t>“행복타운, 도시기본계획 맞춰 방향 수정해야”</t>
  </si>
  <si>
    <t>https://blog.naver.com/PostView.naver?blogId=rjh6178&amp;logNo=223915897009&amp;redirect=Dlog&amp;widgetTypeCall=true&amp;directAccess=false</t>
  </si>
  <si>
    <t>[강원도민일보] "6.25 전쟁의 교훈 기억할 수 있도록 유족 승계 이뤄져야"</t>
  </si>
  <si>
    <t>https://blog.naver.com/PostView.naver?blogId=nombo1&amp;logNo=223911258876&amp;redirect=Dlog&amp;widgetTypeCall=true&amp;directAccess=false</t>
  </si>
  <si>
    <t>삼척 택시 추락 사고, 3명 부상</t>
  </si>
  <si>
    <t>https://blog.naver.com/PostView.naver?blogId=krsongc2&amp;logNo=223910347615&amp;redirect=Dlog&amp;widgetTypeCall=true&amp;directAccess=false</t>
  </si>
  <si>
    <t>1167. 신종 전염병 소식2; 일본 가고시마 해역서, 22일 오후 5시 15분, 규모 5.2 지진…깊이 20㎞;</t>
  </si>
  <si>
    <t>https://blog.naver.com/PostView.naver?blogId=chkwkim&amp;logNo=223907936832&amp;redirect=Dlog&amp;widgetTypeCall=true&amp;directAccess=false</t>
  </si>
  <si>
    <t>[설악산 울산바위서 암벽등반 중 낙석사고…60대 병원 이송] 최현정.강원도민일보 -[요약]</t>
  </si>
  <si>
    <t>https://blog.naver.com/PostView.naver?blogId=cskw11&amp;logNo=223905900235&amp;redirect=Dlog&amp;widgetTypeCall=true&amp;directAccess=false</t>
  </si>
  <si>
    <t>소소데이</t>
  </si>
  <si>
    <t>경포생태저류지 파크골프장 신설 주문 기대반 우려반</t>
  </si>
  <si>
    <t>https://blog.naver.com/PostView.naver?blogId=rladbwls112&amp;logNo=223904787681&amp;redirect=Dlog&amp;widgetTypeCall=true&amp;directAccess=false</t>
  </si>
  <si>
    <t>일류.출향.공모작가 함께 사진예술 소통무대 펼친다. 강원도민일보 2017. 7. 13.</t>
  </si>
  <si>
    <t>https://blog.naver.com/PostView.naver?blogId=cc4zin&amp;logNo=223904785567&amp;redirect=Dlog&amp;widgetTypeCall=true&amp;directAccess=false</t>
  </si>
  <si>
    <t>신바람이</t>
  </si>
  <si>
    <t>평화 누리길 강원도 구간 자전거 여행</t>
  </si>
  <si>
    <t>https://blog.naver.com/PostView.naver?blogId=919nam&amp;logNo=223900650952&amp;redirect=Dlog&amp;widgetTypeCall=true&amp;directAccess=false</t>
  </si>
  <si>
    <t>강원평화경제연구소</t>
  </si>
  <si>
    <t>[성명] 도의회, 강개공 600억 원 출자안 어설픈 ‘보류’가 아닌 ‘폐기’가 답이다!</t>
  </si>
  <si>
    <t>https://blog.naver.com/PostView.naver?blogId=kpei2013&amp;logNo=223900581452&amp;redirect=Dlog&amp;widgetTypeCall=true&amp;directAccess=false</t>
  </si>
  <si>
    <t>책숲</t>
  </si>
  <si>
    <t>연우당 일기</t>
  </si>
  <si>
    <t>https://blog.naver.com/PostView.naver?blogId=bookwoods&amp;logNo=223899683176&amp;redirect=Dlog&amp;widgetTypeCall=true&amp;directAccess=false</t>
  </si>
  <si>
    <t>함께하는 그린포스트</t>
  </si>
  <si>
    <t>친구들과 학교 캠핑</t>
  </si>
  <si>
    <t>https://blog.naver.com/PostView.naver?blogId=2050sos&amp;logNo=223899658980&amp;redirect=Dlog&amp;widgetTypeCall=true&amp;directAccess=false</t>
  </si>
  <si>
    <t>횡성군 강림면 야산, 포크레인 추락 사고 발생</t>
  </si>
  <si>
    <t>https://blog.naver.com/PostView.naver?blogId=krsongc2&amp;logNo=223899008397&amp;redirect=Dlog&amp;widgetTypeCall=true&amp;directAccess=false</t>
  </si>
  <si>
    <t>활기 찾은 고성 통일전망대</t>
  </si>
  <si>
    <t>https://blog.naver.com/PostView.naver?blogId=2050sos&amp;logNo=223898844167&amp;redirect=Dlog&amp;widgetTypeCall=true&amp;directAccess=false</t>
  </si>
  <si>
    <t>"속초시민 건강달리기 당일 현장접수 가능"··· 6월 14일 오전 10시 영랑호 잔디광장</t>
  </si>
  <si>
    <t>https://blog.naver.com/PostView.naver?blogId=bluefoot61&amp;logNo=223898131102&amp;redirect=Dlog&amp;widgetTypeCall=true&amp;directAccess=false</t>
  </si>
  <si>
    <t>&lt;무능,무책임 좌경용공 민주팔이에 넋나간 나라가 엉망진창..군인 사망 사건에 군수사기관은 수사말라고 다른 이도 아니고 민주팔이가 법개정했으면 군수사기관은 수사하지 않아야 하는데,수</t>
  </si>
  <si>
    <t>https://blog.naver.com/PostView.naver?blogId=yesktj&amp;logNo=223897278410&amp;redirect=Dlog&amp;widgetTypeCall=true&amp;directAccess=false</t>
  </si>
  <si>
    <t>강원디카시조시인협회 제3회 디카시조문학상 봄공모전 당선작 발표</t>
  </si>
  <si>
    <t>https://blog.naver.com/PostView.naver?blogId=iwoobo&amp;logNo=223895314842&amp;redirect=Dlog&amp;widgetTypeCall=true&amp;directAccess=false</t>
  </si>
  <si>
    <t>[관광]  강원관광재단, ‘2025 춘천 봄내 마라톤 대회’서 강원 관광 홍보부스 운영</t>
  </si>
  <si>
    <t>https://blog.naver.com/PostView.naver?blogId=kwtotalnews&amp;logNo=223892909619&amp;redirect=Dlog&amp;widgetTypeCall=true&amp;directAccess=false</t>
  </si>
  <si>
    <t>memories</t>
  </si>
  <si>
    <t>2025 춘천봄내마라톤 10km 후기 (기록조회 포함)</t>
  </si>
  <si>
    <t>https://blog.naver.com/PostView.naver?blogId=yoonwoo1&amp;logNo=223891357255&amp;redirect=Dlog&amp;widgetTypeCall=true&amp;directAccess=false</t>
  </si>
  <si>
    <t>투표 마친 김진태 강원지사 "미래산업·SOC, 국정과제 포함되도록 할 것"</t>
  </si>
  <si>
    <t>https://blog.naver.com/PostView.naver?blogId=jtkim4011&amp;logNo=223889688357&amp;redirect=Dlog&amp;widgetTypeCall=true&amp;directAccess=false</t>
  </si>
  <si>
    <t>[ 목요일 &amp; SNS ] &lt; 2025년 06월 05일 목요일 &gt;</t>
  </si>
  <si>
    <t>https://blog.naver.com/PostView.naver?blogId=jinhwan1016&amp;logNo=223888911082&amp;redirect=Dlog&amp;widgetTypeCall=true&amp;directAccess=false</t>
  </si>
  <si>
    <t>자폐화가 이장우 개인전</t>
  </si>
  <si>
    <t>https://blog.naver.com/PostView.naver?blogId=differance-dolly&amp;logNo=223886771984&amp;redirect=Dlog&amp;widgetTypeCall=true&amp;directAccess=false</t>
  </si>
  <si>
    <t>MBN</t>
  </si>
  <si>
    <t>김희라 아내 김수연,  "전처 子 5살 때부터 키웠는데…사돈 얼굴도 못 봤다"</t>
  </si>
  <si>
    <t>https://blog.naver.com/PostView.naver?blogId=koolap&amp;logNo=223906330383&amp;redirect=Dlog&amp;widgetTypeCall=true&amp;directAccess=false</t>
  </si>
  <si>
    <t>구만지</t>
  </si>
  <si>
    <t>COME BAKE HOME 5일차&amp;6일차</t>
  </si>
  <si>
    <t>https://blog.naver.com/PostView.naver?blogId=gumanzi&amp;logNo=223906297088&amp;redirect=Dlog&amp;widgetTypeCall=true&amp;directAccess=false</t>
  </si>
  <si>
    <t>singmin2</t>
  </si>
  <si>
    <t>한달매닝 런린이</t>
  </si>
  <si>
    <t>https://blog.naver.com/PostView.naver?blogId=singmin2&amp;logNo=223906253383&amp;redirect=Dlog&amp;widgetTypeCall=true&amp;directAccess=false</t>
  </si>
  <si>
    <t>가오정 6화 홍성 촬영지 마사마을 게스트 찬또배기 이찬원 바비큐 이병헌 ft.이민정 티셔츠 니트</t>
  </si>
  <si>
    <t>https://blog.naver.com/PostView.naver?blogId=mlkway153&amp;logNo=223906221723&amp;redirect=Dlog&amp;widgetTypeCall=true&amp;directAccess=false</t>
  </si>
  <si>
    <t>내 맘대로 쓸래</t>
  </si>
  <si>
    <t>끝까지 혁명 화이팅</t>
  </si>
  <si>
    <t>https://blog.naver.com/PostView.naver?blogId=jsh03052&amp;logNo=223905959276&amp;redirect=Dlog&amp;widgetTypeCall=true&amp;directAccess=false</t>
  </si>
  <si>
    <t>CONOCIDA</t>
  </si>
  <si>
    <t>[서울전시추천] 불멸의 화가 반 고흐, 관람후기</t>
  </si>
  <si>
    <t>https://blog.naver.com/PostView.naver?blogId=conocida&amp;logNo=223905966269&amp;redirect=Dlog&amp;widgetTypeCall=true&amp;directAccess=false</t>
  </si>
  <si>
    <t>황가람, ‘나는 반딧불’로 감동 폭발</t>
  </si>
  <si>
    <t>https://blog.naver.com/PostView.naver?blogId=kstarfashion&amp;logNo=223905667739&amp;redirect=Dlog&amp;widgetTypeCall=true&amp;directAccess=false</t>
  </si>
  <si>
    <t>“김지석♥이주명, 공개 연애 후 결혼까지? 아버지 ‘직접 인사받았다’”</t>
  </si>
  <si>
    <t>https://blog.naver.com/PostView.naver?blogId=leesunhee9&amp;logNo=223905379903&amp;redirect=Dlog&amp;widgetTypeCall=true&amp;directAccess=false</t>
  </si>
  <si>
    <t>7월 방영예정드라마 : 서초동 아이쇼핑 착한사나이 청담국제고등학교2</t>
  </si>
  <si>
    <t>https://blog.naver.com/PostView.naver?blogId=euene1111&amp;logNo=223904886320&amp;redirect=Dlog&amp;widgetTypeCall=true&amp;directAccess=false</t>
  </si>
  <si>
    <t>산들바람</t>
  </si>
  <si>
    <t>아즈마 아키(東 亜樹 あずま あき Azuma Aki ) 노래 영상</t>
  </si>
  <si>
    <t>https://blog.naver.com/PostView.naver?blogId=flomi210&amp;logNo=223904793945&amp;redirect=Dlog&amp;widgetTypeCall=true&amp;directAccess=false</t>
  </si>
  <si>
    <t>한가람</t>
  </si>
  <si>
    <t>삼봉자연휴양림 맛집</t>
  </si>
  <si>
    <t>https://blog.naver.com/PostView.naver?blogId=hangaram-v&amp;logNo=223904568519&amp;redirect=Dlog&amp;widgetTypeCall=true&amp;directAccess=false</t>
  </si>
  <si>
    <t>목요일그녀</t>
  </si>
  <si>
    <t>에필로그는 다정하게 씁니다 | 김영숙 | 신간 에세이</t>
  </si>
  <si>
    <t>https://blog.naver.com/PostView.naver?blogId=poohcey&amp;logNo=223904441188&amp;redirect=Dlog&amp;widgetTypeCall=true&amp;directAccess=false</t>
  </si>
  <si>
    <t>결혼 임박, 김지석 여자친구 이주명은 누구? (프로필 나이)</t>
  </si>
  <si>
    <t>https://blog.naver.com/PostView.naver?blogId=rozz0697&amp;logNo=223904423902&amp;redirect=Dlog&amp;widgetTypeCall=true&amp;directAccess=false</t>
  </si>
  <si>
    <t>조은석 내란특검, 김용현 공무집행방해 혐의 등 추가기소</t>
  </si>
  <si>
    <t>https://blog.naver.com/PostView.naver?blogId=kyh070181&amp;logNo=223904297992&amp;redirect=Dlog&amp;widgetTypeCall=true&amp;directAccess=false</t>
  </si>
  <si>
    <t>bora보라</t>
  </si>
  <si>
    <t>앨리스 달튼 브라운 회고전 / 더현대 서울 /  빛과 바람의 화가</t>
  </si>
  <si>
    <t>https://blog.naver.com/PostView.naver?blogId=elitemagic_4books&amp;logNo=223904221919&amp;redirect=Dlog&amp;widgetTypeCall=true&amp;directAccess=false</t>
  </si>
  <si>
    <t>즐겨 보는 방송 MBN</t>
  </si>
  <si>
    <t>https://blog.naver.com/PostView.naver?blogId=kwakgong8003&amp;logNo=223903816703&amp;redirect=Dlog&amp;widgetTypeCall=true&amp;directAccess=false</t>
  </si>
  <si>
    <t>땡구</t>
  </si>
  <si>
    <t>[운동] 2025 MBN 서울마라톤 오픈</t>
  </si>
  <si>
    <t>https://blog.naver.com/PostView.naver?blogId=knh8810&amp;logNo=223903539640&amp;redirect=Dlog&amp;widgetTypeCall=true&amp;directAccess=false</t>
  </si>
  <si>
    <t>[한일톱텐쇼] 성리 '님과함께' 진짜 무대 찢었다.</t>
  </si>
  <si>
    <t>https://blog.naver.com/PostView.naver?blogId=seongri0406&amp;logNo=223903460319&amp;redirect=Dlog&amp;widgetTypeCall=true&amp;directAccess=false</t>
  </si>
  <si>
    <t>세계 최초 글로벌 태권도 오디션 ‘위대한 쇼: 태권’, 27일 첫 방송</t>
  </si>
  <si>
    <t>https://blog.naver.com/PostView.naver?blogId=mooyepaper&amp;logNo=223903394096&amp;redirect=Dlog&amp;widgetTypeCall=true&amp;directAccess=false</t>
  </si>
  <si>
    <t>별사랑, 첫사랑과 9월 결혼 발표 5년 열애 결실</t>
  </si>
  <si>
    <t>https://blog.naver.com/PostView.naver?blogId=odmwd2&amp;logNo=223902821180&amp;redirect=Dlog&amp;widgetTypeCall=true&amp;directAccess=false</t>
  </si>
  <si>
    <t>김유진아나운서</t>
  </si>
  <si>
    <t>https://blog.naver.com/PostView.naver?blogId=yang83529&amp;logNo=223902742451&amp;redirect=Dlog&amp;widgetTypeCall=true&amp;directAccess=false</t>
  </si>
  <si>
    <t>경제용어_2주차 (3)</t>
  </si>
  <si>
    <t>https://blog.naver.com/PostView.naver?blogId=architecturerecords&amp;logNo=223902619776&amp;redirect=Dlog&amp;widgetTypeCall=true&amp;directAccess=false</t>
  </si>
  <si>
    <t>올드보이의 귀환, 정동영 통일부 장관 내정, 경색된 남북관계 돌파구 되나?</t>
  </si>
  <si>
    <t>https://blog.naver.com/PostView.naver?blogId=koolap&amp;logNo=223902567275&amp;redirect=Dlog&amp;widgetTypeCall=true&amp;directAccess=false</t>
  </si>
  <si>
    <t>MBN 엄지의제왕 피세틴 효능, 주문방법</t>
  </si>
  <si>
    <t>https://blog.naver.com/PostView.naver?blogId=jankyho&amp;logNo=223901742431&amp;redirect=Dlog&amp;widgetTypeCall=true&amp;directAccess=false</t>
  </si>
  <si>
    <t>brobooks_kr</t>
  </si>
  <si>
    <t>📣 신간 안내 『에필로그는 다정하게 씁니다』</t>
  </si>
  <si>
    <t>https://blog.naver.com/PostView.naver?blogId=brobooks_kr&amp;logNo=223902411743&amp;redirect=Dlog&amp;widgetTypeCall=true&amp;directAccess=false</t>
  </si>
  <si>
    <t>예능 돌싱글즈7 첫방송 촬영지</t>
  </si>
  <si>
    <t>https://blog.naver.com/PostView.naver?blogId=baboboxlover&amp;logNo=223902117434&amp;redirect=Dlog&amp;widgetTypeCall=true&amp;directAccess=false</t>
  </si>
  <si>
    <t>보스</t>
  </si>
  <si>
    <t>남자라서햄볶아요</t>
  </si>
  <si>
    <t>유방암 진단 받았는데, 암이 아니었다고? '청천벽력' (25.06.17)</t>
  </si>
  <si>
    <t>https://blog.naver.com/PostView.naver?blogId=rockstar88&amp;logNo=223901922472&amp;redirect=Dlog&amp;widgetTypeCall=true&amp;directAccess=false</t>
  </si>
  <si>
    <t>전 국민 민생지원금 15만원 ~ 50만원 차등 지급된다.</t>
  </si>
  <si>
    <t>https://blog.naver.com/PostView.naver?blogId=zeenokim&amp;logNo=223901748359&amp;redirect=Dlog&amp;widgetTypeCall=true&amp;directAccess=false</t>
  </si>
  <si>
    <t>별사랑, 녹화 중 충격 결혼 발표…예비신랑은 에녹…대체 누구? (+한일톱텐쇼, 반전, 극비 결혼)</t>
  </si>
  <si>
    <t>https://blog.naver.com/PostView.naver?blogId=ovonews&amp;logNo=223901678878&amp;redirect=Dlog&amp;widgetTypeCall=true&amp;directAccess=false</t>
  </si>
  <si>
    <t>ssophi_a</t>
  </si>
  <si>
    <t>[무명전설 참가자모집] 1억 상금, 트로트 오디션 (~8/15)</t>
  </si>
  <si>
    <t>https://blog.naver.com/PostView.naver?blogId=goodlife_me&amp;logNo=223901023330&amp;redirect=Dlog&amp;widgetTypeCall=true&amp;directAccess=false</t>
  </si>
  <si>
    <t>에필로그는 다정하게 씁니다</t>
  </si>
  <si>
    <t>https://blog.naver.com/PostView.naver?blogId=seolae929&amp;logNo=223900909959&amp;redirect=Dlog&amp;widgetTypeCall=true&amp;directAccess=false</t>
  </si>
  <si>
    <t>“30분만 뛸 수 있길…” 이봉주, 근육 긴장 이상증 극복기와 4년의 사투</t>
  </si>
  <si>
    <t>https://blog.naver.com/PostView.naver?blogId=apahghfej&amp;logNo=223900182912&amp;redirect=Dlog&amp;widgetTypeCall=true&amp;directAccess=false</t>
  </si>
  <si>
    <t>잘못할 것'이라는 응답은 24％, 의견 유보는 6％로 집계됐다.</t>
  </si>
  <si>
    <t>https://blog.naver.com/PostView.naver?blogId=ormaverh-m&amp;logNo=223900089888&amp;redirect=Dlog&amp;widgetTypeCall=true&amp;directAccess=false</t>
  </si>
  <si>
    <t>도심 속에서 즐기는 요가, ‘2025 광화문 달빛요가’ 20일 개막</t>
  </si>
  <si>
    <t>https://blog.naver.com/PostView.naver?blogId=ostw&amp;logNo=223900034328&amp;redirect=Dlog&amp;widgetTypeCall=true&amp;directAccess=false</t>
  </si>
  <si>
    <t>초코머핀</t>
  </si>
  <si>
    <t>296 모두의 행복</t>
  </si>
  <si>
    <t>https://blog.naver.com/PostView.naver?blogId=bravepic&amp;logNo=223899694120&amp;redirect=Dlog&amp;widgetTypeCall=true&amp;directAccess=false</t>
  </si>
  <si>
    <t>동치미 출연, 미녀 탈북 배우 김아라는 누구? (프로필 남편)</t>
  </si>
  <si>
    <t>https://blog.naver.com/PostView.naver?blogId=rozz0697&amp;logNo=223899641385&amp;redirect=Dlog&amp;widgetTypeCall=true&amp;directAccess=false</t>
  </si>
  <si>
    <t>겸이</t>
  </si>
  <si>
    <t>오늘의 농사 - 구여운 호박</t>
  </si>
  <si>
    <t>https://blog.naver.com/PostView.naver?blogId=tldlschsss&amp;logNo=223899295264&amp;redirect=Dlog&amp;widgetTypeCall=true&amp;directAccess=false</t>
  </si>
  <si>
    <t>https://blog.naver.com/PostView.naver?blogId=rich_ricky&amp;logNo=223899065407&amp;redirect=Dlog&amp;widgetTypeCall=true&amp;directAccess=false</t>
  </si>
  <si>
    <t>김혜경 여사 밀친 무개념 기자 여론 들끓자 "공식 사과한 MBN" - 일류</t>
  </si>
  <si>
    <t>https://blog.naver.com/PostView.naver?blogId=testdirt&amp;logNo=223898870370&amp;redirect=Dlog&amp;widgetTypeCall=true&amp;directAccess=false</t>
  </si>
  <si>
    <t>[특집] 구미 현일중·고 골프 명문 계보, 정윤지가 이었다</t>
  </si>
  <si>
    <t>https://blog.naver.com/PostView.naver?blogId=tkpress82&amp;logNo=223898799809&amp;redirect=Dlog&amp;widgetTypeCall=true&amp;directAccess=false</t>
  </si>
  <si>
    <t>‘한일톱텐쇼’ 환희, 웃음도 감동도 다 가진 남자</t>
  </si>
  <si>
    <t>https://blog.naver.com/PostView.naver?blogId=kstarfashion&amp;logNo=223898618014&amp;redirect=Dlog&amp;widgetTypeCall=true&amp;directAccess=false</t>
  </si>
  <si>
    <t>여름 건강 해답은 입 속 냉장고? 천기누설 676회가 밝힌 아이스 푸드의 힘</t>
  </si>
  <si>
    <t>https://blog.naver.com/PostView.naver?blogId=wwhandww&amp;logNo=223897399479&amp;redirect=Dlog&amp;widgetTypeCall=true&amp;directAccess=false</t>
  </si>
  <si>
    <t>북한산 입술바위</t>
  </si>
  <si>
    <t>2025 MBN 선셋마라톤</t>
  </si>
  <si>
    <t>https://blog.naver.com/PostView.naver?blogId=janglake&amp;logNo=223898091109&amp;redirect=Dlog&amp;widgetTypeCall=true&amp;directAccess=false</t>
  </si>
  <si>
    <t>이의정 뇌종양 완치 후 9살 연하 남친 최초 공개! 결혼 망설이는 이유는… 눈물의 속사정 (+특종세상, 러브스토리, 건강 회복)</t>
  </si>
  <si>
    <t>https://blog.naver.com/PostView.naver?blogId=ovonews&amp;logNo=223898091631&amp;redirect=Dlog&amp;widgetTypeCall=true&amp;directAccess=false</t>
  </si>
  <si>
    <t>249만 구독자, 10억 조회수…‘김작가TV’ 김도윤 작가, 7월5일 대구서 만난다</t>
  </si>
  <si>
    <t>https://blog.naver.com/PostView.naver?blogId=bilsabu&amp;logNo=223898009946&amp;redirect=Dlog&amp;widgetTypeCall=true&amp;directAccess=false</t>
  </si>
  <si>
    <t>인도 에어인디아 여객기 추락 생존자 한명 어떻게 살았나?</t>
  </si>
  <si>
    <t>https://blog.naver.com/PostView.naver?blogId=modelaa77&amp;logNo=223897955473&amp;redirect=Dlog&amp;widgetTypeCall=true&amp;directAccess=false</t>
  </si>
  <si>
    <t>은지원, 13년만에 재혼한다... 상대는 9세 연하 스타일리스트</t>
  </si>
  <si>
    <t>https://blog.naver.com/PostView.naver?blogId=sung8457&amp;logNo=223897176586&amp;redirect=Dlog&amp;widgetTypeCall=true&amp;directAccess=false</t>
  </si>
  <si>
    <t>‘시한부 판정’ 이의정, 안타까운 근황 “쓸개·목젖 없어”… ‘♥9살 연하’ 남친과는</t>
  </si>
  <si>
    <t>https://blog.naver.com/PostView.naver?blogId=seoulshinmun_1904&amp;logNo=223897751689&amp;redirect=Dlog&amp;widgetTypeCall=true&amp;directAccess=false</t>
  </si>
  <si>
    <t>K-요가! ‘2025 광화문 달빛요가’ 20일 개막</t>
  </si>
  <si>
    <t>https://blog.naver.com/PostView.naver?blogId=leisurenews1&amp;logNo=223897697039&amp;redirect=Dlog&amp;widgetTypeCall=true&amp;directAccess=false</t>
  </si>
  <si>
    <t>navison</t>
  </si>
  <si>
    <t>일자리와 ai[공유]</t>
  </si>
  <si>
    <t>https://blog.naver.com/PostView.naver?blogId=nav668&amp;logNo=223897636714&amp;redirect=Dlog&amp;widgetTypeCall=true&amp;directAccess=false</t>
  </si>
  <si>
    <t>jelpj</t>
  </si>
  <si>
    <t>비판적인 질문은 기자의 존재 이유</t>
  </si>
  <si>
    <t>https://blog.naver.com/PostView.naver?blogId=jelpj&amp;logNo=223897139528&amp;redirect=Dlog&amp;widgetTypeCall=true&amp;directAccess=false</t>
  </si>
  <si>
    <t>은지원 재혼 예비신부 , 돌싱글즈 MC에서 결혼까지</t>
  </si>
  <si>
    <t>https://blog.naver.com/PostView.naver?blogId=euene1111&amp;logNo=223896987867&amp;redirect=Dlog&amp;widgetTypeCall=true&amp;directAccess=false</t>
  </si>
  <si>
    <t>이제는 따로 살때가 되었다.. 김우리 부부 각집살이 선언! 도대체 왜??</t>
  </si>
  <si>
    <t>https://blog.naver.com/PostView.naver?blogId=happycatom&amp;logNo=223896908789&amp;redirect=Dlog&amp;widgetTypeCall=true&amp;directAccess=false</t>
  </si>
  <si>
    <t>Angela</t>
  </si>
  <si>
    <t>수영일기 :: 오늘도 평화로운 수영장</t>
  </si>
  <si>
    <t>https://blog.naver.com/PostView.naver?blogId=eikoyuki&amp;logNo=223896904140&amp;redirect=Dlog&amp;widgetTypeCall=true&amp;directAccess=false</t>
  </si>
  <si>
    <t>알맨</t>
  </si>
  <si>
    <t>도심 속 K-요가! ‘2025 광화문 달빛요가’ 오는 20일 개막</t>
  </si>
  <si>
    <t>https://blog.naver.com/PostView.naver?blogId=hunkyu77&amp;logNo=223896864544&amp;redirect=Dlog&amp;widgetTypeCall=true&amp;directAccess=false</t>
  </si>
  <si>
    <t>제6회 서산 중고제 가무악 축제 성료</t>
  </si>
  <si>
    <t>https://blog.naver.com/PostView.naver?blogId=seosanpost&amp;logNo=223896854101&amp;redirect=Dlog&amp;widgetTypeCall=true&amp;directAccess=false</t>
  </si>
  <si>
    <t>[서울시] ‘2025 광화문 달빛요가’ 오는 20일 개막</t>
  </si>
  <si>
    <t>https://blog.naver.com/PostView.naver?blogId=newssns&amp;logNo=223896813158&amp;redirect=Dlog&amp;widgetTypeCall=true&amp;directAccess=false</t>
  </si>
  <si>
    <t>Bann</t>
  </si>
  <si>
    <t>은지원, 13년 만에 재혼한다.신부는 누구?</t>
  </si>
  <si>
    <t>https://blog.naver.com/PostView.naver?blogId=petergeba2&amp;logNo=223896747523&amp;redirect=Dlog&amp;widgetTypeCall=true&amp;directAccess=false</t>
  </si>
  <si>
    <t>젝스키스 은지원, 이혼 13년 만에 재혼…예비 신부는 9살 연하 스타일리스트</t>
  </si>
  <si>
    <t>https://blog.naver.com/PostView.naver?blogId=koolap&amp;logNo=223896724000&amp;redirect=Dlog&amp;widgetTypeCall=true&amp;directAccess=false</t>
  </si>
  <si>
    <t>대구경북 부동산 머니쇼 강사진_부읽남TV 정태익 대표</t>
  </si>
  <si>
    <t>https://blog.naver.com/PostView.naver?blogId=bilsabu&amp;logNo=223896681229&amp;redirect=Dlog&amp;widgetTypeCall=true&amp;directAccess=false</t>
  </si>
  <si>
    <t>트레블노마드</t>
  </si>
  <si>
    <t>호주 퀸즐랜드주 관광청, MBN TV ‘돌싱글즈7’ 로케이션 촬영 지원</t>
  </si>
  <si>
    <t>https://blog.naver.com/PostView.naver?blogId=tn-place&amp;logNo=223896605711&amp;redirect=Dlog&amp;widgetTypeCall=true&amp;directAccess=false</t>
  </si>
  <si>
    <t>리암</t>
  </si>
  <si>
    <t>선입견 타파하기</t>
  </si>
  <si>
    <t>https://blog.naver.com/PostView.naver?blogId=blueocean37&amp;logNo=223896426046&amp;redirect=Dlog&amp;widgetTypeCall=true&amp;directAccess=false</t>
  </si>
  <si>
    <t>데뷔 33년 만의 첫 고정 예능으로 복귀하는 고소영 IN 오은영 스테이</t>
  </si>
  <si>
    <t>https://blog.naver.com/PostView.naver?blogId=ektha0108&amp;logNo=223896121948&amp;redirect=Dlog&amp;widgetTypeCall=true&amp;directAccess=false</t>
  </si>
  <si>
    <t>쩡구</t>
  </si>
  <si>
    <t>25. 04 2025 MBN 선셋마라톤 in 영종</t>
  </si>
  <si>
    <t>https://blog.naver.com/PostView.naver?blogId=padak530&amp;logNo=223895657197&amp;redirect=Dlog&amp;widgetTypeCall=true&amp;directAccess=false</t>
  </si>
  <si>
    <t>김성호</t>
  </si>
  <si>
    <t>🌟진주에서 스타가 태어난다!</t>
  </si>
  <si>
    <t>https://blog.naver.com/PostView.naver?blogId=k5667465&amp;logNo=223895387984&amp;redirect=Dlog&amp;widgetTypeCall=true&amp;directAccess=false</t>
  </si>
  <si>
    <t>#오피셜_ #2025년 #방영예정_ #청담국제고등학교2_ #Wavve #넷플릭스 #MBN #tvN Asia</t>
  </si>
  <si>
    <t>https://blog.naver.com/PostView.naver?blogId=today_midnight&amp;logNo=223895385279&amp;redirect=Dlog&amp;widgetTypeCall=true&amp;directAccess=false</t>
  </si>
  <si>
    <t>25.6.11.(수) 경찰 관련 기사 스크린</t>
  </si>
  <si>
    <t>https://blog.naver.com/PostView.naver?blogId=bugook789&amp;logNo=223895319371&amp;redirect=Dlog&amp;widgetTypeCall=true&amp;directAccess=false</t>
  </si>
  <si>
    <t>한일톱텐쇼 52회 박서진 손태진 내 하나의 사람은 가고 진진형제 벽을 두는 이유 재방송 다시보기</t>
  </si>
  <si>
    <t>https://blog.naver.com/PostView.naver?blogId=tobao0318&amp;logNo=223895249218&amp;redirect=Dlog&amp;widgetTypeCall=true&amp;directAccess=false</t>
  </si>
  <si>
    <t>원맨밴드 ILUKI</t>
  </si>
  <si>
    <t>[오늘의 일기] 가이드 녹음에서 문제점의 원인을 보완하다</t>
  </si>
  <si>
    <t>https://blog.naver.com/PostView.naver?blogId=iluki&amp;logNo=223895167555&amp;redirect=Dlog&amp;widgetTypeCall=true&amp;directAccess=false</t>
  </si>
  <si>
    <t>골프여자선수: 골프 팬들이 잘 모를 수 있는 유현조프로의 장점 하나.</t>
  </si>
  <si>
    <t>https://blog.naver.com/PostView.naver?blogId=sportsboojang&amp;logNo=223895115894&amp;redirect=Dlog&amp;widgetTypeCall=true&amp;directAccess=false</t>
  </si>
  <si>
    <t>노찌니</t>
  </si>
  <si>
    <t>돌격대장' 골프선수 황유민은 어떤 선수일까?</t>
  </si>
  <si>
    <t>https://blog.naver.com/PostView.naver?blogId=killme124&amp;logNo=223895078465&amp;redirect=Dlog&amp;widgetTypeCall=true&amp;directAccess=false</t>
  </si>
  <si>
    <t>NORA</t>
  </si>
  <si>
    <t>2025.06 (2)</t>
  </si>
  <si>
    <t>https://blog.naver.com/PostView.naver?blogId=bgmist&amp;logNo=223894983814&amp;redirect=Dlog&amp;widgetTypeCall=true&amp;directAccess=false</t>
  </si>
  <si>
    <t>[공유] 김혜경 여사 밀친 mbn기자관련 국회 영상 기자단 입장</t>
  </si>
  <si>
    <t>https://blog.naver.com/PostView.naver?blogId=brk1012&amp;logNo=223894963047&amp;redirect=Dlog&amp;widgetTypeCall=true&amp;directAccess=false</t>
  </si>
  <si>
    <t>백수광부</t>
  </si>
  <si>
    <t>나만의 독서 스팟</t>
  </si>
  <si>
    <t>https://blog.naver.com/PostView.naver?blogId=100real-&amp;logNo=223894887052&amp;redirect=Dlog&amp;widgetTypeCall=true&amp;directAccess=false</t>
  </si>
  <si>
    <t>전현무계획2 대구 메밀묵채 맛집 할매묵집 리뷰</t>
  </si>
  <si>
    <t>https://blog.naver.com/PostView.naver?blogId=kim___writer&amp;logNo=223894809998&amp;redirect=Dlog&amp;widgetTypeCall=true&amp;directAccess=false</t>
  </si>
  <si>
    <t>박서진, 은가은 결혼식 불참, 우리 가왕의 피치 못할 사연? (한일톱텐쇼 52회 어쩌다 님과 함께 )</t>
  </si>
  <si>
    <t>https://blog.naver.com/PostView.naver?blogId=ssopa8888&amp;logNo=223894362147&amp;redirect=Dlog&amp;widgetTypeCall=true&amp;directAccess=false</t>
  </si>
  <si>
    <t>한일톱텐쇼 52회, 환희의 트롯 무대부터 전유진 캠퍼스 썰까지 웃음과 반전 가득한 음악 대전</t>
  </si>
  <si>
    <t>https://blog.naver.com/PostView.naver?blogId=wwhandww&amp;logNo=223894150822&amp;redirect=Dlog&amp;widgetTypeCall=true&amp;directAccess=false</t>
  </si>
  <si>
    <t>박서진, 팬들 걱정 속 안타까운 부상 소식…무대는 끝까지 지켰다</t>
  </si>
  <si>
    <t>https://blog.naver.com/PostView.naver?blogId=yunys4303&amp;logNo=223894246940&amp;redirect=Dlog&amp;widgetTypeCall=true&amp;directAccess=false</t>
  </si>
  <si>
    <t>이경규 '약물운전' 의혹 해명…감기약을 복용으로 설명하고 해결한 이야기</t>
  </si>
  <si>
    <t>https://blog.naver.com/PostView.naver?blogId=tmrlahxhdbal&amp;logNo=223893949317&amp;redirect=Dlog&amp;widgetTypeCall=true&amp;directAccess=false</t>
  </si>
  <si>
    <t>탄탄대로</t>
  </si>
  <si>
    <t>[뛰어야 산다]"가자! 홋카이도로”</t>
  </si>
  <si>
    <t>https://blog.naver.com/PostView.naver?blogId=insidernews&amp;logNo=223893891669&amp;redirect=Dlog&amp;widgetTypeCall=true&amp;directAccess=false</t>
  </si>
  <si>
    <t>Jalapeno</t>
  </si>
  <si>
    <t>최은경, '동치미' 하차와 새로운 도전</t>
  </si>
  <si>
    <t>https://blog.naver.com/PostView.naver?blogId=jalapeno_olive&amp;logNo=223893869468&amp;redirect=Dlog&amp;widgetTypeCall=true&amp;directAccess=false</t>
  </si>
  <si>
    <t>pearl</t>
  </si>
  <si>
    <t>선관위 직원들은 선거가 장난감 놀이인가? 붙은 투표지 떼어내는 직원, 옆에서 응원하는 직원</t>
  </si>
  <si>
    <t>https://blog.naver.com/PostView.naver?blogId=aurora8977so&amp;logNo=223893792053&amp;redirect=Dlog&amp;widgetTypeCall=true&amp;directAccess=false</t>
  </si>
  <si>
    <t>250608 MBN 알토란 544회 채수, 특제 맛간장, 산나물전골</t>
  </si>
  <si>
    <t>https://blog.naver.com/PostView.naver?blogId=ssophi_a&amp;logNo=223893461614&amp;redirect=Dlog&amp;widgetTypeCall=true&amp;directAccess=false</t>
  </si>
  <si>
    <t>이 기자분들은 지금 어디서 뭐 하나.. 정말 저렇게 하고 싶어서 한 것일까나?</t>
  </si>
  <si>
    <t>https://blog.naver.com/PostView.naver?blogId=testdirt&amp;logNo=223893191513&amp;redirect=Dlog&amp;widgetTypeCall=true&amp;directAccess=false</t>
  </si>
  <si>
    <t>고소영 •••• &lt;오은영 스테이&gt; 촬영</t>
  </si>
  <si>
    <t>https://blog.naver.com/PostView.naver?blogId=truthnchange&amp;logNo=223893178132&amp;redirect=Dlog&amp;widgetTypeCall=true&amp;directAccess=false</t>
  </si>
  <si>
    <t>경찰, 방송인 이경규 약물 운전 혐의 조사…소속사 “공황장애 약물”</t>
  </si>
  <si>
    <t>https://blog.naver.com/PostView.naver?blogId=koolap&amp;logNo=223893154404&amp;redirect=Dlog&amp;widgetTypeCall=true&amp;directAccess=false</t>
  </si>
  <si>
    <t>이경규, 약물 운전 혐의 경찰 조사…외제 차 바꿔 탔다 적발</t>
  </si>
  <si>
    <t>https://blog.naver.com/PostView.naver?blogId=ho2jja78&amp;logNo=223893062784&amp;redirect=Dlog&amp;widgetTypeCall=true&amp;directAccess=false</t>
  </si>
  <si>
    <t>제이기획 건휘아빠</t>
  </si>
  <si>
    <t>"예능 대부 이경규 약물 운전 혐의 조사라는"기사를 보고서</t>
  </si>
  <si>
    <t>https://blog.naver.com/PostView.naver?blogId=f22lsong&amp;logNo=223893013401&amp;redirect=Dlog&amp;widgetTypeCall=true&amp;directAccess=false</t>
  </si>
  <si>
    <t>이경규, 약물 운전으로 경찰 조사..무슨 일</t>
  </si>
  <si>
    <t>https://blog.naver.com/PostView.naver?blogId=votusrha&amp;logNo=223892988824&amp;redirect=Dlog&amp;widgetTypeCall=true&amp;directAccess=false</t>
  </si>
  <si>
    <t>원희룡 경찰 소환? 김건희 양평땅 특혜 조사 속도 낸다.</t>
  </si>
  <si>
    <t>https://blog.naver.com/PostView.naver?blogId=zeenokim&amp;logNo=223892902039&amp;redirect=Dlog&amp;widgetTypeCall=true&amp;directAccess=false</t>
  </si>
  <si>
    <t>카메라로 영부인 친 MBN 기자</t>
  </si>
  <si>
    <t>https://blog.naver.com/PostView.naver?blogId=twobridge&amp;logNo=223892825148&amp;redirect=Dlog&amp;widgetTypeCall=true&amp;directAccess=false</t>
  </si>
  <si>
    <t>캡숑까망</t>
  </si>
  <si>
    <t>MBN 기자는 정책을 꼬집어야  할 때, 김혜경 여사의 팔뚝을 꼬집었다- 언론의 폭력, 1700만의 목격자가 지켜 보고 있었다</t>
  </si>
  <si>
    <t>https://blog.naver.com/PostView.naver?blogId=ddogdog&amp;logNo=223892742858&amp;redirect=Dlog&amp;widgetTypeCall=true&amp;directAccess=false</t>
  </si>
  <si>
    <t>빡빡</t>
  </si>
  <si>
    <t>연포하이바다펜션-태안애견동반펜션- 연포해수욕장펜션</t>
  </si>
  <si>
    <t>https://blog.naver.com/PostView.naver?blogId=adsl7439000&amp;logNo=223892530231&amp;redirect=Dlog&amp;widgetTypeCall=true&amp;directAccess=false</t>
  </si>
  <si>
    <t>김영옥 황혼 이혼 고민 혼자 살고파 재산분할</t>
  </si>
  <si>
    <t>https://blog.naver.com/PostView.naver?blogId=qnzjn8&amp;logNo=223892402391&amp;redirect=Dlog&amp;widgetTypeCall=true&amp;directAccess=false</t>
  </si>
  <si>
    <t>김지연, 전남편 이세창과 '재결합 NO'…"딸 위해 자주 만나" 솔직 고백</t>
  </si>
  <si>
    <t>https://blog.naver.com/PostView.naver?blogId=lsb3002&amp;logNo=223892063407&amp;redirect=Dlog&amp;widgetTypeCall=true&amp;directAccess=false</t>
  </si>
  <si>
    <t>만화 보면서 먹고+먹고+먹고</t>
  </si>
  <si>
    <t>https://blog.naver.com/PostView.naver?blogId=jwaeuniiish&amp;logNo=223891904696&amp;redirect=Dlog&amp;widgetTypeCall=true&amp;directAccess=false</t>
  </si>
  <si>
    <t>simple life</t>
  </si>
  <si>
    <t>김혜경 여사를 밀쳤다고만 알려진 MBN기자, 사실은 꼬집기까지 했다.</t>
  </si>
  <si>
    <t>https://blog.naver.com/PostView.naver?blogId=bigeyes100&amp;logNo=223891669253&amp;redirect=Dlog&amp;widgetTypeCall=true&amp;directAccess=false</t>
  </si>
  <si>
    <t>전현무계획2, 곽튜브 박병은 대구 묵밥 치킨 복어불고기 예능맛집</t>
  </si>
  <si>
    <t>https://blog.naver.com/PostView.naver?blogId=potoi&amp;logNo=223891636230&amp;redirect=Dlog&amp;widgetTypeCall=true&amp;directAccess=false</t>
  </si>
  <si>
    <t>[영부인 밀치는 MBN][MBN 영상 취재부 기자][이재명 김혜경 MBN 기자 경호원]</t>
  </si>
  <si>
    <t>https://blog.naver.com/PostView.naver?blogId=smartmoney&amp;logNo=223891569224&amp;redirect=Dlog&amp;widgetTypeCall=true&amp;directAccess=false</t>
  </si>
  <si>
    <t>이재명 대통령 득표율 89%' 전라도 비하한 유튜버... 코너 몰리자 거듭 사과</t>
  </si>
  <si>
    <t>https://blog.naver.com/PostView.naver?blogId=asleepist&amp;logNo=223891443471&amp;redirect=Dlog&amp;widgetTypeCall=true&amp;directAccess=false</t>
  </si>
  <si>
    <t>쑤농</t>
  </si>
  <si>
    <t>나솔 정숙 가품에 귀싸대기까지 날렸다. 제보자는 인성에 문제있는 여자라는데</t>
  </si>
  <si>
    <t>https://blog.naver.com/PostView.naver?blogId=ssunong-&amp;logNo=223891268963&amp;redirect=Dlog&amp;widgetTypeCall=true&amp;directAccess=false</t>
  </si>
  <si>
    <t>2025년 6월 7일 주요 소식(TV연예)</t>
  </si>
  <si>
    <t>https://blog.naver.com/PostView.naver?blogId=steadyseller&amp;logNo=223891205442&amp;redirect=Dlog&amp;widgetTypeCall=true&amp;directAccess=false</t>
  </si>
  <si>
    <t>충격민국</t>
  </si>
  <si>
    <t>MBN 기자가 무례하게 영부인님 팔을 꼬집고 지나갔다?</t>
  </si>
  <si>
    <t>https://blog.naver.com/PostView.naver?blogId=happydesk999&amp;logNo=223891068871&amp;redirect=Dlog&amp;widgetTypeCall=true&amp;directAccess=false</t>
  </si>
  <si>
    <t>koreancitizen</t>
  </si>
  <si>
    <t>언론을통한 내란은 진행중</t>
  </si>
  <si>
    <t>https://blog.naver.com/PostView.naver?blogId=livingholtphy&amp;logNo=223890893846&amp;redirect=Dlog&amp;widgetTypeCall=true&amp;directAccess=false</t>
  </si>
  <si>
    <t>뉴스영</t>
  </si>
  <si>
    <t>이가영, 셀트리온 퀸즈 마스터즈 1R 공동선두... "전체적으로 안되는 것 없던 하루"</t>
  </si>
  <si>
    <t>https://blog.naver.com/PostView.naver?blogId=newsngg01&amp;logNo=223890861646&amp;redirect=Dlog&amp;widgetTypeCall=true&amp;directAccess=false</t>
  </si>
  <si>
    <t>맛보리</t>
  </si>
  <si>
    <t>전현무계획2 32회 대구 10미의 진수 복어불고기 맛집 신원복어, 치명적 매력의 복어껍질무침</t>
  </si>
  <si>
    <t>https://blog.naver.com/PostView.naver?blogId=ssabina&amp;logNo=223890846248&amp;redirect=Dlog&amp;widgetTypeCall=true&amp;directAccess=false</t>
  </si>
  <si>
    <t>mbn 임채웅 기자 김혜경 여사 위해</t>
  </si>
  <si>
    <t>https://blog.naver.com/PostView.naver?blogId=mrsanahi&amp;logNo=223890821205&amp;redirect=Dlog&amp;widgetTypeCall=true&amp;directAccess=false</t>
  </si>
  <si>
    <t>날콩의 시간도자기</t>
  </si>
  <si>
    <t>프로골프대회 sh수협mbn여자오픈.갤러리가요</t>
  </si>
  <si>
    <t>https://blog.naver.com/PostView.naver?blogId=kkoperachy&amp;logNo=223890764496&amp;redirect=Dlog&amp;widgetTypeCall=true&amp;directAccess=false</t>
  </si>
  <si>
    <t>생방 중 김혜경 여사 머리 밀친 카메라…대통령실 “각별한 주의 부탁”</t>
  </si>
  <si>
    <t>https://blog.naver.com/PostView.naver?blogId=atraxia123&amp;logNo=223890710173&amp;redirect=Dlog&amp;widgetTypeCall=true&amp;directAccess=false</t>
  </si>
  <si>
    <t>임○○ mbn 촬영사</t>
  </si>
  <si>
    <t>https://blog.naver.com/PostView.naver?blogId=livingholtphy&amp;logNo=223890465244&amp;redirect=Dlog&amp;widgetTypeCall=true&amp;directAccess=false</t>
  </si>
  <si>
    <t>10기 정숙, 결국 '동치미' 싹 다 통편집된다..제작진 "경찰수사 진행 중 확인했다"</t>
  </si>
  <si>
    <t>https://blog.naver.com/PostView.naver?blogId=plug_and_play_life&amp;logNo=223890455733&amp;redirect=Dlog&amp;widgetTypeCall=true&amp;directAccess=false</t>
  </si>
  <si>
    <t>MBN 영상취재기자 영부인 김혜경 머리가격 영상 모르쇠 뒤늦은 사과에 비난 폭주</t>
  </si>
  <si>
    <t>https://blog.naver.com/PostView.naver?blogId=psepeter&amp;logNo=223890401339&amp;redirect=Dlog&amp;widgetTypeCall=true&amp;directAccess=false</t>
  </si>
  <si>
    <t>MBN 임채웅 기자, 김혜경 여사에 대한 행동 논란. 여러분의 의견은?</t>
  </si>
  <si>
    <t>https://blog.naver.com/PostView.naver?blogId=blueocean_no1&amp;logNo=223890185238&amp;redirect=Dlog&amp;widgetTypeCall=true&amp;directAccess=false</t>
  </si>
  <si>
    <t>김혜경 여사님 밀친 MBN 카메라맨 .. 내눈엔 고의처럼 느껴진다.</t>
  </si>
  <si>
    <t>https://blog.naver.com/PostView.naver?blogId=kyh070181&amp;logNo=223889998724&amp;redirect=Dlog&amp;widgetTypeCall=true&amp;directAccess=false</t>
  </si>
  <si>
    <t>[이슈] MBN "김혜경 여사 밀친 실수 사과"</t>
  </si>
  <si>
    <t>https://blog.naver.com/PostView.naver?blogId=parkcckr&amp;logNo=223889817045&amp;redirect=Dlog&amp;widgetTypeCall=true&amp;directAccess=false</t>
  </si>
  <si>
    <t>비서실장 강훈식 의원 아내 MBN 앵커 출신 ‘김희경’ 아나운서 배우자 프로필</t>
  </si>
  <si>
    <t>https://blog.naver.com/PostView.naver?blogId=universal_studeo&amp;logNo=223889815633&amp;redirect=Dlog&amp;widgetTypeCall=true&amp;directAccess=false</t>
  </si>
  <si>
    <t>김혜경 여사님 밀친 MBN 카메라맨 .. MBN 공식 사과?</t>
  </si>
  <si>
    <t>https://blog.naver.com/PostView.naver?blogId=kyh070181&amp;logNo=223889636012&amp;redirect=Dlog&amp;widgetTypeCall=true&amp;directAccess=false</t>
  </si>
  <si>
    <t>대통령 부인 김혜경 여사 밀친 MBN 카메라맨…생방송 중 벌어진 충격적 장면</t>
  </si>
  <si>
    <t>https://blog.naver.com/PostView.naver?blogId=yunys4303&amp;logNo=223889607990&amp;redirect=Dlog&amp;widgetTypeCall=true&amp;directAccess=false</t>
  </si>
  <si>
    <t>김혜경 여사님 밀치고 가는 언론사 카메라맨 이거 반드시 공론화되야 한다.</t>
  </si>
  <si>
    <t>https://blog.naver.com/PostView.naver?blogId=kyh070181&amp;logNo=223889244153&amp;redirect=Dlog&amp;widgetTypeCall=true&amp;directAccess=false</t>
  </si>
  <si>
    <t>25.06.05 한국 장전</t>
  </si>
  <si>
    <t>https://blog.naver.com/PostView.naver?blogId=gunecxe&amp;logNo=223889125930&amp;redirect=Dlog&amp;widgetTypeCall=true&amp;directAccess=false</t>
  </si>
  <si>
    <t>신념과 꾸준함</t>
  </si>
  <si>
    <t>[선거일]평화롭게 충만했던 하루!</t>
  </si>
  <si>
    <t>https://blog.naver.com/PostView.naver?blogId=chapoong1&amp;logNo=223889098127&amp;redirect=Dlog&amp;widgetTypeCall=true&amp;directAccess=false</t>
  </si>
  <si>
    <t>2025년 6월 5일 신문을 통해 알게 된 것들</t>
  </si>
  <si>
    <t>https://blog.naver.com/PostView.naver?blogId=abcd9361&amp;logNo=223889050332&amp;redirect=Dlog&amp;widgetTypeCall=true&amp;directAccess=false</t>
  </si>
  <si>
    <t>달빛은아</t>
  </si>
  <si>
    <t>가수 서주경, 30년 동안 앓아온 다낭성 신장 증후군 공개... 치료법 없는 희귀 질환으로 투석 가능성 제기돼</t>
  </si>
  <si>
    <t>https://blog.naver.com/PostView.naver?blogId=sineuna95&amp;logNo=223883758467&amp;redirect=Dlog&amp;widgetTypeCall=true&amp;directAccess=false</t>
  </si>
  <si>
    <t>배당소득세율 인상</t>
  </si>
  <si>
    <t>https://blog.naver.com/PostView.naver?blogId=rivory&amp;logNo=223888044016&amp;redirect=Dlog&amp;widgetTypeCall=true&amp;directAccess=false</t>
  </si>
  <si>
    <t>대통령선거는 끝났지만....가야할 길은 멀기만 하다.</t>
  </si>
  <si>
    <t>https://blog.naver.com/PostView.naver?blogId=doklak2019&amp;logNo=223887844270&amp;redirect=Dlog&amp;widgetTypeCall=true&amp;directAccess=false</t>
  </si>
  <si>
    <t>2025년 6월 4일 (수) 매일경제 지면기사</t>
  </si>
  <si>
    <t>https://blog.naver.com/PostView.naver?blogId=theblock101&amp;logNo=223887840967&amp;redirect=Dlog&amp;widgetTypeCall=true&amp;directAccess=false</t>
  </si>
  <si>
    <t>명산 김승곤</t>
  </si>
  <si>
    <t>250603 늪재봉(통도사 산문-봉화봉-늪재봉-서운암-통도사-통도사 산문)</t>
  </si>
  <si>
    <t>https://blog.naver.com/PostView.naver?blogId=mksg&amp;logNo=223887533125&amp;redirect=Dlog&amp;widgetTypeCall=true&amp;directAccess=false</t>
  </si>
  <si>
    <t>[공식 프리뷰] 2025 셀트리온 퀸즈 마스터즈</t>
  </si>
  <si>
    <t>https://blog.naver.com/PostView.naver?blogId=klpgapr&amp;logNo=223886934731&amp;redirect=Dlog&amp;widgetTypeCall=true&amp;directAccess=false</t>
  </si>
  <si>
    <t>[예능 리뷰] 『비포 썸 라이즈』 (2019) - 패널 없는 순수 썸여행, 감정에 몰입하다</t>
  </si>
  <si>
    <t>https://blog.naver.com/PostView.naver?blogId=nesbox&amp;logNo=223885632535&amp;redirect=Dlog&amp;widgetTypeCall=true&amp;directAccess=false</t>
  </si>
  <si>
    <t>MBN 소중한 나눔 무한 행복 소나무 705회 삶의 끝에서 다시, 세상 밖으로 한 걸음</t>
  </si>
  <si>
    <t>https://blog.naver.com/PostView.naver?blogId=wwhandww&amp;logNo=223885389690&amp;redirect=Dlog&amp;widgetTypeCall=true&amp;directAccess=false</t>
  </si>
  <si>
    <t>이재명 당선 시 용산 집무실 임시 사용 배경</t>
  </si>
  <si>
    <t>https://blog.naver.com/PostView.naver?blogId=newyorkmanhattan&amp;logNo=223886212854&amp;redirect=Dlog&amp;widgetTypeCall=true&amp;directAccess=false</t>
  </si>
  <si>
    <t>골프매거진 코리아</t>
  </si>
  <si>
    <t>정윤지, 3년 만에 KLPGA투어 2번째 우승</t>
  </si>
  <si>
    <t>https://blog.naver.com/PostView.naver?blogId=golfmagazine_korea&amp;logNo=223886100340&amp;redirect=Dlog&amp;widgetTypeCall=true&amp;directAccess=false</t>
  </si>
  <si>
    <t>가수 진해성 팬클럽, 충남장애인체육대회에 500만원 후원</t>
  </si>
  <si>
    <t>https://blog.naver.com/PostView.naver?blogId=koreadisablednews&amp;logNo=223886016415&amp;redirect=Dlog&amp;widgetTypeCall=true&amp;directAccess=false</t>
  </si>
  <si>
    <t>pavi2pavi</t>
  </si>
  <si>
    <t>그리스 로마신화-신들의 사생활</t>
  </si>
  <si>
    <t>https://blog.naver.com/PostView.naver?blogId=pavi2pavi&amp;logNo=223885993271&amp;redirect=Dlog&amp;widgetTypeCall=true&amp;directAccess=false</t>
  </si>
  <si>
    <t>교제 3개월 만에 결혼' 이상민, 혼전임신설에…</t>
  </si>
  <si>
    <t>https://blog.naver.com/PostView.naver?blogId=lsb3002&amp;logNo=223885893919&amp;redirect=Dlog&amp;widgetTypeCall=true&amp;directAccess=false</t>
  </si>
  <si>
    <t>[충청대세뉴스] 가수 진해성 팬클럽, 서산시장애인체육회에 500만 원 후원</t>
  </si>
  <si>
    <t>https://blog.naver.com/PostView.naver?blogId=yyjjss3081&amp;logNo=223885854470&amp;redirect=Dlog&amp;widgetTypeCall=true&amp;directAccess=false</t>
  </si>
  <si>
    <t>이상민 2세 계획 | 혼전임신설 해명</t>
  </si>
  <si>
    <t>https://blog.naver.com/PostView.naver?blogId=wwioa__&amp;logNo=223885834699&amp;redirect=Dlog&amp;widgetTypeCall=true&amp;directAccess=false</t>
  </si>
  <si>
    <t>https://blog.naver.com/PostView.naver?blogId=lsb3002&amp;logNo=223885784232&amp;redirect=Dlog&amp;widgetTypeCall=true&amp;directAccess=false</t>
  </si>
  <si>
    <t>가수 진해성 팬클럽, 서산시장애인체육회에 500만 원 후원</t>
  </si>
  <si>
    <t>https://blog.naver.com/PostView.naver?blogId=seosanpost&amp;logNo=223885781226&amp;redirect=Dlog&amp;widgetTypeCall=true&amp;directAccess=false</t>
  </si>
  <si>
    <t>이예원 최예림...임펙트 순간 홍정민...아이언 샷 전우리 고지원 안송이 이채은2...이번대회 우승 가능성 있다 박민지..챔피언 조에서 경기 합니다 정윤지...챔피언 으로 향하여</t>
  </si>
  <si>
    <t>https://blog.naver.com/PostView.naver?blogId=kimjajoong&amp;logNo=223885749723&amp;redirect=Dlog&amp;widgetTypeCall=true&amp;directAccess=false</t>
  </si>
  <si>
    <t>박현경...오늘도 아빠 캐디와 함께. 박지영...아이언 샷 임진영 한진선....아이언 샷 이다연  한국사진방송 김재훈기자(양평) = 2025시즌 KLPGA투어 열 번째 대회인 ‘S</t>
  </si>
  <si>
    <t>https://blog.naver.com/PostView.naver?blogId=kimjajoong&amp;logNo=223885737642&amp;redirect=Dlog&amp;widgetTypeCall=true&amp;directAccess=false</t>
  </si>
  <si>
    <t>고지우....대회 최종 라운드 경기가 시작 되었다 이준이 이소영 주가인, 현세린, 이동은....우리 함께 경기 합니다 박현경 박지영홍현지 강지선   한국사진방송 김재훈기자(양평)</t>
  </si>
  <si>
    <t>https://blog.naver.com/PostView.naver?blogId=kimjajoong&amp;logNo=223885728671&amp;redirect=Dlog&amp;widgetTypeCall=true&amp;directAccess=false</t>
  </si>
  <si>
    <t>Golfer Lee</t>
  </si>
  <si>
    <t>Sh 수협은행 MBN 여자오픈 Day 4 - 최종 결과</t>
  </si>
  <si>
    <t>https://blog.naver.com/PostView.naver?blogId=eelreflog&amp;logNo=223885694259&amp;redirect=Dlog&amp;widgetTypeCall=true&amp;directAccess=false</t>
  </si>
  <si>
    <t>https://blog.naver.com/PostView.naver?blogId=lsb3002&amp;logNo=223885693532&amp;redirect=Dlog&amp;widgetTypeCall=true&amp;directAccess=false</t>
  </si>
  <si>
    <t>6. 2(월) 경찰관련기사</t>
  </si>
  <si>
    <t>https://blog.naver.com/PostView.naver?blogId=tobiaspia&amp;logNo=223885641090&amp;redirect=Dlog&amp;widgetTypeCall=true&amp;directAccess=false</t>
  </si>
  <si>
    <t>[2칼럼 11]홍보 촬영</t>
  </si>
  <si>
    <t>https://blog.naver.com/PostView.naver?blogId=zoom138100&amp;logNo=223885376652&amp;redirect=Dlog&amp;widgetTypeCall=true&amp;directAccess=false</t>
  </si>
  <si>
    <t>정윤지, Sh수협은행 MBN 여자오픈와이어 투 와이어 우승… 통산 2승</t>
  </si>
  <si>
    <t>https://blog.naver.com/PostView.naver?blogId=isop0315&amp;logNo=223885188378&amp;redirect=Dlog&amp;widgetTypeCall=true&amp;directAccess=false</t>
  </si>
  <si>
    <t>트러스트</t>
  </si>
  <si>
    <t>“극적인 18번 홀 퍼트”… 정윤지, 3년 만에 KLPGA 통산 2승 달성</t>
  </si>
  <si>
    <t>https://blog.naver.com/PostView.naver?blogId=sinabro_company&amp;logNo=223885146568&amp;redirect=Dlog&amp;widgetTypeCall=true&amp;directAccess=false</t>
  </si>
  <si>
    <t>*정윤지 우승-2025 KLPGA 투어 "SH 수협은행.MBN 여자오픈"​*</t>
  </si>
  <si>
    <t>https://blog.naver.com/PostView.naver?blogId=k3565512&amp;logNo=223885035522&amp;redirect=Dlog&amp;widgetTypeCall=true&amp;directAccess=false</t>
  </si>
  <si>
    <t>해뜨는집</t>
  </si>
  <si>
    <t>[일요와이드] 잇단 '설화'…대선 D-2 남은 변수는?</t>
  </si>
  <si>
    <t>https://blog.naver.com/PostView.naver?blogId=gabrielpjb&amp;logNo=223885011233&amp;redirect=Dlog&amp;widgetTypeCall=true&amp;directAccess=false</t>
  </si>
  <si>
    <t>KLPGA, 정윤지 통산 2승 달성</t>
  </si>
  <si>
    <t>https://blog.naver.com/PostView.naver?blogId=sekim-1107&amp;logNo=223885009949&amp;redirect=Dlog&amp;widgetTypeCall=true&amp;directAccess=false</t>
  </si>
  <si>
    <t>SH 수협은행 MBN 여자오픈 개막 ~이승연 프로가 10번 홀에서 대회  첫날 경기를 시작하기 위해 목표 지점을 조준하고 있다.박지혜3 이세희.윤수아 현세린 유효주...10번 홀에</t>
  </si>
  <si>
    <t>https://blog.naver.com/PostView.naver?blogId=kimjajoong&amp;logNo=223884899527&amp;redirect=Dlog&amp;widgetTypeCall=true&amp;directAccess=false</t>
  </si>
  <si>
    <t>2025년 5월 31일 (토) 매일경제 지면기사</t>
  </si>
  <si>
    <t>https://blog.naver.com/PostView.naver?blogId=theblock101&amp;logNo=223884738537&amp;redirect=Dlog&amp;widgetTypeCall=true&amp;directAccess=false</t>
  </si>
  <si>
    <t>한지민 언니미모 한지민보다 더 예뻐, 연예인 될 줄, 친언니 미모 난리, 지상렬이 결혼 사회봤다, 살림남</t>
  </si>
  <si>
    <t>https://blog.naver.com/PostView.naver?blogId=songdoo-lin&amp;logNo=223884648460&amp;redirect=Dlog&amp;widgetTypeCall=true&amp;directAccess=false</t>
  </si>
  <si>
    <t>톱배우 하니, 연인의 사망 사고 논란에 '이별 위기'…심경 고백까지</t>
  </si>
  <si>
    <t>https://blog.naver.com/PostView.naver?blogId=mpeg9497&amp;logNo=223917053151&amp;redirect=Dlog&amp;widgetTypeCall=true&amp;directAccess=false</t>
  </si>
  <si>
    <t>넷플릭스 7월 신작 최신 공개예정 드라마 영화 추천 요즘넷플뭐봄?</t>
  </si>
  <si>
    <t>https://blog.naver.com/PostView.naver?blogId=dongi0508&amp;logNo=223916988557&amp;redirect=Dlog&amp;widgetTypeCall=true&amp;directAccess=false</t>
  </si>
  <si>
    <t>장원영 소속사 아이돌, 대체 누구와? 몬스타엑스 주헌과 심야 데이트…그들의 관계는?(+열애설, 목격담, 소속사 입장)</t>
  </si>
  <si>
    <t>https://blog.naver.com/PostView.naver?blogId=qoswlfdl-&amp;logNo=223916870205&amp;redirect=Dlog&amp;widgetTypeCall=true&amp;directAccess=false</t>
  </si>
  <si>
    <t>결혼 미룬 하니, ‘오은영 스테이’ 찾아갔다</t>
  </si>
  <si>
    <t>https://blog.naver.com/PostView.naver?blogId=leesoehs&amp;logNo=223916671809&amp;redirect=Dlog&amp;widgetTypeCall=true&amp;directAccess=false</t>
  </si>
  <si>
    <t>dailyart_officail</t>
  </si>
  <si>
    <t>《앨리스 달튼 브라운 회고전: 잠시, 그리고 영원히》고요한 응시, 시간의 풍경</t>
  </si>
  <si>
    <t>https://blog.naver.com/PostView.naver?blogId=dailyart_officail&amp;logNo=223916535991&amp;redirect=Dlog&amp;widgetTypeCall=true&amp;directAccess=false</t>
  </si>
  <si>
    <t>최장거리 16km 달성…MBN서울마라톤 하프 도전-139일 : 1577일</t>
  </si>
  <si>
    <t>https://blog.naver.com/PostView.naver?blogId=sigisigi_yongchic&amp;logNo=223916503396&amp;redirect=Dlog&amp;widgetTypeCall=true&amp;directAccess=false</t>
  </si>
  <si>
    <t>2025년 6월 30일 (월) 한국경제</t>
  </si>
  <si>
    <t>https://blog.naver.com/PostView.naver?blogId=theblock101&amp;logNo=223916186522&amp;redirect=Dlog&amp;widgetTypeCall=true&amp;directAccess=false</t>
  </si>
  <si>
    <t>하반기 대회들</t>
  </si>
  <si>
    <t>https://blog.naver.com/PostView.naver?blogId=d3sean&amp;logNo=223915843680&amp;redirect=Dlog&amp;widgetTypeCall=true&amp;directAccess=false</t>
  </si>
  <si>
    <t>김정태 “김현숙, 연애 못해본 스타일…양주도 소주도 소용없었다” (동치미 출연)</t>
  </si>
  <si>
    <t>https://blog.naver.com/PostView.naver?blogId=apahghfej&amp;logNo=223915740012&amp;redirect=Dlog&amp;widgetTypeCall=true&amp;directAccess=false</t>
  </si>
  <si>
    <t>이월</t>
  </si>
  <si>
    <t>터널의 끝에는 빛이 있다는 걸 알기에 6</t>
  </si>
  <si>
    <t>https://blog.naver.com/PostView.naver?blogId=morgenwind&amp;logNo=223915029473&amp;redirect=Dlog&amp;widgetTypeCall=true&amp;directAccess=false</t>
  </si>
  <si>
    <t>📕6월 넷째주 위클리이슈</t>
  </si>
  <si>
    <t>https://blog.naver.com/PostView.naver?blogId=beomseo50&amp;logNo=223914905407&amp;redirect=Dlog&amp;widgetTypeCall=true&amp;directAccess=false</t>
  </si>
  <si>
    <t>엄마 없인 못 살아 우리 아들…도대체 왜? (+고부갈등, 눈물, 감동)</t>
  </si>
  <si>
    <t>https://blog.naver.com/PostView.naver?blogId=min5591ha&amp;logNo=223914861121&amp;redirect=Dlog&amp;widgetTypeCall=true&amp;directAccess=false</t>
  </si>
  <si>
    <t>Turtrin</t>
  </si>
  <si>
    <t>MBN 주범인 이재명 대통령은 빠져,정작 이 대통령은 재판에 빠졌다.</t>
  </si>
  <si>
    <t>https://blog.naver.com/PostView.naver?blogId=turtrey&amp;logNo=223914655686&amp;redirect=Dlog&amp;widgetTypeCall=true&amp;directAccess=false</t>
  </si>
  <si>
    <t>童神（天の子守唄） 古謝美佐子</t>
  </si>
  <si>
    <t>https://blog.naver.com/PostView.naver?blogId=hgryu1948&amp;logNo=223914527066&amp;redirect=Dlog&amp;widgetTypeCall=true&amp;directAccess=false</t>
  </si>
  <si>
    <t>북촌</t>
  </si>
  <si>
    <t>내 腦에 남겨진 말과 場面과 소리 2</t>
  </si>
  <si>
    <t>https://blog.naver.com/PostView.naver?blogId=eastok7&amp;logNo=223914526074&amp;redirect=Dlog&amp;widgetTypeCall=true&amp;directAccess=false</t>
  </si>
  <si>
    <t>時の流れに身をまかせ テレサ・テン</t>
  </si>
  <si>
    <t>https://blog.naver.com/PostView.naver?blogId=hgryu1948&amp;logNo=223914522867&amp;redirect=Dlog&amp;widgetTypeCall=true&amp;directAccess=false</t>
  </si>
  <si>
    <t>“‘이재명표 부동산 규제’ 역대급 규제에 ‘벌벌..’” 의 영상 요약</t>
  </si>
  <si>
    <t>https://blog.naver.com/PostView.naver?blogId=lucidjun&amp;logNo=223914464315&amp;redirect=Dlog&amp;widgetTypeCall=true&amp;directAccess=false</t>
  </si>
  <si>
    <t>주술회전(후시구로 토우지)과 수도권 주담대 6억원 규제</t>
  </si>
  <si>
    <t>https://blog.naver.com/PostView.naver?blogId=tnwnsrla&amp;logNo=223914447750&amp;redirect=Dlog&amp;widgetTypeCall=true&amp;directAccess=false</t>
  </si>
  <si>
    <t>한민용 아나운서 jtbc 뉴스룸 앵커 프로필 인스타 및 김민관 기자와 결혼 후 임신</t>
  </si>
  <si>
    <t>https://blog.naver.com/PostView.naver?blogId=iris8294&amp;logNo=223914020632&amp;redirect=Dlog&amp;widgetTypeCall=true&amp;directAccess=false</t>
  </si>
  <si>
    <t>구절초 꽃길</t>
  </si>
  <si>
    <t>우리 동네 '묵 그리고'</t>
  </si>
  <si>
    <t>https://blog.naver.com/PostView.naver?blogId=eunmee21&amp;logNo=223913846430&amp;redirect=Dlog&amp;widgetTypeCall=true&amp;directAccess=false</t>
  </si>
  <si>
    <t>Shadow</t>
  </si>
  <si>
    <t>대한민국의 주적은 북,중,미,일도 아닌 내부의 적이다.</t>
  </si>
  <si>
    <t>https://blog.naver.com/PostView.naver?blogId=beencenter&amp;logNo=223913808071&amp;redirect=Dlog&amp;widgetTypeCall=true&amp;directAccess=false</t>
  </si>
  <si>
    <t>전현무계획2 서산 부석 냉면 원조집 47년전통 이영자 추천 맛집</t>
  </si>
  <si>
    <t>https://blog.naver.com/PostView.naver?blogId=brjang71&amp;logNo=223913780701&amp;redirect=Dlog&amp;widgetTypeCall=true&amp;directAccess=false</t>
  </si>
  <si>
    <t>약물논란 CCTV 공개 후 충격…이경규 “은퇴하라” vs “지켜보자” 여론 팽팽</t>
  </si>
  <si>
    <t>https://blog.naver.com/PostView.naver?blogId=picklenews&amp;logNo=223913440211&amp;redirect=Dlog&amp;widgetTypeCall=true&amp;directAccess=false</t>
  </si>
  <si>
    <t>꾸준한 거북이</t>
  </si>
  <si>
    <t>내가 하고 싶은 달리기...</t>
  </si>
  <si>
    <t>https://blog.naver.com/PostView.naver?blogId=sorasia&amp;logNo=223913411015&amp;redirect=Dlog&amp;widgetTypeCall=true&amp;directAccess=false</t>
  </si>
  <si>
    <t>트로트가수 장군, 무명가수 어머니. 아버지 빚 때문에 가정불화</t>
  </si>
  <si>
    <t>https://blog.naver.com/PostView.naver?blogId=kehy2k&amp;logNo=223912936613&amp;redirect=Dlog&amp;widgetTypeCall=true&amp;directAccess=false</t>
  </si>
  <si>
    <t>전국기자협회</t>
  </si>
  <si>
    <t>한중미술협회 중국과 전시 및 회원들 중국 대학 진출에 괄목할 성과</t>
  </si>
  <si>
    <t>https://blog.naver.com/PostView.naver?blogId=kdnnews365&amp;logNo=223912784715&amp;redirect=Dlog&amp;widgetTypeCall=true&amp;directAccess=false</t>
  </si>
  <si>
    <t>이경규, 공황장애 약물 복용 후 운전 적발</t>
  </si>
  <si>
    <t>https://blog.naver.com/PostView.naver?blogId=nimy07&amp;logNo=223912589957&amp;redirect=Dlog&amp;widgetTypeCall=true&amp;directAccess=false</t>
  </si>
  <si>
    <t>이경규 '약물 운전' CCTV 영상 공개…'비틀거림→추돌' 심각성 대두, 처방약 운전 '제도적 사각지대' 우려 확산</t>
  </si>
  <si>
    <t>https://blog.naver.com/PostView.naver?blogId=lsb3002&amp;logNo=223912515896&amp;redirect=Dlog&amp;widgetTypeCall=true&amp;directAccess=false</t>
  </si>
  <si>
    <t>약물운전 이경규 CCTV 보니 차 들이받고 비틀비틀.. 정신과 의사 소신발언</t>
  </si>
  <si>
    <t>https://blog.naver.com/PostView.naver?blogId=goodlife_me&amp;logNo=223912412789&amp;redirect=Dlog&amp;widgetTypeCall=true&amp;directAccess=false</t>
  </si>
  <si>
    <t>벽 들이받고 남의 차 타려다 '경찰에 딱'… 예능대부 이경규, 약물 운전의 진실</t>
  </si>
  <si>
    <t>https://blog.naver.com/PostView.naver?blogId=rttn-&amp;logNo=223912190542&amp;redirect=Dlog&amp;widgetTypeCall=true&amp;directAccess=false</t>
  </si>
  <si>
    <t>‘비틀비틀’ 접촉사고에 불법 좌회전…이경규, 복용 약물 영향 의심 CCTV 포착</t>
  </si>
  <si>
    <t>https://blog.naver.com/PostView.naver?blogId=issuereview&amp;logNo=223912134924&amp;redirect=Dlog&amp;widgetTypeCall=true&amp;directAccess=false</t>
  </si>
  <si>
    <t>이경규 약물운전 충격적 CCTV 영상 공개 '비틀비틀 걷고 추돌사고 중앙선넘어 불법 좌회전'</t>
  </si>
  <si>
    <t>https://blog.naver.com/PostView.naver?blogId=psepeter&amp;logNo=223912075739&amp;redirect=Dlog&amp;widgetTypeCall=true&amp;directAccess=false</t>
  </si>
  <si>
    <t>이한주 국정기획위원장이 말하는 부동산 정책의 핵심과 30년 논란의 실체 – 대한민국 정책 신뢰의 경계선</t>
  </si>
  <si>
    <t>https://blog.naver.com/PostView.naver?blogId=g901gg&amp;logNo=223911763137&amp;redirect=Dlog&amp;widgetTypeCall=true&amp;directAccess=false</t>
  </si>
  <si>
    <t>"이게 뭔 맛이야?" 전현무도 당황시킨 부석냉면, 이영자 추천 맛집의 특별한 매력</t>
  </si>
  <si>
    <t>https://blog.naver.com/PostView.naver?blogId=apahghfej&amp;logNo=223911606400&amp;redirect=Dlog&amp;widgetTypeCall=true&amp;directAccess=false</t>
  </si>
  <si>
    <t>바름 책방지기</t>
  </si>
  <si>
    <t>김영숙 &lt;에필로그는 다정하게 씁니다&gt;</t>
  </si>
  <si>
    <t>https://blog.naver.com/PostView.naver?blogId=bareum_book&amp;logNo=223911503286&amp;redirect=Dlog&amp;widgetTypeCall=true&amp;directAccess=false</t>
  </si>
  <si>
    <t>MBN 판도라~(김영진 VS 성일종)</t>
  </si>
  <si>
    <t>https://blog.naver.com/PostView.naver?blogId=kwakgong8003&amp;logNo=223911352478&amp;redirect=Dlog&amp;widgetTypeCall=true&amp;directAccess=false</t>
  </si>
  <si>
    <t>2025년 6월 25일 (수) 매일경제</t>
  </si>
  <si>
    <t>https://blog.naver.com/PostView.naver?blogId=theblock101&amp;logNo=223910807958&amp;redirect=Dlog&amp;widgetTypeCall=true&amp;directAccess=false</t>
  </si>
  <si>
    <t>맞다, '중진'보다 더 나쁜 놈은 '발정'이다.</t>
  </si>
  <si>
    <t>https://blog.naver.com/PostView.naver?blogId=abundious&amp;logNo=223910234028&amp;redirect=Dlog&amp;widgetTypeCall=true&amp;directAccess=false</t>
  </si>
  <si>
    <t>VEKA 유로윈스피아</t>
  </si>
  <si>
    <t>MBN, ‘제로에너지건축물(ZEB) 의무화’ 앞두고 VEKA 시스템창호 생산현장 (주)유로윈스피아 화성 공장 단독 취재</t>
  </si>
  <si>
    <t>https://blog.naver.com/PostView.naver?blogId=veka-eurowinspia&amp;logNo=223909583420&amp;redirect=Dlog&amp;widgetTypeCall=true&amp;directAccess=false</t>
  </si>
  <si>
    <t>김리원작가, ‘탁청예술협회전’ 국제공모 최고 ‘우수작품상’ 수상으로 일본 국제활동 도약</t>
  </si>
  <si>
    <t>https://blog.naver.com/PostView.naver?blogId=seenedom&amp;logNo=223909514627&amp;redirect=Dlog&amp;widgetTypeCall=true&amp;directAccess=false</t>
  </si>
  <si>
    <t>골목식당 원테이블 악플에 결국 폐업 남자친구와도 결별</t>
  </si>
  <si>
    <t>https://blog.naver.com/PostView.naver?blogId=pkeunyoo&amp;logNo=223909470215&amp;redirect=Dlog&amp;widgetTypeCall=true&amp;directAccess=false</t>
  </si>
  <si>
    <t>골목식당 원테이블 결국 폐업…오은영 스테이까지? 악플러 향한 분노 폭발! "레시피만 원하는 X" 대체 무슨 일 (+골목식당, 원테이블, 오은영)</t>
  </si>
  <si>
    <t>https://blog.naver.com/PostView.naver?blogId=qoswlfdl-&amp;logNo=223909310030&amp;redirect=Dlog&amp;widgetTypeCall=true&amp;directAccess=false</t>
  </si>
  <si>
    <t>하동 템플스테이 쌍계사 오은영 스테이 촬영지 은평 한옥마을</t>
  </si>
  <si>
    <t>https://blog.naver.com/PostView.naver?blogId=jmjm3060&amp;logNo=223909140168&amp;redirect=Dlog&amp;widgetTypeCall=true&amp;directAccess=false</t>
  </si>
  <si>
    <t>링크원짱</t>
  </si>
  <si>
    <t>[오은영 스테이] 진짜 쉼과 위로가 필요한 당신을 위한 힐링 예능 추천 BEST</t>
  </si>
  <si>
    <t>https://blog.naver.com/PostView.naver?blogId=linkwonzzang&amp;logNo=223908686703&amp;redirect=Dlog&amp;widgetTypeCall=true&amp;directAccess=false</t>
  </si>
  <si>
    <t>오은영, 녹화 중단 사태</t>
  </si>
  <si>
    <t>https://blog.naver.com/PostView.naver?blogId=owen8591&amp;logNo=223908090892&amp;redirect=Dlog&amp;widgetTypeCall=true&amp;directAccess=false</t>
  </si>
  <si>
    <t>군봉묵은지김치찜</t>
  </si>
  <si>
    <t>이런 김치찜은 처음이야.  특이하고 진짜 맛있어!</t>
  </si>
  <si>
    <t>https://blog.naver.com/PostView.naver?blogId=kimyangsuk57680&amp;logNo=223908058268&amp;redirect=Dlog&amp;widgetTypeCall=true&amp;directAccess=false</t>
  </si>
  <si>
    <t>zzin</t>
  </si>
  <si>
    <t>2025 하반기 마라톤 일정</t>
  </si>
  <si>
    <t>https://blog.naver.com/PostView.naver?blogId=rudwmlsl1&amp;logNo=223907704769&amp;redirect=Dlog&amp;widgetTypeCall=true&amp;directAccess=false</t>
  </si>
  <si>
    <t>花笠道中 | リン&amp; 美空ひばり</t>
  </si>
  <si>
    <t>https://blog.naver.com/PostView.naver?blogId=hgryu1948&amp;logNo=223907535455&amp;redirect=Dlog&amp;widgetTypeCall=true&amp;directAccess=false</t>
  </si>
  <si>
    <t>이장우·조혜원, 11월 23일 결혼… 7년 열애 결실</t>
  </si>
  <si>
    <t>https://blog.naver.com/PostView.naver?blogId=atraxia123&amp;logNo=223907211306&amp;redirect=Dlog&amp;widgetTypeCall=true&amp;directAccess=false</t>
  </si>
  <si>
    <t>ccw플라이낚시인</t>
  </si>
  <si>
    <t>운동은 선택이 아니라 필수다.</t>
  </si>
  <si>
    <t>https://blog.naver.com/PostView.naver?blogId=ccwbros&amp;logNo=223907130965&amp;redirect=Dlog&amp;widgetTypeCall=true&amp;directAccess=false</t>
  </si>
  <si>
    <t>MBN, 방송언어 분석AI 시스템 도입!</t>
  </si>
  <si>
    <t>https://blog.naver.com/PostView.naver?blogId=seenedom&amp;logNo=223907059666&amp;redirect=Dlog&amp;widgetTypeCall=true&amp;directAccess=false</t>
  </si>
  <si>
    <t>고소영 그녀가 예능 나온다? 이 언니 왜 이렇게 귀여운 거야</t>
  </si>
  <si>
    <t>https://blog.naver.com/PostView.naver?blogId=onelife_selection&amp;logNo=223906636124&amp;redirect=Dlog&amp;widgetTypeCall=true&amp;directAccess=false</t>
  </si>
  <si>
    <t>정보모음</t>
  </si>
  <si>
    <t>무명전설 투표 하는 방법</t>
  </si>
  <si>
    <t>https://blog.naver.com/PostView.naver?blogId=junbobl&amp;logNo=223906618797&amp;redirect=Dlog&amp;widgetTypeCall=true&amp;directAccess=false</t>
  </si>
  <si>
    <t>김지석 이주명 12살 나이차 열애 인정 후 결혼설 2세 언급까지 아버지 발언 재조명 인스타 &amp; 프로필</t>
  </si>
  <si>
    <t>https://blog.naver.com/PostView.naver?blogId=mzzang108&amp;logNo=223906473857&amp;redirect=Dlog&amp;widgetTypeCall=true&amp;directAccess=false</t>
  </si>
  <si>
    <t>경상일보</t>
  </si>
  <si>
    <t>바른기업 우리버스</t>
  </si>
  <si>
    <t>우리버스(주)김익기 대표이사 행정안전장관 표창수상</t>
  </si>
  <si>
    <t>https://blog.naver.com/PostView.naver?blogId=happywooribus&amp;logNo=223916369101&amp;redirect=Dlog&amp;widgetTypeCall=true&amp;directAccess=false</t>
  </si>
  <si>
    <t>무무공공</t>
  </si>
  <si>
    <t>동경잡기東京雜記 3권 2</t>
  </si>
  <si>
    <t>https://blog.naver.com/PostView.naver?blogId=bobae5656&amp;logNo=223908280101&amp;redirect=Dlog&amp;widgetTypeCall=true&amp;directAccess=false</t>
  </si>
  <si>
    <t>[최석영의 버섯이야기(57)]환각버섯은 마약이다</t>
  </si>
  <si>
    <t>https://blog.naver.com/PostView.naver?blogId=dwyun60&amp;logNo=223904486813&amp;redirect=Dlog&amp;widgetTypeCall=true&amp;directAccess=false</t>
  </si>
  <si>
    <t>그리운 울산, 서상연 시인</t>
  </si>
  <si>
    <t>https://blog.naver.com/PostView.naver?blogId=kimdaisuke&amp;logNo=223896903898&amp;redirect=Dlog&amp;widgetTypeCall=true&amp;directAccess=false</t>
  </si>
  <si>
    <t>산업수도</t>
  </si>
  <si>
    <t>울산 중구, 마두희축제 큰줄당기기 몸통줄 제작(종합)</t>
  </si>
  <si>
    <t>https://blog.naver.com/PostView.naver?blogId=simml&amp;logNo=223885769491&amp;redirect=Dlog&amp;widgetTypeCall=true&amp;directAccess=false</t>
  </si>
  <si>
    <t>파라솔SOuL</t>
  </si>
  <si>
    <t>(사)중소기업융합경기연합회, 제17대 노상언 회장 취임</t>
  </si>
  <si>
    <t>https://blog.naver.com/PostView.naver?blogId=kimsook3434_&amp;logNo=223916535544&amp;redirect=Dlog&amp;widgetTypeCall=true&amp;directAccess=false</t>
  </si>
  <si>
    <t>임창휘 경기도의원</t>
  </si>
  <si>
    <t>평화경제특구-RE100특구 동시지정 추진회의 (2025.06.25.)</t>
  </si>
  <si>
    <t>https://blog.naver.com/PostView.naver?blogId=hiyanda&amp;logNo=223913529774&amp;redirect=Dlog&amp;widgetTypeCall=true&amp;directAccess=false</t>
  </si>
  <si>
    <t>[화보] 초여름 만개한 해바라기</t>
  </si>
  <si>
    <t>https://blog.naver.com/PostView.naver?blogId=etisot&amp;logNo=223912890467&amp;redirect=Dlog&amp;widgetTypeCall=true&amp;directAccess=false</t>
  </si>
  <si>
    <t>인천 서구의회, 아마존 데이터센터 고압송전선로 전자파 정보공개 촉구 결의안 채택</t>
  </si>
  <si>
    <t>https://blog.naver.com/PostView.naver?blogId=joongbooilbo&amp;logNo=223908748795&amp;redirect=Dlog&amp;widgetTypeCall=true&amp;directAccess=false</t>
  </si>
  <si>
    <t>나이스 choi</t>
  </si>
  <si>
    <t>적환장 위치</t>
  </si>
  <si>
    <t>https://blog.naver.com/PostView.naver?blogId=imchoski&amp;logNo=223906303577&amp;redirect=Dlog&amp;widgetTypeCall=true&amp;directAccess=false</t>
  </si>
  <si>
    <t>송도 워터프런트 사업 지연 올해 넘길듯</t>
  </si>
  <si>
    <t>https://blog.naver.com/PostView.naver?blogId=iyhs1828&amp;logNo=223904316084&amp;redirect=Dlog&amp;widgetTypeCall=true&amp;directAccess=false</t>
  </si>
  <si>
    <t>서혜진</t>
  </si>
  <si>
    <t>보이스피싱 신종수법 주의! 신종 유형 ‘공공기관 사칭’</t>
  </si>
  <si>
    <t>https://blog.naver.com/PostView.naver?blogId=dagoen&amp;logNo=223903156524&amp;redirect=Dlog&amp;widgetTypeCall=true&amp;directAccess=false</t>
  </si>
  <si>
    <t>올리브</t>
  </si>
  <si>
    <t>배민 한그릇 배달, 출시에 자영업자 반발</t>
  </si>
  <si>
    <t>https://blog.naver.com/PostView.naver?blogId=db_eksql&amp;logNo=223902413169&amp;redirect=Dlog&amp;widgetTypeCall=true&amp;directAccess=false</t>
  </si>
  <si>
    <t>artika</t>
  </si>
  <si>
    <t>[경기도로 떠나는 성지순례] 수수께끼 품은 돌부처님 이천을 보우하시네</t>
  </si>
  <si>
    <t>https://blog.naver.com/PostView.naver?blogId=artika&amp;logNo=223900600145&amp;redirect=Dlog&amp;widgetTypeCall=true&amp;directAccess=false</t>
  </si>
  <si>
    <t>도자기 목공예 체험장</t>
  </si>
  <si>
    <t>김포도시공사, 여름 물놀이장 태산패밀리파크 개장</t>
  </si>
  <si>
    <t>https://blog.naver.com/PostView.naver?blogId=taesanclay&amp;logNo=223898019033&amp;redirect=Dlog&amp;widgetTypeCall=true&amp;directAccess=false</t>
  </si>
  <si>
    <t>2025년 6월 9일(월)  20~30°C ⛅️(강수40%) 미세,초미세 좋음😘</t>
  </si>
  <si>
    <t>https://blog.naver.com/PostView.naver?blogId=jaeeunjung&amp;logNo=223892881109&amp;redirect=Dlog&amp;widgetTypeCall=true&amp;directAccess=false</t>
  </si>
  <si>
    <t>홈플러스노조, 이재명 대통령에 "홈플러스 폐점 막아달라" 공개편지</t>
  </si>
  <si>
    <t>https://blog.naver.com/PostView.naver?blogId=joongbooilbo&amp;logNo=223888513469&amp;redirect=Dlog&amp;widgetTypeCall=true&amp;directAccess=false</t>
  </si>
  <si>
    <t>방세환 광주시장, 경기도 기우회 6조 대표 취임</t>
  </si>
  <si>
    <t>https://blog.naver.com/PostView.naver?blogId=joongbooilbo&amp;logNo=223886188925&amp;redirect=Dlog&amp;widgetTypeCall=true&amp;directAccess=false</t>
  </si>
  <si>
    <t>중부매일</t>
  </si>
  <si>
    <t>행정규제의 유형별 사례 분석[1] 경제적 규제 사례 1) 기사 원문: 황진현(2024.4.3.).홍성군, 자연녹지지역 내 농수산물 가공, 처리시설 설치 건폐율 완화.중부매일 2)</t>
  </si>
  <si>
    <t>https://blog.naver.com/PostView.naver?blogId=dnwns884&amp;logNo=223909703557&amp;redirect=Dlog&amp;widgetTypeCall=true&amp;directAccess=false</t>
  </si>
  <si>
    <t>중부매일 굿디자인, 아산시에 여름철 취약계층 지원 성금 200만원 전달</t>
  </si>
  <si>
    <t>https://blog.naver.com/PostView.naver?blogId=koreadisablednews&amp;logNo=223908560921&amp;redirect=Dlog&amp;widgetTypeCall=true&amp;directAccess=false</t>
  </si>
  <si>
    <t>대전투데이 리량주</t>
  </si>
  <si>
    <t>중부매일 굿디자인, 취약계층에 성금 200만 원 전달</t>
  </si>
  <si>
    <t>https://blog.naver.com/PostView.naver?blogId=lyjsimon&amp;logNo=223908420535&amp;redirect=Dlog&amp;widgetTypeCall=true&amp;directAccess=false</t>
  </si>
  <si>
    <t>[충청대세뉴스] 중부매일 굿디자인, 취약계층 지원 위해 아산시에 성금 200만 원 전달</t>
  </si>
  <si>
    <t>https://blog.naver.com/PostView.naver?blogId=yyjjss3081&amp;logNo=223908297406&amp;redirect=Dlog&amp;widgetTypeCall=true&amp;directAccess=false</t>
  </si>
  <si>
    <t>암생존자통합지지센터</t>
  </si>
  <si>
    <t>충북권역암생존자통합지지센터 2025 암생존자 주간 캠페인 성료</t>
  </si>
  <si>
    <t>https://blog.naver.com/PostView.naver?blogId=cbcsc7688&amp;logNo=223901028299&amp;redirect=Dlog&amp;widgetTypeCall=true&amp;directAccess=false</t>
  </si>
  <si>
    <t>청주 육거리 야시장</t>
  </si>
  <si>
    <t>https://blog.naver.com/PostView.naver?blogId=creta22&amp;logNo=223899680531&amp;redirect=Dlog&amp;widgetTypeCall=true&amp;directAccess=false</t>
  </si>
  <si>
    <t>capitalmindset</t>
  </si>
  <si>
    <t>25년 6월 째 주 주요 M&amp;A 거래</t>
  </si>
  <si>
    <t>https://blog.naver.com/PostView.naver?blogId=capitalmindset&amp;logNo=223894336262&amp;redirect=Dlog&amp;widgetTypeCall=true&amp;directAccess=false</t>
  </si>
  <si>
    <t>유니콘나가심</t>
  </si>
  <si>
    <t>고구마 심기 (2025.06.01)</t>
  </si>
  <si>
    <t>https://blog.naver.com/PostView.naver?blogId=hgmyn&amp;logNo=223887327929&amp;redirect=Dlog&amp;widgetTypeCall=true&amp;directAccess=false</t>
  </si>
  <si>
    <t>광주일보</t>
  </si>
  <si>
    <t>어둡거나 환한 문장</t>
  </si>
  <si>
    <t>Marie Howe의 시</t>
  </si>
  <si>
    <t>https://blog.naver.com/PostView.naver?blogId=kiroro1956&amp;logNo=223911011661&amp;redirect=Dlog&amp;widgetTypeCall=true&amp;directAccess=false</t>
  </si>
  <si>
    <t>자이언트</t>
  </si>
  <si>
    <t>노구(老軀)</t>
  </si>
  <si>
    <t>https://blog.naver.com/PostView.naver?blogId=aswater21&amp;logNo=223907389519&amp;redirect=Dlog&amp;widgetTypeCall=true&amp;directAccess=false</t>
  </si>
  <si>
    <t>자연의 변화를 서사없이</t>
  </si>
  <si>
    <t>https://blog.naver.com/PostView.naver?blogId=kje06&amp;logNo=223905716691&amp;redirect=Dlog&amp;widgetTypeCall=true&amp;directAccess=false</t>
  </si>
  <si>
    <t>〔4615〕 6월의 장미꽃은 흐드러지고/ 장석주 시인/ 광주일보 2025. 6. 13.</t>
  </si>
  <si>
    <t>https://blog.naver.com/PostView.naver?blogId=kje06&amp;logNo=223901867936&amp;redirect=Dlog&amp;widgetTypeCall=true&amp;directAccess=false</t>
  </si>
  <si>
    <t>지지 GG</t>
  </si>
  <si>
    <t>(예향_2025.06)_도심공원은 심폐기관이다.                                     * 공원 숲길이어, 숨쉬는 도시 만들어야</t>
  </si>
  <si>
    <t>https://blog.naver.com/PostView.naver?blogId=aaforyou&amp;logNo=223899398354&amp;redirect=Dlog&amp;widgetTypeCall=true&amp;directAccess=false</t>
  </si>
  <si>
    <t>김마루</t>
  </si>
  <si>
    <t>시 암송으로의 초대, 광주일보 기사</t>
  </si>
  <si>
    <t>https://blog.naver.com/PostView.naver?blogId=yeisee&amp;logNo=223898893765&amp;redirect=Dlog&amp;widgetTypeCall=true&amp;directAccess=false</t>
  </si>
  <si>
    <t>맹두</t>
  </si>
  <si>
    <t>2024 여름의 목포여행 -2</t>
  </si>
  <si>
    <t>https://blog.naver.com/PostView.naver?blogId=lulumandoo&amp;logNo=223898635718&amp;redirect=Dlog&amp;widgetTypeCall=true&amp;directAccess=false</t>
  </si>
  <si>
    <t>세은아빠</t>
  </si>
  <si>
    <t>HS효성  250609</t>
  </si>
  <si>
    <t>https://blog.naver.com/PostView.naver?blogId=rmpcb&amp;logNo=223893932781&amp;redirect=Dlog&amp;widgetTypeCall=true&amp;directAccess=false</t>
  </si>
  <si>
    <t>소평</t>
  </si>
  <si>
    <t>개 올바른 사육법</t>
  </si>
  <si>
    <t>https://blog.naver.com/PostView.naver?blogId=dkscjs64&amp;logNo=223891993126&amp;redirect=Dlog&amp;widgetTypeCall=true&amp;directAccess=false</t>
  </si>
  <si>
    <t>“최근 취업 트렌드는 ‘현장 경험’, 최대한 많은 경험이 가장 큰 자산”</t>
  </si>
  <si>
    <t>https://blog.naver.com/PostView.naver?blogId=kwangjuilbo1&amp;logNo=223887440176&amp;redirect=Dlog&amp;widgetTypeCall=true&amp;directAccess=false</t>
  </si>
  <si>
    <t>미래세대 비전 위해 투표…굳건한 민주주의 만들자</t>
  </si>
  <si>
    <t>https://blog.naver.com/PostView.naver?blogId=kwangjuilbo1&amp;logNo=223886450665&amp;redirect=Dlog&amp;widgetTypeCall=true&amp;directAccess=false</t>
  </si>
  <si>
    <t>강원일보</t>
  </si>
  <si>
    <t>[강원일보] 강원 아파트 5년새 분양 물량 4분의 1토막</t>
  </si>
  <si>
    <t>https://blog.naver.com/PostView.naver?blogId=bdmonth&amp;logNo=223917137900&amp;redirect=Dlog&amp;widgetTypeCall=true&amp;directAccess=false</t>
  </si>
  <si>
    <t>고블린스노맨</t>
  </si>
  <si>
    <t>주진우 "국민은 15만 원 소비 쿠폰 나눠주면서, 국회의원은 출판기념회로 현금 1~2억 원씩 걷어'</t>
  </si>
  <si>
    <t>https://blog.naver.com/PostView.naver?blogId=decadelater&amp;logNo=223914575847&amp;redirect=Dlog&amp;widgetTypeCall=true&amp;directAccess=false</t>
  </si>
  <si>
    <t>2025년 6월 27일 (금) 강원일보</t>
  </si>
  <si>
    <t>https://blog.naver.com/PostView.naver?blogId=theblock101&amp;logNo=223913264702&amp;redirect=Dlog&amp;widgetTypeCall=true&amp;directAccess=false</t>
  </si>
  <si>
    <t>케빈아웃</t>
  </si>
  <si>
    <t>2025년 6월 강원일보 춘천 호반마라톤 하프 의암 코스 더위와 싸워졌다.</t>
  </si>
  <si>
    <t>https://blog.naver.com/PostView.naver?blogId=kevinout&amp;logNo=223912333574&amp;redirect=Dlog&amp;widgetTypeCall=true&amp;directAccess=false</t>
  </si>
  <si>
    <t>길미녀</t>
  </si>
  <si>
    <t>춘천대첩' - 그 현장을 가다</t>
  </si>
  <si>
    <t>https://blog.naver.com/PostView.naver?blogId=roaddeep&amp;logNo=223908872028&amp;redirect=Dlog&amp;widgetTypeCall=true&amp;directAccess=false</t>
  </si>
  <si>
    <t>심목</t>
  </si>
  <si>
    <t>인제 원대리 자작나무 숲에서</t>
  </si>
  <si>
    <t>https://blog.naver.com/PostView.naver?blogId=simonrim&amp;logNo=223906547282&amp;redirect=Dlog&amp;widgetTypeCall=true&amp;directAccess=false</t>
  </si>
  <si>
    <t>[포토뉴스]골친자들 모여라! … '크레이지 골프대회' 개막!</t>
  </si>
  <si>
    <t>https://blog.naver.com/PostView.naver?blogId=yhc114&amp;logNo=223903582643&amp;redirect=Dlog&amp;widgetTypeCall=true&amp;directAccess=false</t>
  </si>
  <si>
    <t>양양에서 승용차가 오토바이와 잇따라 충돌, 1명 사망·2명 부상</t>
  </si>
  <si>
    <t>https://blog.naver.com/PostView.naver?blogId=krsongc2&amp;logNo=223903451683&amp;redirect=Dlog&amp;widgetTypeCall=true&amp;directAccess=false</t>
  </si>
  <si>
    <t>박수근 타계 60주기, ‘박수근미술상’의 궤적</t>
  </si>
  <si>
    <t>https://blog.naver.com/PostView.naver?blogId=pieta999&amp;logNo=223901920231&amp;redirect=Dlog&amp;widgetTypeCall=true&amp;directAccess=false</t>
  </si>
  <si>
    <t>이재명 아들 결혼식 비공개 맞나? 장소, 계좌번호까지.</t>
  </si>
  <si>
    <t>https://blog.naver.com/PostView.naver?blogId=zeenokim&amp;logNo=223900505228&amp;redirect=Dlog&amp;widgetTypeCall=true&amp;directAccess=false</t>
  </si>
  <si>
    <t>산신령</t>
  </si>
  <si>
    <t>춘천 호반마라톤</t>
  </si>
  <si>
    <t>https://blog.naver.com/PostView.naver?blogId=gyu0870&amp;logNo=223899844885&amp;redirect=Dlog&amp;widgetTypeCall=true&amp;directAccess=false</t>
  </si>
  <si>
    <t>또바기</t>
  </si>
  <si>
    <t>석탄산업 문화와 유산이 담겨저 있다</t>
  </si>
  <si>
    <t>https://blog.naver.com/PostView.naver?blogId=cnwon00&amp;logNo=223899822892&amp;redirect=Dlog&amp;widgetTypeCall=true&amp;directAccess=false</t>
  </si>
  <si>
    <t>허영구</t>
  </si>
  <si>
    <t>작사가 박건호의 고향 배부른산에서 봉화산까지 치악산을 바라보며 걷다- 539회, 배부른산, 봉화산(원주)</t>
  </si>
  <si>
    <t>https://blog.naver.com/PostView.naver?blogId=hyg9990&amp;logNo=223898587665&amp;redirect=Dlog&amp;widgetTypeCall=true&amp;directAccess=false</t>
  </si>
  <si>
    <t>이제 시작이다</t>
  </si>
  <si>
    <t>https://blog.naver.com/PostView.naver?blogId=nkts5903&amp;logNo=223897672495&amp;redirect=Dlog&amp;widgetTypeCall=true&amp;directAccess=false</t>
  </si>
  <si>
    <t>박홍균</t>
  </si>
  <si>
    <t>강원 인사 첫 입각은 언제···영향력 커진 실무진 입성도 관심 // 강원일보. 참 뻔뻔하다. 표는 내란당 김문수에 주고 입각은 바라고.. ㅎㅎ</t>
  </si>
  <si>
    <t>https://blog.naver.com/PostView.naver?blogId=audi600629&amp;logNo=223896818364&amp;redirect=Dlog&amp;widgetTypeCall=true&amp;directAccess=false</t>
  </si>
  <si>
    <t>양구군 사유림 화재, 50여분 만에 진화 완료</t>
  </si>
  <si>
    <t>https://blog.naver.com/PostView.naver?blogId=krsongc2&amp;logNo=223895354145&amp;redirect=Dlog&amp;widgetTypeCall=true&amp;directAccess=false</t>
  </si>
  <si>
    <t>한국 신 대통령 이재명 씨의 집무책상에 발을 던져 푹신한 남자는 누구인가-韓国新大統領・李在明氏の執務机に足を投げ出しふんぞり返る男は何者なのか -확실히 말해 이재명씨의 인물상은 수수께끼</t>
  </si>
  <si>
    <t>https://blog.naver.com/PostView.naver?blogId=danbeenongbu&amp;logNo=223895050845&amp;redirect=Dlog&amp;widgetTypeCall=true&amp;directAccess=false</t>
  </si>
  <si>
    <t>서정무</t>
  </si>
  <si>
    <t>2026년 지방선거 강릉시장 후보는?</t>
  </si>
  <si>
    <t>https://blog.naver.com/PostView.naver?blogId=jeongmoomoon&amp;logNo=223893365402&amp;redirect=Dlog&amp;widgetTypeCall=true&amp;directAccess=false</t>
  </si>
  <si>
    <t>다시 빛나는 탄光</t>
  </si>
  <si>
    <t>https://blog.naver.com/PostView.naver?blogId=nkts5903&amp;logNo=223889079489&amp;redirect=Dlog&amp;widgetTypeCall=true&amp;directAccess=false</t>
  </si>
  <si>
    <t>담장 부수는 사람</t>
  </si>
  <si>
    <t>부산국립일제강제동원역사관, 강제동원사료를 이번 달 19일에 전시할 예정.</t>
  </si>
  <si>
    <t>https://blog.naver.com/PostView.naver?blogId=maclebunch&amp;logNo=223888936978&amp;redirect=Dlog&amp;widgetTypeCall=true&amp;directAccess=false</t>
  </si>
  <si>
    <t>이코노미스트</t>
  </si>
  <si>
    <t>qkralstjd1234-</t>
  </si>
  <si>
    <t>오늘의 주요 경제 이슈 (2025.06.30 한국경제신문)</t>
  </si>
  <si>
    <t>https://blog.naver.com/PostView.naver?blogId=qkralstjd1234-&amp;logNo=223916753198&amp;redirect=Dlog&amp;widgetTypeCall=true&amp;directAccess=false</t>
  </si>
  <si>
    <t>부루마불</t>
  </si>
  <si>
    <t>한국경제신문 6월 30일 월요일 오늘 경제 뉴스 소식</t>
  </si>
  <si>
    <t>https://blog.naver.com/PostView.naver?blogId=ferrari3137&amp;logNo=223916622698&amp;redirect=Dlog&amp;widgetTypeCall=true&amp;directAccess=false</t>
  </si>
  <si>
    <t>미국 경제 GDP 감소 한국 산업 침체 ‘소비자극’ 백화점 최고 상승</t>
  </si>
  <si>
    <t>https://blog.naver.com/PostView.naver?blogId=kimjc0000&amp;logNo=223916533062&amp;redirect=Dlog&amp;widgetTypeCall=true&amp;directAccess=false</t>
  </si>
  <si>
    <t>아리사</t>
  </si>
  <si>
    <t>오늘의 일본 주식시장: 상승세 이어질 듯, 미국 증시 강세가 지지…고점에서는 차익 실현 매물도 예상</t>
  </si>
  <si>
    <t>https://blog.naver.com/PostView.naver?blogId=urgiung&amp;logNo=223916225979&amp;redirect=Dlog&amp;widgetTypeCall=true&amp;directAccess=false</t>
  </si>
  <si>
    <t>투영인</t>
  </si>
  <si>
    <t>한스장</t>
  </si>
  <si>
    <t>나스닥마저 사상최고치 달성 매크로 시황</t>
  </si>
  <si>
    <t>https://blog.naver.com/PostView.naver?blogId=dline1secret&amp;logNo=223916162106&amp;redirect=Dlog&amp;widgetTypeCall=true&amp;directAccess=false</t>
  </si>
  <si>
    <t>삼척동자</t>
  </si>
  <si>
    <t>디지털 독재에 가장 근접한 나라</t>
  </si>
  <si>
    <t>https://blog.naver.com/PostView.naver?blogId=confetti0307&amp;logNo=223916159607&amp;redirect=Dlog&amp;widgetTypeCall=true&amp;directAccess=false</t>
  </si>
  <si>
    <t>cweb15</t>
  </si>
  <si>
    <t>250630 3-119일차</t>
  </si>
  <si>
    <t>https://blog.naver.com/PostView.naver?blogId=cweb15&amp;logNo=223916155330&amp;redirect=Dlog&amp;widgetTypeCall=true&amp;directAccess=false</t>
  </si>
  <si>
    <t>shkim5122</t>
  </si>
  <si>
    <t>▶ 딸이 좋은 세상</t>
  </si>
  <si>
    <t>https://blog.naver.com/PostView.naver?blogId=shkim5122&amp;logNo=223915405355&amp;redirect=Dlog&amp;widgetTypeCall=true&amp;directAccess=false</t>
  </si>
  <si>
    <t>이방인</t>
  </si>
  <si>
    <t>새로운 소비재 기업들이 잠자던 서구 기업들에 도전장을 내밀고 있다. 좋은 소식</t>
  </si>
  <si>
    <t>https://blog.naver.com/PostView.naver?blogId=tongkun94&amp;logNo=223914723587&amp;redirect=Dlog&amp;widgetTypeCall=true&amp;directAccess=false</t>
  </si>
  <si>
    <t>베이컨</t>
  </si>
  <si>
    <t>[뉴욕증시] 무역협상 기대로 S&amp;P500, 나스닥 사상최고치 경신 ,,,</t>
  </si>
  <si>
    <t>https://blog.naver.com/PostView.naver?blogId=shltop&amp;logNo=223914532406&amp;redirect=Dlog&amp;widgetTypeCall=true&amp;directAccess=false</t>
  </si>
  <si>
    <t>켄로치</t>
  </si>
  <si>
    <t>6월27일 미국시장 : 무역협상은 연장 가능? 나이키 실적발표 15%상승</t>
  </si>
  <si>
    <t>https://blog.naver.com/PostView.naver?blogId=jusassic&amp;logNo=223914456085&amp;redirect=Dlog&amp;widgetTypeCall=true&amp;directAccess=false</t>
  </si>
  <si>
    <t>이안</t>
  </si>
  <si>
    <t>[세계은행 2025년 6월 27일 보고서] 극심한 빈곤, 분쟁 지역에 더욱 집중</t>
  </si>
  <si>
    <t>https://blog.naver.com/PostView.naver?blogId=hangain12&amp;logNo=223914336700&amp;redirect=Dlog&amp;widgetTypeCall=true&amp;directAccess=false</t>
  </si>
  <si>
    <t>헝구리리</t>
  </si>
  <si>
    <t>예상보다 높은 PCE에도 시장은 전고점을 돌파하고 있다.</t>
  </si>
  <si>
    <t>https://blog.naver.com/PostView.naver?blogId=whitempler&amp;logNo=223914294470&amp;redirect=Dlog&amp;widgetTypeCall=true&amp;directAccess=false</t>
  </si>
  <si>
    <t>캐나다 물가 1.7%로 안정세.  임대료•여행비 둔화에 인플레이션 완화</t>
  </si>
  <si>
    <t>https://blog.naver.com/PostView.naver?blogId=torontorealestate&amp;logNo=223914260262&amp;redirect=Dlog&amp;widgetTypeCall=true&amp;directAccess=false</t>
  </si>
  <si>
    <t>geeee</t>
  </si>
  <si>
    <t>퇴사준비: 5일차(ft. consistency, 관세)</t>
  </si>
  <si>
    <t>https://blog.naver.com/PostView.naver?blogId=bm3231&amp;logNo=223914242867&amp;redirect=Dlog&amp;widgetTypeCall=true&amp;directAccess=false</t>
  </si>
  <si>
    <t>워렌파파</t>
  </si>
  <si>
    <t>워렌파파 TODAY 뉴스 (6/27)</t>
  </si>
  <si>
    <t>https://blog.naver.com/PostView.naver?blogId=phenix1238&amp;logNo=223914014464&amp;redirect=Dlog&amp;widgetTypeCall=true&amp;directAccess=false</t>
  </si>
  <si>
    <t>티롤</t>
  </si>
  <si>
    <t>중동의 평화를 얻는 법 (2025-6-26, 이코노미스트)</t>
  </si>
  <si>
    <t>https://blog.naver.com/PostView.naver?blogId=tirol&amp;logNo=223913633544&amp;redirect=Dlog&amp;widgetTypeCall=true&amp;directAccess=false</t>
  </si>
  <si>
    <t>트럼프, 중동전쟁 개입 시사에 미국 여론 ‘양극화’이스라엘과 이란 간 무력 충돌이 격화되는 가운데, 트럼프 대통령은 17일 자신의 SNS 플랫폼인 ‘트루스소셜’을 통해 이란에 “무</t>
  </si>
  <si>
    <t>https://blog.naver.com/PostView.naver?blogId=gameboy121&amp;logNo=223905516617&amp;redirect=Dlog&amp;widgetTypeCall=true&amp;directAccess=false</t>
  </si>
  <si>
    <t>박상주</t>
  </si>
  <si>
    <t>‘불확실 경제’에 불확실성 더하는 트럼프</t>
  </si>
  <si>
    <t>https://blog.naver.com/PostView.naver?blogId=sceneyang&amp;logNo=223913687574&amp;redirect=Dlog&amp;widgetTypeCall=true&amp;directAccess=false</t>
  </si>
  <si>
    <t>투자자들, 미 연준 7월 금리인하에 점점 베팅</t>
  </si>
  <si>
    <t>https://blog.naver.com/PostView.naver?blogId=gunecxe&amp;logNo=223913481461&amp;redirect=Dlog&amp;widgetTypeCall=true&amp;directAccess=false</t>
  </si>
  <si>
    <t>쁄라</t>
  </si>
  <si>
    <t>2019 이코노미스트 표지</t>
  </si>
  <si>
    <t>https://blog.naver.com/PostView.naver?blogId=loejulkr&amp;logNo=223913476253&amp;redirect=Dlog&amp;widgetTypeCall=true&amp;directAccess=false</t>
  </si>
  <si>
    <t>오리영당신</t>
  </si>
  <si>
    <t>미국의 두뇌 유출: 중국의 기회</t>
  </si>
  <si>
    <t>https://blog.naver.com/PostView.naver?blogId=learning_investor&amp;logNo=223897651812&amp;redirect=Dlog&amp;widgetTypeCall=true&amp;directAccess=false</t>
  </si>
  <si>
    <t>자동화 시대, 왜 제조업 고용은 급감하지 않을까?</t>
  </si>
  <si>
    <t>https://blog.naver.com/PostView.naver?blogId=clazz2020&amp;logNo=223911319443&amp;redirect=Dlog&amp;widgetTypeCall=true&amp;directAccess=false</t>
  </si>
  <si>
    <t>팔라킴</t>
  </si>
  <si>
    <t>글로벌 경제를 이해하는 추천 도서</t>
  </si>
  <si>
    <t>https://blog.naver.com/PostView.naver?blogId=kpdanpn730&amp;logNo=223912737693&amp;redirect=Dlog&amp;widgetTypeCall=true&amp;directAccess=false</t>
  </si>
  <si>
    <t>랜딩헬프</t>
  </si>
  <si>
    <t>트럼프-파월 갈등 격화…연준 비판에 달러지수 급락, 유로는 4년 내 최고치 근접</t>
  </si>
  <si>
    <t>https://blog.naver.com/PostView.naver?blogId=landinghelp&amp;logNo=223913193588&amp;redirect=Dlog&amp;widgetTypeCall=true&amp;directAccess=false</t>
  </si>
  <si>
    <t>S&amp;P500 사상 최고치 다다랐지만, 7월에 큰 게 온다.</t>
  </si>
  <si>
    <t>https://blog.naver.com/PostView.naver?blogId=whitempler&amp;logNo=223913116098&amp;redirect=Dlog&amp;widgetTypeCall=true&amp;directAccess=false</t>
  </si>
  <si>
    <t>MARKET WIZARD</t>
  </si>
  <si>
    <t>미국 1분기 GDP -0.5%로 하향 — 서비스 소비 급감이 직격탄</t>
  </si>
  <si>
    <t>https://blog.naver.com/PostView.naver?blogId=marketmage&amp;logNo=223913112896&amp;redirect=Dlog&amp;widgetTypeCall=true&amp;directAccess=false</t>
  </si>
  <si>
    <t>young_investor</t>
  </si>
  <si>
    <t>6월 23~26일 경제 뉴스 정리 및 내 생각</t>
  </si>
  <si>
    <t>https://blog.naver.com/PostView.naver?blogId=young_investor&amp;logNo=223912400333&amp;redirect=Dlog&amp;widgetTypeCall=true&amp;directAccess=false</t>
  </si>
  <si>
    <t>FLM LAW FIRM</t>
  </si>
  <si>
    <t>2025.6.25. 멕시코 주요 경제/사회 뉴스</t>
  </si>
  <si>
    <t>https://blog.naver.com/PostView.naver?blogId=mexicolawyer&amp;logNo=223912281395&amp;redirect=Dlog&amp;widgetTypeCall=true&amp;directAccess=false</t>
  </si>
  <si>
    <t>이제호이</t>
  </si>
  <si>
    <t>chat gpt</t>
  </si>
  <si>
    <t>https://blog.naver.com/PostView.naver?blogId=sph416&amp;logNo=223912191493&amp;redirect=Dlog&amp;widgetTypeCall=true&amp;directAccess=false</t>
  </si>
  <si>
    <t>freedomandlife</t>
  </si>
  <si>
    <t>트럼프 독트린의 시대… WSJ의 찬사, 이코노미스트의 경고, 청구서는 한국으로 왔다</t>
  </si>
  <si>
    <t>https://blog.naver.com/PostView.naver?blogId=freedomandlife&amp;logNo=223912045370&amp;redirect=Dlog&amp;widgetTypeCall=true&amp;directAccess=false</t>
  </si>
  <si>
    <t>츤데레 호랑이</t>
  </si>
  <si>
    <t>[한국미래일보] 기자단 8기 활동 결산</t>
  </si>
  <si>
    <t>https://blog.naver.com/PostView.naver?blogId=the_best_tiger_ever&amp;logNo=223911843775&amp;redirect=Dlog&amp;widgetTypeCall=true&amp;directAccess=false</t>
  </si>
  <si>
    <t>지수가 전고점을 경신하며 시장은 경제 지표 발표와 연준을 예의주시하고 있다.</t>
  </si>
  <si>
    <t>https://blog.naver.com/PostView.naver?blogId=whitempler&amp;logNo=223911831130&amp;redirect=Dlog&amp;widgetTypeCall=true&amp;directAccess=false</t>
  </si>
  <si>
    <t>꿈꾸는동안</t>
  </si>
  <si>
    <t>Bloomberg News</t>
  </si>
  <si>
    <t>https://blog.naver.com/PostView.naver?blogId=become_buja84&amp;logNo=223911076470&amp;redirect=Dlog&amp;widgetTypeCall=true&amp;directAccess=false</t>
  </si>
  <si>
    <t>저물어가는 달러  (The Dollar in Twilight)</t>
  </si>
  <si>
    <t>https://blog.naver.com/PostView.naver?blogId=pops2303&amp;logNo=223911426472&amp;redirect=Dlog&amp;widgetTypeCall=true&amp;directAccess=false</t>
  </si>
  <si>
    <t>[이슈] 2025년 6월 25일 수요일</t>
  </si>
  <si>
    <t>https://blog.naver.com/PostView.naver?blogId=nice_info&amp;logNo=223911085095&amp;redirect=Dlog&amp;widgetTypeCall=true&amp;directAccess=false</t>
  </si>
  <si>
    <t>jouleekim</t>
  </si>
  <si>
    <t>트럼프의 관세 정책, 미국 경제에 먹구름을 드리우다</t>
  </si>
  <si>
    <t>https://blog.naver.com/PostView.naver?blogId=jouleekim&amp;logNo=223910968481&amp;redirect=Dlog&amp;widgetTypeCall=true&amp;directAccess=false</t>
  </si>
  <si>
    <t>해오라기</t>
  </si>
  <si>
    <t>전쟁 현장에서의 AI, 기염을 토하다(1)</t>
  </si>
  <si>
    <t>https://blog.naver.com/PostView.naver?blogId=il090234&amp;logNo=223908688641&amp;redirect=Dlog&amp;widgetTypeCall=true&amp;directAccess=false</t>
  </si>
  <si>
    <t>마지막 장, 오징어 게임 시즌3 개봉</t>
  </si>
  <si>
    <t>https://blog.naver.com/PostView.naver?blogId=chauris&amp;logNo=223910858591&amp;redirect=Dlog&amp;widgetTypeCall=true&amp;directAccess=false</t>
  </si>
  <si>
    <t>[6월25일_2025]美 6월 소비자신뢰지수 93…경기 둔화 우려 재확산</t>
  </si>
  <si>
    <t>https://blog.naver.com/PostView.naver?blogId=herb7419&amp;logNo=223910839387&amp;redirect=Dlog&amp;widgetTypeCall=true&amp;directAccess=false</t>
  </si>
  <si>
    <t>Wisdom in Growth</t>
  </si>
  <si>
    <t>◆Global Markets Morning Brief 06/25◆</t>
  </si>
  <si>
    <t>https://blog.naver.com/PostView.naver?blogId=wisengrow&amp;logNo=223910820991&amp;redirect=Dlog&amp;widgetTypeCall=true&amp;directAccess=false</t>
  </si>
  <si>
    <t>박정식 대표</t>
  </si>
  <si>
    <t>[굿모닝! 글로벌 뉴욕증시] 중동 지정학적 리스크 완화와 Fed 금리인하 가능성에 큰 폭 상승 마감</t>
  </si>
  <si>
    <t>https://blog.naver.com/PostView.naver?blogId=laiant&amp;logNo=223910810372&amp;redirect=Dlog&amp;widgetTypeCall=true&amp;directAccess=false</t>
  </si>
  <si>
    <t>2025년 6월 25일, 국내 주식시장 장전 시황 정리(미국증시 마감)</t>
  </si>
  <si>
    <t>https://blog.naver.com/PostView.naver?blogId=promising_people&amp;logNo=223910804985&amp;redirect=Dlog&amp;widgetTypeCall=true&amp;directAccess=false</t>
  </si>
  <si>
    <t>[한류 콘텐츠에 비친 한국] 열심히 일하고 자상한 한국인? 긍정적 이미지 이어가려면</t>
  </si>
  <si>
    <t>https://blog.naver.com/PostView.naver?blogId=kpfjra_&amp;logNo=223903462743&amp;redirect=Dlog&amp;widgetTypeCall=true&amp;directAccess=false</t>
  </si>
  <si>
    <t>긍정바이브</t>
  </si>
  <si>
    <t>(25.6.25)경제뉴스/뉴욕증시,이스라엘-이란휴전에강세마감/코스피3100뚫었다/8개 은행,원화코인합작법인만든다/SK하이닉스시총200조돌파/공인중개사27개월연속감소</t>
  </si>
  <si>
    <t>https://blog.naver.com/PostView.naver?blogId=vibe37&amp;logNo=223910759697&amp;redirect=Dlog&amp;widgetTypeCall=true&amp;directAccess=false</t>
  </si>
  <si>
    <t>이란-이스라엘 전쟁 휴전으로 시장은 다시 상승하며 전고점을 향해 가고 있다.</t>
  </si>
  <si>
    <t>https://blog.naver.com/PostView.naver?blogId=whitempler&amp;logNo=223910604756&amp;redirect=Dlog&amp;widgetTypeCall=true&amp;directAccess=false</t>
  </si>
  <si>
    <t>Strategy 비트코인 보유량과 시가총액 비교</t>
  </si>
  <si>
    <t>https://blog.naver.com/PostView.naver?blogId=pops2303&amp;logNo=223910285924&amp;redirect=Dlog&amp;widgetTypeCall=true&amp;directAccess=false</t>
  </si>
  <si>
    <t>원뉴스</t>
  </si>
  <si>
    <t>이스라엘·이란 전면 휴전 합의… 국제유가 2거래일 연속 급락ㅣ원뉴스</t>
  </si>
  <si>
    <t>https://blog.naver.com/PostView.naver?blogId=1nmcokr&amp;logNo=223910101954&amp;redirect=Dlog&amp;widgetTypeCall=true&amp;directAccess=false</t>
  </si>
  <si>
    <t>호호아즘마</t>
  </si>
  <si>
    <t>1학년 1학기  방학을 알차게 보내기 준비</t>
  </si>
  <si>
    <t>https://blog.naver.com/PostView.naver?blogId=silloves&amp;logNo=223909838756&amp;redirect=Dlog&amp;widgetTypeCall=true&amp;directAccess=false</t>
  </si>
  <si>
    <t>차이나랩</t>
  </si>
  <si>
    <t>중-홍콩간 ‘크로스보더 결제통’ 출범...휴대폰 번호만 있으면 OK 外</t>
  </si>
  <si>
    <t>https://blog.naver.com/PostView.naver?blogId=china_lab&amp;logNo=223908988859&amp;redirect=Dlog&amp;widgetTypeCall=true&amp;directAccess=false</t>
  </si>
  <si>
    <t>"유가 배럴당 75달러 유지되면…올해 韓 성장률 0.15%p↓"</t>
  </si>
  <si>
    <t>https://blog.naver.com/PostView.naver?blogId=3d4utech&amp;logNo=223909508112&amp;redirect=Dlog&amp;widgetTypeCall=true&amp;directAccess=false</t>
  </si>
  <si>
    <t>미국 주택시장, 급속 냉각...주요 대도시 집값 하락 본격화</t>
  </si>
  <si>
    <t>https://blog.naver.com/PostView.naver?blogId=landinghelp&amp;logNo=223909440525&amp;redirect=Dlog&amp;widgetTypeCall=true&amp;directAccess=false</t>
  </si>
  <si>
    <t>콜바이렌트</t>
  </si>
  <si>
    <t>90일 시한이 끝나가고 있는데, 트럼프가 '상호 관세'를 부활시킬 것인가? 골드만삭스(Goldman Sachs)는 이를 예측한다.....</t>
  </si>
  <si>
    <t>https://blog.naver.com/PostView.naver?blogId=callbuyrent&amp;logNo=223905377318&amp;redirect=Dlog&amp;widgetTypeCall=true&amp;directAccess=false</t>
  </si>
  <si>
    <t>생활 속 경제 원리</t>
  </si>
  <si>
    <t>소프트 패치, 경기 회복 중 잠깐 찾아온 침체기</t>
  </si>
  <si>
    <t>https://blog.naver.com/PostView.naver?blogId=view6713&amp;logNo=223909330221&amp;redirect=Dlog&amp;widgetTypeCall=true&amp;directAccess=false</t>
  </si>
  <si>
    <t>미국의 이란 공격 후 세계 모든 시선은 호르무즈 해협과 유가에 향하고 있다.</t>
  </si>
  <si>
    <t>https://blog.naver.com/PostView.naver?blogId=whitempler&amp;logNo=223909321588&amp;redirect=Dlog&amp;widgetTypeCall=true&amp;directAccess=false</t>
  </si>
  <si>
    <t>파이코</t>
  </si>
  <si>
    <t>읽어볼만한 기사들(250623)</t>
  </si>
  <si>
    <t>https://blog.naver.com/PostView.naver?blogId=copilot5&amp;logNo=223909314038&amp;redirect=Dlog&amp;widgetTypeCall=true&amp;directAccess=false</t>
  </si>
  <si>
    <t>Pinformation</t>
  </si>
  <si>
    <t>미 연준 6월 금리 동결 결정, 연내 2회 인하 시사에 투자자들 주목</t>
  </si>
  <si>
    <t>https://blog.naver.com/PostView.naver?blogId=pinpoinformation&amp;logNo=223909300987&amp;redirect=Dlog&amp;widgetTypeCall=true&amp;directAccess=false</t>
  </si>
  <si>
    <t>변쿨언니</t>
  </si>
  <si>
    <t>(이코노미스트) 한국 다시 back on the track?</t>
  </si>
  <si>
    <t>https://blog.naver.com/PostView.naver?blogId=realladyyy&amp;logNo=223909130555&amp;redirect=Dlog&amp;widgetTypeCall=true&amp;directAccess=false</t>
  </si>
  <si>
    <t>미국 이란 공격 충격파 - 국내 유가 1800원 돌파, 인플레이션 재점화 위험</t>
  </si>
  <si>
    <t>https://blog.naver.com/PostView.naver?blogId=kools0221&amp;logNo=223909115359&amp;redirect=Dlog&amp;widgetTypeCall=true&amp;directAccess=false</t>
  </si>
  <si>
    <t>애플의 위기와 새로운 경쟁의 파도: 메타와 오픈AI의 도전</t>
  </si>
  <si>
    <t>https://blog.naver.com/PostView.naver?blogId=learning_investor&amp;logNo=223897932833&amp;redirect=Dlog&amp;widgetTypeCall=true&amp;directAccess=false</t>
  </si>
  <si>
    <t>대만여행</t>
  </si>
  <si>
    <t>https://blog.naver.com/PostView.naver?blogId=sunjae_jipsa&amp;logNo=223908901797&amp;redirect=Dlog&amp;widgetTypeCall=true&amp;directAccess=false</t>
  </si>
  <si>
    <t>한국경제신문 6월 23일 월요일 오늘 경제 뉴스 소식</t>
  </si>
  <si>
    <t>https://blog.naver.com/PostView.naver?blogId=ferrari3137&amp;logNo=223908768582&amp;redirect=Dlog&amp;widgetTypeCall=true&amp;directAccess=false</t>
  </si>
  <si>
    <t>중동전 ‘아마겟돈’ 시나리오…트럼프 ‘남는 장사’ 3가지 이유</t>
  </si>
  <si>
    <t>https://blog.naver.com/PostView.naver?blogId=gunecxe&amp;logNo=223908525502&amp;redirect=Dlog&amp;widgetTypeCall=true&amp;directAccess=false</t>
  </si>
  <si>
    <t>한전연</t>
  </si>
  <si>
    <t>(이슈분석) 북한은 왜 공병 건설 병력의 러 추가 파병을 결정하였나?(2025.6.23)</t>
  </si>
  <si>
    <t>https://blog.naver.com/PostView.naver?blogId=koiss2024&amp;logNo=223908049563&amp;redirect=Dlog&amp;widgetTypeCall=true&amp;directAccess=false</t>
  </si>
  <si>
    <t>스텔라루멘(XLM) 투자 분석</t>
  </si>
  <si>
    <t>https://blog.naver.com/PostView.naver?blogId=advany&amp;logNo=223907530418&amp;redirect=Dlog&amp;widgetTypeCall=true&amp;directAccess=false</t>
  </si>
  <si>
    <t>deokbusin</t>
  </si>
  <si>
    <t>당장은 맞는 말...</t>
  </si>
  <si>
    <t>https://blog.naver.com/PostView.naver?blogId=deokbusin&amp;logNo=223907411375&amp;redirect=Dlog&amp;widgetTypeCall=true&amp;directAccess=false</t>
  </si>
  <si>
    <t>이란-이스라엘 갈등 여파..비트코인 가격 '뚝뚝'</t>
  </si>
  <si>
    <t>https://blog.naver.com/PostView.naver?blogId=foodie-monkey&amp;logNo=223907163590&amp;redirect=Dlog&amp;widgetTypeCall=true&amp;directAccess=false</t>
  </si>
  <si>
    <t>타냐 데그레챠프</t>
  </si>
  <si>
    <t>과연 트럼프의 이란에 대한 군사적 옵션은 현실성이 있는가?</t>
  </si>
  <si>
    <t>https://blog.naver.com/PostView.naver?blogId=jayson879&amp;logNo=223906953289&amp;redirect=Dlog&amp;widgetTypeCall=true&amp;directAccess=false</t>
  </si>
  <si>
    <t>오이여사</t>
  </si>
  <si>
    <t>57. &lt; 2030 돈의 세계지도 &gt; 짐로스</t>
  </si>
  <si>
    <t>https://blog.naver.com/PostView.naver?blogId=miujeong&amp;logNo=223906912173&amp;redirect=Dlog&amp;widgetTypeCall=true&amp;directAccess=false</t>
  </si>
  <si>
    <t>손막댕</t>
  </si>
  <si>
    <t>자유 - 치유할 수 없는 질병</t>
  </si>
  <si>
    <t>https://blog.naver.com/PostView.naver?blogId=mindongstar&amp;logNo=223906853172&amp;redirect=Dlog&amp;widgetTypeCall=true&amp;directAccess=false</t>
  </si>
  <si>
    <t>수도일보</t>
  </si>
  <si>
    <t>이재명 정부 첫 인사, 측근·전문가 조합…'속도와 안정'</t>
  </si>
  <si>
    <t>https://blog.naver.com/PostView.naver?blogId=soodoilbo&amp;logNo=223906769376&amp;redirect=Dlog&amp;widgetTypeCall=true&amp;directAccess=false</t>
  </si>
  <si>
    <t>채권파는여자</t>
  </si>
  <si>
    <t>[WSJ 칼럼 분석] "미국 국채시장, 진짜 위기가 온다"(Feat. 이번엔 진짜로 늑대가 문 앞에 있다.)</t>
  </si>
  <si>
    <t>https://blog.naver.com/PostView.naver?blogId=econo_saurus&amp;logNo=223906586582&amp;redirect=Dlog&amp;widgetTypeCall=true&amp;directAccess=false</t>
  </si>
  <si>
    <t>Bluewater</t>
  </si>
  <si>
    <t>한국의 신임 대통령은 나라를 다시 정상 궤도에 올려놓을 수 있을까? - The Economist</t>
  </si>
  <si>
    <t>https://blog.naver.com/PostView.naver?blogId=thingschange_&amp;logNo=223906411634&amp;redirect=Dlog&amp;widgetTypeCall=true&amp;directAccess=false</t>
  </si>
  <si>
    <t>더 베스트</t>
  </si>
  <si>
    <t>세계에서 가장 살기 좋은 도시 랭킹 2025년</t>
  </si>
  <si>
    <t>https://blog.naver.com/PostView.naver?blogId=cjkfhj&amp;logNo=223905809915&amp;redirect=Dlog&amp;widgetTypeCall=true&amp;directAccess=false</t>
  </si>
  <si>
    <t>짧아지는 음악과 콘텐츠: 깊이의 상실</t>
  </si>
  <si>
    <t>https://blog.naver.com/PostView.naver?blogId=learning_investor&amp;logNo=223897018057&amp;redirect=Dlog&amp;widgetTypeCall=true&amp;directAccess=false</t>
  </si>
  <si>
    <t>미국 금리 동결 속에서도 긴장 고조…‘트럼프 효과’와 금리 인하 논쟁의 향방은?</t>
  </si>
  <si>
    <t>https://blog.naver.com/PostView.naver?blogId=jouleekim&amp;logNo=223905469865&amp;redirect=Dlog&amp;widgetTypeCall=true&amp;directAccess=false</t>
  </si>
  <si>
    <t>Multiplication</t>
  </si>
  <si>
    <t>ADD20250620</t>
  </si>
  <si>
    <t>https://blog.naver.com/PostView.naver?blogId=multiplication01&amp;logNo=223905454956&amp;redirect=Dlog&amp;widgetTypeCall=true&amp;directAccess=false</t>
  </si>
  <si>
    <t>경기 둔화 신호, 실물지표에서 본격화…S&amp;P 반등세에 제동 우려</t>
  </si>
  <si>
    <t>https://blog.naver.com/PostView.naver?blogId=tysinvs&amp;logNo=223905422852&amp;redirect=Dlog&amp;widgetTypeCall=true&amp;directAccess=false</t>
  </si>
  <si>
    <t>책엄마의 생각부엌</t>
  </si>
  <si>
    <t>6월 신간 트렌드 &lt;경제경영 분야&gt; 인기 신간 도서 순위, 새로 나온 부동산·주식 투자전략 책 추천</t>
  </si>
  <si>
    <t>https://blog.naver.com/PostView.naver?blogId=geumhwasa&amp;logNo=223899241818&amp;redirect=Dlog&amp;widgetTypeCall=true&amp;directAccess=false</t>
  </si>
  <si>
    <t>호미</t>
  </si>
  <si>
    <t>인플레이션 시대에 살아남기_신혼부부의 내집마련</t>
  </si>
  <si>
    <t>https://blog.naver.com/PostView.naver?blogId=pp_earthworm&amp;logNo=223904835029&amp;redirect=Dlog&amp;widgetTypeCall=true&amp;directAccess=false</t>
  </si>
  <si>
    <t>햄져</t>
  </si>
  <si>
    <t>금융 위기부터 친환경 경제까지: 영향력 있는 5인의 연구</t>
  </si>
  <si>
    <t>https://blog.naver.com/PostView.naver?blogId=duurljz622&amp;logNo=223904949905&amp;redirect=Dlog&amp;widgetTypeCall=true&amp;directAccess=false</t>
  </si>
  <si>
    <t>다큐쟁이</t>
  </si>
  <si>
    <t>중동 뉴스 (2025년 6월 19일)</t>
  </si>
  <si>
    <t>https://blog.naver.com/PostView.naver?blogId=jungyoupkim&amp;logNo=223905240193&amp;redirect=Dlog&amp;widgetTypeCall=true&amp;directAccess=false</t>
  </si>
  <si>
    <t>하이델베르크</t>
  </si>
  <si>
    <t>시장을 보는 눈 - 홍춘욱 박사님</t>
  </si>
  <si>
    <t>https://blog.naver.com/PostView.naver?blogId=tyfyc&amp;logNo=223905217829&amp;redirect=Dlog&amp;widgetTypeCall=true&amp;directAccess=false</t>
  </si>
  <si>
    <t>2025.06.19(목)ㅣ시그널리포트 : 한 장으로 보는 이브닝 / 씽크풀 : AI 이슈포착 / 원전 / 전력 / 에너지 / 여행 / 유통 / 스테이블코인 / 전자결재 / 웹툰</t>
  </si>
  <si>
    <t>https://blog.naver.com/PostView.naver?blogId=zizi20&amp;logNo=223905124640&amp;redirect=Dlog&amp;widgetTypeCall=true&amp;directAccess=false</t>
  </si>
  <si>
    <t>경제성적 한국2위, Dec 20 2023  그리스 1위 미국 3위, 이스라엘 4위, 룩셈부르크 5위, 캐나다 6위</t>
  </si>
  <si>
    <t>https://blog.naver.com/PostView.naver?blogId=youseok0&amp;logNo=223905014559&amp;redirect=Dlog&amp;widgetTypeCall=true&amp;directAccess=false</t>
  </si>
  <si>
    <t>전통시장을 파괴하는 Stable Coin</t>
  </si>
  <si>
    <t>https://blog.naver.com/PostView.naver?blogId=pops2303&amp;logNo=223904967991&amp;redirect=Dlog&amp;widgetTypeCall=true&amp;directAccess=false</t>
  </si>
  <si>
    <t>이란, 핵탄두 미사일에 결합중이란 첩보.</t>
  </si>
  <si>
    <t>https://blog.naver.com/PostView.naver?blogId=semtl09&amp;logNo=223904813790&amp;redirect=Dlog&amp;widgetTypeCall=true&amp;directAccess=false</t>
  </si>
  <si>
    <t>이란 핵개발 임박에 선제공습</t>
  </si>
  <si>
    <t>https://blog.naver.com/PostView.naver?blogId=skymouu&amp;logNo=223904645880&amp;redirect=Dlog&amp;widgetTypeCall=true&amp;directAccess=false</t>
  </si>
  <si>
    <t>[NPR] 이스라엘-이란 갈등 속 미국 역할 두고 친트럼프 언론 인사들 간 분열</t>
  </si>
  <si>
    <t>https://blog.naver.com/PostView.naver?blogId=cheesetabbycat&amp;logNo=223904534851&amp;redirect=Dlog&amp;widgetTypeCall=true&amp;directAccess=false</t>
  </si>
  <si>
    <t>사상 최고치 수준에 근접한 미국 개인투자자 주식 보유 비중은 경고신호일 수 있다</t>
  </si>
  <si>
    <t>https://blog.naver.com/PostView.naver?blogId=tysinvs&amp;logNo=223904462151&amp;redirect=Dlog&amp;widgetTypeCall=true&amp;directAccess=false</t>
  </si>
  <si>
    <t>배민, 1만원 이하 주문 '수수료 제로'…소상공인 숨통 트이나 : "하루 벌어 하루 먹고 사는 장사에서 조금이라도 도움이 될 것"</t>
  </si>
  <si>
    <t>https://blog.naver.com/PostView.naver?blogId=mindmethod7&amp;logNo=223904453213&amp;redirect=Dlog&amp;widgetTypeCall=true&amp;directAccess=false</t>
  </si>
  <si>
    <t>25. 6. 19(목) 주요 경제 현황</t>
  </si>
  <si>
    <t>https://blog.naver.com/PostView.naver?blogId=kkatema&amp;logNo=223904263705&amp;redirect=Dlog&amp;widgetTypeCall=true&amp;directAccess=false</t>
  </si>
  <si>
    <t>울프 수석 이코노미스트: 파월 의장의 가장 중요한 말은 "금리가 높지 않다"는 것입니다.</t>
  </si>
  <si>
    <t>https://blog.naver.com/PostView.naver?blogId=callbuyrent&amp;logNo=223904197829&amp;redirect=Dlog&amp;widgetTypeCall=true&amp;directAccess=false</t>
  </si>
  <si>
    <t>중국 남자들이 중국 여자 극혐하는 이유</t>
  </si>
  <si>
    <t>https://blog.naver.com/PostView.naver?blogId=hegel38&amp;logNo=223904228102&amp;redirect=Dlog&amp;widgetTypeCall=true&amp;directAccess=false</t>
  </si>
  <si>
    <t>중동 뉴스 (2025년 6월 18일)</t>
  </si>
  <si>
    <t>https://blog.naver.com/PostView.naver?blogId=jungyoupkim&amp;logNo=223904100993&amp;redirect=Dlog&amp;widgetTypeCall=true&amp;directAccess=false</t>
  </si>
  <si>
    <t>샤인미</t>
  </si>
  <si>
    <t>(25.06.18.수) 부동산 뉴스 서울 집값 가파르게 치솟아 금리 인하 늦어질 수도</t>
  </si>
  <si>
    <t>https://blog.naver.com/PostView.naver?blogId=ohmmi66&amp;logNo=223903981463&amp;redirect=Dlog&amp;widgetTypeCall=true&amp;directAccess=false</t>
  </si>
  <si>
    <t>14. 난강소프트웨어공업단지</t>
  </si>
  <si>
    <t>https://blog.naver.com/PostView.naver?blogId=north-486&amp;logNo=223903978471&amp;redirect=Dlog&amp;widgetTypeCall=true&amp;directAccess=false</t>
  </si>
  <si>
    <t>서울 아파트값 연율 10.2% 상승? 금리인하 시계 다시 꼬였다</t>
  </si>
  <si>
    <t>https://blog.naver.com/PostView.naver?blogId=hw2979&amp;logNo=223903449966&amp;redirect=Dlog&amp;widgetTypeCall=true&amp;directAccess=false</t>
  </si>
  <si>
    <t>주식 랠리 경고 헤지펀드 초단기 차입SOFR 최고 국채 급등 ‘전조’</t>
  </si>
  <si>
    <t>https://blog.naver.com/PostView.naver?blogId=kimjc0000&amp;logNo=223903229399&amp;redirect=Dlog&amp;widgetTypeCall=true&amp;directAccess=false</t>
  </si>
  <si>
    <t>scott</t>
  </si>
  <si>
    <t>[2025년 모닝 페이지] 6월 18일</t>
  </si>
  <si>
    <t>https://blog.naver.com/PostView.naver?blogId=diplomat2004&amp;logNo=223903227965&amp;redirect=Dlog&amp;widgetTypeCall=true&amp;directAccess=false</t>
  </si>
  <si>
    <t>[6월18일_2025] 美 5월 소매판매에 대한 전문가 시각</t>
  </si>
  <si>
    <t>https://blog.naver.com/PostView.naver?blogId=herb7419&amp;logNo=223903146774&amp;redirect=Dlog&amp;widgetTypeCall=true&amp;directAccess=false</t>
  </si>
  <si>
    <t>[6월17  일_2025]美 소매판매 두 달 연속 감소…무역 불확실성에 소비 위축</t>
  </si>
  <si>
    <t>https://blog.naver.com/PostView.naver?blogId=herb7419&amp;logNo=223903134183&amp;redirect=Dlog&amp;widgetTypeCall=true&amp;directAccess=false</t>
  </si>
  <si>
    <t>중국 부동산 위기, 끝이 보인다: 내수 경기 반전과 투자 기회</t>
  </si>
  <si>
    <t>https://blog.naver.com/PostView.naver?blogId=learning_investor&amp;logNo=223899770177&amp;redirect=Dlog&amp;widgetTypeCall=true&amp;directAccess=false</t>
  </si>
  <si>
    <t>매출담당자</t>
  </si>
  <si>
    <t>06.18 경제뉴스</t>
  </si>
  <si>
    <t>https://blog.naver.com/PostView.naver?blogId=ghdij&amp;logNo=223903055107&amp;redirect=Dlog&amp;widgetTypeCall=true&amp;directAccess=false</t>
  </si>
  <si>
    <t>6월17일 미국시장 : 트럼프는 이스라엘 개입? (TLT 매도, 플러그파워 매수)</t>
  </si>
  <si>
    <t>https://blog.naver.com/PostView.naver?blogId=jusassic&amp;logNo=223903052230&amp;redirect=Dlog&amp;widgetTypeCall=true&amp;directAccess=false</t>
  </si>
  <si>
    <t>[모닝브리핑] 미국의 중동 분쟁 개입 우려, 실물 지표 부진 등으로 미 증시 약세 마감. VIX 13.03% 상승 (2025.06.18.수요일) by.파동여우</t>
  </si>
  <si>
    <t>https://blog.naver.com/PostView.naver?blogId=asiaqueen0516&amp;logNo=223903019394&amp;redirect=Dlog&amp;widgetTypeCall=true&amp;directAccess=false</t>
  </si>
  <si>
    <t>250618 3-113일차</t>
  </si>
  <si>
    <t>https://blog.naver.com/PostView.naver?blogId=cweb15&amp;logNo=223902995100&amp;redirect=Dlog&amp;widgetTypeCall=true&amp;directAccess=false</t>
  </si>
  <si>
    <t>happyntg</t>
  </si>
  <si>
    <t>[뉴욕증시 6월 18일] 지정학적 리스크, 이란 vs 트럼프, 테슬라 3.9% 급락, 나스닥지수 0.91% 하락, 필라델피아 반도체지수 0.83% 하락 마감</t>
  </si>
  <si>
    <t>https://blog.naver.com/PostView.naver?blogId=happyntg&amp;logNo=223902993044&amp;redirect=Dlog&amp;widgetTypeCall=true&amp;directAccess=false</t>
  </si>
  <si>
    <t>(25.6.18)경제뉴스/이란 폭격고심하는트럼프,증시약세마감/소상공인'10년된1억미만'빚탕감/국채값떨어질라日銀, 매입여력확대/3000선턱밑서숨고르기/3판교밸리난항</t>
  </si>
  <si>
    <t>https://blog.naver.com/PostView.naver?blogId=vibe37&amp;logNo=223902991434&amp;redirect=Dlog&amp;widgetTypeCall=true&amp;directAccess=false</t>
  </si>
  <si>
    <t>AI 한국의 과제</t>
  </si>
  <si>
    <t>https://blog.naver.com/PostView.naver?blogId=shkim5122&amp;logNo=223902924360&amp;redirect=Dlog&amp;widgetTypeCall=true&amp;directAccess=false</t>
  </si>
  <si>
    <t>일도이남</t>
  </si>
  <si>
    <t>여름방학 경제 스터디 1주차</t>
  </si>
  <si>
    <t>https://blog.naver.com/PostView.naver?blogId=viery01&amp;logNo=223902823810&amp;redirect=Dlog&amp;widgetTypeCall=true&amp;directAccess=false</t>
  </si>
  <si>
    <t>돈을 벌어 부자가 되려면 일단 돈의 속성부터 알아야 한다.</t>
  </si>
  <si>
    <t>https://blog.naver.com/PostView.naver?blogId=estpgom&amp;logNo=223902789421&amp;redirect=Dlog&amp;widgetTypeCall=true&amp;directAccess=false</t>
  </si>
  <si>
    <t>트론(Tron) 나스닥 상장 _ 저스틴선의 잔머리</t>
  </si>
  <si>
    <t>https://blog.naver.com/PostView.naver?blogId=pops2303&amp;logNo=223902675577&amp;redirect=Dlog&amp;widgetTypeCall=true&amp;directAccess=false</t>
  </si>
  <si>
    <t>sophie</t>
  </si>
  <si>
    <t>한국경제신문, 『이코노미스트 2025 세계대전망』</t>
  </si>
  <si>
    <t>https://blog.naver.com/PostView.naver?blogId=sophiesnote&amp;logNo=223902645011&amp;redirect=Dlog&amp;widgetTypeCall=true&amp;directAccess=false</t>
  </si>
  <si>
    <t>toughjungwoo</t>
  </si>
  <si>
    <t>"사람이 먼저다."를 실천하신 대통령</t>
  </si>
  <si>
    <t>https://blog.naver.com/PostView.naver?blogId=toughjungwoo&amp;logNo=223902413150&amp;redirect=Dlog&amp;widgetTypeCall=true&amp;directAccess=false</t>
  </si>
  <si>
    <t>25. 6. 17(화) 주요 경제 현황</t>
  </si>
  <si>
    <t>https://blog.naver.com/PostView.naver?blogId=kkatema&amp;logNo=223901820302&amp;redirect=Dlog&amp;widgetTypeCall=true&amp;directAccess=false</t>
  </si>
  <si>
    <t>츤츤이</t>
  </si>
  <si>
    <t>연준의 입장은 그대로일까, 시장이 주목하는 ‘점도표’</t>
  </si>
  <si>
    <t>https://blog.naver.com/PostView.naver?blogId=zerovinkr&amp;logNo=223901453439&amp;redirect=Dlog&amp;widgetTypeCall=true&amp;directAccess=false</t>
  </si>
  <si>
    <t>데이터 폭증 시대의 핵심 인프라</t>
  </si>
  <si>
    <t>https://blog.naver.com/PostView.naver?blogId=slliberty&amp;logNo=223901351261&amp;redirect=Dlog&amp;widgetTypeCall=true&amp;directAccess=false</t>
  </si>
  <si>
    <t>한국경제신문 6월 16일 월요일 오늘 경제 뉴스 소식</t>
  </si>
  <si>
    <t>https://blog.naver.com/PostView.naver?blogId=ferrari3137&amp;logNo=223901002273&amp;redirect=Dlog&amp;widgetTypeCall=true&amp;directAccess=false</t>
  </si>
  <si>
    <t>LAYEON</t>
  </si>
  <si>
    <t>https://blog.naver.com/PostView.naver?blogId=ysy1266&amp;logNo=223900989738&amp;redirect=Dlog&amp;widgetTypeCall=true&amp;directAccess=false</t>
  </si>
  <si>
    <t>함께하자규</t>
  </si>
  <si>
    <t>포노 사피엔스(Phono Sapiens)를 읽다</t>
  </si>
  <si>
    <t>https://blog.naver.com/PostView.naver?blogId=withjoynlife&amp;logNo=223900770044&amp;redirect=Dlog&amp;widgetTypeCall=true&amp;directAccess=false</t>
  </si>
  <si>
    <t>소요</t>
  </si>
  <si>
    <t>매경이코노미 ~6/10 요약중</t>
  </si>
  <si>
    <t>https://blog.naver.com/PostView.naver?blogId=lovilovi&amp;logNo=223900623950&amp;redirect=Dlog&amp;widgetTypeCall=true&amp;directAccess=false</t>
  </si>
  <si>
    <t>gahee0712_</t>
  </si>
  <si>
    <t>연세대학교 경영학과</t>
  </si>
  <si>
    <t>https://blog.naver.com/PostView.naver?blogId=gahee0712_&amp;logNo=223900595229&amp;redirect=Dlog&amp;widgetTypeCall=true&amp;directAccess=false</t>
  </si>
  <si>
    <t>스테이블코인은 어떻게 금융 주류로 편입되었을까? 과정을 소개합니다</t>
  </si>
  <si>
    <t>https://blog.naver.com/PostView.naver?blogId=tysinvs&amp;logNo=223900558819&amp;redirect=Dlog&amp;widgetTypeCall=true&amp;directAccess=false</t>
  </si>
  <si>
    <t>(25.6.16.월) 한눈에 보는 부동산뉴스</t>
  </si>
  <si>
    <t>https://blog.naver.com/PostView.naver?blogId=anko-0&amp;logNo=223900542136&amp;redirect=Dlog&amp;widgetTypeCall=true&amp;directAccess=false</t>
  </si>
  <si>
    <t>글로벌 금융 시장, 거래 재개 앞두고 ‘안절부절’</t>
  </si>
  <si>
    <t>https://blog.naver.com/PostView.naver?blogId=law2010&amp;logNo=223900523560&amp;redirect=Dlog&amp;widgetTypeCall=true&amp;directAccess=false</t>
  </si>
  <si>
    <t>[증권 뉴스]06.16(월)또 다시 잠 못드는 밤…‘오일쇼크’ 재현 공포에 떠는 자산시장</t>
  </si>
  <si>
    <t>https://blog.naver.com/PostView.naver?blogId=miraclemoring_&amp;logNo=223900219174&amp;redirect=Dlog&amp;widgetTypeCall=true&amp;directAccess=false</t>
  </si>
  <si>
    <t>hannahabroad</t>
  </si>
  <si>
    <t>6월 2주: 고단했던 한 주, 그래도 마지막엔 스스로에게 칭찬을..</t>
  </si>
  <si>
    <t>https://blog.naver.com/PostView.naver?blogId=hannahabroad&amp;logNo=223900110483&amp;redirect=Dlog&amp;widgetTypeCall=true&amp;directAccess=false</t>
  </si>
  <si>
    <t>꾸자</t>
  </si>
  <si>
    <t>이란 이스라엘 충돌 여파, 유가와 환율에 미친 경제 충격은?</t>
  </si>
  <si>
    <t>https://blog.naver.com/PostView.naver?blogId=khakimas&amp;logNo=223899795013&amp;redirect=Dlog&amp;widgetTypeCall=true&amp;directAccess=false</t>
  </si>
  <si>
    <t>[NPR] 이스라엘의 이란 공습 이후 아시아 증시 하락... 국제 유가 급등</t>
  </si>
  <si>
    <t>https://blog.naver.com/PostView.naver?blogId=cheesetabbycat&amp;logNo=223899059370&amp;redirect=Dlog&amp;widgetTypeCall=true&amp;directAccess=false</t>
  </si>
  <si>
    <t>이혜지니</t>
  </si>
  <si>
    <t>중국과 미국, ‘합의 완료’… 트럼프 “중국, 필요한 희토류 선공급할 것”</t>
  </si>
  <si>
    <t>https://blog.naver.com/PostView.naver?blogId=huihui99&amp;logNo=223898949953&amp;redirect=Dlog&amp;widgetTypeCall=true&amp;directAccess=false</t>
  </si>
  <si>
    <t>ejkim60</t>
  </si>
  <si>
    <t>6월 13일(금)</t>
  </si>
  <si>
    <t>https://blog.naver.com/PostView.naver?blogId=ejkim60&amp;logNo=223898842586&amp;redirect=Dlog&amp;widgetTypeCall=true&amp;directAccess=false</t>
  </si>
  <si>
    <t>이상한 결심</t>
  </si>
  <si>
    <t>https://blog.naver.com/PostView.naver?blogId=porc-epic&amp;logNo=223898728401&amp;redirect=Dlog&amp;widgetTypeCall=true&amp;directAccess=false</t>
  </si>
  <si>
    <t>25.06.13 한국 마감</t>
  </si>
  <si>
    <t>https://blog.naver.com/PostView.naver?blogId=gunecxe&amp;logNo=223898184811&amp;redirect=Dlog&amp;widgetTypeCall=true&amp;directAccess=false</t>
  </si>
  <si>
    <t>&lt;국제 정치/경제&gt; 미국 5월 물가지수 상승폭 둔화… 트럼프 관세 영향은 미지수</t>
  </si>
  <si>
    <t>https://blog.naver.com/PostView.naver?blogId=nicodemus4620&amp;logNo=223898066781&amp;redirect=Dlog&amp;widgetTypeCall=true&amp;directAccess=false</t>
  </si>
  <si>
    <t>TH</t>
  </si>
  <si>
    <t>시황(250613)</t>
  </si>
  <si>
    <t>https://blog.naver.com/PostView.naver?blogId=th_financialmarket&amp;logNo=223897731957&amp;redirect=Dlog&amp;widgetTypeCall=true&amp;directAccess=false</t>
  </si>
  <si>
    <t>치킨스탁TV</t>
  </si>
  <si>
    <t>25-06-13 뉴스정리</t>
  </si>
  <si>
    <t>https://blog.naver.com/PostView.naver?blogId=chickenstocktv&amp;logNo=223897701999&amp;redirect=Dlog&amp;widgetTypeCall=true&amp;directAccess=false</t>
  </si>
  <si>
    <t>백제역사유적지구 세계유산 등재 10주년 기념 다채로운 프로그램 운영</t>
  </si>
  <si>
    <t>https://blog.naver.com/PostView.naver?blogId=jesus53-&amp;logNo=223897672091&amp;redirect=Dlog&amp;widgetTypeCall=true&amp;directAccess=false</t>
  </si>
  <si>
    <t>든이아빠</t>
  </si>
  <si>
    <t>이코노미스트 6월 2주 Can Korea Inc step up?</t>
  </si>
  <si>
    <t>https://blog.naver.com/PostView.naver?blogId=courtrollan&amp;logNo=223897366345&amp;redirect=Dlog&amp;widgetTypeCall=true&amp;directAccess=false</t>
  </si>
  <si>
    <t>미중 희토류 협상의 진짜 신호... 중국, 기술은 아직 5년 뒤처져 있다</t>
  </si>
  <si>
    <t>https://blog.naver.com/PostView.naver?blogId=freedomandlife&amp;logNo=223897193562&amp;redirect=Dlog&amp;widgetTypeCall=true&amp;directAccess=false</t>
  </si>
  <si>
    <t>주삼부칠</t>
  </si>
  <si>
    <t>금가격 상승, 지속할 수 있을까</t>
  </si>
  <si>
    <t>https://blog.naver.com/PostView.naver?blogId=guidetothemarket&amp;logNo=223896532108&amp;redirect=Dlog&amp;widgetTypeCall=true&amp;directAccess=false</t>
  </si>
  <si>
    <t>시황(250612)</t>
  </si>
  <si>
    <t>https://blog.naver.com/PostView.naver?blogId=th_financialmarket&amp;logNo=223896600603&amp;redirect=Dlog&amp;widgetTypeCall=true&amp;directAccess=false</t>
  </si>
  <si>
    <t>2025년 6월 12일 주요 경제 뉴스 요약 및 해설</t>
  </si>
  <si>
    <t>https://blog.naver.com/PostView.naver?blogId=foxler&amp;logNo=223896522883&amp;redirect=Dlog&amp;widgetTypeCall=true&amp;directAccess=false</t>
  </si>
  <si>
    <t>6월11일 미국시장 : 개략적인 합의, 주가는 빠지고, 유가는 오르고!!</t>
  </si>
  <si>
    <t>https://blog.naver.com/PostView.naver?blogId=jusassic&amp;logNo=223896526780&amp;redirect=Dlog&amp;widgetTypeCall=true&amp;directAccess=false</t>
  </si>
  <si>
    <t>미중무역 합의, CPI도 완화되었지만 시장의 반응은 전고점을 앞두고 숨고르기 중이다.</t>
  </si>
  <si>
    <t>https://blog.naver.com/PostView.naver?blogId=whitempler&amp;logNo=223896383072&amp;redirect=Dlog&amp;widgetTypeCall=true&amp;directAccess=false</t>
  </si>
  <si>
    <t>HNINE</t>
  </si>
  <si>
    <t>WB, 관세전쟁 속 올 세계성장률 2.3%로 하향</t>
  </si>
  <si>
    <t>https://blog.naver.com/PostView.naver?blogId=hhi1009&amp;logNo=223896246773&amp;redirect=Dlog&amp;widgetTypeCall=true&amp;directAccess=false</t>
  </si>
  <si>
    <t>연준, 기준금리 동결 전망</t>
  </si>
  <si>
    <t>https://blog.naver.com/PostView.naver?blogId=mtreekorea&amp;logNo=223896018258&amp;redirect=Dlog&amp;widgetTypeCall=true&amp;directAccess=false</t>
  </si>
  <si>
    <t>전한길, 이재명 정부에 경고 메시지 던지다</t>
  </si>
  <si>
    <t>https://blog.naver.com/PostView.naver?blogId=dalmasian102&amp;logNo=223895877320&amp;redirect=Dlog&amp;widgetTypeCall=true&amp;directAccess=false</t>
  </si>
  <si>
    <t>“코스피 3000 돌파 시, 환율 1320원”…증시發 환율 하락 기대</t>
  </si>
  <si>
    <t>https://blog.naver.com/PostView.naver?blogId=gunecxe&amp;logNo=223895861163&amp;redirect=Dlog&amp;widgetTypeCall=true&amp;directAccess=false</t>
  </si>
  <si>
    <t>루프리텔캄</t>
  </si>
  <si>
    <t>미국10년물 국채경매결과및 CPI,PPI</t>
  </si>
  <si>
    <t>https://blog.naver.com/PostView.naver?blogId=kobegolf&amp;logNo=223895808530&amp;redirect=Dlog&amp;widgetTypeCall=true&amp;directAccess=false</t>
  </si>
  <si>
    <t>parklawlab</t>
  </si>
  <si>
    <t>[경제 공부하는 변호사] 한국 투자자를 위한 비트코인 및 이더리움 투자 전략: 시장금리 중심 분석</t>
  </si>
  <si>
    <t>https://blog.naver.com/PostView.naver?blogId=parklawlab&amp;logNo=223895691476&amp;redirect=Dlog&amp;widgetTypeCall=true&amp;directAccess=false</t>
  </si>
  <si>
    <t>[딜링룸 백브리핑]</t>
  </si>
  <si>
    <t>https://blog.naver.com/PostView.naver?blogId=anaishan0723&amp;logNo=223895672051&amp;redirect=Dlog&amp;widgetTypeCall=true&amp;directAccess=false</t>
  </si>
  <si>
    <t>2025.6.10. 멕시코 주요 경제/사회 뉴스</t>
  </si>
  <si>
    <t>https://blog.naver.com/PostView.naver?blogId=mexicolawyer&amp;logNo=223895585748&amp;redirect=Dlog&amp;widgetTypeCall=true&amp;directAccess=false</t>
  </si>
  <si>
    <t>- 중국 전기차 출혈경쟁에 주가폭락까지... 붕괴되는 전기차산업- 중국 자동차산업, 생산 가동율은 50% 미만- 중국내 공급망 금융도 문제, 도미노 붕괴 나타날 수도</t>
  </si>
  <si>
    <t>https://blog.naver.com/PostView.naver?blogId=khchojh&amp;logNo=223895546015&amp;redirect=Dlog&amp;widgetTypeCall=true&amp;directAccess=false</t>
  </si>
  <si>
    <t>세계은행, 글로벌 성장률 전망치 2.3%로 낮춰</t>
  </si>
  <si>
    <t>https://blog.naver.com/PostView.naver?blogId=law2010&amp;logNo=223895504698&amp;redirect=Dlog&amp;widgetTypeCall=true&amp;directAccess=false</t>
  </si>
  <si>
    <t>"올해 이후 美 경제 본격 둔화…약달러 지속"</t>
  </si>
  <si>
    <t>https://blog.naver.com/PostView.naver?blogId=anaishan0723&amp;logNo=223895454712&amp;redirect=Dlog&amp;widgetTypeCall=true&amp;directAccess=false</t>
  </si>
  <si>
    <t>달리는 원화…최근 한달새 亞통화 중 상승률 '톱'</t>
  </si>
  <si>
    <t>https://blog.naver.com/PostView.naver?blogId=anaishan0723&amp;logNo=223895453408&amp;redirect=Dlog&amp;widgetTypeCall=true&amp;directAccess=false</t>
  </si>
  <si>
    <t>KONIX55</t>
  </si>
  <si>
    <t>AI(인공지능)가 결정하고 실행한다. ㄷㄷ...</t>
  </si>
  <si>
    <t>https://blog.naver.com/PostView.naver?blogId=konix55&amp;logNo=223895405728&amp;redirect=Dlog&amp;widgetTypeCall=true&amp;directAccess=false</t>
  </si>
  <si>
    <t>dodo_0_0</t>
  </si>
  <si>
    <t>[25.06.11] AI 혁신 경쟁과 미중 무역협상이 그려내는 새로운 투자 지형도</t>
  </si>
  <si>
    <t>https://blog.naver.com/PostView.naver?blogId=dodo_0_0&amp;logNo=223895390403&amp;redirect=Dlog&amp;widgetTypeCall=true&amp;directAccess=false</t>
  </si>
  <si>
    <t>전한길, 정부·여당에 "나를 건드리면 국제 문제" 경고…부정선거론 논란 지속</t>
  </si>
  <si>
    <t>https://blog.naver.com/PostView.naver?blogId=chikorita_&amp;logNo=223895138765&amp;redirect=Dlog&amp;widgetTypeCall=true&amp;directAccess=false</t>
  </si>
  <si>
    <t># 2025년 6월 11일 수요일 Jerry’s 신문브리핑 #</t>
  </si>
  <si>
    <t>https://blog.naver.com/PostView.naver?blogId=jerry0218&amp;logNo=223895282983&amp;redirect=Dlog&amp;widgetTypeCall=true&amp;directAccess=false</t>
  </si>
  <si>
    <t>외교부 1·2 차관 박윤주·김진아(안보♡전문가 “특파원 보고 세계는 지금”에 출연), 기재부 1·2 차관 이형일·임기근 프로필 나이 학력 고향 성향</t>
  </si>
  <si>
    <t>https://blog.naver.com/PostView.naver?blogId=kohcherish&amp;logNo=223895031781&amp;redirect=Dlog&amp;widgetTypeCall=true&amp;directAccess=false</t>
  </si>
  <si>
    <t>손흥민 협박은 계획된 2차 범행, 임신 협박 남녀 구속 기소.</t>
  </si>
  <si>
    <t>https://blog.naver.com/PostView.naver?blogId=lkl7383&amp;logNo=223894948964&amp;redirect=Dlog&amp;widgetTypeCall=true&amp;directAccess=false</t>
  </si>
  <si>
    <t>2025년 6월 10일 인사 및 청와대 복귀관련 대통령실 대변인 브리핑</t>
  </si>
  <si>
    <t>https://blog.naver.com/PostView.naver?blogId=kyh070181&amp;logNo=223894846940&amp;redirect=Dlog&amp;widgetTypeCall=true&amp;directAccess=false</t>
  </si>
  <si>
    <t>트럼프 주 방위군 동원, 윤석열 계엄선포 때 빼닮아</t>
  </si>
  <si>
    <t>https://blog.naver.com/PostView.naver?blogId=mindlenews2022&amp;logNo=223894744711&amp;redirect=Dlog&amp;widgetTypeCall=true&amp;directAccess=false</t>
  </si>
  <si>
    <t>https://blog.naver.com/PostView.naver?blogId=jang0355&amp;logNo=223894561742&amp;redirect=Dlog&amp;widgetTypeCall=true&amp;directAccess=false</t>
  </si>
  <si>
    <t>도팍쌤</t>
  </si>
  <si>
    <t>중국 경제의 문제점을 보여주는 초저가 전기차 경쟁</t>
  </si>
  <si>
    <t>https://blog.naver.com/PostView.naver?blogId=doparkchul&amp;logNo=223894481471&amp;redirect=Dlog&amp;widgetTypeCall=true&amp;directAccess=false</t>
  </si>
  <si>
    <t>대통령실 정책실장에 김용범 전 차관 임명</t>
  </si>
  <si>
    <t>https://blog.naver.com/PostView.naver?blogId=bon-media&amp;logNo=223894303277&amp;redirect=Dlog&amp;widgetTypeCall=true&amp;directAccess=false</t>
  </si>
  <si>
    <t>[25.06.10] 미중 협상의 훈풍 속에서 더욱 선명해진 테크 시장의 명암</t>
  </si>
  <si>
    <t>https://blog.naver.com/PostView.naver?blogId=dodo_0_0&amp;logNo=223894209029&amp;redirect=Dlog&amp;widgetTypeCall=true&amp;directAccess=false</t>
  </si>
  <si>
    <t>2025년 6월10일(화) 주요신문 헤드라인</t>
  </si>
  <si>
    <t>https://blog.naver.com/PostView.naver?blogId=cavin419&amp;logNo=223894143214&amp;redirect=Dlog&amp;widgetTypeCall=true&amp;directAccess=false</t>
  </si>
  <si>
    <t>국제...동아일보 2025년6월10일</t>
  </si>
  <si>
    <t>https://blog.naver.com/PostView.naver?blogId=c1c1b1b1&amp;logNo=223894050441&amp;redirect=Dlog&amp;widgetTypeCall=true&amp;directAccess=false</t>
  </si>
  <si>
    <t>이코노미스트 6월 3주 Slums, swimming pools and Latin America's inequality</t>
  </si>
  <si>
    <t>https://blog.naver.com/PostView.naver?blogId=courtrollan&amp;logNo=223893915367&amp;redirect=Dlog&amp;widgetTypeCall=true&amp;directAccess=false</t>
  </si>
  <si>
    <t>TI</t>
  </si>
  <si>
    <t>경제지표 분석 -1(NFP, AHE, Unemployment Rate)</t>
  </si>
  <si>
    <t>https://blog.naver.com/PostView.naver?blogId=yyo0909&amp;logNo=223893738383&amp;redirect=Dlog&amp;widgetTypeCall=true&amp;directAccess=false</t>
  </si>
  <si>
    <t>soolee</t>
  </si>
  <si>
    <t>2깊은산골 마을 두형제가학교가보이는곳에즐겁게걷고잇다</t>
  </si>
  <si>
    <t>https://blog.naver.com/PostView.naver?blogId=sooleeace&amp;logNo=223893677070&amp;redirect=Dlog&amp;widgetTypeCall=true&amp;directAccess=false</t>
  </si>
  <si>
    <t>설화</t>
  </si>
  <si>
    <t>20250609 뉴스 및 시사 정리</t>
  </si>
  <si>
    <t>https://blog.naver.com/PostView.naver?blogId=sulhwa_nini&amp;logNo=223893501604&amp;redirect=Dlog&amp;widgetTypeCall=true&amp;directAccess=false</t>
  </si>
  <si>
    <t>미네르바의올빼미</t>
  </si>
  <si>
    <t>[매주 경제주간지 읽기] 매경 이코노미 2312호</t>
  </si>
  <si>
    <t>https://blog.naver.com/PostView.naver?blogId=mad50&amp;logNo=223893315089&amp;redirect=Dlog&amp;widgetTypeCall=true&amp;directAccess=false</t>
  </si>
  <si>
    <t>외국인투자자가 이재명 정부에 관해 묻는 세 가지 질문</t>
  </si>
  <si>
    <t>https://blog.naver.com/PostView.naver?blogId=anaishan0723&amp;logNo=223893309072&amp;redirect=Dlog&amp;widgetTypeCall=true&amp;directAccess=false</t>
  </si>
  <si>
    <t>라틴아메리카 지역의 극심한 불평등</t>
  </si>
  <si>
    <t>https://blog.naver.com/PostView.naver?blogId=doparkchul&amp;logNo=223893210573&amp;redirect=Dlog&amp;widgetTypeCall=true&amp;directAccess=false</t>
  </si>
  <si>
    <t>2025.6.5. 멕시코 주요 경제/사회 뉴스</t>
  </si>
  <si>
    <t>https://blog.naver.com/PostView.naver?blogId=mexicolawyer&amp;logNo=223893156068&amp;redirect=Dlog&amp;widgetTypeCall=true&amp;directAccess=false</t>
  </si>
  <si>
    <t>그레임</t>
  </si>
  <si>
    <t>봉윤</t>
  </si>
  <si>
    <t>[250609]머스크 이어 ‘이 사람’까지 내쫓을 기세…트럼프 “연준의장 인선 곧 발표”</t>
  </si>
  <si>
    <t>https://blog.naver.com/PostView.naver?blogId=qpwo1107&amp;logNo=223892984015&amp;redirect=Dlog&amp;widgetTypeCall=true&amp;directAccess=false</t>
  </si>
  <si>
    <t>[6월8일_2025][뉴욕증시-주간전망] 트럼프 관세 CPI에 드러날까…美中 협상 초미 관심</t>
  </si>
  <si>
    <t>https://blog.naver.com/PostView.naver?blogId=herb7419&amp;logNo=223892503572&amp;redirect=Dlog&amp;widgetTypeCall=true&amp;directAccess=false</t>
  </si>
  <si>
    <t>브론즈</t>
  </si>
  <si>
    <t>우리나라 자본시장의 흐름</t>
  </si>
  <si>
    <t>https://blog.naver.com/PostView.naver?blogId=rich-shin&amp;logNo=223892354589&amp;redirect=Dlog&amp;widgetTypeCall=true&amp;directAccess=false</t>
  </si>
  <si>
    <t>dltmdals2510</t>
  </si>
  <si>
    <t>시장에 손이 있다고요? 보이지 않는 손과 변화의 경제 이야기</t>
  </si>
  <si>
    <t>https://blog.naver.com/PostView.naver?blogId=dltmdals2510&amp;logNo=223891944952&amp;redirect=Dlog&amp;widgetTypeCall=true&amp;directAccess=false</t>
  </si>
  <si>
    <t>이코노미스트 6월 3주  The stunning decline of the preference for having boys</t>
  </si>
  <si>
    <t>https://blog.naver.com/PostView.naver?blogId=courtrollan&amp;logNo=223891824173&amp;redirect=Dlog&amp;widgetTypeCall=true&amp;directAccess=false</t>
  </si>
  <si>
    <t>Startup Canada</t>
  </si>
  <si>
    <t>캐나다 경제 심상치 않다.</t>
  </si>
  <si>
    <t>https://blog.naver.com/PostView.naver?blogId=innocanadancompany&amp;logNo=223891475439&amp;redirect=Dlog&amp;widgetTypeCall=true&amp;directAccess=false</t>
  </si>
  <si>
    <t>전 기획재정부 1차관 김용범 프로필 나이 고향 학력 경력 "정책실장 임명"</t>
  </si>
  <si>
    <t>https://blog.naver.com/PostView.naver?blogId=happyair4&amp;logNo=223891255641&amp;redirect=Dlog&amp;widgetTypeCall=true&amp;directAccess=false</t>
  </si>
  <si>
    <t>달러인덱스 약세 전망, 미국 신용등급 하락, 국채 가격 폭락</t>
  </si>
  <si>
    <t>https://blog.naver.com/PostView.naver?blogId=crash205&amp;logNo=223891203318&amp;redirect=Dlog&amp;widgetTypeCall=true&amp;directAccess=false</t>
  </si>
  <si>
    <t>행복한 세상</t>
  </si>
  <si>
    <t>이재명 정부, 혁신적 대통령실 개편으로 국정 드라이브 가속화!</t>
  </si>
  <si>
    <t>https://blog.naver.com/PostView.naver?blogId=happy_807&amp;logNo=223891159276&amp;redirect=Dlog&amp;widgetTypeCall=true&amp;directAccess=false</t>
  </si>
  <si>
    <t>러시아 핵전력 공격한 우크라 '거미줄' 작전-전술적 대성공, 전략적 평가는?</t>
  </si>
  <si>
    <t>https://blog.naver.com/PostView.naver?blogId=buyrussia24&amp;logNo=223891155734&amp;redirect=Dlog&amp;widgetTypeCall=true&amp;directAccess=false</t>
  </si>
  <si>
    <t>영준영민 아빠</t>
  </si>
  <si>
    <t>돈의 심리학</t>
  </si>
  <si>
    <t>https://blog.naver.com/PostView.naver?blogId=tomkws&amp;logNo=223891125709&amp;redirect=Dlog&amp;widgetTypeCall=true&amp;directAccess=false</t>
  </si>
  <si>
    <t>이재명 대통령, 대통령실 정책실장 김용범·경제수석 하준경 등 임명</t>
  </si>
  <si>
    <t>https://blog.naver.com/PostView.naver?blogId=3658290&amp;logNo=223891029695&amp;redirect=Dlog&amp;widgetTypeCall=true&amp;directAccess=false</t>
  </si>
  <si>
    <t>정동영 김경수의 입각 및 김용범·하준경·류덕현 프로필…이재명 정부의 장관 및 경제 참모진 인선</t>
  </si>
  <si>
    <t>https://blog.naver.com/PostView.naver?blogId=moonlife_kr&amp;logNo=223891013527&amp;redirect=Dlog&amp;widgetTypeCall=true&amp;directAccess=false</t>
  </si>
  <si>
    <t>트럼프의 각종 법안은 세계 금융 기반을 훼손하고 있다.</t>
  </si>
  <si>
    <t>https://blog.naver.com/PostView.naver?blogId=whitempler&amp;logNo=223891006675&amp;redirect=Dlog&amp;widgetTypeCall=true&amp;directAccess=false</t>
  </si>
  <si>
    <t>김용범 정책실장 프로필, 나이 고향 학력 재산 정치경력</t>
  </si>
  <si>
    <t>https://blog.naver.com/PostView.naver?blogId=asd63455&amp;logNo=223890815731&amp;redirect=Dlog&amp;widgetTypeCall=true&amp;directAccess=false</t>
  </si>
  <si>
    <t>인버스</t>
  </si>
  <si>
    <t>가족경영은 양날의 검이다</t>
  </si>
  <si>
    <t>https://blog.naver.com/PostView.naver?blogId=inv1224&amp;logNo=223890784963&amp;redirect=Dlog&amp;widgetTypeCall=true&amp;directAccess=false</t>
  </si>
  <si>
    <t>2025 세계대전망(이코노미스트), 2부</t>
  </si>
  <si>
    <t>https://blog.naver.com/PostView.naver?blogId=s2s2s2189&amp;logNo=223890337610&amp;redirect=Dlog&amp;widgetTypeCall=true&amp;directAccess=false</t>
  </si>
  <si>
    <t>랩퍼투혼</t>
  </si>
  <si>
    <t>이코노미스트 - 韓, 다시 美 환율 감시리스트에...‘관찰대상국’ 지정</t>
  </si>
  <si>
    <t>https://blog.naver.com/PostView.naver?blogId=mesinzer&amp;logNo=223890328532&amp;redirect=Dlog&amp;widgetTypeCall=true&amp;directAccess=false</t>
  </si>
  <si>
    <t>sochundug</t>
  </si>
  <si>
    <t>0% 성장, 내전을 멈춰야 할 때다.</t>
  </si>
  <si>
    <t>https://blog.naver.com/PostView.naver?blogId=sochundug&amp;logNo=223890299663&amp;redirect=Dlog&amp;widgetTypeCall=true&amp;directAccess=false</t>
  </si>
  <si>
    <t>『한해의 마지막달은 반성의 달로 생각하자』</t>
  </si>
  <si>
    <t>https://blog.naver.com/PostView.naver?blogId=hongsoungin&amp;logNo=223890299236&amp;redirect=Dlog&amp;widgetTypeCall=true&amp;directAccess=false</t>
  </si>
  <si>
    <t>비전펀드</t>
  </si>
  <si>
    <t>빅맥 지수는 무엇일까?</t>
  </si>
  <si>
    <t>https://blog.naver.com/PostView.naver?blogId=visionfund&amp;logNo=223889709349&amp;redirect=Dlog&amp;widgetTypeCall=true&amp;directAccess=false</t>
  </si>
  <si>
    <t>강세 지속되는 스위스프랑, 다시 '마이너스 금리' 시대로 돌아가나?</t>
  </si>
  <si>
    <t>https://blog.naver.com/PostView.naver?blogId=jouleekim&amp;logNo=223889579656&amp;redirect=Dlog&amp;widgetTypeCall=true&amp;directAccess=false</t>
  </si>
  <si>
    <t>"하반기 환율 골디락스…1,300원대 초중반, 경제에 긍정적"</t>
  </si>
  <si>
    <t>https://blog.naver.com/PostView.naver?blogId=anaishan0723&amp;logNo=223889560251&amp;redirect=Dlog&amp;widgetTypeCall=true&amp;directAccess=false</t>
  </si>
  <si>
    <t>고용 둔화 vs 금리 인하 압박, 트럼프와 연준 사이의 긴장선이 다시 팽팽해졌다</t>
  </si>
  <si>
    <t>https://blog.naver.com/PostView.naver?blogId=jouleekim&amp;logNo=223889434199&amp;redirect=Dlog&amp;widgetTypeCall=true&amp;directAccess=false</t>
  </si>
  <si>
    <t>中 5월 차이신 서비스업 PMI 51.1…전월 대비 상승(상보)</t>
  </si>
  <si>
    <t>https://blog.naver.com/PostView.naver?blogId=anaishan0723&amp;logNo=223889302971&amp;redirect=Dlog&amp;widgetTypeCall=true&amp;directAccess=false</t>
  </si>
  <si>
    <t>이시바 한일 정상회담 희망, 미국도 조기회동 촉구</t>
  </si>
  <si>
    <t>https://blog.naver.com/PostView.naver?blogId=jang0355&amp;logNo=223889255832&amp;redirect=Dlog&amp;widgetTypeCall=true&amp;directAccess=false</t>
  </si>
  <si>
    <t>JY Daddy</t>
  </si>
  <si>
    <t>월가 현지 뉴스 (6.5.)  f. 길금희 특파원. 매경 월가월브</t>
  </si>
  <si>
    <t>https://blog.naver.com/PostView.naver?blogId=jynote_no1&amp;logNo=223889238243&amp;redirect=Dlog&amp;widgetTypeCall=true&amp;directAccess=false</t>
  </si>
  <si>
    <t>James</t>
  </si>
  <si>
    <t>중앙은행, 기준금리 2.75%로 동결</t>
  </si>
  <si>
    <t>https://blog.naver.com/PostView.naver?blogId=kwak208&amp;logNo=223889178307&amp;redirect=Dlog&amp;widgetTypeCall=true&amp;directAccess=false</t>
  </si>
  <si>
    <t>25. 6. 5(목) 주요 경제 현황</t>
  </si>
  <si>
    <t>https://blog.naver.com/PostView.naver?blogId=kkatema&amp;logNo=223889178626&amp;redirect=Dlog&amp;widgetTypeCall=true&amp;directAccess=false</t>
  </si>
  <si>
    <t>6월4일 미국시장 : 반도체 보조금 재협상??</t>
  </si>
  <si>
    <t>https://blog.naver.com/PostView.naver?blogId=jusassic&amp;logNo=223889109391&amp;redirect=Dlog&amp;widgetTypeCall=true&amp;directAccess=false</t>
  </si>
  <si>
    <t>모닝마켓(2025/06/05/목)</t>
  </si>
  <si>
    <t>https://blog.naver.com/PostView.naver?blogId=k72272&amp;logNo=223889107437&amp;redirect=Dlog&amp;widgetTypeCall=true&amp;directAccess=false</t>
  </si>
  <si>
    <t>슈우</t>
  </si>
  <si>
    <t>25.06.04. 마감시황.</t>
  </si>
  <si>
    <t>https://blog.naver.com/PostView.naver?blogId=eva8203&amp;logNo=223888724399&amp;redirect=Dlog&amp;widgetTypeCall=true&amp;directAccess=false</t>
  </si>
  <si>
    <t>진전될 관세 협상, 지연될 美 금리인하</t>
  </si>
  <si>
    <t>https://blog.naver.com/PostView.naver?blogId=gunecxe&amp;logNo=223888356853&amp;redirect=Dlog&amp;widgetTypeCall=true&amp;directAccess=false</t>
  </si>
  <si>
    <t>미국발 관세 쇼크, 세계 경제의 발목을 잡다 – OECD의 경고에 주목해야 할 때</t>
  </si>
  <si>
    <t>https://blog.naver.com/PostView.naver?blogId=jouleekim&amp;logNo=223887990108&amp;redirect=Dlog&amp;widgetTypeCall=true&amp;directAccess=false</t>
  </si>
  <si>
    <t>채원</t>
  </si>
  <si>
    <t>250604 종합</t>
  </si>
  <si>
    <t>https://blog.naver.com/PostView.naver?blogId=lee0401lee&amp;logNo=223887967247&amp;redirect=Dlog&amp;widgetTypeCall=true&amp;directAccess=false</t>
  </si>
  <si>
    <t>김바울</t>
  </si>
  <si>
    <t>25년 6월 4일 증시 뉴스 모닝 브리프</t>
  </si>
  <si>
    <t>https://blog.naver.com/PostView.naver?blogId=cbkim65&amp;logNo=223887878924&amp;redirect=Dlog&amp;widgetTypeCall=true&amp;directAccess=false</t>
  </si>
  <si>
    <t>한림멘토</t>
  </si>
  <si>
    <t>메리츠증권, 신입사원 공개채용 실시</t>
  </si>
  <si>
    <t>https://blog.naver.com/PostView.naver?blogId=young187&amp;logNo=223887829895&amp;redirect=Dlog&amp;widgetTypeCall=true&amp;directAccess=false</t>
  </si>
  <si>
    <t>월가가 미국 부채에 경종을 울리고 있다.</t>
  </si>
  <si>
    <t>https://blog.naver.com/PostView.naver?blogId=whitempler&amp;logNo=223887745291&amp;redirect=Dlog&amp;widgetTypeCall=true&amp;directAccess=false</t>
  </si>
  <si>
    <t>빛의사자</t>
  </si>
  <si>
    <t>대선, 정해진 수순대로 가는듯</t>
  </si>
  <si>
    <t>https://blog.naver.com/PostView.naver?blogId=arche529&amp;logNo=223887665927&amp;redirect=Dlog&amp;widgetTypeCall=true&amp;directAccess=false</t>
  </si>
  <si>
    <t>스위스는 디플레이션의 위협에 직면해 있다</t>
  </si>
  <si>
    <t>https://blog.naver.com/PostView.naver?blogId=erkl33&amp;logNo=223887552927&amp;redirect=Dlog&amp;widgetTypeCall=true&amp;directAccess=false</t>
  </si>
  <si>
    <t>약한 달러, 강한 충격: 2025년 미국이 촉발한 글로벌 무역 리셋의 실체</t>
  </si>
  <si>
    <t>https://blog.naver.com/PostView.naver?blogId=jouleekim&amp;logNo=223887479786&amp;redirect=Dlog&amp;widgetTypeCall=true&amp;directAccess=false</t>
  </si>
  <si>
    <t>대한민국 X세대: IMF 외환위기의 그늘과 세대 간 갈등의 중심</t>
  </si>
  <si>
    <t>https://blog.naver.com/PostView.naver?blogId=learning_investor&amp;logNo=223863048386&amp;redirect=Dlog&amp;widgetTypeCall=true&amp;directAccess=false</t>
  </si>
  <si>
    <t>gigi</t>
  </si>
  <si>
    <t>[연합뉴스] 따로 움직이는 미국 달러와 국채 금리</t>
  </si>
  <si>
    <t>https://blog.naver.com/PostView.naver?blogId=seren0dipity&amp;logNo=223887093341&amp;redirect=Dlog&amp;widgetTypeCall=true&amp;directAccess=false</t>
  </si>
  <si>
    <t>인내와자유</t>
  </si>
  <si>
    <t>중국 민간 공장 지표 2년여 만에 최저치로 폭락</t>
  </si>
  <si>
    <t>https://blog.naver.com/PostView.naver?blogId=gatewaypla&amp;logNo=223887042202&amp;redirect=Dlog&amp;widgetTypeCall=true&amp;directAccess=false</t>
  </si>
  <si>
    <t>25. 6. 3(화) 주요 경제 현황</t>
  </si>
  <si>
    <t>https://blog.naver.com/PostView.naver?blogId=kkatema&amp;logNo=223886944997&amp;redirect=Dlog&amp;widgetTypeCall=true&amp;directAccess=false</t>
  </si>
  <si>
    <t>과학 자금 삭감은 일반 미국인들에게 타격을 줄 것이다.</t>
  </si>
  <si>
    <t>https://blog.naver.com/PostView.naver?blogId=tongkun94&amp;logNo=223886928715&amp;redirect=Dlog&amp;widgetTypeCall=true&amp;directAccess=false</t>
  </si>
  <si>
    <t>쏘이라떼</t>
  </si>
  <si>
    <t>13. 월간 회고, 2025년 5월 - 감사하게도 쉬지않고 흐르는 애정에 취해 유영하듯 다음으로 갑니다.</t>
  </si>
  <si>
    <t>https://blog.naver.com/PostView.naver?blogId=mamondeavec_&amp;logNo=223886716502&amp;redirect=Dlog&amp;widgetTypeCall=true&amp;directAccess=false</t>
  </si>
  <si>
    <t>2025년 6월 3일(화) 매일경제 지면기사</t>
  </si>
  <si>
    <t>https://blog.naver.com/PostView.naver?blogId=theblock101&amp;logNo=223886452855&amp;redirect=Dlog&amp;widgetTypeCall=true&amp;directAccess=false</t>
  </si>
  <si>
    <t>미주야</t>
  </si>
  <si>
    <t>미국 달러 하락… 미중 무역 긴장 고조와 트럼프 세금 법안 부담</t>
  </si>
  <si>
    <t>https://blog.naver.com/PostView.naver?blogId=dhshin3945&amp;logNo=223886405612&amp;redirect=Dlog&amp;widgetTypeCall=true&amp;directAccess=false</t>
  </si>
  <si>
    <t>달러와 국채금리간 상관관계는  미미하다</t>
  </si>
  <si>
    <t>https://blog.naver.com/PostView.naver?blogId=pops2303&amp;logNo=223886378775&amp;redirect=Dlog&amp;widgetTypeCall=true&amp;directAccess=false</t>
  </si>
  <si>
    <t>美 국채금리와 달러의 상관관계 와해…트럼프 불확실성 반영</t>
  </si>
  <si>
    <t>https://blog.naver.com/PostView.naver?blogId=anaishan0723&amp;logNo=223886168586&amp;redirect=Dlog&amp;widgetTypeCall=true&amp;directAccess=false</t>
  </si>
  <si>
    <t>스탠리 피셔 타계, 경제학계의 거목이자 글로벌 중앙은행계의 전설을 추모하며</t>
  </si>
  <si>
    <t>https://blog.naver.com/PostView.naver?blogId=jouleekim&amp;logNo=223886130025&amp;redirect=Dlog&amp;widgetTypeCall=true&amp;directAccess=false</t>
  </si>
  <si>
    <t>[생존을 위한 금융지능] 전문가를 맹신하고 손해 본 돈, 결국 내 책임이다.</t>
  </si>
  <si>
    <t>https://blog.naver.com/PostView.naver?blogId=begins1-&amp;logNo=223886055800&amp;redirect=Dlog&amp;widgetTypeCall=true&amp;directAccess=false</t>
  </si>
  <si>
    <t>메타 스레드와 경쟁자의 비교(feat. 영화 그녀)</t>
  </si>
  <si>
    <t>https://blog.naver.com/PostView.naver?blogId=learning_investor&amp;logNo=223868797973&amp;redirect=Dlog&amp;widgetTypeCall=true&amp;directAccess=false</t>
  </si>
  <si>
    <t>시황(250602)</t>
  </si>
  <si>
    <t>https://blog.naver.com/PostView.naver?blogId=th_financialmarket&amp;logNo=223885656041&amp;redirect=Dlog&amp;widgetTypeCall=true&amp;directAccess=false</t>
  </si>
  <si>
    <t>25. 6. 2(월) 주요 경제 현황</t>
  </si>
  <si>
    <t>https://blog.naver.com/PostView.naver?blogId=kkatema&amp;logNo=223885600317&amp;redirect=Dlog&amp;widgetTypeCall=true&amp;directAccess=false</t>
  </si>
  <si>
    <t>colt360</t>
  </si>
  <si>
    <t>[꼼꼼2] 홍춘욱의 최소한의 경제토픽 독서후기</t>
  </si>
  <si>
    <t>https://blog.naver.com/PostView.naver?blogId=colt360&amp;logNo=223885376083&amp;redirect=Dlog&amp;widgetTypeCall=true&amp;directAccess=false</t>
  </si>
  <si>
    <t>[증권 뉴스]06.02(월)대선 기대 실린다…증권가 "부양 기대로 코스피 상승"</t>
  </si>
  <si>
    <t>https://blog.naver.com/PostView.naver?blogId=miraclemoring_&amp;logNo=223885088434&amp;redirect=Dlog&amp;widgetTypeCall=true&amp;directAccess=false</t>
  </si>
  <si>
    <t>스노우볼72</t>
  </si>
  <si>
    <t>글로벌 시장 주간 요약 (25년 5월 30일)</t>
  </si>
  <si>
    <t>https://blog.naver.com/PostView.naver?blogId=snowball72&amp;logNo=223885072309&amp;redirect=Dlog&amp;widgetTypeCall=true&amp;directAccess=false</t>
  </si>
  <si>
    <t>국제금융계 거물' 스탠리 피셔 전 연준 부의장 별세</t>
  </si>
  <si>
    <t>https://blog.naver.com/PostView.naver?blogId=yfish66&amp;logNo=223885060972&amp;redirect=Dlog&amp;widgetTypeCall=true&amp;directAccess=false</t>
  </si>
  <si>
    <t>일본경제위기? 일본경제, 스태그플레이션에 빠지다.</t>
  </si>
  <si>
    <t>https://blog.naver.com/PostView.naver?blogId=reverple&amp;logNo=223884773526&amp;redirect=Dlog&amp;widgetTypeCall=true&amp;directAccess=false</t>
  </si>
  <si>
    <t>SELLY9KR2251</t>
  </si>
  <si>
    <t>영국의 물가상승률 9.4%로 급등</t>
  </si>
  <si>
    <t>https://blog.naver.com/PostView.naver?blogId=selly9kr&amp;logNo=223884729339&amp;redirect=Dlog&amp;widgetTypeCall=true&amp;directAccess=false</t>
  </si>
  <si>
    <t>얼바인리얼터 Ally</t>
  </si>
  <si>
    <t>🔊[미국부동산뉴스] “지금은 바이어 시장”… 셀러가 바이어보다 50만명 많아, 미 주택시장 10년 만에 역전</t>
  </si>
  <si>
    <t>https://blog.naver.com/PostView.naver?blogId=irvinehomeswithally&amp;logNo=223884597707&amp;redirect=Dlog&amp;widgetTypeCall=true&amp;directAccess=false</t>
  </si>
  <si>
    <t>스포츠경향</t>
  </si>
  <si>
    <t>소지섭, 아내 조은정과 함께한 행복한 순간들</t>
  </si>
  <si>
    <t>https://blog.naver.com/PostView.naver?blogId=dbghwns2&amp;logNo=223901995847&amp;redirect=Dlog&amp;widgetTypeCall=true&amp;directAccess=false</t>
  </si>
  <si>
    <t>이무진, 천안 K-컬처 박람회 무대 중단 사태 전말 공개</t>
  </si>
  <si>
    <t>https://blog.naver.com/PostView.naver?blogId=cleanworldon&amp;logNo=223893061035&amp;redirect=Dlog&amp;widgetTypeCall=true&amp;directAccess=false</t>
  </si>
  <si>
    <t>다니블라썸</t>
  </si>
  <si>
    <t>"다시 비상하는 "독수리'...한화(오늘의 뉴스, 2025. 6. 7. 금)</t>
  </si>
  <si>
    <t>https://blog.naver.com/PostView.naver?blogId=yk80019&amp;logNo=223891864798&amp;redirect=Dlog&amp;widgetTypeCall=true&amp;directAccess=false</t>
  </si>
  <si>
    <t>2025.06.04 스포츠</t>
  </si>
  <si>
    <t>https://blog.naver.com/PostView.naver?blogId=kbs651027&amp;logNo=223887951311&amp;redirect=Dlog&amp;widgetTypeCall=true&amp;directAccess=false</t>
  </si>
  <si>
    <t>오늘의 게임 뉴스 - 2025년 06월 03일</t>
  </si>
  <si>
    <t>https://blog.naver.com/PostView.naver?blogId=zaxa1019&amp;logNo=223887686598&amp;redirect=Dlog&amp;widgetTypeCall=true&amp;directAccess=false</t>
  </si>
  <si>
    <t>2025.06.01 스포츠</t>
  </si>
  <si>
    <t>https://blog.naver.com/PostView.naver?blogId=kbs651027&amp;logNo=223885363159&amp;redirect=Dlog&amp;widgetTypeCall=true&amp;directAccess=false</t>
  </si>
  <si>
    <t>[종합] 뱃속 태아 노린 참극 벌어졌다…육성재·김지연, 눈앞에서 목격('귀궁')</t>
  </si>
  <si>
    <t>https://blog.naver.com/PostView.naver?blogId=aodaisyou1&amp;logNo=223884735586&amp;redirect=Dlog&amp;widgetTypeCall=true&amp;directAccess=false</t>
  </si>
  <si>
    <t>스포츠   많이 본 뉴스....많이 본 영상</t>
  </si>
  <si>
    <t>https://blog.naver.com/PostView.naver?blogId=c1c1b1b1&amp;logNo=223914333449&amp;redirect=Dlog&amp;widgetTypeCall=true&amp;directAccess=false</t>
  </si>
  <si>
    <t>네이버 스포츠.2025년6월28일</t>
  </si>
  <si>
    <t>https://blog.naver.com/PostView.naver?blogId=c1c1b1b1&amp;logNo=223914332673&amp;redirect=Dlog&amp;widgetTypeCall=true&amp;directAccess=false</t>
  </si>
  <si>
    <t>용환주</t>
  </si>
  <si>
    <t>세계 1위' ST 분노…'약속 지켜!' 빅클럽 이적 시켜줄게 '신사협정' 파괴 위기, '차기 행선지' 아스널 유력</t>
  </si>
  <si>
    <t>https://blog.naver.com/PostView.naver?blogId=dndhkr159&amp;logNo=223911229702&amp;redirect=Dlog&amp;widgetTypeCall=true&amp;directAccess=false</t>
  </si>
  <si>
    <t>성폭행범 아니냐?… 나는 솔로 25기 영철, 돌연 SNS 폐쇄 후 충격 의혹</t>
  </si>
  <si>
    <t>https://blog.naver.com/PostView.naver?blogId=rttn-&amp;logNo=223910907372&amp;redirect=Dlog&amp;widgetTypeCall=true&amp;directAccess=false</t>
  </si>
  <si>
    <t>팀티어원</t>
  </si>
  <si>
    <t>한국프로축구연맹 K리그1,2 경기결과 알아보기 25년 6월 22일(일)</t>
  </si>
  <si>
    <t>https://blog.naver.com/PostView.naver?blogId=eunbambi1104&amp;logNo=223908957138&amp;redirect=Dlog&amp;widgetTypeCall=true&amp;directAccess=false</t>
  </si>
  <si>
    <t>경기신문</t>
  </si>
  <si>
    <t>수원전세사기 .. 항소심에서도 법정최고형</t>
  </si>
  <si>
    <t>https://blog.naver.com/PostView.naver?blogId=tbyn7182&amp;logNo=223911988044&amp;redirect=Dlog&amp;widgetTypeCall=true&amp;directAccess=false</t>
  </si>
  <si>
    <t>주안영상미디어센터</t>
  </si>
  <si>
    <t>언론보도_주안영상미디어센터, ‘2025 미디어 테이블’ 두 번째 토론회 성료</t>
  </si>
  <si>
    <t>https://blog.naver.com/PostView.naver?blogId=juanmedia1731&amp;logNo=223911316302&amp;redirect=Dlog&amp;widgetTypeCall=true&amp;directAccess=false</t>
  </si>
  <si>
    <t>분당판교 교육 부동산</t>
  </si>
  <si>
    <t>용인도 훈풍 분다.</t>
  </si>
  <si>
    <t>https://blog.naver.com/PostView.naver?blogId=kebin0605&amp;logNo=223908109827&amp;redirect=Dlog&amp;widgetTypeCall=true&amp;directAccess=false</t>
  </si>
  <si>
    <t>WLU기자단</t>
  </si>
  <si>
    <t>2025 세이브더월드 국제포럼</t>
  </si>
  <si>
    <t>https://blog.naver.com/PostView.naver?blogId=kkk-100479&amp;logNo=223906346615&amp;redirect=Dlog&amp;widgetTypeCall=true&amp;directAccess=false</t>
  </si>
  <si>
    <t>(2025. 6. 17.) 파주교육지원청, 키움·채움·즐거움이 가득한 ‘2025년 파주 세움(3-움) 아카데미’ 본격 운영</t>
  </si>
  <si>
    <t>https://blog.naver.com/PostView.naver?blogId=goepj203&amp;logNo=223904334905&amp;redirect=Dlog&amp;widgetTypeCall=true&amp;directAccess=false</t>
  </si>
  <si>
    <t>멋쟁이</t>
  </si>
  <si>
    <t>항우와 유방을 통해 본 리더십의 본질</t>
  </si>
  <si>
    <t>https://blog.naver.com/PostView.naver?blogId=kjs6458&amp;logNo=223892188533&amp;redirect=Dlog&amp;widgetTypeCall=true&amp;directAccess=false</t>
  </si>
  <si>
    <t>유석희</t>
  </si>
  <si>
    <t>['기쁘다'와 '즐겁다']</t>
  </si>
  <si>
    <t>https://blog.naver.com/PostView.naver?blogId=shyu3&amp;logNo=223891658861&amp;redirect=Dlog&amp;widgetTypeCall=true&amp;directAccess=false</t>
  </si>
  <si>
    <t>브레드 이발소</t>
  </si>
  <si>
    <t>[경기신문] [단독] 분당 이매촌, 3500세대 통합 재건축 ‘초읽기’</t>
  </si>
  <si>
    <t>https://blog.naver.com/PostView.naver?blogId=tuna26&amp;logNo=223887196836&amp;redirect=Dlog&amp;widgetTypeCall=true&amp;directAccess=false</t>
  </si>
  <si>
    <t>호두먼지</t>
  </si>
  <si>
    <t>진실은 고독하지 않다(김민웅)</t>
  </si>
  <si>
    <t>https://blog.naver.com/PostView.naver?blogId=zelkova_82&amp;logNo=223886334124&amp;redirect=Dlog&amp;widgetTypeCall=true&amp;directAccess=false</t>
  </si>
  <si>
    <t>(2025. 5. 29.) 파주교육지원청, 학교시설 개방 활성화 컨설팅 실시</t>
  </si>
  <si>
    <t>https://blog.naver.com/PostView.naver?blogId=goepj203&amp;logNo=223885725278&amp;redirect=Dlog&amp;widgetTypeCall=true&amp;directAccess=false</t>
  </si>
  <si>
    <t>청평 신동진</t>
  </si>
  <si>
    <t>2025.5.19 경기신문 &lt;신동진의 촌스러운 이야기&gt; 경기북부특별자치도는 이제 '이재명의 비전'이다.</t>
  </si>
  <si>
    <t>https://blog.naver.com/PostView.naver?blogId=jinnydj&amp;logNo=223884732183&amp;redirect=Dlog&amp;widgetTypeCall=true&amp;directAccess=false</t>
  </si>
  <si>
    <t>농민신문</t>
  </si>
  <si>
    <t>코리안 에버리지 가이</t>
  </si>
  <si>
    <t>농민신문 6/27금 요약 및 스크랩</t>
  </si>
  <si>
    <t>https://blog.naver.com/PostView.naver?blogId=korani3355&amp;logNo=223916607430&amp;redirect=Dlog&amp;widgetTypeCall=true&amp;directAccess=false</t>
  </si>
  <si>
    <t>농민신문 4월 요약 스크랩.</t>
  </si>
  <si>
    <t>https://blog.naver.com/PostView.naver?blogId=korani3355&amp;logNo=223915740122&amp;redirect=Dlog&amp;widgetTypeCall=true&amp;directAccess=false</t>
  </si>
  <si>
    <t>Sue</t>
  </si>
  <si>
    <t>💚 지역농협 최종합격 후기💚</t>
  </si>
  <si>
    <t>https://blog.naver.com/PostView.naver?blogId=sueeee0_0&amp;logNo=223912517349&amp;redirect=Dlog&amp;widgetTypeCall=true&amp;directAccess=false</t>
  </si>
  <si>
    <t>Ryul</t>
  </si>
  <si>
    <t>농축산물 적용 할당관세의 운용(관련기출질문 : TRQ와 할당관세의 차이점은)★중요</t>
  </si>
  <si>
    <t>https://blog.naver.com/PostView.naver?blogId=kimlove18000&amp;logNo=223910872954&amp;redirect=Dlog&amp;widgetTypeCall=true&amp;directAccess=false</t>
  </si>
  <si>
    <t>2977 - 향토밥상</t>
  </si>
  <si>
    <t>https://blog.naver.com/PostView.naver?blogId=naraeun33&amp;logNo=223910716489&amp;redirect=Dlog&amp;widgetTypeCall=true&amp;directAccess=false</t>
  </si>
  <si>
    <t>농민신문 6/20(금) 요약 및 스크랩</t>
  </si>
  <si>
    <t>https://blog.naver.com/PostView.naver?blogId=korani3355&amp;logNo=223910557314&amp;redirect=Dlog&amp;widgetTypeCall=true&amp;directAccess=false</t>
  </si>
  <si>
    <t>민이어멍</t>
  </si>
  <si>
    <t>제주도 해수욕장 개장 소식</t>
  </si>
  <si>
    <t>https://blog.naver.com/PostView.naver?blogId=yunsuki00&amp;logNo=223910404256&amp;redirect=Dlog&amp;widgetTypeCall=true&amp;directAccess=false</t>
  </si>
  <si>
    <t>농민신문 6/18(수) 스크랩</t>
  </si>
  <si>
    <t>https://blog.naver.com/PostView.naver?blogId=korani3355&amp;logNo=223906799989&amp;redirect=Dlog&amp;widgetTypeCall=true&amp;directAccess=false</t>
  </si>
  <si>
    <t>농민신문 6/16(월)</t>
  </si>
  <si>
    <t>https://blog.naver.com/PostView.naver?blogId=korani3355&amp;logNo=223905140487&amp;redirect=Dlog&amp;widgetTypeCall=true&amp;directAccess=false</t>
  </si>
  <si>
    <t>미친돼지</t>
  </si>
  <si>
    <t>농협중앙회 조합감사위원회 위원장 알아보기</t>
  </si>
  <si>
    <t>https://blog.naver.com/PostView.naver?blogId=masternacf&amp;logNo=223904407634&amp;redirect=Dlog&amp;widgetTypeCall=true&amp;directAccess=false</t>
  </si>
  <si>
    <t>햇님사자</t>
  </si>
  <si>
    <t>[사색의 정원] 감정에 귀 기울이는 아버지들</t>
  </si>
  <si>
    <t>https://blog.naver.com/PostView.naver?blogId=darkblue888&amp;logNo=223900754327&amp;redirect=Dlog&amp;widgetTypeCall=true&amp;directAccess=false</t>
  </si>
  <si>
    <t>버찌나무</t>
  </si>
  <si>
    <t>책리뷰 / 식량위기 대한민국</t>
  </si>
  <si>
    <t>https://blog.naver.com/PostView.naver?blogId=hsky2910&amp;logNo=223899442375&amp;redirect=Dlog&amp;widgetTypeCall=true&amp;directAccess=false</t>
  </si>
  <si>
    <t>천국의 호텔리어</t>
  </si>
  <si>
    <t>종이신문 열독률 (K신문 수출)</t>
  </si>
  <si>
    <t>https://blog.naver.com/PostView.naver?blogId=skylee14&amp;logNo=223899244015&amp;redirect=Dlog&amp;widgetTypeCall=true&amp;directAccess=false</t>
  </si>
  <si>
    <t>미국 불법체류자 사태, 미국이 주범</t>
  </si>
  <si>
    <t>https://blog.naver.com/PostView.naver?blogId=jang0355&amp;logNo=223897944498&amp;redirect=Dlog&amp;widgetTypeCall=true&amp;directAccess=false</t>
  </si>
  <si>
    <t>우아한여우</t>
  </si>
  <si>
    <t>나는 완행버스가 좋다</t>
  </si>
  <si>
    <t>https://blog.naver.com/PostView.naver?blogId=sjy1897&amp;logNo=223897430073&amp;redirect=Dlog&amp;widgetTypeCall=true&amp;directAccess=false</t>
  </si>
  <si>
    <t>mlk</t>
  </si>
  <si>
    <t>리라</t>
  </si>
  <si>
    <t>📰농민신문 스크랩 - 미 관세협상 고강도 압박…농업 지키는 통상협상 기대</t>
  </si>
  <si>
    <t>https://blog.naver.com/PostView.naver?blogId=sinhui86&amp;logNo=223896235184&amp;redirect=Dlog&amp;widgetTypeCall=true&amp;directAccess=false</t>
  </si>
  <si>
    <t>yanil</t>
  </si>
  <si>
    <t>처음고소애 종자보급 받기</t>
  </si>
  <si>
    <t>https://blog.naver.com/PostView.naver?blogId=yanilyanil&amp;logNo=223892638893&amp;redirect=Dlog&amp;widgetTypeCall=true&amp;directAccess=false</t>
  </si>
  <si>
    <t>s770129</t>
  </si>
  <si>
    <t>천연 항생물질</t>
  </si>
  <si>
    <t>https://blog.naver.com/PostView.naver?blogId=s770129&amp;logNo=223892621442&amp;redirect=Dlog&amp;widgetTypeCall=true&amp;directAccess=false</t>
  </si>
  <si>
    <t>한스건축환경디자인</t>
  </si>
  <si>
    <t>[손해평가사]이상기후에 따른 농업재해</t>
  </si>
  <si>
    <t>https://blog.naver.com/PostView.naver?blogId=hanscni336&amp;logNo=223891811159&amp;redirect=Dlog&amp;widgetTypeCall=true&amp;directAccess=false</t>
  </si>
  <si>
    <t>윤SSㅓ</t>
  </si>
  <si>
    <t>하루경제62. 농사용 전기요금, TRQ, 할당관세, 관세 협상 ,부가세 인상 권고, 소비증가율 둔화</t>
  </si>
  <si>
    <t>https://blog.naver.com/PostView.naver?blogId=yoonss328&amp;logNo=223886034674&amp;redirect=Dlog&amp;widgetTypeCall=true&amp;directAccess=false</t>
  </si>
  <si>
    <t>스타강사랩</t>
  </si>
  <si>
    <t>맛 칼럼니스트 황교익 프로필 및 강연 - 음식 쾌락은 어떻게 탄생하였나</t>
  </si>
  <si>
    <t>https://blog.naver.com/PostView.naver?blogId=rhtjrrlwkd&amp;logNo=223876413837&amp;redirect=Dlog&amp;widgetTypeCall=true&amp;directAccess=false</t>
  </si>
  <si>
    <t>영남일보</t>
  </si>
  <si>
    <t>유니클 unicle</t>
  </si>
  <si>
    <t>경복궁(4) - 교태전交泰殿: 복원 30주년기념 '왕비의 시선', 집옥재集玉齋: 작은 도서관, 흥복전興福殿 단청 복원공사</t>
  </si>
  <si>
    <t>https://blog.naver.com/PostView.naver?blogId=harbeth1&amp;logNo=223916091674&amp;redirect=Dlog&amp;widgetTypeCall=true&amp;directAccess=false</t>
  </si>
  <si>
    <t>2025 부산·대구 여행기 - 2일째(2) : 5달 만에 온 동성로</t>
  </si>
  <si>
    <t>https://blog.naver.com/PostView.naver?blogId=dascakehaus2&amp;logNo=223912943628&amp;redirect=Dlog&amp;widgetTypeCall=true&amp;directAccess=false</t>
  </si>
  <si>
    <t>범물노인복지관</t>
  </si>
  <si>
    <t>지산지구대, 작년이어 올 상반기 '베스트 지구대' 선정…                10년 전에도 '베스트 지구대' 선정</t>
  </si>
  <si>
    <t>https://blog.naver.com/PostView.naver?blogId=bswc-1288&amp;logNo=223912067452&amp;redirect=Dlog&amp;widgetTypeCall=true&amp;directAccess=false</t>
  </si>
  <si>
    <t>토미S2</t>
  </si>
  <si>
    <t>3, 4월 일상 / 집밥 + 나의 HBD♡</t>
  </si>
  <si>
    <t>https://blog.naver.com/PostView.naver?blogId=gksthf4168&amp;logNo=223910210610&amp;redirect=Dlog&amp;widgetTypeCall=true&amp;directAccess=false</t>
  </si>
  <si>
    <t>명품수학양산청어람</t>
  </si>
  <si>
    <t>지난해 수능 무전공 합격생 75.3%가 ‘이과생’ | 영남일보 | 김종윤 기자 | 사회</t>
  </si>
  <si>
    <t>https://blog.naver.com/PostView.naver?blogId=for0408&amp;logNo=223908851103&amp;redirect=Dlog&amp;widgetTypeCall=true&amp;directAccess=false</t>
  </si>
  <si>
    <t>교육 전문가 추현호</t>
  </si>
  <si>
    <t>멘털이 흔들리면 성적이 흔들린다.</t>
  </si>
  <si>
    <t>https://blog.naver.com/PostView.naver?blogId=ilmare16&amp;logNo=223906912211&amp;redirect=Dlog&amp;widgetTypeCall=true&amp;directAccess=false</t>
  </si>
  <si>
    <t>[주말, 픽] 도심 어디서나 10분 거리, ‘힐링도시 문경’… 명품 공원 속으로</t>
  </si>
  <si>
    <t>https://blog.naver.com/PostView.naver?blogId=dwyun60&amp;logNo=223906161695&amp;redirect=Dlog&amp;widgetTypeCall=true&amp;directAccess=false</t>
  </si>
  <si>
    <t>ㅊ우엉</t>
  </si>
  <si>
    <t>2025년 4월_중(영남일보마라톤🏃‍♀️)</t>
  </si>
  <si>
    <t>https://blog.naver.com/PostView.naver?blogId=woow961&amp;logNo=223905894050&amp;redirect=Dlog&amp;widgetTypeCall=true&amp;directAccess=false</t>
  </si>
  <si>
    <t>[김남희의 그림 에세이] 정점식과 이중섭의 삶과 작품, 굴곡 많은 슬픈 가족사 예술로 승화하다</t>
  </si>
  <si>
    <t>https://blog.naver.com/PostView.naver?blogId=dwyun60&amp;logNo=223904526170&amp;redirect=Dlog&amp;widgetTypeCall=true&amp;directAccess=false</t>
  </si>
  <si>
    <t>◇ 서울 강남 안 부럽다는 '수성구' ◇</t>
  </si>
  <si>
    <t>https://blog.naver.com/PostView.naver?blogId=bakmulgan&amp;logNo=223902145895&amp;redirect=Dlog&amp;widgetTypeCall=true&amp;directAccess=false</t>
  </si>
  <si>
    <t>김쭈딴</t>
  </si>
  <si>
    <t>[25년 4,5월] 봄이니까 피크닉·자전거 + 쉬엄쉬엄3종</t>
  </si>
  <si>
    <t>https://blog.naver.com/PostView.naver?blogId=jjo_oddan&amp;logNo=223901747041&amp;redirect=Dlog&amp;widgetTypeCall=true&amp;directAccess=false</t>
  </si>
  <si>
    <t>도난 34년 만에 돌아온 불화…예천 보문사 ‘신중도’ 점안법회 봉행</t>
  </si>
  <si>
    <t>https://blog.naver.com/PostView.naver?blogId=dwyun60&amp;logNo=223899693136&amp;redirect=Dlog&amp;widgetTypeCall=true&amp;directAccess=false</t>
  </si>
  <si>
    <t>강철무지개</t>
  </si>
  <si>
    <t>[공유]</t>
  </si>
  <si>
    <t>https://blog.naver.com/PostView.naver?blogId=ivykorea880&amp;logNo=223898840008&amp;redirect=Dlog&amp;widgetTypeCall=true&amp;directAccess=false</t>
  </si>
  <si>
    <t>[주말, 픽] 예천 ‘삼강문화단지’ 복합문화공간으로 각광</t>
  </si>
  <si>
    <t>https://blog.naver.com/PostView.naver?blogId=dwyun60&amp;logNo=223898275572&amp;redirect=Dlog&amp;widgetTypeCall=true&amp;directAccess=false</t>
  </si>
  <si>
    <t>문경재</t>
  </si>
  <si>
    <t>18세기 대구의 옛 모습</t>
  </si>
  <si>
    <t>https://blog.naver.com/PostView.naver?blogId=tgpress&amp;logNo=223896871530&amp;redirect=Dlog&amp;widgetTypeCall=true&amp;directAccess=false</t>
  </si>
  <si>
    <t>울주 서생면 나사등대 : 2021년 12월 마지막날의 해넘이와 일몰경 (울산여행/울산 가볼만한곳/울산 일몰출사지)</t>
  </si>
  <si>
    <t>https://blog.naver.com/PostView.naver?blogId=callseok&amp;logNo=223895955002&amp;redirect=Dlog&amp;widgetTypeCall=true&amp;directAccess=false</t>
  </si>
  <si>
    <t>국회의원 강대식</t>
  </si>
  <si>
    <t>[영남일보] “총기 두고 내린 것도 몰랐다”…육군, 렌터카 방치 3일 만에 회수</t>
  </si>
  <si>
    <t>https://blog.naver.com/PostView.naver?blogId=kds21341&amp;logNo=223895394968&amp;redirect=Dlog&amp;widgetTypeCall=true&amp;directAccess=false</t>
  </si>
  <si>
    <t>책읽는고양이</t>
  </si>
  <si>
    <t>인생에 대한 성찰을 담은 문장들</t>
  </si>
  <si>
    <t>https://blog.naver.com/PostView.naver?blogId=risubook&amp;logNo=223894360531&amp;redirect=Dlog&amp;widgetTypeCall=true&amp;directAccess=false</t>
  </si>
  <si>
    <t>이형민</t>
  </si>
  <si>
    <t>3월/ 문인수</t>
  </si>
  <si>
    <t>https://blog.naver.com/PostView.naver?blogId=leehmin2197&amp;logNo=223890079565&amp;redirect=Dlog&amp;widgetTypeCall=true&amp;directAccess=false</t>
  </si>
  <si>
    <t>윤주</t>
  </si>
  <si>
    <t>4~5월</t>
  </si>
  <si>
    <t>https://blog.naver.com/PostView.naver?blogId=kyyj722&amp;logNo=223891390024&amp;redirect=Dlog&amp;widgetTypeCall=true&amp;directAccess=false</t>
  </si>
  <si>
    <t>wooyano1</t>
  </si>
  <si>
    <t>영남일보 하프 마라톤 대회</t>
  </si>
  <si>
    <t>https://blog.naver.com/PostView.naver?blogId=wooyano1&amp;logNo=223891187318&amp;redirect=Dlog&amp;widgetTypeCall=true&amp;directAccess=false</t>
  </si>
  <si>
    <t>◇ 끊어진 계층 이동 교육 사다리 ◇</t>
  </si>
  <si>
    <t>https://blog.naver.com/PostView.naver?blogId=bakmulgan&amp;logNo=223891067126&amp;redirect=Dlog&amp;widgetTypeCall=true&amp;directAccess=false</t>
  </si>
  <si>
    <t>김기자의 눈</t>
  </si>
  <si>
    <t>조성진' 피아노 리사이틀···'모리스 라벨' 탄생 150주년 기념</t>
  </si>
  <si>
    <t>https://blog.naver.com/PostView.naver?blogId=cuesign&amp;logNo=223890712467&amp;redirect=Dlog&amp;widgetTypeCall=true&amp;directAccess=false</t>
  </si>
  <si>
    <t>[주말, 픽] 푸른 바다와 낭만이 어우러진 여름 명소, 강구 삼사해상공원</t>
  </si>
  <si>
    <t>https://blog.naver.com/PostView.naver?blogId=dwyun60&amp;logNo=223890272105&amp;redirect=Dlog&amp;widgetTypeCall=true&amp;directAccess=false</t>
  </si>
  <si>
    <t>[공연] 전석매진! 모리스 라벨 탄생 150주년 기념 라벨 전곡 3시간의 대장정,&lt;조성진 피아노 리사이틀&gt;</t>
  </si>
  <si>
    <t>https://blog.naver.com/PostView.naver?blogId=sagaknews&amp;logNo=223890121558&amp;redirect=Dlog&amp;widgetTypeCall=true&amp;directAccess=false</t>
  </si>
  <si>
    <t>성범죄 피해자 협박은 보복협박죄. 특가법위반 - 대구 형사 고소 변호사 _ 대한변협 형사 이혼 전문 변호사 사무실</t>
  </si>
  <si>
    <t>https://blog.naver.com/PostView.naver?blogId=sabup&amp;logNo=223889015960&amp;redirect=Dlog&amp;widgetTypeCall=true&amp;directAccess=false</t>
  </si>
  <si>
    <t>소현</t>
  </si>
  <si>
    <t>첫 10km 마라톤 🏃🏻‍♀️ 2025 대구 영남일보 마라톤 57분 완주 후기</t>
  </si>
  <si>
    <t>https://blog.naver.com/PostView.naver?blogId=hye__nii&amp;logNo=223888905849&amp;redirect=Dlog&amp;widgetTypeCall=true&amp;directAccess=false</t>
  </si>
  <si>
    <t>정 기자</t>
  </si>
  <si>
    <t>학이사 금요 북토크, 김봉규 신작 ‘조선의 선비, 구곡에 노닐다’</t>
  </si>
  <si>
    <t>https://blog.naver.com/PostView.naver?blogId=arts-m&amp;logNo=223886359974&amp;redirect=Dlog&amp;widgetTypeCall=true&amp;directAccess=false</t>
  </si>
  <si>
    <t>유라클(088340)</t>
  </si>
  <si>
    <t>https://blog.naver.com/PostView.naver?blogId=kang-pro1023&amp;logNo=223886156207&amp;redirect=Dlog&amp;widgetTypeCall=true&amp;directAccess=false</t>
  </si>
  <si>
    <t>성현생각</t>
  </si>
  <si>
    <t>(성현생각) 대한민국 선거</t>
  </si>
  <si>
    <t>https://blog.naver.com/PostView.naver?blogId=superdos&amp;logNo=223884752731&amp;redirect=Dlog&amp;widgetTypeCall=true&amp;directAccess=false</t>
  </si>
  <si>
    <t>시사IN</t>
  </si>
  <si>
    <t>searchingforwhat</t>
  </si>
  <si>
    <t>[BOOKTALK] 가난한 아이들은 어떻게 어른이 되는가</t>
  </si>
  <si>
    <t>https://blog.naver.com/PostView.naver?blogId=searchingforwhat&amp;logNo=223916250731&amp;redirect=Dlog&amp;widgetTypeCall=true&amp;directAccess=false</t>
  </si>
  <si>
    <t>멍멍이가야옹</t>
  </si>
  <si>
    <t>시사IN : 928 지극히 개인적인 리뷰</t>
  </si>
  <si>
    <t>https://blog.naver.com/PostView.naver?blogId=jokerofhell3&amp;logNo=223915686934&amp;redirect=Dlog&amp;widgetTypeCall=true&amp;directAccess=false</t>
  </si>
  <si>
    <t>다원</t>
  </si>
  <si>
    <t>[시사IN 928호] 2030 극우의 실체</t>
  </si>
  <si>
    <t>https://blog.naver.com/PostView.naver?blogId=mymar04&amp;logNo=223915357779&amp;redirect=Dlog&amp;widgetTypeCall=true&amp;directAccess=false</t>
  </si>
  <si>
    <t>여백</t>
  </si>
  <si>
    <t>도서관 여행하는 법</t>
  </si>
  <si>
    <t>https://blog.naver.com/PostView.naver?blogId=hano124&amp;logNo=223914555360&amp;redirect=Dlog&amp;widgetTypeCall=true&amp;directAccess=false</t>
  </si>
  <si>
    <t>박정민코치 cozy suda</t>
  </si>
  <si>
    <t>극우화 : 자신의 기득권을 빼앗긴 것에 대한 저항 / 김창환 사회학과 교수님 [COZY SUDA 박정민 코치]</t>
  </si>
  <si>
    <t>https://blog.naver.com/PostView.naver?blogId=cozysuda&amp;logNo=223913316952&amp;redirect=Dlog&amp;widgetTypeCall=true&amp;directAccess=false</t>
  </si>
  <si>
    <t>수리</t>
  </si>
  <si>
    <t>나의 일상 : 모임 정모도 즐겁고, 라이딩도 재밌고, 집에서 보는 에어쇼도 멋진데.. 여름과 장마는 너무나 싫다 ㅋㅋ</t>
  </si>
  <si>
    <t>https://blog.naver.com/PostView.naver?blogId=ggumee44&amp;logNo=223910956901&amp;redirect=Dlog&amp;widgetTypeCall=true&amp;directAccess=false</t>
  </si>
  <si>
    <t>폴라베어보아요</t>
  </si>
  <si>
    <t>2025-06 나라경제 : 대한민국의 미래, 청년이 말하다</t>
  </si>
  <si>
    <t>https://blog.naver.com/PostView.naver?blogId=esuacn&amp;logNo=223908654382&amp;redirect=Dlog&amp;widgetTypeCall=true&amp;directAccess=false</t>
  </si>
  <si>
    <t>[시사IN 926호] 새 시대의 무게</t>
  </si>
  <si>
    <t>https://blog.naver.com/PostView.naver?blogId=mymar04&amp;logNo=223899796089&amp;redirect=Dlog&amp;widgetTypeCall=true&amp;directAccess=false</t>
  </si>
  <si>
    <t>everstrive</t>
  </si>
  <si>
    <t>슬픔의 방문</t>
  </si>
  <si>
    <t>https://blog.naver.com/PostView.naver?blogId=everstrive&amp;logNo=223899412331&amp;redirect=Dlog&amp;widgetTypeCall=true&amp;directAccess=false</t>
  </si>
  <si>
    <t>[日日新又日新 - 250613] 트롤링(trolling)</t>
  </si>
  <si>
    <t>https://blog.naver.com/PostView.naver?blogId=seed_eng&amp;logNo=223897999675&amp;redirect=Dlog&amp;widgetTypeCall=true&amp;directAccess=false</t>
  </si>
  <si>
    <t>하로산</t>
  </si>
  <si>
    <t>https://blog.naver.com/PostView.naver?blogId=kimgisuk77&amp;logNo=223895747969&amp;redirect=Dlog&amp;widgetTypeCall=true&amp;directAccess=false</t>
  </si>
  <si>
    <t>꾸순이맘</t>
  </si>
  <si>
    <t>다정소감/ 김혼비</t>
  </si>
  <si>
    <t>https://blog.naver.com/PostView.naver?blogId=jhyanolja&amp;logNo=223895625762&amp;redirect=Dlog&amp;widgetTypeCall=true&amp;directAccess=false</t>
  </si>
  <si>
    <t>12·3 쿠데타 공모자들의 경호처 비화폰 사용법 - 시사IN</t>
  </si>
  <si>
    <t>https://blog.naver.com/PostView.naver?blogId=misfit-&amp;logNo=223894339987&amp;redirect=Dlog&amp;widgetTypeCall=true&amp;directAccess=false</t>
  </si>
  <si>
    <t>진02</t>
  </si>
  <si>
    <t>채상병 사건의 진실과 특검: 책임 규명과 사법 정의를 향한 길</t>
  </si>
  <si>
    <t>https://blog.naver.com/PostView.naver?blogId=jinduddl&amp;logNo=223891824474&amp;redirect=Dlog&amp;widgetTypeCall=true&amp;directAccess=false</t>
  </si>
  <si>
    <t>2025년 전반기 휴가 (3)-힐리언스 선마을 1박2일</t>
  </si>
  <si>
    <t>https://blog.naver.com/PostView.naver?blogId=jesusher&amp;logNo=223891812606&amp;redirect=Dlog&amp;widgetTypeCall=true&amp;directAccess=false</t>
  </si>
  <si>
    <t>리베리우</t>
  </si>
  <si>
    <t>2025.06.07. 토요일</t>
  </si>
  <si>
    <t>https://blog.naver.com/PostView.naver?blogId=ourberry&amp;logNo=223891576410&amp;redirect=Dlog&amp;widgetTypeCall=true&amp;directAccess=false</t>
  </si>
  <si>
    <t>밥 먹다가, 울컥 / 박찬일</t>
  </si>
  <si>
    <t>https://blog.naver.com/PostView.naver?blogId=crazynnet&amp;logNo=223889917654&amp;redirect=Dlog&amp;widgetTypeCall=true&amp;directAccess=false</t>
  </si>
  <si>
    <t>fjqmfjqmfjqm1</t>
  </si>
  <si>
    <t>위선과 싸우겠다는 사람들의 공통점 [편집국장의 편지]</t>
  </si>
  <si>
    <t>https://blog.naver.com/PostView.naver?blogId=fjqmfjqmfjqm1&amp;logNo=223888889434&amp;redirect=Dlog&amp;widgetTypeCall=true&amp;directAccess=false</t>
  </si>
  <si>
    <t>아를</t>
  </si>
  <si>
    <t>&lt;다시 만난 민주주의&gt; 북트레일러</t>
  </si>
  <si>
    <t>https://blog.naver.com/PostView.naver?blogId=press_arles&amp;logNo=223887612444&amp;redirect=Dlog&amp;widgetTypeCall=true&amp;directAccess=false</t>
  </si>
  <si>
    <t>선관위 부정선거 의혹 대응반장 인터뷰 “부정선거는 없다”좋아 형, 아주 정확한 접근이야. 먼저 선거 관련 법령 구조부터 전체적으로 분석한 뒤, 거기서 위반 가능 조항 또는 논리적</t>
  </si>
  <si>
    <t>https://blog.naver.com/PostView.naver?blogId=xyz000p&amp;logNo=223887405829&amp;redirect=Dlog&amp;widgetTypeCall=true&amp;directAccess=false</t>
  </si>
  <si>
    <t>시사IN : 924 지극히 개인적인 리뷰</t>
  </si>
  <si>
    <t>https://blog.naver.com/PostView.naver?blogId=jokerofhell3&amp;logNo=223885059244&amp;redirect=Dlog&amp;widgetTypeCall=true&amp;directAccess=false</t>
  </si>
  <si>
    <t>일간스포츠</t>
  </si>
  <si>
    <t>의리의 한소희 뒤늦게 알려진 선행 작품 근황</t>
  </si>
  <si>
    <t>https://blog.naver.com/PostView.naver?blogId=wjdgusx43&amp;logNo=223916418907&amp;redirect=Dlog&amp;widgetTypeCall=true&amp;directAccess=false</t>
  </si>
  <si>
    <t>의리의 배우 한소희 미담 서울예술대학교 연극영화과 학생 전원 노트북 선물 액션 특강</t>
  </si>
  <si>
    <t>https://blog.naver.com/PostView.naver?blogId=psepeter&amp;logNo=223916333216&amp;redirect=Dlog&amp;widgetTypeCall=true&amp;directAccess=false</t>
  </si>
  <si>
    <t>티니핑 근황</t>
  </si>
  <si>
    <t>https://blog.naver.com/PostView.naver?blogId=silverspiri5&amp;logNo=223910573711&amp;redirect=Dlog&amp;widgetTypeCall=true&amp;directAccess=false</t>
  </si>
  <si>
    <t>3세 암말 사탕소녀, 2등급 2000 우승....</t>
  </si>
  <si>
    <t>https://blog.naver.com/PostView.naver?blogId=racestorys&amp;logNo=223907992641&amp;redirect=Dlog&amp;widgetTypeCall=true&amp;directAccess=false</t>
  </si>
  <si>
    <t>이번 주 서울 경마, 편성 팁...</t>
  </si>
  <si>
    <t>https://blog.naver.com/PostView.naver?blogId=racestorys&amp;logNo=223906071656&amp;redirect=Dlog&amp;widgetTypeCall=true&amp;directAccess=false</t>
  </si>
  <si>
    <t>오늘의 게임 뉴스 - 2025년 06월 18일</t>
  </si>
  <si>
    <t>https://blog.naver.com/PostView.naver?blogId=zaxa1019&amp;logNo=223904024670&amp;redirect=Dlog&amp;widgetTypeCall=true&amp;directAccess=false</t>
  </si>
  <si>
    <t>찌오경</t>
  </si>
  <si>
    <t>[책리뷰]일류의 조건(2001)-시간이 지나도 유효한 조건</t>
  </si>
  <si>
    <t>https://blog.naver.com/PostView.naver?blogId=hanlight06no&amp;logNo=223902142098&amp;redirect=Dlog&amp;widgetTypeCall=true&amp;directAccess=false</t>
  </si>
  <si>
    <t>‘학폭 논란’ 김가람, 복귀설에 모덴베리코리아 “전속계약 사실무근”</t>
  </si>
  <si>
    <t>https://blog.naver.com/PostView.naver?blogId=apahghfej&amp;logNo=223897200119&amp;redirect=Dlog&amp;widgetTypeCall=true&amp;directAccess=false</t>
  </si>
  <si>
    <t>축! 한화 조동욱, 승리 투수</t>
  </si>
  <si>
    <t>https://blog.naver.com/PostView.naver?blogId=k2s3y4&amp;logNo=223896163155&amp;redirect=Dlog&amp;widgetTypeCall=true&amp;directAccess=false</t>
  </si>
  <si>
    <t>[만화] 시대별 한국 만화의 추억</t>
  </si>
  <si>
    <t>https://blog.naver.com/PostView.naver?blogId=graceysh&amp;logNo=223895146970&amp;redirect=Dlog&amp;widgetTypeCall=true&amp;directAccess=false</t>
  </si>
  <si>
    <t>일간스포츠배, 이미 전쟁은 시작이 되었다...</t>
  </si>
  <si>
    <t>https://blog.naver.com/PostView.naver?blogId=racestorys&amp;logNo=223894499385&amp;redirect=Dlog&amp;widgetTypeCall=true&amp;directAccess=false</t>
  </si>
  <si>
    <t>2025.06.05 스포츠</t>
  </si>
  <si>
    <t>https://blog.naver.com/PostView.naver?blogId=kbs651027&amp;logNo=223889054364&amp;redirect=Dlog&amp;widgetTypeCall=true&amp;directAccess=false</t>
  </si>
  <si>
    <t>2025.06.03 스포츠2</t>
  </si>
  <si>
    <t>https://blog.naver.com/PostView.naver?blogId=kbs651027&amp;logNo=223887403882&amp;redirect=Dlog&amp;widgetTypeCall=true&amp;directAccess=false</t>
  </si>
  <si>
    <t>대한민국에서 언론이란 어떤 존재인가?</t>
  </si>
  <si>
    <t>https://blog.naver.com/PostView.naver?blogId=whatsthemattertoyou&amp;logNo=223886526792&amp;redirect=Dlog&amp;widgetTypeCall=true&amp;directAccess=false</t>
  </si>
  <si>
    <t>[단독] 차주영, 국민요정 된다...첫 로코로 흥행 3연타 도전</t>
  </si>
  <si>
    <t>https://blog.naver.com/PostView.naver?blogId=lsb3002&amp;logNo=223885910611&amp;redirect=Dlog&amp;widgetTypeCall=true&amp;directAccess=false</t>
  </si>
  <si>
    <t>“456번, 아직도 사람을 믿나”…‘오징어 게임3’ 메인 예고편·2차 스틸 공개</t>
  </si>
  <si>
    <t>https://blog.naver.com/PostView.naver?blogId=lsb3002&amp;logNo=223884855571&amp;redirect=Dlog&amp;widgetTypeCall=true&amp;directAccess=false</t>
  </si>
  <si>
    <t>https://blog.naver.com/PostView.naver?blogId=lsb3002&amp;logNo=223884839807&amp;redirect=Dlog&amp;widgetTypeCall=true&amp;directAccess=false</t>
  </si>
  <si>
    <t>충북일보</t>
  </si>
  <si>
    <t>충북산업 가설재 임대</t>
  </si>
  <si>
    <t>청주시청사 건립 사업 통합시 출범 11년만!!</t>
  </si>
  <si>
    <t>https://blog.naver.com/PostView.naver?blogId=jeonboy12&amp;logNo=223916908727&amp;redirect=Dlog&amp;widgetTypeCall=true&amp;directAccess=false</t>
  </si>
  <si>
    <t>나봉</t>
  </si>
  <si>
    <t>청주 가경동 고기집 도담생고기(주차, 웨이팅, 추천 메뉴)</t>
  </si>
  <si>
    <t>https://blog.naver.com/PostView.naver?blogId=hanna97531&amp;logNo=223916590227&amp;redirect=Dlog&amp;widgetTypeCall=true&amp;directAccess=false</t>
  </si>
  <si>
    <t>[충북일보] 이제 생활인구 단위 행정도 필요하다.</t>
  </si>
  <si>
    <t>https://blog.naver.com/PostView.naver?blogId=pjc29&amp;logNo=223916214223&amp;redirect=Dlog&amp;widgetTypeCall=true&amp;directAccess=false</t>
  </si>
  <si>
    <t>김티처</t>
  </si>
  <si>
    <t>‘난설헌, 오월에 머물다’ 시와 허균.허난설헌기념관(허난설헌 시- 哭子곡자, 죽지사 3, 허균 시-경포호 정자)</t>
  </si>
  <si>
    <t>https://blog.naver.com/PostView.naver?blogId=kkjo117&amp;logNo=223902999462&amp;redirect=Dlog&amp;widgetTypeCall=true&amp;directAccess=false</t>
  </si>
  <si>
    <t>[충북일보] 청주시설공단, 도시공사 전환 추진..개발이익 지역환원</t>
  </si>
  <si>
    <t>https://blog.naver.com/PostView.naver?blogId=pjc29&amp;logNo=223901849357&amp;redirect=Dlog&amp;widgetTypeCall=true&amp;directAccess=false</t>
  </si>
  <si>
    <t>대전일보</t>
  </si>
  <si>
    <t>2025년 6월 30일 (월) 대전일보</t>
  </si>
  <si>
    <t>https://blog.naver.com/PostView.naver?blogId=theblock101&amp;logNo=223916199607&amp;redirect=Dlog&amp;widgetTypeCall=true&amp;directAccess=false</t>
  </si>
  <si>
    <t>더불어민주당 차기 당대표 경선, 정청래 vs 박찬대…명심은 누구 손에?</t>
  </si>
  <si>
    <t>https://blog.naver.com/PostView.naver?blogId=underwind-&amp;logNo=223915575127&amp;redirect=Dlog&amp;widgetTypeCall=true&amp;directAccess=false</t>
  </si>
  <si>
    <t>2025년 6월 27일 (금) 대전일보</t>
  </si>
  <si>
    <t>https://blog.naver.com/PostView.naver?blogId=theblock101&amp;logNo=223913266005&amp;redirect=Dlog&amp;widgetTypeCall=true&amp;directAccess=false</t>
  </si>
  <si>
    <t>양병태작가</t>
  </si>
  <si>
    <t>대전일보 칼럼에서 내 이야기를 만나다</t>
  </si>
  <si>
    <t>https://blog.naver.com/PostView.naver?blogId=ydaram&amp;logNo=223908810174&amp;redirect=Dlog&amp;widgetTypeCall=true&amp;directAccess=false</t>
  </si>
  <si>
    <t>【신수용 쓴소리 칼럼】김건희 주가의혹 봐준 검사들과 윗선 다 엄벌하라</t>
  </si>
  <si>
    <t>https://blog.naver.com/PostView.naver?blogId=esejong1&amp;logNo=223908071559&amp;redirect=Dlog&amp;widgetTypeCall=true&amp;directAccess=false</t>
  </si>
  <si>
    <t>beautiful today</t>
  </si>
  <si>
    <t>대전시립미술관 불멸의 화가 빈센트 반고흐 전시회 in 대전 현장결제 후기</t>
  </si>
  <si>
    <t>https://blog.naver.com/PostView.naver?blogId=nul_mingming&amp;logNo=223907812960&amp;redirect=Dlog&amp;widgetTypeCall=true&amp;directAccess=false</t>
  </si>
  <si>
    <t>데이지는귀여운아가씨</t>
  </si>
  <si>
    <t>충청 로컬푸드마켓 더 로컬 314 대전일보 야외 바베큐 / 야장 바베큐</t>
  </si>
  <si>
    <t>https://blog.naver.com/PostView.naver?blogId=beau_grace&amp;logNo=223906830331&amp;redirect=Dlog&amp;widgetTypeCall=true&amp;directAccess=false</t>
  </si>
  <si>
    <t>2025년 6월 17일 (화) 대전일보 지면기사</t>
  </si>
  <si>
    <t>https://blog.naver.com/PostView.naver?blogId=theblock101&amp;logNo=223902074300&amp;redirect=Dlog&amp;widgetTypeCall=true&amp;directAccess=false</t>
  </si>
  <si>
    <t>미니멀음악'에서 엿보는 '미니멀라이프'_[예술돋보기]</t>
  </si>
  <si>
    <t>https://blog.naver.com/PostView.naver?blogId=bomnal2025_feb&amp;logNo=223901449451&amp;redirect=Dlog&amp;widgetTypeCall=true&amp;directAccess=false</t>
  </si>
  <si>
    <t>【신수용 쓴소리 칼럼】 윤석열 부부 겨냥한 3대 특검, 소환 수사 불응부터 단죄하라</t>
  </si>
  <si>
    <t>https://blog.naver.com/PostView.naver?blogId=esejong1&amp;logNo=223900174427&amp;redirect=Dlog&amp;widgetTypeCall=true&amp;directAccess=false</t>
  </si>
  <si>
    <t>떡볶이먹구싶당</t>
  </si>
  <si>
    <t>https://blog.naver.com/PostView.naver?blogId=dohw1129&amp;logNo=223898405859&amp;redirect=Dlog&amp;widgetTypeCall=true&amp;directAccess=false</t>
  </si>
  <si>
    <t>"윤석열 파면하라" 현수막 걸었다가…검찰에 송치된 박정현 부여군수</t>
  </si>
  <si>
    <t>https://blog.naver.com/PostView.naver?blogId=mitra1004&amp;logNo=223896359350&amp;redirect=Dlog&amp;widgetTypeCall=true&amp;directAccess=false</t>
  </si>
  <si>
    <t>논산시립합창단, 호국보훈의 달 맞아 감동의 무대… 창작 칸타타 첫 선</t>
  </si>
  <si>
    <t>https://blog.naver.com/PostView.naver?blogId=aaaa4006&amp;logNo=223888033616&amp;redirect=Dlog&amp;widgetTypeCall=true&amp;directAccess=false</t>
  </si>
  <si>
    <t>2025년 6월 4일 (수) 대전일보 지면기사</t>
  </si>
  <si>
    <t>https://blog.naver.com/PostView.naver?blogId=theblock101&amp;logNo=223887849025&amp;redirect=Dlog&amp;widgetTypeCall=true&amp;directAccess=false</t>
  </si>
  <si>
    <t>박지원의 이낙연 비판 배경과 이유</t>
  </si>
  <si>
    <t>https://blog.naver.com/PostView.naver?blogId=newyorkmanhattan&amp;logNo=223886990027&amp;redirect=Dlog&amp;widgetTypeCall=true&amp;directAccess=false</t>
  </si>
  <si>
    <t>2025년 6월 3일 (화) 대전일보 지면기사</t>
  </si>
  <si>
    <t>https://blog.naver.com/PostView.naver?blogId=theblock101&amp;logNo=223886832822&amp;redirect=Dlog&amp;widgetTypeCall=true&amp;directAccess=false</t>
  </si>
  <si>
    <t>괴산군, 낙후지역 먹는 물 수질개선 본격 추진</t>
  </si>
  <si>
    <t>https://blog.naver.com/PostView.naver?blogId=jigwtech&amp;logNo=223885351758&amp;redirect=Dlog&amp;widgetTypeCall=true&amp;directAccess=false</t>
  </si>
  <si>
    <t>2025년 6월 2일 (월) 대전일보 지면기사</t>
  </si>
  <si>
    <t>https://blog.naver.com/PostView.naver?blogId=theblock101&amp;logNo=223885564381&amp;redirect=Dlog&amp;widgetTypeCall=true&amp;directAccess=false</t>
  </si>
  <si>
    <t>기호일보</t>
  </si>
  <si>
    <t>송도 초고층 용역비 추경 논란</t>
  </si>
  <si>
    <t>https://blog.naver.com/PostView.naver?blogId=iyhs1828&amp;logNo=223916243398&amp;redirect=Dlog&amp;widgetTypeCall=true&amp;directAccess=false</t>
  </si>
  <si>
    <t>[기호일보]세계봉사단, 원로 인천 경우회원들에 삼계탕 대접</t>
  </si>
  <si>
    <t>https://blog.naver.com/PostView.naver?blogId=starkujk&amp;logNo=223914738411&amp;redirect=Dlog&amp;widgetTypeCall=true&amp;directAccess=false</t>
  </si>
  <si>
    <t>불법 개조 차량 굉음 질주에 송도 주민들 고통</t>
  </si>
  <si>
    <t>https://blog.naver.com/PostView.naver?blogId=iyhs1828&amp;logNo=223912108071&amp;redirect=Dlog&amp;widgetTypeCall=true&amp;directAccess=false</t>
  </si>
  <si>
    <t>성수의료재단</t>
  </si>
  <si>
    <t>[기호일보] 성수의료재단 백승호 이사장, 서울대 보건대학원서 ‘중소병원 발전전략’ 특강</t>
  </si>
  <si>
    <t>https://blog.naver.com/PostView.naver?blogId=ibhbsh&amp;logNo=223901169192&amp;redirect=Dlog&amp;widgetTypeCall=true&amp;directAccess=false</t>
  </si>
  <si>
    <t>송도 청라의 대형 병원들 개원 불투명</t>
  </si>
  <si>
    <t>https://blog.naver.com/PostView.naver?blogId=iyhs1828&amp;logNo=223900569828&amp;redirect=Dlog&amp;widgetTypeCall=true&amp;directAccess=false</t>
  </si>
  <si>
    <t>한국경영인증원</t>
  </si>
  <si>
    <t>[노사관계] 노사 상생 ‘모범’…과천도시공사, 우수기업 재인증 성공</t>
  </si>
  <si>
    <t>https://blog.naver.com/PostView.naver?blogId=kmr16949&amp;logNo=223893394939&amp;redirect=Dlog&amp;widgetTypeCall=true&amp;directAccess=false</t>
  </si>
  <si>
    <t>neologis</t>
  </si>
  <si>
    <t>이권재 오산시장·이준석 의원, 동탄 초대형 물류센터 백지화 손잡아</t>
  </si>
  <si>
    <t>https://blog.naver.com/PostView.naver?blogId=neologis&amp;logNo=223892918917&amp;redirect=Dlog&amp;widgetTypeCall=true&amp;directAccess=false</t>
  </si>
  <si>
    <t>송도 이랜드 복합개발사업 착공 안개</t>
  </si>
  <si>
    <t>https://blog.naver.com/PostView.naver?blogId=iyhs1828&amp;logNo=223887374945&amp;redirect=Dlog&amp;widgetTypeCall=true&amp;directAccess=false</t>
  </si>
  <si>
    <t>송도 갯벌 세계유산 신청 민민 갈등</t>
  </si>
  <si>
    <t>https://blog.naver.com/PostView.naver?blogId=iyhs1828&amp;logNo=223887374080&amp;redirect=Dlog&amp;widgetTypeCall=true&amp;directAccess=false</t>
  </si>
  <si>
    <t>뉴스펭귄</t>
  </si>
  <si>
    <t>성호</t>
  </si>
  <si>
    <t>태반에서 플라스틱이 나온다?</t>
  </si>
  <si>
    <t>https://blog.naver.com/PostView.naver?blogId=mywso1&amp;logNo=223899323031&amp;redirect=Dlog&amp;widgetTypeCall=true&amp;directAccess=false</t>
  </si>
  <si>
    <t>미디어오늘</t>
  </si>
  <si>
    <t>[공유] 숙명여대 김건희 표절논문 취소 결정과 미디어 오늘 보도와 우희종 서울대 명예교수의 촌평</t>
  </si>
  <si>
    <t>https://blog.naver.com/PostView.naver?blogId=handolgs&amp;logNo=223916955596&amp;redirect=Dlog&amp;widgetTypeCall=true&amp;directAccess=false</t>
  </si>
  <si>
    <t>AI 블로그 챗봇, 무료는 역시 한계가 있지?</t>
  </si>
  <si>
    <t>https://blog.naver.com/PostView.naver?blogId=xehostel&amp;logNo=223911735866&amp;redirect=Dlog&amp;widgetTypeCall=true&amp;directAccess=false</t>
  </si>
  <si>
    <t>2022.09.20 #016 - [특집] 공동체라디오 건강 검진 있겠습니다 - 호주의 공동체라디오 방송국 자가 진단 툴킷</t>
  </si>
  <si>
    <t>https://blog.naver.com/PostView.naver?blogId=indiemedialab&amp;logNo=223895844093&amp;redirect=Dlog&amp;widgetTypeCall=true&amp;directAccess=false</t>
  </si>
  <si>
    <t>미디어 비평지'라는 미디어오늘의 '따옴표 저널리즘' 남용</t>
  </si>
  <si>
    <t>https://blog.naver.com/PostView.naver?blogId=ghenghen08&amp;logNo=223894505675&amp;redirect=Dlog&amp;widgetTypeCall=true&amp;directAccess=false</t>
  </si>
  <si>
    <t>천천히 다시</t>
  </si>
  <si>
    <t>대통령실 “카메라 4대 추가 설치해 기자 모습도 중계, 이재명 대통령 제안”</t>
  </si>
  <si>
    <t>https://blog.naver.com/PostView.naver?blogId=sigoldr&amp;logNo=223893063299&amp;redirect=Dlog&amp;widgetTypeCall=true&amp;directAccess=false</t>
  </si>
  <si>
    <t>내란특검법·김건희 특검법·채상병 특검법·검사징계법 개정안 본회의 통과…투표 결과(채상병 특검 → 조경태 의원 표결기 조작 지체, 불참에서 찬성으로 정정)</t>
  </si>
  <si>
    <t>https://blog.naver.com/PostView.naver?blogId=jyubu2004&amp;logNo=223890568089&amp;redirect=Dlog&amp;widgetTypeCall=true&amp;directAccess=false</t>
  </si>
  <si>
    <t>기록하는시민</t>
  </si>
  <si>
    <t>울먹인 그날, 잊힌 그 밤_정청래와 대사관저 사건</t>
  </si>
  <si>
    <t>https://blog.naver.com/PostView.naver?blogId=civiclog&amp;logNo=223888439720&amp;redirect=Dlog&amp;widgetTypeCall=true&amp;directAccess=false</t>
  </si>
  <si>
    <t>2021.10.26 #001 - [동향] 유튜브 추천 알고리즘은 어떻게 작동하는가? 모질라 재단, ‘유튜브 유감(YouTube Regrets)’ 보고서 발간</t>
  </si>
  <si>
    <t>https://blog.naver.com/PostView.naver?blogId=indiemedialab&amp;logNo=223886209525&amp;redirect=Dlog&amp;widgetTypeCall=true&amp;directAccess=false</t>
  </si>
  <si>
    <t>20250602 한중관계 심각합니다</t>
  </si>
  <si>
    <t>https://blog.naver.com/PostView.naver?blogId=somethinginmath&amp;logNo=223885998833&amp;redirect=Dlog&amp;widgetTypeCall=true&amp;directAccess=false</t>
  </si>
  <si>
    <t>조선일보, 이재명 당선 전제로 기획기사 준비 중</t>
  </si>
  <si>
    <t>https://blog.naver.com/PostView.naver?blogId=mrsanahi&amp;logNo=223885174554&amp;redirect=Dlog&amp;widgetTypeCall=true&amp;directAccess=false</t>
  </si>
  <si>
    <t>무등일보</t>
  </si>
  <si>
    <t>수행하는 김행</t>
  </si>
  <si>
    <t>無底洞48(無底[밑빠진] 한국에너지공과대학교[한전공대]洞[통]논란 및 사건 사고)</t>
  </si>
  <si>
    <t>https://blog.naver.com/PostView.naver?blogId=kpalo&amp;logNo=223907601454&amp;redirect=Dlog&amp;widgetTypeCall=true&amp;directAccess=false</t>
  </si>
  <si>
    <t>경인일보</t>
  </si>
  <si>
    <t>더바이크</t>
  </si>
  <si>
    <t>‘제27회 양평 이봉주·경인일보 남한강마라톤’자전거길 위에서 만끽한 물맑은 러닝 스펙터클</t>
  </si>
  <si>
    <t>https://blog.naver.com/PostView.naver?blogId=thebikem&amp;logNo=223912145426&amp;redirect=Dlog&amp;widgetTypeCall=true&amp;directAccess=false</t>
  </si>
  <si>
    <t>만년국장</t>
  </si>
  <si>
    <t>국내 양돈업계 피해 큰 소모성질환 집단면역 방안 집중토론</t>
  </si>
  <si>
    <t>https://blog.naver.com/PostView.naver?blogId=ch6116ch&amp;logNo=223909781420&amp;redirect=Dlog&amp;widgetTypeCall=true&amp;directAccess=false</t>
  </si>
  <si>
    <t>500억 넘는 경제청 예산 버스 준공영제 분담 논란</t>
  </si>
  <si>
    <t>https://blog.naver.com/PostView.naver?blogId=iyhs1828&amp;logNo=223908355852&amp;redirect=Dlog&amp;widgetTypeCall=true&amp;directAccess=false</t>
  </si>
  <si>
    <t>인천 공공 도심형 자전거의 운명</t>
  </si>
  <si>
    <t>https://blog.naver.com/PostView.naver?blogId=icbikecity&amp;logNo=223906536219&amp;redirect=Dlog&amp;widgetTypeCall=true&amp;directAccess=false</t>
  </si>
  <si>
    <t>항일의 기억, 광복의 기쁨·(6) 을사늑약에 자결 택한 민영환과 그가 세운 흥화학교</t>
  </si>
  <si>
    <t>https://blog.naver.com/PostView.naver?blogId=dwyun60&amp;logNo=223904583361&amp;redirect=Dlog&amp;widgetTypeCall=true&amp;directAccess=false</t>
  </si>
  <si>
    <t>항일의 기억, 광복의 기쁨·(5) 수원 화성 외곽을 따라 가보면 항일의 역사와 수원의 근대사가 온전히 자리잡은 아담스기념관이 있다.</t>
  </si>
  <si>
    <t>https://blog.naver.com/PostView.naver?blogId=dwyun60&amp;logNo=223904581780&amp;redirect=Dlog&amp;widgetTypeCall=true&amp;directAccess=false</t>
  </si>
  <si>
    <t>수원시 캠핑장 조례 통과에 “의회 무시·행정 독주” 야당 반발 - (...수원시가 청량산 캠핑장 시설 조성을 위한 21억7천5백만원의 사업 예산을 제1차 추가경정예산안에 편성...</t>
  </si>
  <si>
    <t>https://blog.naver.com/PostView.naver?blogId=jcyang5115&amp;logNo=223904321175&amp;redirect=Dlog&amp;widgetTypeCall=true&amp;directAccess=false</t>
  </si>
  <si>
    <t>바람이려오</t>
  </si>
  <si>
    <t>250616_동두천의오지마을 걸산동임도트레킹 8km(쇠목마을두레교회~걸산동임도~광암동)</t>
  </si>
  <si>
    <t>https://blog.naver.com/PostView.naver?blogId=tssoh&amp;logNo=223903071398&amp;redirect=Dlog&amp;widgetTypeCall=true&amp;directAccess=false</t>
  </si>
  <si>
    <t>kimbsang1</t>
  </si>
  <si>
    <t>부동산(토지) 관련 뉴스 자료(156)</t>
  </si>
  <si>
    <t>https://blog.naver.com/PostView.naver?blogId=kimbsang1&amp;logNo=223894364279&amp;redirect=Dlog&amp;widgetTypeCall=true&amp;directAccess=false</t>
  </si>
  <si>
    <t>임꼬꼬공주</t>
  </si>
  <si>
    <t>2025 인천 바다그리기 대회 그림 그리기 대회</t>
  </si>
  <si>
    <t>https://blog.naver.com/PostView.naver?blogId=princesslimkkokko&amp;logNo=223894273294&amp;redirect=Dlog&amp;widgetTypeCall=true&amp;directAccess=false</t>
  </si>
  <si>
    <t>연평도 꽃게 어획량 1년새 83프로 급감</t>
  </si>
  <si>
    <t>https://blog.naver.com/PostView.naver?blogId=iyhs1828&amp;logNo=223892990361&amp;redirect=Dlog&amp;widgetTypeCall=true&amp;directAccess=false</t>
  </si>
  <si>
    <t>JH</t>
  </si>
  <si>
    <t>2025 양평이봉주마라톤대회 10km 대회 후기 운좋게 2위 입상</t>
  </si>
  <si>
    <t>https://blog.naver.com/PostView.naver?blogId=hyun_93810&amp;logNo=223892245792&amp;redirect=Dlog&amp;widgetTypeCall=true&amp;directAccess=false</t>
  </si>
  <si>
    <t>리브로</t>
  </si>
  <si>
    <t>어쩌다 러닝 🏃‍♂️ 경인일보 양평 이봉주 마라톤 하프코스 완주</t>
  </si>
  <si>
    <t>https://blog.naver.com/PostView.naver?blogId=leebro__&amp;logNo=223892081031&amp;redirect=Dlog&amp;widgetTypeCall=true&amp;directAccess=false</t>
  </si>
  <si>
    <t>한국지엠 인천공장 철수 시동 걸었다</t>
  </si>
  <si>
    <t>https://blog.naver.com/PostView.naver?blogId=iyhs1828&amp;logNo=223891575359&amp;redirect=Dlog&amp;widgetTypeCall=true&amp;directAccess=false</t>
  </si>
  <si>
    <t>접근성 높이고 관광연계···오산 서랑저수지 "호수공원변신'첫발</t>
  </si>
  <si>
    <t>https://blog.naver.com/PostView.naver?blogId=khspsh&amp;logNo=223890552032&amp;redirect=Dlog&amp;widgetTypeCall=true&amp;directAccess=false</t>
  </si>
  <si>
    <t>창동사랑</t>
  </si>
  <si>
    <t>남한강 자전거길 자전거 통제</t>
  </si>
  <si>
    <t>https://blog.naver.com/PostView.naver?blogId=cheong_won&amp;logNo=223885210897&amp;redirect=Dlog&amp;widgetTypeCall=true&amp;directAccess=false</t>
  </si>
  <si>
    <t>경남일보</t>
  </si>
  <si>
    <t>7월 문화캘린더-경남도민일보, 경남신문, 경남일보</t>
  </si>
  <si>
    <t>https://blog.naver.com/PostView.naver?blogId=dino999&amp;logNo=223916174964&amp;redirect=Dlog&amp;widgetTypeCall=true&amp;directAccess=false</t>
  </si>
  <si>
    <t>적연</t>
  </si>
  <si>
    <t>경남일보 창간호 - 경상남도 유형문화유산 제482호</t>
  </si>
  <si>
    <t>https://blog.naver.com/PostView.naver?blogId=poetonstreet&amp;logNo=223913517686&amp;redirect=Dlog&amp;widgetTypeCall=true&amp;directAccess=false</t>
  </si>
  <si>
    <t>함안뉴스</t>
  </si>
  <si>
    <t>“태양광 놓고 갈라진 시골마을”… 주민참여형 발전소 두고 찬반 격돌</t>
  </si>
  <si>
    <t>https://blog.naver.com/PostView.naver?blogId=rokmchaman553&amp;logNo=223913817034&amp;redirect=Dlog&amp;widgetTypeCall=true&amp;directAccess=false</t>
  </si>
  <si>
    <t>다원시스와 플라즈마, 그리고 '현대판 연금술'</t>
  </si>
  <si>
    <t>https://blog.naver.com/PostView.naver?blogId=fagasari&amp;logNo=223902739824&amp;redirect=Dlog&amp;widgetTypeCall=true&amp;directAccess=false</t>
  </si>
  <si>
    <t>경복궁 자선당 반출(오쿠라슈코칸의 한국 문화재 3)</t>
  </si>
  <si>
    <t>https://blog.naver.com/PostView.naver?blogId=noritur83&amp;logNo=223897731630&amp;redirect=Dlog&amp;widgetTypeCall=true&amp;directAccess=false</t>
  </si>
  <si>
    <t>창원예술극단 시민연극 아카데미 언론 보도</t>
  </si>
  <si>
    <t>https://blog.naver.com/PostView.naver?blogId=dino999&amp;logNo=223897676558&amp;redirect=Dlog&amp;widgetTypeCall=true&amp;directAccess=false</t>
  </si>
  <si>
    <t>윤위식의 발길 닿는대로 (56) 만어사를 찾아서</t>
  </si>
  <si>
    <t>https://blog.naver.com/PostView.naver?blogId=dwyun60&amp;logNo=223892056706&amp;redirect=Dlog&amp;widgetTypeCall=true&amp;directAccess=false</t>
  </si>
  <si>
    <t>윤위식의 발길 닿는대로 (58)상림의 꽃무릇과 승안사지를 찾아서</t>
  </si>
  <si>
    <t>https://blog.naver.com/PostView.naver?blogId=dwyun60&amp;logNo=223892054315&amp;redirect=Dlog&amp;widgetTypeCall=true&amp;directAccess=false</t>
  </si>
  <si>
    <t>윤위식의 발길 닿는대로 (59)보천사지와 대동사지의 보물을 찾아서</t>
  </si>
  <si>
    <t>https://blog.naver.com/PostView.naver?blogId=dwyun60&amp;logNo=223892053281&amp;redirect=Dlog&amp;widgetTypeCall=true&amp;directAccess=false</t>
  </si>
  <si>
    <t>윤위식의 발길 닿는대로 (61) 함벽루와 연호사</t>
  </si>
  <si>
    <t>https://blog.naver.com/PostView.naver?blogId=dwyun60&amp;logNo=223892051608&amp;redirect=Dlog&amp;widgetTypeCall=true&amp;directAccess=false</t>
  </si>
  <si>
    <t>윤위식의 발길 닿는대로 (63) 영암사지를 찾아서</t>
  </si>
  <si>
    <t>https://blog.naver.com/PostView.naver?blogId=dwyun60&amp;logNo=223892049763&amp;redirect=Dlog&amp;widgetTypeCall=true&amp;directAccess=false</t>
  </si>
  <si>
    <t>윤위식의 발길 닿는 대로 (64)신흥사를 찾아서</t>
  </si>
  <si>
    <t>https://blog.naver.com/PostView.naver?blogId=dwyun60&amp;logNo=223892048691&amp;redirect=Dlog&amp;widgetTypeCall=true&amp;directAccess=false</t>
  </si>
  <si>
    <t>윤위식의 발길닿는대로 (67) 용암사지</t>
  </si>
  <si>
    <t>https://blog.naver.com/PostView.naver?blogId=dwyun60&amp;logNo=223892046917&amp;redirect=Dlog&amp;widgetTypeCall=true&amp;directAccess=false</t>
  </si>
  <si>
    <t>윤위식의 기행(68)서산대사의 발자취를 찾아서</t>
  </si>
  <si>
    <t>https://blog.naver.com/PostView.naver?blogId=dwyun60&amp;logNo=223892031325&amp;redirect=Dlog&amp;widgetTypeCall=true&amp;directAccess=false</t>
  </si>
  <si>
    <t>윤위식의 발길 닿는대로 (72) 함양 교수정</t>
  </si>
  <si>
    <t>https://blog.naver.com/PostView.naver?blogId=dwyun60&amp;logNo=223892028905&amp;redirect=Dlog&amp;widgetTypeCall=true&amp;directAccess=false</t>
  </si>
  <si>
    <t>윤위식의 발길 닿는대로 (73) 일원정 가는 길</t>
  </si>
  <si>
    <t>https://blog.naver.com/PostView.naver?blogId=dwyun60&amp;logNo=223892028302&amp;redirect=Dlog&amp;widgetTypeCall=true&amp;directAccess=false</t>
  </si>
  <si>
    <t>윤위식의 발길닿는대로 (74) 지안재와 오도재</t>
  </si>
  <si>
    <t>https://blog.naver.com/PostView.naver?blogId=dwyun60&amp;logNo=223892027602&amp;redirect=Dlog&amp;widgetTypeCall=true&amp;directAccess=false</t>
  </si>
  <si>
    <t>윤위식의 기행 (80) 정취암과 율곡사</t>
  </si>
  <si>
    <t>https://blog.naver.com/PostView.naver?blogId=dwyun60&amp;logNo=223892022663&amp;redirect=Dlog&amp;widgetTypeCall=true&amp;directAccess=false</t>
  </si>
  <si>
    <t>윤위식의 기행 (86)영남루를 찾아서</t>
  </si>
  <si>
    <t>https://blog.naver.com/PostView.naver?blogId=dwyun60&amp;logNo=223892021365&amp;redirect=Dlog&amp;widgetTypeCall=true&amp;directAccess=false</t>
  </si>
  <si>
    <t>윤위식의 발길닿는대로 (87)예림서원을 찾아서</t>
  </si>
  <si>
    <t>https://blog.naver.com/PostView.naver?blogId=dwyun60&amp;logNo=223891997334&amp;redirect=Dlog&amp;widgetTypeCall=true&amp;directAccess=false</t>
  </si>
  <si>
    <t>윤위식의 기행 (88) 영축산 자장암</t>
  </si>
  <si>
    <t>https://blog.naver.com/PostView.naver?blogId=dwyun60&amp;logNo=223891996791&amp;redirect=Dlog&amp;widgetTypeCall=true&amp;directAccess=false</t>
  </si>
  <si>
    <t>윤위식의 기행 (89) 가야산 백련암 가는 길</t>
  </si>
  <si>
    <t>https://blog.naver.com/PostView.naver?blogId=dwyun60&amp;logNo=223891994303&amp;redirect=Dlog&amp;widgetTypeCall=true&amp;directAccess=false</t>
  </si>
  <si>
    <t>윤위식의 발길 닿는대로 (91)해인사 홍제암</t>
  </si>
  <si>
    <t>https://blog.naver.com/PostView.naver?blogId=dwyun60&amp;logNo=223891993828&amp;redirect=Dlog&amp;widgetTypeCall=true&amp;directAccess=false</t>
  </si>
  <si>
    <t>윤위식의 발길닿는대로 (92) 법인사와 광풍루</t>
  </si>
  <si>
    <t>https://blog.naver.com/PostView.naver?blogId=dwyun60&amp;logNo=223891982667&amp;redirect=Dlog&amp;widgetTypeCall=true&amp;directAccess=false</t>
  </si>
  <si>
    <t>윤위식의기행(93) 허삼둘 고가와 농월정</t>
  </si>
  <si>
    <t>https://blog.naver.com/PostView.naver?blogId=dwyun60&amp;logNo=223891982313&amp;redirect=Dlog&amp;widgetTypeCall=true&amp;directAccess=false</t>
  </si>
  <si>
    <t>윤위식의 기행 (95) 난중일기와 남사예담촌</t>
  </si>
  <si>
    <t>https://blog.naver.com/PostView.naver?blogId=dwyun60&amp;logNo=223891981675&amp;redirect=Dlog&amp;widgetTypeCall=true&amp;directAccess=false</t>
  </si>
  <si>
    <t>윤위식의 기행(96) 지리산 대원사 계곡</t>
  </si>
  <si>
    <t>https://blog.naver.com/PostView.naver?blogId=dwyun60&amp;logNo=223891981195&amp;redirect=Dlog&amp;widgetTypeCall=true&amp;directAccess=false</t>
  </si>
  <si>
    <t>윤위식의 발길 닿는대로 (97) 칠불사 가는 길</t>
  </si>
  <si>
    <t>https://blog.naver.com/PostView.naver?blogId=dwyun60&amp;logNo=223891980707&amp;redirect=Dlog&amp;widgetTypeCall=true&amp;directAccess=false</t>
  </si>
  <si>
    <t>윤위식의 발길닿는대로 (99)거제 기성관과 반곡서원</t>
  </si>
  <si>
    <t>https://blog.naver.com/PostView.naver?blogId=dwyun60&amp;logNo=223891967850&amp;redirect=Dlog&amp;widgetTypeCall=true&amp;directAccess=false</t>
  </si>
  <si>
    <t>윤위식 발길닿는대로(100) 황룡사를 찾아서</t>
  </si>
  <si>
    <t>https://blog.naver.com/PostView.naver?blogId=dwyun60&amp;logNo=223891967405&amp;redirect=Dlog&amp;widgetTypeCall=true&amp;directAccess=false</t>
  </si>
  <si>
    <t>남해바래길을 가다[16·끝]대국산성길(16코스)</t>
  </si>
  <si>
    <t>https://blog.naver.com/PostView.naver?blogId=dwyun60&amp;logNo=223891959408&amp;redirect=Dlog&amp;widgetTypeCall=true&amp;directAccess=false</t>
  </si>
  <si>
    <t>이상화</t>
  </si>
  <si>
    <t>2025.6.7.토.</t>
  </si>
  <si>
    <t>https://blog.naver.com/PostView.naver?blogId=tenpeace&amp;logNo=223891827076&amp;redirect=Dlog&amp;widgetTypeCall=true&amp;directAccess=false</t>
  </si>
  <si>
    <t>남해 바래길을 가다[5]다랭이지겟길(11코스)</t>
  </si>
  <si>
    <t>https://blog.naver.com/PostView.naver?blogId=dwyun60&amp;logNo=223891957148&amp;redirect=Dlog&amp;widgetTypeCall=true&amp;directAccess=false</t>
  </si>
  <si>
    <t>남해바래길을 가다[15]바래오시다길(1코스)</t>
  </si>
  <si>
    <t>https://blog.naver.com/PostView.naver?blogId=dwyun60&amp;logNo=223891606857&amp;redirect=Dlog&amp;widgetTypeCall=true&amp;directAccess=false</t>
  </si>
  <si>
    <t>남해 바래길을 가다 [10]죽방멸치길(6코스)</t>
  </si>
  <si>
    <t>https://blog.naver.com/PostView.naver?blogId=dwyun60&amp;logNo=223891629865&amp;redirect=Dlog&amp;widgetTypeCall=true&amp;directAccess=false</t>
  </si>
  <si>
    <t>홍준표 '틀딱' 운운! 1954년생 홍 씨, 그의 나이 71세... '먹던 우물에 침은 뱉지 마라'</t>
  </si>
  <si>
    <t>https://blog.naver.com/PostView.naver?blogId=bingoshim&amp;logNo=223889124245&amp;redirect=Dlog&amp;widgetTypeCall=true&amp;directAccess=false</t>
  </si>
  <si>
    <t>김기태</t>
  </si>
  <si>
    <t>대통령에게. 바라다..</t>
  </si>
  <si>
    <t>https://blog.naver.com/PostView.naver?blogId=speed5245&amp;logNo=223888644038&amp;redirect=Dlog&amp;widgetTypeCall=true&amp;directAccess=false</t>
  </si>
  <si>
    <t>스포츠서울</t>
  </si>
  <si>
    <t>진짜로? 으읔 250605 KBO SPC삼립 사망 사고 관련 크보빵 생산 중단 이어 완전 계약 종료</t>
  </si>
  <si>
    <t>https://blog.naver.com/PostView.naver?blogId=starring___&amp;logNo=223889729166&amp;redirect=Dlog&amp;widgetTypeCall=true&amp;directAccess=false</t>
  </si>
  <si>
    <t>스포츠신문 전성기와 장효조 트레이드 불발 해프닝(2)</t>
  </si>
  <si>
    <t>https://blog.naver.com/PostView.naver?blogId=62marco&amp;logNo=223884727103&amp;redirect=Dlog&amp;widgetTypeCall=true&amp;directAccess=false</t>
  </si>
  <si>
    <t>글쟁이의 이모저모</t>
  </si>
  <si>
    <t>스포츠서울 법인사</t>
  </si>
  <si>
    <t>https://blog.naver.com/PostView.naver?blogId=agisadoa&amp;logNo=223895485277&amp;redirect=Dlog&amp;widgetTypeCall=true&amp;directAccess=false</t>
  </si>
  <si>
    <t>김보라, 11개월 만의 파경과 새로운 시작: 2025년 6월 8일 이슈</t>
  </si>
  <si>
    <t>https://blog.naver.com/PostView.naver?blogId=creta22&amp;logNo=223892147271&amp;redirect=Dlog&amp;widgetTypeCall=true&amp;directAccess=false</t>
  </si>
  <si>
    <t>88올림픽 성화 채화 특종 사진의 진실</t>
  </si>
  <si>
    <t>https://blog.naver.com/PostView.naver?blogId=62marco&amp;logNo=223890311505&amp;redirect=Dlog&amp;widgetTypeCall=true&amp;directAccess=false</t>
  </si>
  <si>
    <t>세제버블</t>
  </si>
  <si>
    <t>디즈니런 2025 서울 !! 완벽정리</t>
  </si>
  <si>
    <t>https://blog.naver.com/PostView.naver?blogId=time20018&amp;logNo=223897631770&amp;redirect=Dlog&amp;widgetTypeCall=true&amp;directAccess=false</t>
  </si>
  <si>
    <t>금천구청서 한·몽골 수교 35주년 기념 국제미술교류전…다문화가정 자녀 지원 나선다</t>
  </si>
  <si>
    <t>https://blog.naver.com/PostView.naver?blogId=kygm4933&amp;logNo=223896798061&amp;redirect=Dlog&amp;widgetTypeCall=true&amp;directAccess=false</t>
  </si>
  <si>
    <t>초희부산</t>
  </si>
  <si>
    <t>[2016.04.12] 스포츠서울 "모든 걸 믿고 맡긴다" 건축주도 전문가들도 '엄지 척'</t>
  </si>
  <si>
    <t>https://blog.naver.com/PostView.naver?blogId=sammokarchi&amp;logNo=223902668047&amp;redirect=Dlog&amp;widgetTypeCall=true&amp;directAccess=false</t>
  </si>
  <si>
    <t>해피여우</t>
  </si>
  <si>
    <t>영탁 '제34회 서울가요대상' 4관왕</t>
  </si>
  <si>
    <t>https://blog.naver.com/PostView.naver?blogId=chadud8939&amp;logNo=223907508724&amp;redirect=Dlog&amp;widgetTypeCall=true&amp;directAccess=false</t>
  </si>
  <si>
    <t>[팝업★]한소희, 미담 터졌다..서울예대 학생 43명에 5000만원 들여 노트북 선물</t>
  </si>
  <si>
    <t>https://blog.naver.com/PostView.naver?blogId=aodaisyou1&amp;logNo=223916440017&amp;redirect=Dlog&amp;widgetTypeCall=true&amp;directAccess=false</t>
  </si>
  <si>
    <t>소병훈</t>
  </si>
  <si>
    <t>[스포츠서울] 소병훈·박주민 의원 - 대한노인회, ‘노인의 권익 신장과 복지증진을 위한 정책간담회’ 개최</t>
  </si>
  <si>
    <t>https://blog.naver.com/PostView.naver?blogId=sotongsa&amp;logNo=223916350283&amp;redirect=Dlog&amp;widgetTypeCall=true&amp;directAccess=false</t>
  </si>
  <si>
    <t>임영웅 아이돌차트 평점랭킹 연속222주 독보적 1위</t>
  </si>
  <si>
    <t>https://blog.naver.com/PostView.naver?blogId=dm9502&amp;logNo=223913661558&amp;redirect=Dlog&amp;widgetTypeCall=true&amp;directAccess=false</t>
  </si>
  <si>
    <t>[방탄소년단 뷔] 방탄소년단 뷔, 日인기랭킹 1위..라인뉴스 톱 장식 (스타뉴스 기사전문) *관련 기사 모음*</t>
  </si>
  <si>
    <t>https://blog.naver.com/PostView.naver?blogId=ysyangel59&amp;logNo=223912145660&amp;redirect=Dlog&amp;widgetTypeCall=true&amp;directAccess=false</t>
  </si>
  <si>
    <t>대구신문</t>
  </si>
  <si>
    <t>대구박물관, 中 남북조시대부터 당나라까지 석각 탁본 전시</t>
  </si>
  <si>
    <t>https://blog.naver.com/PostView.naver?blogId=dwyun60&amp;logNo=223916758828&amp;redirect=Dlog&amp;widgetTypeCall=true&amp;directAccess=false</t>
  </si>
  <si>
    <t>JB</t>
  </si>
  <si>
    <t>사랑海 /이선정</t>
  </si>
  <si>
    <t>https://blog.naver.com/PostView.naver?blogId=jeong_park&amp;logNo=223913457424&amp;redirect=Dlog&amp;widgetTypeCall=true&amp;directAccess=false</t>
  </si>
  <si>
    <t>마케팅톡톡</t>
  </si>
  <si>
    <t>[대구가볼만한곳] 앞산카페거리_일몰.야경...핸즈커피 앞산점 루프탑에서_관광두레.한국관광공사_곽대훈(컨설턴트.더얀애드.경영학박사.겸임교수.마케팅톡톡)</t>
  </si>
  <si>
    <t>https://blog.naver.com/PostView.naver?blogId=kwakdaehun&amp;logNo=223911863522&amp;redirect=Dlog&amp;widgetTypeCall=true&amp;directAccess=false</t>
  </si>
  <si>
    <t>[마케팅 컨설턴트] 단골.재방문고객 4가지 컨설팅 해법은? "구맹주산 제거+MOT관리" 집중하자_곽대훈(더얀애드/경영학박사/겸임교수.계명대/마케팅톡톡)</t>
  </si>
  <si>
    <t>https://blog.naver.com/PostView.naver?blogId=kwakdaehun&amp;logNo=223907257700&amp;redirect=Dlog&amp;widgetTypeCall=true&amp;directAccess=false</t>
  </si>
  <si>
    <t>디자인전문기업 현실은? 디자인이 필요한 스타트업.중소기업 대표님들에게 강추하다_곽대훈(마케팅컨설턴트.더얀애드.경영학박사.겸임교수)</t>
  </si>
  <si>
    <t>https://blog.naver.com/PostView.naver?blogId=kwakdaehun&amp;logNo=223903184915&amp;redirect=Dlog&amp;widgetTypeCall=true&amp;directAccess=false</t>
  </si>
  <si>
    <t>[교육논단] 독서의 습관</t>
  </si>
  <si>
    <t>https://blog.naver.com/PostView.naver?blogId=dwyun60&amp;logNo=223901905261&amp;redirect=Dlog&amp;widgetTypeCall=true&amp;directAccess=false</t>
  </si>
  <si>
    <t>은하</t>
  </si>
  <si>
    <t>https://blog.naver.com/PostView.naver?blogId=sunkyung_seojae&amp;logNo=223900129492&amp;redirect=Dlog&amp;widgetTypeCall=true&amp;directAccess=false</t>
  </si>
  <si>
    <t>[홍보마케팅 컨설턴트] 브랜드파워=브랜드자산 업(UP)은? 코카콜라.질레트.피죤.타이레놀.쿠쿠.샘표.다시다...곽대훈(더얀애드.경영학박사.겸임교수)</t>
  </si>
  <si>
    <t>https://blog.naver.com/PostView.naver?blogId=kwakdaehun&amp;logNo=223896246934&amp;redirect=Dlog&amp;widgetTypeCall=true&amp;directAccess=false</t>
  </si>
  <si>
    <t>조지연</t>
  </si>
  <si>
    <t>[250611 조지연 국회의원 언론보도_대구신문 등] 조지연 의원, 대한민국 국회 의정대상</t>
  </si>
  <si>
    <t>https://blog.naver.com/PostView.naver?blogId=jiyeonwecan&amp;logNo=223896049107&amp;redirect=Dlog&amp;widgetTypeCall=true&amp;directAccess=false</t>
  </si>
  <si>
    <t>경주 송화도서관, 주민친화공간 재탄생</t>
  </si>
  <si>
    <t>https://blog.naver.com/PostView.naver?blogId=dwyun60&amp;logNo=223894232137&amp;redirect=Dlog&amp;widgetTypeCall=true&amp;directAccess=false</t>
  </si>
  <si>
    <t>[2025 박정희] (26) 5·16 성공요인, 어떻게 볼 것인가...거사 성공 이끈 요인은 오롯이 ‘박정희 지도력’</t>
  </si>
  <si>
    <t>https://blog.naver.com/PostView.naver?blogId=dwyun60&amp;logNo=223890274299&amp;redirect=Dlog&amp;widgetTypeCall=true&amp;directAccess=false</t>
  </si>
  <si>
    <t>[존재와 관계의 해석학-풍수지리] 왜 풍수지리인가 “풍수지리 익혀서 자신의 역량 설계할 힘 갖춰야”</t>
  </si>
  <si>
    <t>https://blog.naver.com/PostView.naver?blogId=dwyun60&amp;logNo=223889079998&amp;redirect=Dlog&amp;widgetTypeCall=true&amp;directAccess=false</t>
  </si>
  <si>
    <t>고령군 대표 특산물 멜론 새바람, '2025 고령 멜빙축제' 첫 개막 이찬원 뮤직페스티벌 출격</t>
  </si>
  <si>
    <t>https://blog.naver.com/PostView.naver?blogId=zukero7&amp;logNo=223885672437&amp;redirect=Dlog&amp;widgetTypeCall=true&amp;directAccess=false</t>
  </si>
  <si>
    <t>대구일보</t>
  </si>
  <si>
    <t>mark0804</t>
  </si>
  <si>
    <t>경북교육청 ‘책쓰는 교육가족’ 교육문화 프로젝트 자리매김</t>
  </si>
  <si>
    <t>https://blog.naver.com/PostView.naver?blogId=mark0804&amp;logNo=223915530151&amp;redirect=Dlog&amp;widgetTypeCall=true&amp;directAccess=false</t>
  </si>
  <si>
    <t>경상북도의회, 울릉·남양·저동·천부초 학생 “나도 도의원”, 생생한 의정활동 체험</t>
  </si>
  <si>
    <t>https://blog.naver.com/PostView.naver?blogId=mark0804&amp;logNo=223915529349&amp;redirect=Dlog&amp;widgetTypeCall=true&amp;directAccess=false</t>
  </si>
  <si>
    <t>경북교육청, 장애 영‧유아 치료지원 추진</t>
  </si>
  <si>
    <t>https://blog.naver.com/PostView.naver?blogId=mark0804&amp;logNo=223912457936&amp;redirect=Dlog&amp;widgetTypeCall=true&amp;directAccess=false</t>
  </si>
  <si>
    <t>조앵커</t>
  </si>
  <si>
    <t>노조 때문에 기업이 문을 닫고  철강 제조업 강국 한국 경제의 몰락이 예고된다.</t>
  </si>
  <si>
    <t>https://blog.naver.com/PostView.naver?blogId=hukumoto&amp;logNo=223905160315&amp;redirect=Dlog&amp;widgetTypeCall=true&amp;directAccess=false</t>
  </si>
  <si>
    <t>경북 보건·간호계열 고교생, ”포항·안동·김천의료원에서 실습한다”</t>
  </si>
  <si>
    <t>https://blog.naver.com/PostView.naver?blogId=hds94036&amp;logNo=223903773255&amp;redirect=Dlog&amp;widgetTypeCall=true&amp;directAccess=false</t>
  </si>
  <si>
    <t>두래소장</t>
  </si>
  <si>
    <t>[대구일보]대구 수성구, 초등학생 순유입 서울 강남 이어 전국 2위…명문 학군지 집중화 가속</t>
  </si>
  <si>
    <t>https://blog.naver.com/PostView.naver?blogId=nabille1984&amp;logNo=223901823585&amp;redirect=Dlog&amp;widgetTypeCall=true&amp;directAccess=false</t>
  </si>
  <si>
    <t>시은 장용원</t>
  </si>
  <si>
    <t>대구일보(2018.07.17. 학교 소개)</t>
  </si>
  <si>
    <t>https://blog.naver.com/PostView.naver?blogId=jang5279&amp;logNo=223900226158&amp;redirect=Dlog&amp;widgetTypeCall=true&amp;directAccess=false</t>
  </si>
  <si>
    <t>칠곡경북대병원 내분비대사내과 김민지 교수, 대한당뇨병학회 ‘우수 구연상’ 수상</t>
  </si>
  <si>
    <t>https://blog.naver.com/PostView.naver?blogId=klp654&amp;logNo=223900093273&amp;redirect=Dlog&amp;widgetTypeCall=true&amp;directAccess=false</t>
  </si>
  <si>
    <t>대구경북 명목을 찾아서⑫영월엄씨 현풍 입향조 엄계 선생과 현풍휴게소 느티나무</t>
  </si>
  <si>
    <t>https://blog.naver.com/PostView.naver?blogId=dwyun60&amp;logNo=223898799341&amp;redirect=Dlog&amp;widgetTypeCall=true&amp;directAccess=false</t>
  </si>
  <si>
    <t>대구경북 명목을 찾아서⑪문경 주암정(舟巖亭) 박태기나무</t>
  </si>
  <si>
    <t>https://blog.naver.com/PostView.naver?blogId=dwyun60&amp;logNo=223898279210&amp;redirect=Dlog&amp;widgetTypeCall=true&amp;directAccess=false</t>
  </si>
  <si>
    <t>대구 중구 남산동 남산지구 뉴:빌리지 도시재생활성화계획 고시(25.04.30)</t>
  </si>
  <si>
    <t>https://blog.naver.com/PostView.naver?blogId=goldbabymama&amp;logNo=223897479544&amp;redirect=Dlog&amp;widgetTypeCall=true&amp;directAccess=false</t>
  </si>
  <si>
    <t>공무원 뺨을 갈긴 시의원</t>
  </si>
  <si>
    <t>https://blog.naver.com/PostView.naver?blogId=yuriin13&amp;logNo=223897293652&amp;redirect=Dlog&amp;widgetTypeCall=true&amp;directAccess=false</t>
  </si>
  <si>
    <t>고려동 사람들 / 이숙경</t>
  </si>
  <si>
    <t>https://blog.naver.com/PostView.naver?blogId=dwyun60&amp;logNo=223894230160&amp;redirect=Dlog&amp;widgetTypeCall=true&amp;directAccess=false</t>
  </si>
  <si>
    <t>김경숙 경북도의원, 경북교육청 안전한 급식실 환경 조성 및 지원 조례안 대표 발의</t>
  </si>
  <si>
    <t>https://blog.naver.com/PostView.naver?blogId=mark0804&amp;logNo=223894218533&amp;redirect=Dlog&amp;widgetTypeCall=true&amp;directAccess=false</t>
  </si>
  <si>
    <t>오래 견디다 보니 / 도광의</t>
  </si>
  <si>
    <t>https://blog.naver.com/PostView.naver?blogId=dwyun60&amp;logNo=223892899326&amp;redirect=Dlog&amp;widgetTypeCall=true&amp;directAccess=false</t>
  </si>
  <si>
    <t>특수협박죄. 합의에도 불구 실형 - 대구 형사소송 변호사 _ 대구지방법원 항소심 형사전문변호사</t>
  </si>
  <si>
    <t>https://blog.naver.com/PostView.naver?blogId=advocation&amp;logNo=223891929231&amp;redirect=Dlog&amp;widgetTypeCall=true&amp;directAccess=false</t>
  </si>
  <si>
    <t>대구경북 명목을 찾아서)⑩춘향전 이몽룡의 실제 인물 계서 성이성과 굽은 소나무</t>
  </si>
  <si>
    <t>https://blog.naver.com/PostView.naver?blogId=dwyun60&amp;logNo=223890650056&amp;redirect=Dlog&amp;widgetTypeCall=true&amp;directAccess=false</t>
  </si>
  <si>
    <t>섬</t>
  </si>
  <si>
    <t>문경 1박2일 가족여행 코스 (1) - 고모산성, 진남교반, 오미자테마터널, 한국관식당</t>
  </si>
  <si>
    <t>https://blog.naver.com/PostView.naver?blogId=island4j&amp;logNo=223890248383&amp;redirect=Dlog&amp;widgetTypeCall=true&amp;directAccess=false</t>
  </si>
  <si>
    <t>의성군 조성지 청산 뚜벅이길…새 힐링 명소 입소문</t>
  </si>
  <si>
    <t>https://blog.naver.com/PostView.naver?blogId=dwyun60&amp;logNo=223889652691&amp;redirect=Dlog&amp;widgetTypeCall=true&amp;directAccess=false</t>
  </si>
  <si>
    <t>경남도민일보</t>
  </si>
  <si>
    <t>수민</t>
  </si>
  <si>
    <t>상반기 결산</t>
  </si>
  <si>
    <t>https://blog.naver.com/PostView.naver?blogId=cindy1970&amp;logNo=223915149982&amp;redirect=Dlog&amp;widgetTypeCall=true&amp;directAccess=false</t>
  </si>
  <si>
    <t>황금이</t>
  </si>
  <si>
    <t>줬으면 그만이지- 김주완</t>
  </si>
  <si>
    <t>https://blog.naver.com/PostView.naver?blogId=larsportnoy&amp;logNo=223914642669&amp;redirect=Dlog&amp;widgetTypeCall=true&amp;directAccess=false</t>
  </si>
  <si>
    <t>경남녹색구매지원센터</t>
  </si>
  <si>
    <t>[경남도민일보]경상남도환경재단 녹색소비교육강사 교육</t>
  </si>
  <si>
    <t>https://blog.naver.com/PostView.naver?blogId=ecous_0304&amp;logNo=223912672691&amp;redirect=Dlog&amp;widgetTypeCall=true&amp;directAccess=false</t>
  </si>
  <si>
    <t>[수업이해] 수업 공개 문화 형성을 위한 교사 집단의 노력</t>
  </si>
  <si>
    <t>https://blog.naver.com/PostView.naver?blogId=class_seo&amp;logNo=223908023860&amp;redirect=Dlog&amp;widgetTypeCall=true&amp;directAccess=false</t>
  </si>
  <si>
    <t>경남도민일보 보도 창원예술극단 시민연극 아카데미</t>
  </si>
  <si>
    <t>https://blog.naver.com/PostView.naver?blogId=dino999&amp;logNo=223904362777&amp;redirect=Dlog&amp;widgetTypeCall=true&amp;directAccess=false</t>
  </si>
  <si>
    <t>전북청활</t>
  </si>
  <si>
    <t>산청군'무상 교통'문 열어...5월부터 전면 무료화</t>
  </si>
  <si>
    <t>https://blog.naver.com/PostView.naver?blogId=youth0479&amp;logNo=223901879674&amp;redirect=Dlog&amp;widgetTypeCall=true&amp;directAccess=false</t>
  </si>
  <si>
    <t>토지공인</t>
  </si>
  <si>
    <t>[경남도민일보] 밀양·김해시, 일반농산어촌개발사업 선정…430억 원 투입</t>
  </si>
  <si>
    <t>https://blog.naver.com/PostView.naver?blogId=kitulee&amp;logNo=223901512522&amp;redirect=Dlog&amp;widgetTypeCall=true&amp;directAccess=false</t>
  </si>
  <si>
    <t>하비해비</t>
  </si>
  <si>
    <t>박민규 국회의원</t>
  </si>
  <si>
    <t>[경남도민일보] "지역에서는 '스마트·AI 제조' 하고 싶어도 인재 구하기 힘들어요"</t>
  </si>
  <si>
    <t>https://blog.naver.com/PostView.naver?blogId=minkyucool&amp;logNo=223896828881&amp;redirect=Dlog&amp;widgetTypeCall=true&amp;directAccess=false</t>
  </si>
  <si>
    <t>왼손잡이</t>
  </si>
  <si>
    <t>어른 김장하 다큐</t>
  </si>
  <si>
    <t>https://blog.naver.com/PostView.naver?blogId=jjhee0217&amp;logNo=223896225226&amp;redirect=Dlog&amp;widgetTypeCall=true&amp;directAccess=false</t>
  </si>
  <si>
    <t>6.11일 밀양 2공장 준공식</t>
  </si>
  <si>
    <t>https://blog.naver.com/PostView.naver?blogId=kob1805&amp;logNo=223893755808&amp;redirect=Dlog&amp;widgetTypeCall=true&amp;directAccess=false</t>
  </si>
  <si>
    <t>캘리그라피 공부는 개근할 정도로 즐거웠다</t>
  </si>
  <si>
    <t>https://blog.naver.com/PostView.naver?blogId=dino999&amp;logNo=223892028461&amp;redirect=Dlog&amp;widgetTypeCall=true&amp;directAccess=false</t>
  </si>
  <si>
    <t>[중대재해] 경남 창원시, 굴착기 턴테이블 사이에 끼여 운전원 사망</t>
  </si>
  <si>
    <t>https://blog.naver.com/PostView.naver?blogId=safefirst1004&amp;logNo=223890415176&amp;redirect=Dlog&amp;widgetTypeCall=true&amp;directAccess=false</t>
  </si>
  <si>
    <t>날아라풀씨</t>
  </si>
  <si>
    <t>유월민주누리걷기대회(구.만날고개걷기대회) 유월의 시작</t>
  </si>
  <si>
    <t>https://blog.naver.com/PostView.naver?blogId=skymom1313-&amp;logNo=223886364052&amp;redirect=Dlog&amp;widgetTypeCall=true&amp;directAccess=false</t>
  </si>
  <si>
    <t>아이리스</t>
  </si>
  <si>
    <t>아름다운 부자 김장하 취재기 | 줬으면 그만이지 | 김주완 | 피플파워 | 꿈필</t>
  </si>
  <si>
    <t>https://blog.naver.com/PostView.naver?blogId=alice-6637&amp;logNo=223884705519&amp;redirect=Dlog&amp;widgetTypeCall=true&amp;directAccess=false</t>
  </si>
  <si>
    <t>남도일보</t>
  </si>
  <si>
    <t>KIA타이거즈</t>
  </si>
  <si>
    <t>‘야구장에서 자연을 배우다’ 람사르데이 개최</t>
  </si>
  <si>
    <t>https://blog.naver.com/PostView.naver?blogId=kiatigers-1982&amp;logNo=223914689209&amp;redirect=Dlog&amp;widgetTypeCall=true&amp;directAccess=false</t>
  </si>
  <si>
    <t>서왕진 의원, 탄소중립기본법 개정 시도 본격화…오늘 국회서 정책토론회ㅣ25.6.11</t>
  </si>
  <si>
    <t>https://blog.naver.com/PostView.naver?blogId=wjseo21&amp;logNo=223910931323&amp;redirect=Dlog&amp;widgetTypeCall=true&amp;directAccess=false</t>
  </si>
  <si>
    <t>난초 혜</t>
  </si>
  <si>
    <t>"소년이 온다" 문학기행을 다녀와서</t>
  </si>
  <si>
    <t>https://blog.naver.com/PostView.naver?blogId=psh771230&amp;logNo=223909293449&amp;redirect=Dlog&amp;widgetTypeCall=true&amp;directAccess=false</t>
  </si>
  <si>
    <t>fang</t>
  </si>
  <si>
    <t>화순군, 취약계층 폭염대비 방문건강관리</t>
  </si>
  <si>
    <t>https://blog.naver.com/PostView.naver?blogId=vjesag&amp;logNo=223905042831&amp;redirect=Dlog&amp;widgetTypeCall=true&amp;directAccess=false</t>
  </si>
  <si>
    <t>[광주전남독립운동 현장50] [23] 우연? 호남 모든 안중근 동상은 동경 126도에 서 있다.</t>
  </si>
  <si>
    <t>https://blog.naver.com/PostView.naver?blogId=dwyun60&amp;logNo=223904446584&amp;redirect=Dlog&amp;widgetTypeCall=true&amp;directAccess=false</t>
  </si>
  <si>
    <t>[newstomorrow] ‘한강의 소년이 장흥에 왔다.’</t>
  </si>
  <si>
    <t>https://blog.naver.com/PostView.naver?blogId=1965pp&amp;logNo=223903542838&amp;redirect=Dlog&amp;widgetTypeCall=true&amp;directAccess=false</t>
  </si>
  <si>
    <t>광주아파트 전기차화재  ...조금씩 조금씩 자세한 기사들이 올라온다.</t>
  </si>
  <si>
    <t>https://blog.naver.com/PostView.naver?blogId=jdwndz&amp;logNo=223903446705&amp;redirect=Dlog&amp;widgetTypeCall=true&amp;directAccess=false</t>
  </si>
  <si>
    <t>[광주전남독립운동 현장50] [21]전국 제1호 안중근 의사 기념비…1961년‘이곳’에 세웠다.</t>
  </si>
  <si>
    <t>https://blog.naver.com/PostView.naver?blogId=dwyun60&amp;logNo=223891358774&amp;redirect=Dlog&amp;widgetTypeCall=true&amp;directAccess=false</t>
  </si>
  <si>
    <t>OBS</t>
  </si>
  <si>
    <t>김줘</t>
  </si>
  <si>
    <t>최근 작업하고있는 sd캐릭터들</t>
  </si>
  <si>
    <t>https://blog.naver.com/PostView.naver?blogId=rlawlgh86&amp;logNo=223917180249&amp;redirect=Dlog&amp;widgetTypeCall=true&amp;directAccess=false</t>
  </si>
  <si>
    <t>kang171</t>
  </si>
  <si>
    <t>0630 ow2</t>
  </si>
  <si>
    <t>https://blog.naver.com/PostView.naver?blogId=menheraturtle&amp;logNo=223916759842&amp;redirect=Dlog&amp;widgetTypeCall=true&amp;directAccess=false</t>
  </si>
  <si>
    <t>[공유] 뭐가 잘못됐는지도 모르고 실실거리며 질문하는 OBS 최한성기자</t>
  </si>
  <si>
    <t>https://blog.naver.com/PostView.naver?blogId=yjhyjhy&amp;logNo=223915217947&amp;redirect=Dlog&amp;widgetTypeCall=true&amp;directAccess=false</t>
  </si>
  <si>
    <t>유리엣따</t>
  </si>
  <si>
    <t>7월 행사</t>
  </si>
  <si>
    <t>https://blog.naver.com/PostView.naver?blogId=kyhns6006&amp;logNo=223914799358&amp;redirect=Dlog&amp;widgetTypeCall=true&amp;directAccess=false</t>
  </si>
  <si>
    <t>눈부신 등짝</t>
  </si>
  <si>
    <t>하기비스 THB05 후기 #2 / MLB더쇼 녹화</t>
  </si>
  <si>
    <t>https://blog.naver.com/PostView.naver?blogId=ultimatepens&amp;logNo=223914621073&amp;redirect=Dlog&amp;widgetTypeCall=true&amp;directAccess=false</t>
  </si>
  <si>
    <t>기자들의 처참한 질문 수준</t>
  </si>
  <si>
    <t>https://blog.naver.com/PostView.naver?blogId=kyh070181&amp;logNo=223913546354&amp;redirect=Dlog&amp;widgetTypeCall=true&amp;directAccess=false</t>
  </si>
  <si>
    <t>울이</t>
  </si>
  <si>
    <t>OBS 사용후기(줌 수업 딴짓하는 법)</t>
  </si>
  <si>
    <t>https://blog.naver.com/PostView.naver?blogId=kcl1992&amp;logNo=223913346496&amp;redirect=Dlog&amp;widgetTypeCall=true&amp;directAccess=false</t>
  </si>
  <si>
    <t>차서영</t>
  </si>
  <si>
    <t>[내일배움캠프] + 통계학 기초 2, 3회차 세션 복습</t>
  </si>
  <si>
    <t>https://blog.naver.com/PostView.naver?blogId=cha040318&amp;logNo=223912672889&amp;redirect=Dlog&amp;widgetTypeCall=true&amp;directAccess=false</t>
  </si>
  <si>
    <t>Jing</t>
  </si>
  <si>
    <t>[홍콩] 갑자기 떠나는 홍콩 여행 (3) 1일차</t>
  </si>
  <si>
    <t>https://blog.naver.com/PostView.naver?blogId=chrryminjung&amp;logNo=223912141156&amp;redirect=Dlog&amp;widgetTypeCall=true&amp;directAccess=false</t>
  </si>
  <si>
    <t>참행복</t>
  </si>
  <si>
    <t>위상학적 관점에서 재구성한 일반상대성이론의 새로운 정식화 개선판</t>
  </si>
  <si>
    <t>https://blog.naver.com/PostView.naver?blogId=trueyears&amp;logNo=223910317474&amp;redirect=Dlog&amp;widgetTypeCall=true&amp;directAccess=false</t>
  </si>
  <si>
    <t>불꽃대장</t>
  </si>
  <si>
    <t>(아웃도어교육) 교실 밖 교실, 아웃도어에서 배운다</t>
  </si>
  <si>
    <t>https://blog.naver.com/PostView.naver?blogId=jblabor&amp;logNo=223909196867&amp;redirect=Dlog&amp;widgetTypeCall=true&amp;directAccess=false</t>
  </si>
  <si>
    <t>Demian</t>
  </si>
  <si>
    <t>[시사] Et maintenant… le retour du bagne ? (감옥 식민지의 부활?)</t>
  </si>
  <si>
    <t>https://blog.naver.com/PostView.naver?blogId=chatnoir248&amp;logNo=223908422727&amp;redirect=Dlog&amp;widgetTypeCall=true&amp;directAccess=false</t>
  </si>
  <si>
    <t>글림킴</t>
  </si>
  <si>
    <t>[ #글림킴 ] 2025년 06월 기준 최고사양 슈퍼 컴퓨터 사양 견적</t>
  </si>
  <si>
    <t>https://blog.naver.com/PostView.naver?blogId=gleamkim&amp;logNo=223906562091&amp;redirect=Dlog&amp;widgetTypeCall=true&amp;directAccess=false</t>
  </si>
  <si>
    <t>장포</t>
  </si>
  <si>
    <t>빅분기 3유형</t>
  </si>
  <si>
    <t>https://blog.naver.com/PostView.naver?blogId=in4226&amp;logNo=223905216191&amp;redirect=Dlog&amp;widgetTypeCall=true&amp;directAccess=false</t>
  </si>
  <si>
    <t>Pius1504</t>
  </si>
  <si>
    <t>무료 영상 녹화 각 프로그램 추천 장점,단점</t>
  </si>
  <si>
    <t>https://blog.naver.com/PostView.naver?blogId=pius1504&amp;logNo=223903690716&amp;redirect=Dlog&amp;widgetTypeCall=true&amp;directAccess=false</t>
  </si>
  <si>
    <t>S모씨의 차 얘기</t>
  </si>
  <si>
    <t>추억의 OBS 영화 (루도비코 에이나우디는 천재다.)</t>
  </si>
  <si>
    <t>https://blog.naver.com/PostView.naver?blogId=shinhs0204&amp;logNo=223902883254&amp;redirect=Dlog&amp;widgetTypeCall=true&amp;directAccess=false</t>
  </si>
  <si>
    <t>C575005강하나</t>
  </si>
  <si>
    <t>Day 13</t>
  </si>
  <si>
    <t>https://blog.naver.com/PostView.naver?blogId=nanayog&amp;logNo=223902339362&amp;redirect=Dlog&amp;widgetTypeCall=true&amp;directAccess=false</t>
  </si>
  <si>
    <t>"기후위기 시대 어떻게 살까?" ··· 노광준 PD와 함께 하는 북 콘서트 &lt;오늘의 기후&gt;</t>
  </si>
  <si>
    <t>https://blog.naver.com/PostView.naver?blogId=bluefoot61&amp;logNo=223902286314&amp;redirect=Dlog&amp;widgetTypeCall=true&amp;directAccess=false</t>
  </si>
  <si>
    <t>Day 11</t>
  </si>
  <si>
    <t>https://blog.naver.com/PostView.naver?blogId=nanayog&amp;logNo=223901011730&amp;redirect=Dlog&amp;widgetTypeCall=true&amp;directAccess=false</t>
  </si>
  <si>
    <t>최다비니</t>
  </si>
  <si>
    <t>25.06.01~06.15 윤성이와🙋‍♀️ 윤숭이🦧</t>
  </si>
  <si>
    <t>https://blog.naver.com/PostView.naver?blogId=whsdpffk990&amp;logNo=223900434668&amp;redirect=Dlog&amp;widgetTypeCall=true&amp;directAccess=false</t>
  </si>
  <si>
    <t>밀키애플</t>
  </si>
  <si>
    <t>빅데이터분석기사 실기 3유형 - 카이제곱 검정</t>
  </si>
  <si>
    <t>https://blog.naver.com/PostView.naver?blogId=soapdoll02&amp;logNo=223899948224&amp;redirect=Dlog&amp;widgetTypeCall=true&amp;directAccess=false</t>
  </si>
  <si>
    <t>OBS 세계의 극한 직업 차드 범람하는 사막</t>
  </si>
  <si>
    <t>https://blog.naver.com/PostView.naver?blogId=uinourpeace&amp;logNo=223899761703&amp;redirect=Dlog&amp;widgetTypeCall=true&amp;directAccess=false</t>
  </si>
  <si>
    <t>고봉</t>
  </si>
  <si>
    <t>[사회신경과학] 친사회성에 대한 신경학적 이해(2)</t>
  </si>
  <si>
    <t>https://blog.naver.com/PostView.naver?blogId=2010rhdms&amp;logNo=223899436826&amp;redirect=Dlog&amp;widgetTypeCall=true&amp;directAccess=false</t>
  </si>
  <si>
    <t>입자와 파동은 서로 다른 존재가 아니라, 하나의 '존재 파동'이 공간과 상호작용하는 위상 정렬 정도에 따라 다르게 나타나는 현상일 뿐이다.</t>
  </si>
  <si>
    <t>https://blog.naver.com/PostView.naver?blogId=xyz000p&amp;logNo=223899280287&amp;redirect=Dlog&amp;widgetTypeCall=true&amp;directAccess=false</t>
  </si>
  <si>
    <t>반토마토</t>
  </si>
  <si>
    <t>단돈 15,000원! 저렴이 테무 캡처보드 후기</t>
  </si>
  <si>
    <t>https://blog.naver.com/PostView.naver?blogId=halftomato&amp;logNo=223899185711&amp;redirect=Dlog&amp;widgetTypeCall=true&amp;directAccess=false</t>
  </si>
  <si>
    <t>6/11주차</t>
  </si>
  <si>
    <t>https://blog.naver.com/PostView.naver?blogId=smile8666&amp;logNo=223895157616&amp;redirect=Dlog&amp;widgetTypeCall=true&amp;directAccess=false</t>
  </si>
  <si>
    <t>Day 8</t>
  </si>
  <si>
    <t>https://blog.naver.com/PostView.naver?blogId=nanayog&amp;logNo=223898329165&amp;redirect=Dlog&amp;widgetTypeCall=true&amp;directAccess=false</t>
  </si>
  <si>
    <t>박관장</t>
  </si>
  <si>
    <t>이것이 아이의 성장을 촉진한다.</t>
  </si>
  <si>
    <t>https://blog.naver.com/PostView.naver?blogId=happy2okyung&amp;logNo=223897701879&amp;redirect=Dlog&amp;widgetTypeCall=true&amp;directAccess=false</t>
  </si>
  <si>
    <t>다함</t>
  </si>
  <si>
    <t>OBS 동영상 녹화</t>
  </si>
  <si>
    <t>https://blog.naver.com/PostView.naver?blogId=vavisuit88&amp;logNo=223897115929&amp;redirect=Dlog&amp;widgetTypeCall=true&amp;directAccess=false</t>
  </si>
  <si>
    <t>[사회신경과학] 친사회성에 대한 신경학적 이해(1)</t>
  </si>
  <si>
    <t>https://blog.naver.com/PostView.naver?blogId=2010rhdms&amp;logNo=223896723582&amp;redirect=Dlog&amp;widgetTypeCall=true&amp;directAccess=false</t>
  </si>
  <si>
    <t>[쓰담미디어] 인천시, ‘탄소중립 실천본부’ 출범… 시민과 함께 지속 가능한 미래로[</t>
  </si>
  <si>
    <t>https://blog.naver.com/PostView.naver?blogId=ssp422&amp;logNo=223896700089&amp;redirect=Dlog&amp;widgetTypeCall=true&amp;directAccess=false</t>
  </si>
  <si>
    <t>보글짝</t>
  </si>
  <si>
    <t>암흑에너지로 제미나이와 놀기</t>
  </si>
  <si>
    <t>https://blog.naver.com/PostView.naver?blogId=xhdn4491&amp;logNo=223895927381&amp;redirect=Dlog&amp;widgetTypeCall=true&amp;directAccess=false</t>
  </si>
  <si>
    <t>azurely-</t>
  </si>
  <si>
    <t>[눈물 젖은 치지직 1편] 라이브 스트리밍 시장의 심층적 분석 _게임 스트리밍 플랫폼을 기준으로 (뇌피셜가득)</t>
  </si>
  <si>
    <t>https://blog.naver.com/PostView.naver?blogId=azurely-&amp;logNo=223894953153&amp;redirect=Dlog&amp;widgetTypeCall=true&amp;directAccess=false</t>
  </si>
  <si>
    <t>서리풀</t>
  </si>
  <si>
    <t>당일치기 섬여행, 덕적도 - 가벼운 해송숲트레킹 절경, 비조봉-운주봉-국수봉 종주산행도 감탄</t>
  </si>
  <si>
    <t>https://blog.naver.com/PostView.naver?blogId=lgysy&amp;logNo=223894414301&amp;redirect=Dlog&amp;widgetTypeCall=true&amp;directAccess=false</t>
  </si>
  <si>
    <t>니나농</t>
  </si>
  <si>
    <t>파이썬 크로마키 처리 망해서 obs + 파이썬 조합</t>
  </si>
  <si>
    <t>https://blog.naver.com/PostView.naver?blogId=dhtpals32123&amp;logNo=223892921071&amp;redirect=Dlog&amp;widgetTypeCall=true&amp;directAccess=false</t>
  </si>
  <si>
    <t>잎파랑이</t>
  </si>
  <si>
    <t>서럽고 슬프다 두 곳 생협에 입점을 제안했다</t>
  </si>
  <si>
    <t>https://blog.naver.com/PostView.naver?blogId=ippar&amp;logNo=223892357772&amp;redirect=Dlog&amp;widgetTypeCall=true&amp;directAccess=false</t>
  </si>
  <si>
    <t>럽별</t>
  </si>
  <si>
    <t>기출 5 (6/5)</t>
  </si>
  <si>
    <t>https://blog.naver.com/PostView.naver?blogId=chohanvv&amp;logNo=223892174690&amp;redirect=Dlog&amp;widgetTypeCall=true&amp;directAccess=false</t>
  </si>
  <si>
    <t>ssin0h</t>
  </si>
  <si>
    <t>Lt. wrist cutting history</t>
  </si>
  <si>
    <t>https://blog.naver.com/PostView.naver?blogId=shinae0_0&amp;logNo=223891760188&amp;redirect=Dlog&amp;widgetTypeCall=true&amp;directAccess=false</t>
  </si>
  <si>
    <t>반짝임의 정원</t>
  </si>
  <si>
    <t>비디오 캡처 카드 감성적인 위로와 함께하는 일상</t>
  </si>
  <si>
    <t>https://blog.naver.com/PostView.naver?blogId=rlrcosmtxz3788&amp;logNo=223891001979&amp;redirect=Dlog&amp;widgetTypeCall=true&amp;directAccess=false</t>
  </si>
  <si>
    <t>🖼️ 윈도우 화면 녹화? 프로그램 설치 필요 없다! 숨은 녹화기능 대공개 🎥✨</t>
  </si>
  <si>
    <t>https://blog.naver.com/PostView.naver?blogId=inklogist&amp;logNo=223891147016&amp;redirect=Dlog&amp;widgetTypeCall=true&amp;directAccess=false</t>
  </si>
  <si>
    <t>라온제아</t>
  </si>
  <si>
    <t>남이 되어서야 알았다. 나의 가장 큰 천적은 나라는 걸</t>
  </si>
  <si>
    <t>https://blog.naver.com/PostView.naver?blogId=yune9122&amp;logNo=223890696104&amp;redirect=Dlog&amp;widgetTypeCall=true&amp;directAccess=false</t>
  </si>
  <si>
    <t>임현정 콘서트가 열린다... 하지만 우리는...</t>
  </si>
  <si>
    <t>https://blog.naver.com/PostView.naver?blogId=ippar&amp;logNo=223890376256&amp;redirect=Dlog&amp;widgetTypeCall=true&amp;directAccess=false</t>
  </si>
  <si>
    <t>李대통령 면전서 비판' 김용태 위원장에 항의한 민주당 "젊은 정치가 고작…"</t>
  </si>
  <si>
    <t>https://blog.naver.com/PostView.naver?blogId=koreakwh1&amp;logNo=223889096473&amp;redirect=Dlog&amp;widgetTypeCall=true&amp;directAccess=false</t>
  </si>
  <si>
    <t>orion_thothe</t>
  </si>
  <si>
    <t>A Milky Road to the Rubin Observatory</t>
  </si>
  <si>
    <t>https://blog.naver.com/PostView.naver?blogId=orion_thothe&amp;logNo=223888804519&amp;redirect=Dlog&amp;widgetTypeCall=true&amp;directAccess=false</t>
  </si>
  <si>
    <t>가려진사랑</t>
  </si>
  <si>
    <t>에버미디어 GC553PRO 라이브게이머 울트라S 외장형 HDMI 캡쳐보드</t>
  </si>
  <si>
    <t>https://blog.naver.com/PostView.naver?blogId=kdwpaul7&amp;logNo=223888498530&amp;redirect=Dlog&amp;widgetTypeCall=true&amp;directAccess=false</t>
  </si>
  <si>
    <t>이선율</t>
  </si>
  <si>
    <t>분주한 오전 - 24일차</t>
  </si>
  <si>
    <t>https://blog.naver.com/PostView.naver?blogId=self-produced&amp;logNo=223886972199&amp;redirect=Dlog&amp;widgetTypeCall=true&amp;directAccess=false</t>
  </si>
  <si>
    <t>경북일보</t>
  </si>
  <si>
    <t>남쪽나라</t>
  </si>
  <si>
    <t>경산 임당 고분군</t>
  </si>
  <si>
    <t>https://blog.naver.com/PostView.naver?blogId=okinawapark&amp;logNo=223914909677&amp;redirect=Dlog&amp;widgetTypeCall=true&amp;directAccess=false</t>
  </si>
  <si>
    <t>[하인수 박사의 조선왕릉 이야기] 12. 하늘에 있는 지아비를 그리며 64년의 오매불망 사릉(思陵)</t>
  </si>
  <si>
    <t>https://blog.naver.com/PostView.naver?blogId=dwyun60&amp;logNo=223914477329&amp;redirect=Dlog&amp;widgetTypeCall=true&amp;directAccess=false</t>
  </si>
  <si>
    <t>심해어 / 장석주</t>
  </si>
  <si>
    <t>https://blog.naver.com/PostView.naver?blogId=dwyun60&amp;logNo=223914358483&amp;redirect=Dlog&amp;widgetTypeCall=true&amp;directAccess=false</t>
  </si>
  <si>
    <t>소라게 / 김현욱</t>
  </si>
  <si>
    <t>https://blog.naver.com/PostView.naver?blogId=dwyun60&amp;logNo=223914358169&amp;redirect=Dlog&amp;widgetTypeCall=true&amp;directAccess=false</t>
  </si>
  <si>
    <t>세포들 / 나희덕</t>
  </si>
  <si>
    <t>https://blog.naver.com/PostView.naver?blogId=dwyun60&amp;logNo=223914357847&amp;redirect=Dlog&amp;widgetTypeCall=true&amp;directAccess=false</t>
  </si>
  <si>
    <t>psb99119</t>
  </si>
  <si>
    <t>박수부 (사)국민재난안전교육단 중앙회 총재</t>
  </si>
  <si>
    <t>https://blog.naver.com/PostView.naver?blogId=psb99119&amp;logNo=223913753583&amp;redirect=Dlog&amp;widgetTypeCall=true&amp;directAccess=false</t>
  </si>
  <si>
    <t>bukdong21</t>
  </si>
  <si>
    <t>영천 청제비, 56년 만에 국보로 승격되다</t>
  </si>
  <si>
    <t>https://blog.naver.com/PostView.naver?blogId=bukdong21&amp;logNo=223913288555&amp;redirect=Dlog&amp;widgetTypeCall=true&amp;directAccess=false</t>
  </si>
  <si>
    <t>밤의 각오 / 이문재</t>
  </si>
  <si>
    <t>https://blog.naver.com/PostView.naver?blogId=dwyun60&amp;logNo=223912289637&amp;redirect=Dlog&amp;widgetTypeCall=true&amp;directAccess=false</t>
  </si>
  <si>
    <t>https://blog.naver.com/PostView.naver?blogId=dwyun60&amp;logNo=223912284927&amp;redirect=Dlog&amp;widgetTypeCall=true&amp;directAccess=false</t>
  </si>
  <si>
    <t>동경잡기東京雜記 3권 7-8</t>
  </si>
  <si>
    <t>https://blog.naver.com/PostView.naver?blogId=bobae5656&amp;logNo=223912255926&amp;redirect=Dlog&amp;widgetTypeCall=true&amp;directAccess=false</t>
  </si>
  <si>
    <t>해피안전</t>
  </si>
  <si>
    <t>[대구경북일보] 퇴직 경찰, 현장체험학습 안전 책임진다.</t>
  </si>
  <si>
    <t>https://blog.naver.com/PostView.naver?blogId=cjm2650&amp;logNo=223907121902&amp;redirect=Dlog&amp;widgetTypeCall=true&amp;directAccess=false</t>
  </si>
  <si>
    <t>[고전으로 읽는 오늘] ‘옹기장수 이야기’와 매만짐</t>
  </si>
  <si>
    <t>https://blog.naver.com/PostView.naver?blogId=dwyun60&amp;logNo=223904535818&amp;redirect=Dlog&amp;widgetTypeCall=true&amp;directAccess=false</t>
  </si>
  <si>
    <t>[고전으로 읽는 오늘] '설공찬전'과 호접지몽(胡蝶之夢)</t>
  </si>
  <si>
    <t>https://blog.naver.com/PostView.naver?blogId=dwyun60&amp;logNo=223904534987&amp;redirect=Dlog&amp;widgetTypeCall=true&amp;directAccess=false</t>
  </si>
  <si>
    <t>[걸어서 힐링속으로-경북을 걷다] 70. 포항 송도솔밭-송도해수욕장</t>
  </si>
  <si>
    <t>https://blog.naver.com/PostView.naver?blogId=dwyun60&amp;logNo=223904531589&amp;redirect=Dlog&amp;widgetTypeCall=true&amp;directAccess=false</t>
  </si>
  <si>
    <t>산딸기 / 최승호</t>
  </si>
  <si>
    <t>https://blog.naver.com/PostView.naver?blogId=dwyun60&amp;logNo=223904249977&amp;redirect=Dlog&amp;widgetTypeCall=true&amp;directAccess=false</t>
  </si>
  <si>
    <t>바니타스 / 김래이</t>
  </si>
  <si>
    <t>https://blog.naver.com/PostView.naver?blogId=dwyun60&amp;logNo=223901909136&amp;redirect=Dlog&amp;widgetTypeCall=true&amp;directAccess=false</t>
  </si>
  <si>
    <t>21대 대선 고향에서 득표율</t>
  </si>
  <si>
    <t>https://blog.naver.com/PostView.naver?blogId=cretiaoh&amp;logNo=223900710992&amp;redirect=Dlog&amp;widgetTypeCall=true&amp;directAccess=false</t>
  </si>
  <si>
    <t>강민구</t>
  </si>
  <si>
    <t>진담승부. 경북일보</t>
  </si>
  <si>
    <t>https://blog.naver.com/PostView.naver?blogId=uwithme77&amp;logNo=223900503523&amp;redirect=Dlog&amp;widgetTypeCall=true&amp;directAccess=false</t>
  </si>
  <si>
    <t>회복과 성장</t>
  </si>
  <si>
    <t>[경북일보] 청송군 가족센터, ‘우리동네 아빠교실’ 염은희 소장 초청 강의 실시</t>
  </si>
  <si>
    <t>https://blog.naver.com/PostView.naver?blogId=familycoaching&amp;logNo=223900134603&amp;redirect=Dlog&amp;widgetTypeCall=true&amp;directAccess=false</t>
  </si>
  <si>
    <t>세상의 모든 새끼 / 복효근</t>
  </si>
  <si>
    <t>https://blog.naver.com/PostView.naver?blogId=dwyun60&amp;logNo=223898800422&amp;redirect=Dlog&amp;widgetTypeCall=true&amp;directAccess=false</t>
  </si>
  <si>
    <t>보자기 이야기 / 조진영</t>
  </si>
  <si>
    <t>https://blog.naver.com/PostView.naver?blogId=dwyun60&amp;logNo=223896640762&amp;redirect=Dlog&amp;widgetTypeCall=true&amp;directAccess=false</t>
  </si>
  <si>
    <t>예천군, 조선 전기 과거 문서 3건 경북 문화유산자료로 지정</t>
  </si>
  <si>
    <t>https://blog.naver.com/PostView.naver?blogId=dwyun60&amp;logNo=223896639504&amp;redirect=Dlog&amp;widgetTypeCall=true&amp;directAccess=false</t>
  </si>
  <si>
    <t>박태희</t>
  </si>
  <si>
    <t>생애 전환기 여성의 삶의 질 향상 및 사회 참여 확대 논의_ 경상북도의회 '신중년 여성 정책 토론회'_ 대구경북일보_ 2025.5.31</t>
  </si>
  <si>
    <t>https://blog.naver.com/PostView.naver?blogId=the_calling_&amp;logNo=223894306642&amp;redirect=Dlog&amp;widgetTypeCall=true&amp;directAccess=false</t>
  </si>
  <si>
    <t>[하인수 박사의 조선왕릉 이야기] 11. 조선왕릉 단종의 장릉</t>
  </si>
  <si>
    <t>https://blog.naver.com/PostView.naver?blogId=dwyun60&amp;logNo=223892901068&amp;redirect=Dlog&amp;widgetTypeCall=true&amp;directAccess=false</t>
  </si>
  <si>
    <t>시인의 말 / 이정록</t>
  </si>
  <si>
    <t>https://blog.naver.com/PostView.naver?blogId=dwyun60&amp;logNo=223889046621&amp;redirect=Dlog&amp;widgetTypeCall=true&amp;directAccess=false</t>
  </si>
  <si>
    <t>봉화 춘양 애당리, 계절 따라 피는 꽃밭으로 ‘힐링 명소’ 부상</t>
  </si>
  <si>
    <t>https://blog.naver.com/PostView.naver?blogId=dwyun60&amp;logNo=223888507738&amp;redirect=Dlog&amp;widgetTypeCall=true&amp;directAccess=false</t>
  </si>
  <si>
    <t>[한방칼럼] 여름 건강, 따뜻한 물 한 잔에서 시작하자</t>
  </si>
  <si>
    <t>https://blog.naver.com/PostView.naver?blogId=dwyun60&amp;logNo=223888505568&amp;redirect=Dlog&amp;widgetTypeCall=true&amp;directAccess=false</t>
  </si>
  <si>
    <t>[걸어서 힐링속으로-경북을 걷다] 68. 울릉도 태하 해담길</t>
  </si>
  <si>
    <t>https://blog.naver.com/PostView.naver?blogId=dwyun60&amp;logNo=223887990578&amp;redirect=Dlog&amp;widgetTypeCall=true&amp;directAccess=false</t>
  </si>
  <si>
    <t>밥무라비법 / 강경숙</t>
  </si>
  <si>
    <t>https://blog.naver.com/PostView.naver?blogId=dwyun60&amp;logNo=223887850420&amp;redirect=Dlog&amp;widgetTypeCall=true&amp;directAccess=false</t>
  </si>
  <si>
    <t>애국가 / 김남조</t>
  </si>
  <si>
    <t>https://blog.naver.com/PostView.naver?blogId=dwyun60&amp;logNo=223887846635&amp;redirect=Dlog&amp;widgetTypeCall=true&amp;directAccess=false</t>
  </si>
  <si>
    <t>경남신문</t>
  </si>
  <si>
    <t>강신석 작가_해경</t>
  </si>
  <si>
    <t>https://blog.naver.com/PostView.naver?blogId=aspira&amp;logNo=223913728930&amp;redirect=Dlog&amp;widgetTypeCall=true&amp;directAccess=false</t>
  </si>
  <si>
    <t>사천해전은 다른 곳에서 벌어졌다.</t>
  </si>
  <si>
    <t>https://blog.naver.com/PostView.naver?blogId=maclebunch&amp;logNo=223905163256&amp;redirect=Dlog&amp;widgetTypeCall=true&amp;directAccess=false</t>
  </si>
  <si>
    <t>[광복 80주년- 경남 독립의 역사와 더 큰 미래로] ⑪ 여성 독립운동가 산실, 하동</t>
  </si>
  <si>
    <t>https://blog.naver.com/PostView.naver?blogId=dwyun60&amp;logNo=223904484800&amp;redirect=Dlog&amp;widgetTypeCall=true&amp;directAccess=false</t>
  </si>
  <si>
    <t>유리뷰</t>
  </si>
  <si>
    <t>엄마의 과거 찾아보기 13세 때 마산산호 농구 우승</t>
  </si>
  <si>
    <t>https://blog.naver.com/PostView.naver?blogId=madelily&amp;logNo=223903785585&amp;redirect=Dlog&amp;widgetTypeCall=true&amp;directAccess=false</t>
  </si>
  <si>
    <t>라니와세븐</t>
  </si>
  <si>
    <t>신체의 힘과 균형을 유지하는 데 있어서 '감정조절'이 가장 중요한 이유?</t>
  </si>
  <si>
    <t>https://blog.naver.com/PostView.naver?blogId=raniwa7&amp;logNo=223887841314&amp;redirect=Dlog&amp;widgetTypeCall=true&amp;directAccess=false</t>
  </si>
  <si>
    <t>스포츠한국</t>
  </si>
  <si>
    <t>❤️간추린 스포츠통 🪄250622일23 뉴스모음</t>
  </si>
  <si>
    <t>https://blog.naver.com/PostView.naver?blogId=gusteam&amp;logNo=223908085538&amp;redirect=Dlog&amp;widgetTypeCall=true&amp;directAccess=false</t>
  </si>
  <si>
    <t>류현진 올스타 제외 이유와 그 배경 완벽 분석</t>
  </si>
  <si>
    <t>https://blog.naver.com/PostView.naver?blogId=lupin1800&amp;logNo=223889307171&amp;redirect=Dlog&amp;widgetTypeCall=true&amp;directAccess=false</t>
  </si>
  <si>
    <t>남해중</t>
  </si>
  <si>
    <t>(데일리스포츠한국 6월1일 보도)두·남 콤비, 대선 홍보전의 주역으로 떠오르다!</t>
  </si>
  <si>
    <t>https://blog.naver.com/PostView.naver?blogId=aepaul&amp;logNo=223885804894&amp;redirect=Dlog&amp;widgetTypeCall=true&amp;directAccess=false</t>
  </si>
  <si>
    <t>전북일보</t>
  </si>
  <si>
    <t>샐토리</t>
  </si>
  <si>
    <t>전주 냉면맛집 고속버스터미널 근처 맛집 정가네 냉면</t>
  </si>
  <si>
    <t>https://blog.naver.com/PostView.naver?blogId=sera_k&amp;logNo=223915358073&amp;redirect=Dlog&amp;widgetTypeCall=true&amp;directAccess=false</t>
  </si>
  <si>
    <t>혜인</t>
  </si>
  <si>
    <t>저녁의 집 / 유수진</t>
  </si>
  <si>
    <t>https://blog.naver.com/PostView.naver?blogId=9haein&amp;logNo=223911670150&amp;redirect=Dlog&amp;widgetTypeCall=true&amp;directAccess=false</t>
  </si>
  <si>
    <t>[작지만 강한 우리마을⑤]‘지속가능한 한옥 공동체’의 길을 걷는 완주 오성한옥마을</t>
  </si>
  <si>
    <t>https://blog.naver.com/PostView.naver?blogId=dwyun60&amp;logNo=223904453217&amp;redirect=Dlog&amp;widgetTypeCall=true&amp;directAccess=false</t>
  </si>
  <si>
    <t>[세계기록유산이 된 '동학농민혁명기록물] (49) 동학농민혁명을 기록한 편지 4통</t>
  </si>
  <si>
    <t>https://blog.naver.com/PostView.naver?blogId=dwyun60&amp;logNo=223904450731&amp;redirect=Dlog&amp;widgetTypeCall=true&amp;directAccess=false</t>
  </si>
  <si>
    <t>[세계기록유산이 된 '동학농민혁명기록물] (48) 교도소출주장병성책, 선봉진출정장졸성명급기복마실수성책, 본진별군관차출기, 친군장위영장졸실수성책</t>
  </si>
  <si>
    <t>https://blog.naver.com/PostView.naver?blogId=dwyun60&amp;logNo=223904449721&amp;redirect=Dlog&amp;widgetTypeCall=true&amp;directAccess=false</t>
  </si>
  <si>
    <t>김윤덕</t>
  </si>
  <si>
    <t>25.06.08. [전북일보] 김윤덕·안호영, 한남동 대통령 관저 만찬 참석</t>
  </si>
  <si>
    <t>https://blog.naver.com/PostView.naver?blogId=ydkim22&amp;logNo=223900157554&amp;redirect=Dlog&amp;widgetTypeCall=true&amp;directAccess=false</t>
  </si>
  <si>
    <t>그래피티로 물든 팔복예술공장, 시민과 함께한 ‘공존의 예술’</t>
  </si>
  <si>
    <t>https://blog.naver.com/PostView.naver?blogId=sms1038&amp;logNo=223897745372&amp;redirect=Dlog&amp;widgetTypeCall=true&amp;directAccess=false</t>
  </si>
  <si>
    <t>김기범내과</t>
  </si>
  <si>
    <t>2023 전북일보 기사 김제시의사회 수재의연금 기부</t>
  </si>
  <si>
    <t>https://blog.naver.com/PostView.naver?blogId=youbei03&amp;logNo=223896236775&amp;redirect=Dlog&amp;widgetTypeCall=true&amp;directAccess=false</t>
  </si>
  <si>
    <t>달려라 조랑말 Tnews</t>
  </si>
  <si>
    <t>‘2036 올림픽 전북 유치 기원' 전국 파크골프 대회 1만 5000명 함께했다</t>
  </si>
  <si>
    <t>https://blog.naver.com/PostView.naver?blogId=qazwsx4897&amp;logNo=223895211716&amp;redirect=Dlog&amp;widgetTypeCall=true&amp;directAccess=false</t>
  </si>
  <si>
    <t>‘2025 전주 미래문화포럼’, 13~14일 한국전통문화전당 등 전주시 일원에 개최</t>
  </si>
  <si>
    <t>https://blog.naver.com/PostView.naver?blogId=kmts9&amp;logNo=223894486484&amp;redirect=Dlog&amp;widgetTypeCall=true&amp;directAccess=false</t>
  </si>
  <si>
    <t>햇귀쌤</t>
  </si>
  <si>
    <t>어쩌다 환경인, 추천도서가 되었다</t>
  </si>
  <si>
    <t>https://blog.naver.com/PostView.naver?blogId=sunear&amp;logNo=223890787637&amp;redirect=Dlog&amp;widgetTypeCall=true&amp;directAccess=false</t>
  </si>
  <si>
    <t>중도일보</t>
  </si>
  <si>
    <t>대전 도심 곳곳서 싱크홀 잇따라 발생… 대형 사고로 번질 수도</t>
  </si>
  <si>
    <t>https://blog.naver.com/PostView.naver?blogId=ykj5994&amp;logNo=223905944582&amp;redirect=Dlog&amp;widgetTypeCall=true&amp;directAccess=false</t>
  </si>
  <si>
    <t>[중도일보]대전크리스찬리더스클럽 6월 월례예배</t>
  </si>
  <si>
    <t>https://blog.naver.com/PostView.naver?blogId=changjt&amp;logNo=223905778823&amp;redirect=Dlog&amp;widgetTypeCall=true&amp;directAccess=false</t>
  </si>
  <si>
    <t>해담홀딩스</t>
  </si>
  <si>
    <t>세계차문화원 ' 제1회 일상茶반사 축제 개최- 중도일보 기사</t>
  </si>
  <si>
    <t>https://blog.naver.com/PostView.naver?blogId=hjkim202505&amp;logNo=223905005490&amp;redirect=Dlog&amp;widgetTypeCall=true&amp;directAccess=false</t>
  </si>
  <si>
    <t>인천 음악놀이터</t>
  </si>
  <si>
    <t>남동구 박정하 의원, 돌봄센터 운영 실태 지적..'공적 책임 없는 결산은 없다'</t>
  </si>
  <si>
    <t>https://blog.naver.com/PostView.naver?blogId=jwhm1217&amp;logNo=223904504116&amp;redirect=Dlog&amp;widgetTypeCall=true&amp;directAccess=false</t>
  </si>
  <si>
    <t>아산시 '희망로(도시계획도로 순환축 대로1-5호선' 전면 개통</t>
  </si>
  <si>
    <t>https://blog.naver.com/PostView.naver?blogId=loveis2668&amp;logNo=223893047849&amp;redirect=Dlog&amp;widgetTypeCall=true&amp;directAccess=false</t>
  </si>
  <si>
    <t>경기도 광주 퇴촌 맛집 / 백종원 3대천왕 / 포사이</t>
  </si>
  <si>
    <t>https://blog.naver.com/PostView.naver?blogId=zagam2&amp;logNo=223892502818&amp;redirect=Dlog&amp;widgetTypeCall=true&amp;directAccess=false</t>
  </si>
  <si>
    <t>돌샘</t>
  </si>
  <si>
    <t>6.25전쟁은 남침인가,북침인가</t>
  </si>
  <si>
    <t>https://blog.naver.com/PostView.naver?blogId=dolbich&amp;logNo=223887587280&amp;redirect=Dlog&amp;widgetTypeCall=true&amp;directAccess=false</t>
  </si>
  <si>
    <t>[2025.06.01] '2025 기후도민 UP, 기후행동 ON' 행사 성료</t>
  </si>
  <si>
    <t>https://blog.naver.com/PostView.naver?blogId=o_jh2056&amp;logNo=223885825174&amp;redirect=Dlog&amp;widgetTypeCall=true&amp;directAccess=false</t>
  </si>
  <si>
    <t>[거기 그곳] 한국에도 사막이?…영화 최종병기 활 그곳 ‘태안 신두리 해안사구’</t>
  </si>
  <si>
    <t>https://blog.naver.com/PostView.naver?blogId=dwyun60&amp;logNo=223884705047&amp;redirect=Dlog&amp;widgetTypeCall=true&amp;directAccess=false</t>
  </si>
  <si>
    <t>[거기 그곳] 몰디브 한잔, 헌책 한 권... 영화 내부자들 속 그곳 ‘단양 새한서점’</t>
  </si>
  <si>
    <t>https://blog.naver.com/PostView.naver?blogId=dwyun60&amp;logNo=223884703922&amp;redirect=Dlog&amp;widgetTypeCall=true&amp;directAccess=false</t>
  </si>
  <si>
    <t>[거기 그곳] 가을이라 더 좋다!… '사랑의 불시착' 속 그곳 충주 중앙탑공원과 비내섬</t>
  </si>
  <si>
    <t>https://blog.naver.com/PostView.naver?blogId=dwyun60&amp;logNo=223884703416&amp;redirect=Dlog&amp;widgetTypeCall=true&amp;directAccess=false</t>
  </si>
  <si>
    <t>[거기 그곳] 동백이도 울고 갈 그림같은 풍경, 충남 보령 충청수영성</t>
  </si>
  <si>
    <t>https://blog.naver.com/PostView.naver?blogId=dwyun60&amp;logNo=223884702796&amp;redirect=Dlog&amp;widgetTypeCall=true&amp;directAccess=false</t>
  </si>
  <si>
    <t>[거기 그곳] 떠오르는 ‘차박 성지’… 드라마 빈센조 촬영지 ‘충주 수주팔봉’</t>
  </si>
  <si>
    <t>https://blog.naver.com/PostView.naver?blogId=dwyun60&amp;logNo=223884702250&amp;redirect=Dlog&amp;widgetTypeCall=true&amp;directAccess=false</t>
  </si>
  <si>
    <t>[거기 그곳] 추억에 취하고, 예술에 반하고... 영화 '마약왕' 속 그 곳, 대전시 테미오래</t>
  </si>
  <si>
    <t>https://blog.naver.com/PostView.naver?blogId=dwyun60&amp;logNo=223884701076&amp;redirect=Dlog&amp;widgetTypeCall=true&amp;directAccess=false</t>
  </si>
  <si>
    <t>[거기 그곳] 쪽빛 하늘아래 일렁이는 갈대물결... '공동경비구역 JSA'의 그곳 신성리갈대밭</t>
  </si>
  <si>
    <t>https://blog.naver.com/PostView.naver?blogId=dwyun60&amp;logNo=223884700077&amp;redirect=Dlog&amp;widgetTypeCall=true&amp;directAccess=false</t>
  </si>
  <si>
    <t>[거기 그곳] 첫사랑의 추억 속으로... 영화 클래식 속 고즈넉한 그곳, 충남 아산 외암민속마을</t>
  </si>
  <si>
    <t>https://blog.naver.com/PostView.naver?blogId=dwyun60&amp;logNo=223884699475&amp;redirect=Dlog&amp;widgetTypeCall=true&amp;directAccess=false</t>
  </si>
  <si>
    <t>경북도민일보</t>
  </si>
  <si>
    <t>인기</t>
  </si>
  <si>
    <t>불교정화의 씨앗이 움튼 곳, 사불산 대승사</t>
  </si>
  <si>
    <t>https://blog.naver.com/PostView.naver?blogId=joingi61&amp;logNo=223886092369&amp;redirect=Dlog&amp;widgetTypeCall=true&amp;directAccess=false</t>
  </si>
  <si>
    <t>내일신문</t>
  </si>
  <si>
    <t>‘2025년 독서경영 우수직장 인증’ 신청 받아</t>
  </si>
  <si>
    <t>https://blog.naver.com/PostView.naver?blogId=dwyun60&amp;logNo=223901888786&amp;redirect=Dlog&amp;widgetTypeCall=true&amp;directAccess=false</t>
  </si>
  <si>
    <t>김보라 초대展</t>
  </si>
  <si>
    <t>https://blog.naver.com/PostView.naver?blogId=jojako&amp;logNo=223898526709&amp;redirect=Dlog&amp;widgetTypeCall=true&amp;directAccess=false</t>
  </si>
  <si>
    <t>일러스트스토리</t>
  </si>
  <si>
    <t>https://blog.naver.com/PostView.naver?blogId=illuststory_&amp;logNo=223898165946&amp;redirect=Dlog&amp;widgetTypeCall=true&amp;directAccess=false</t>
  </si>
  <si>
    <t>유럽 핵융합 잠재력에 기록적 투자금</t>
  </si>
  <si>
    <t>https://blog.naver.com/PostView.naver?blogId=fagasari&amp;logNo=223896836293&amp;redirect=Dlog&amp;widgetTypeCall=true&amp;directAccess=false</t>
  </si>
  <si>
    <t>연구소 디자인21</t>
  </si>
  <si>
    <t>[인공지능과 출판 콘텐츠] 도서관의 인공지능(AI) 독서 큐레이션</t>
  </si>
  <si>
    <t>https://blog.naver.com/PostView.naver?blogId=21publish&amp;logNo=223870642527&amp;redirect=Dlog&amp;widgetTypeCall=true&amp;directAccess=false</t>
  </si>
  <si>
    <t>김민석 총리에 대한 언론의 오해</t>
  </si>
  <si>
    <t>https://blog.naver.com/PostView.naver?blogId=ndsan&amp;logNo=223895407507&amp;redirect=Dlog&amp;widgetTypeCall=true&amp;directAccess=false</t>
  </si>
  <si>
    <t>파주내일</t>
  </si>
  <si>
    <t>육상풍력, 산불대응 전초기지</t>
  </si>
  <si>
    <t>https://blog.naver.com/PostView.naver?blogId=pajualex&amp;logNo=223894647302&amp;redirect=Dlog&amp;widgetTypeCall=true&amp;directAccess=false</t>
  </si>
  <si>
    <t>FPSB Korea</t>
  </si>
  <si>
    <t>[보도자료] 한국FPSB, 인공지능(AI) 시대로 재무설계 업계가 새로운 전환점을 맞이하고 있다! 국제FPSB 글로벌 설문 조사 발표</t>
  </si>
  <si>
    <t>https://blog.naver.com/PostView.naver?blogId=fpsbjwkim&amp;logNo=223893061574&amp;redirect=Dlog&amp;widgetTypeCall=true&amp;directAccess=false</t>
  </si>
  <si>
    <t>Khan</t>
  </si>
  <si>
    <t>20250531 제11회 하늘숲길걷기축제</t>
  </si>
  <si>
    <t>https://blog.naver.com/PostView.naver?blogId=khan412&amp;logNo=223889643046&amp;redirect=Dlog&amp;widgetTypeCall=true&amp;directAccess=false</t>
  </si>
  <si>
    <t>퓨쳐누리, 도서관 특화 인공지능 서비스 공개</t>
  </si>
  <si>
    <t>https://blog.naver.com/PostView.naver?blogId=dwyun60&amp;logNo=223887858321&amp;redirect=Dlog&amp;widgetTypeCall=true&amp;directAccess=false</t>
  </si>
  <si>
    <t>대선 D-1 “내란종식” “독주차단” 막판 격돌</t>
  </si>
  <si>
    <t>https://blog.naver.com/PostView.naver?blogId=samo2001&amp;logNo=223886317784&amp;redirect=Dlog&amp;widgetTypeCall=true&amp;directAccess=false</t>
  </si>
  <si>
    <t>충청투데이</t>
  </si>
  <si>
    <t>dkuhuss</t>
  </si>
  <si>
    <t>[보도자료] 단국대학교서 K-컬처의 미래 말하다</t>
  </si>
  <si>
    <t>https://blog.naver.com/PostView.naver?blogId=dkuhuss&amp;logNo=223901181488&amp;redirect=Dlog&amp;widgetTypeCall=true&amp;directAccess=false</t>
  </si>
  <si>
    <t>[회] 백파수산 (대전 월평동 맛집)</t>
  </si>
  <si>
    <t>https://blog.naver.com/PostView.naver?blogId=iamjieunpark&amp;logNo=223896245980&amp;redirect=Dlog&amp;widgetTypeCall=true&amp;directAccess=false</t>
  </si>
  <si>
    <t>[꼬꼬무] 178회: 최악의 연쇄 성폭행범 - 발바리를 잡아라</t>
  </si>
  <si>
    <t>https://blog.naver.com/PostView.naver?blogId=lemon71sw&amp;logNo=223891299096&amp;redirect=Dlog&amp;widgetTypeCall=true&amp;directAccess=false</t>
  </si>
  <si>
    <t>대전 가볼만한곳 왕관식당 찐노포 블루리본 맛집 콩나물밥 육회 후기</t>
  </si>
  <si>
    <t>https://blog.naver.com/PostView.naver?blogId=tear0912&amp;logNo=223888925768&amp;redirect=Dlog&amp;widgetTypeCall=true&amp;directAccess=false</t>
  </si>
  <si>
    <t>전남일보</t>
  </si>
  <si>
    <t>전라남도사회서비스원</t>
  </si>
  <si>
    <t>전남사회서비스원, 개원 4주년 기념식 및 ESG 교육 진행</t>
  </si>
  <si>
    <t>https://blog.naver.com/PostView.naver?blogId=jnwfe&amp;logNo=223916781612&amp;redirect=Dlog&amp;widgetTypeCall=true&amp;directAccess=false</t>
  </si>
  <si>
    <t>금팽초</t>
  </si>
  <si>
    <t>광주 인문투어 프로그램 ‘소년의 길’ 후기-정말로 추천⭐️⭐️</t>
  </si>
  <si>
    <t>https://blog.naver.com/PostView.naver?blogId=chaek_check&amp;logNo=223915127417&amp;redirect=Dlog&amp;widgetTypeCall=true&amp;directAccess=false</t>
  </si>
  <si>
    <t>시바노바</t>
  </si>
  <si>
    <t>25년 5월 : 재밌는 것들의 모음 -2)</t>
  </si>
  <si>
    <t>https://blog.naver.com/PostView.naver?blogId=sivasiva-&amp;logNo=223914835256&amp;redirect=Dlog&amp;widgetTypeCall=true&amp;directAccess=false</t>
  </si>
  <si>
    <t>이태복</t>
  </si>
  <si>
    <t>오월 정신 계승을 위한 학술토론회 -뒷풀이에서 3가지 비하인드 이야기에 눈물 고여</t>
  </si>
  <si>
    <t>https://blog.naver.com/PostView.naver?blogId=ltb5012&amp;logNo=223913634725&amp;redirect=Dlog&amp;widgetTypeCall=true&amp;directAccess=false</t>
  </si>
  <si>
    <t>5.18 민주화운동 당시 헬기 사격 탄흔, 전일빌딩245</t>
  </si>
  <si>
    <t>https://blog.naver.com/PostView.naver?blogId=hobbyheavy&amp;logNo=223909552828&amp;redirect=Dlog&amp;widgetTypeCall=true&amp;directAccess=false</t>
  </si>
  <si>
    <t>깜줌마</t>
  </si>
  <si>
    <t>원더풀, 아빠의 청춘 브라보, 아빠의 인생 - ②</t>
  </si>
  <si>
    <t>https://blog.naver.com/PostView.naver?blogId=kkamjumma_93&amp;logNo=223906030634&amp;redirect=Dlog&amp;widgetTypeCall=true&amp;directAccess=false</t>
  </si>
  <si>
    <t>〔4619〕성공 기대되는 '농.어촌 선도 수도' 모델/ 사설/ 전남일보 2025. 6. 17.</t>
  </si>
  <si>
    <t>https://blog.naver.com/PostView.naver?blogId=kje06&amp;logNo=223905214303&amp;redirect=Dlog&amp;widgetTypeCall=true&amp;directAccess=false</t>
  </si>
  <si>
    <t>〔4618〕 빚만 늘어가는 농촌 이대로 방치할 것인가/ 사설/ 전남일보 2025. 6. 16.</t>
  </si>
  <si>
    <t>https://blog.naver.com/PostView.naver?blogId=kje06&amp;logNo=223905212143&amp;redirect=Dlog&amp;widgetTypeCall=true&amp;directAccess=false</t>
  </si>
  <si>
    <t>〔5619〕 장마/ 이용환 논설실장/ 전남일보 2025. 6. 20.</t>
  </si>
  <si>
    <t>https://blog.naver.com/PostView.naver?blogId=kje06&amp;logNo=223905204591&amp;redirect=Dlog&amp;widgetTypeCall=true&amp;directAccess=false</t>
  </si>
  <si>
    <t>10라운드 지명 신화… 성영탁, 마운드의 ‘미스터 제로’</t>
  </si>
  <si>
    <t>https://blog.naver.com/PostView.naver?blogId=kiatigers-1982&amp;logNo=223904559465&amp;redirect=Dlog&amp;widgetTypeCall=true&amp;directAccess=false</t>
  </si>
  <si>
    <t>행복나눔 김작가</t>
  </si>
  <si>
    <t>나눔톡톡&gt; 미소지며 인사를 나누자</t>
  </si>
  <si>
    <t>https://blog.naver.com/PostView.naver?blogId=humanitarian1863&amp;logNo=223902412942&amp;redirect=Dlog&amp;widgetTypeCall=true&amp;directAccess=false</t>
  </si>
  <si>
    <t>〔5611〕 브로드웨이/ 김성수 논설위원/ 전남일보 2025. 6. 10.</t>
  </si>
  <si>
    <t>https://blog.naver.com/PostView.naver?blogId=kje06&amp;logNo=223900053894&amp;redirect=Dlog&amp;widgetTypeCall=true&amp;directAccess=false</t>
  </si>
  <si>
    <t>〔5610〕 '지도 뻘 땅 먹거리 장터'/ 이용환 논설실장/ 전남일보 2025. 6. 12.</t>
  </si>
  <si>
    <t>https://blog.naver.com/PostView.naver?blogId=kje06&amp;logNo=223900049700&amp;redirect=Dlog&amp;widgetTypeCall=true&amp;directAccess=false</t>
  </si>
  <si>
    <t>〔4610〕 죽은 자의 물음에 응답할 때/ 오지현 기자/ 전남일보 2025. 6. 11.</t>
  </si>
  <si>
    <t>https://blog.naver.com/PostView.naver?blogId=kje06&amp;logNo=223900044753&amp;redirect=Dlog&amp;widgetTypeCall=true&amp;directAccess=false</t>
  </si>
  <si>
    <t>하얼빈 의거의 영웅 안중근 의사의 숭모비</t>
  </si>
  <si>
    <t>https://blog.naver.com/PostView.naver?blogId=obin4354&amp;logNo=223892636986&amp;redirect=Dlog&amp;widgetTypeCall=true&amp;directAccess=false</t>
  </si>
  <si>
    <t>서리</t>
  </si>
  <si>
    <t>2025년 5월.</t>
  </si>
  <si>
    <t>https://blog.naver.com/PostView.naver?blogId=hereandthereofus&amp;logNo=223890651881&amp;redirect=Dlog&amp;widgetTypeCall=true&amp;directAccess=false</t>
  </si>
  <si>
    <t>광주광역시  5.18 민주화운동     ‘전일빌딩245’                 2025년 6월 3일</t>
  </si>
  <si>
    <t>https://blog.naver.com/PostView.naver?blogId=kw8756&amp;logNo=223889848477&amp;redirect=Dlog&amp;widgetTypeCall=true&amp;directAccess=false</t>
  </si>
  <si>
    <t>아에이오우파피푸레로</t>
  </si>
  <si>
    <t>전남도, 전국 첫 ‘출생기본수당’…출산율 반등 ‘견인’ 출처 : 전남일보.1분기1.13명…전국 대비 0.31명↑ 제도 도입 5개월 만에 실효성 입증 18세까지 월 20만원…양육비</t>
  </si>
  <si>
    <t>https://blog.naver.com/PostView.naver?blogId=teresa3540&amp;logNo=223886107912&amp;redirect=Dlog&amp;widgetTypeCall=true&amp;directAccess=false</t>
  </si>
  <si>
    <t>붉은 돼지</t>
  </si>
  <si>
    <t>전남일보의 투표 독려 아이디어</t>
  </si>
  <si>
    <t>https://blog.naver.com/PostView.naver?blogId=amdg77&amp;logNo=223884132058&amp;redirect=Dlog&amp;widgetTypeCall=true&amp;directAccess=false</t>
  </si>
  <si>
    <t>브릿지경제</t>
  </si>
  <si>
    <t>서울사이버대 일반대학원, 개원 축하 음악회 성료</t>
  </si>
  <si>
    <t>https://blog.naver.com/PostView.naver?blogId=iscu_univ&amp;logNo=223915553170&amp;redirect=Dlog&amp;widgetTypeCall=true&amp;directAccess=false</t>
  </si>
  <si>
    <t>손실보상지원센터</t>
  </si>
  <si>
    <t>6월 25일 정비사업 뉴스</t>
  </si>
  <si>
    <t>https://blog.naver.com/PostView.naver?blogId=frame_compensation&amp;logNo=223911368414&amp;redirect=Dlog&amp;widgetTypeCall=true&amp;directAccess=false</t>
  </si>
  <si>
    <t>“10년뒤 분양 우선권 불투명”...‘동탄 파라곤 3차’ 혼란 가중 우려</t>
  </si>
  <si>
    <t>https://blog.naver.com/PostView.naver?blogId=myhyun2004&amp;logNo=223907793272&amp;redirect=Dlog&amp;widgetTypeCall=true&amp;directAccess=false</t>
  </si>
  <si>
    <t>"'잘했어'보다 '대단하네'라고 말해 보세요"</t>
  </si>
  <si>
    <t>https://blog.naver.com/PostView.naver?blogId=momscareer&amp;logNo=223905603804&amp;redirect=Dlog&amp;widgetTypeCall=true&amp;directAccess=false</t>
  </si>
  <si>
    <t>[안전,환경,생활]동구청 '학교 안전 위해 3억 5000만원 추가 지원'</t>
  </si>
  <si>
    <t>https://blog.naver.com/PostView.naver?blogId=dong_gu-info&amp;logNo=223897800479&amp;redirect=Dlog&amp;widgetTypeCall=true&amp;directAccess=false</t>
  </si>
  <si>
    <t>양부남</t>
  </si>
  <si>
    <t>광주 서구, 덕흥파크골프장 18홀로 확장…생활체육 명소로 도약</t>
  </si>
  <si>
    <t>https://blog.naver.com/PostView.naver?blogId=ybn610323&amp;logNo=223895739815&amp;redirect=Dlog&amp;widgetTypeCall=true&amp;directAccess=false</t>
  </si>
  <si>
    <t>[브릿지경제] 보조공학기기 박람회 축사하는 서미화(25.06.10)</t>
  </si>
  <si>
    <t>https://blog.naver.com/PostView.naver?blogId=m2hwaseo&amp;logNo=223894795606&amp;redirect=Dlog&amp;widgetTypeCall=true&amp;directAccess=false</t>
  </si>
  <si>
    <t>뽀뽀야</t>
  </si>
  <si>
    <t>&lt;종목공부&gt; 에스비비테크 #1.</t>
  </si>
  <si>
    <t>https://blog.naver.com/PostView.naver?blogId=ggsat&amp;logNo=223891819987&amp;redirect=Dlog&amp;widgetTypeCall=true&amp;directAccess=false</t>
  </si>
  <si>
    <t>KSA 훈련도우미</t>
  </si>
  <si>
    <t>서울산업 HRD 클러스터 출범… 기업 맞춤형 직업능력개발 지원 강화</t>
  </si>
  <si>
    <t>https://blog.naver.com/PostView.naver?blogId=ksahrdk_training&amp;logNo=223889460020&amp;redirect=Dlog&amp;widgetTypeCall=true&amp;directAccess=false</t>
  </si>
  <si>
    <t>스포츠월드</t>
  </si>
  <si>
    <t>이종범 시즌 중 퇴단, 예능 ‘최강 야구’ 감독으로</t>
  </si>
  <si>
    <t>https://blog.naver.com/PostView.naver?blogId=bluewing0505&amp;logNo=223914018449&amp;redirect=Dlog&amp;widgetTypeCall=true&amp;directAccess=false</t>
  </si>
  <si>
    <t>오늘 아침에 뜬 250602 FA 막날 이제 이름만 봐도 ....한 오재현 서울SK 재계약 3년(기사에 없던 금액은 2억 5천 인센티브 7500)</t>
  </si>
  <si>
    <t>https://blog.naver.com/PostView.naver?blogId=starring___&amp;logNo=223886326659&amp;redirect=Dlog&amp;widgetTypeCall=true&amp;directAccess=false</t>
  </si>
  <si>
    <t>골린이 지은이</t>
  </si>
  <si>
    <t>중부cc까지 삼킨 더 시에나 그룹... 2000억 들여 '골프 황제' 꿈꾼다</t>
  </si>
  <si>
    <t>https://blog.naver.com/PostView.naver?blogId=jepgolf&amp;logNo=223885774851&amp;redirect=Dlog&amp;widgetTypeCall=true&amp;directAccess=false</t>
  </si>
  <si>
    <t>새전북신문</t>
  </si>
  <si>
    <t>백산</t>
  </si>
  <si>
    <t>하반영미술관</t>
  </si>
  <si>
    <t>https://blog.naver.com/PostView.naver?blogId=youlsy80&amp;logNo=223915905949&amp;redirect=Dlog&amp;widgetTypeCall=true&amp;directAccess=false</t>
  </si>
  <si>
    <t>예수병원, 난임·임산부 심리상담센터 개소</t>
  </si>
  <si>
    <t>https://blog.naver.com/PostView.naver?blogId=pmcpr1898&amp;logNo=223903164305&amp;redirect=Dlog&amp;widgetTypeCall=true&amp;directAccess=false</t>
  </si>
  <si>
    <t>[다시쓰는 동학·동학농민혁명사]한국 최초의 여성 종교로 등장한 동학! 여성을 ’하늘님‘으로 모시다</t>
  </si>
  <si>
    <t>https://blog.naver.com/PostView.naver?blogId=dwyun60&amp;logNo=223891491273&amp;redirect=Dlog&amp;widgetTypeCall=true&amp;directAccess=false</t>
  </si>
  <si>
    <t>[다시쓰는 동학·동학농민혁명사]`한반도 개벽 사상의 세계화' 가능성 열다</t>
  </si>
  <si>
    <t>https://blog.naver.com/PostView.naver?blogId=dwyun60&amp;logNo=223891490419&amp;redirect=Dlog&amp;widgetTypeCall=true&amp;directAccess=false</t>
  </si>
  <si>
    <t>동양일보</t>
  </si>
  <si>
    <t>한의사랑건강전도사</t>
  </si>
  <si>
    <t>나 지금 떨고 있니?(떨림 2편)</t>
  </si>
  <si>
    <t>https://blog.naver.com/PostView.naver?blogId=hanisa-kys&amp;logNo=223916274764&amp;redirect=Dlog&amp;widgetTypeCall=true&amp;directAccess=false</t>
  </si>
  <si>
    <t>세진종합기술</t>
  </si>
  <si>
    <t>괴산 세진종합기술, 충북적십자사 희망나눔 실천기업 278호</t>
  </si>
  <si>
    <t>https://blog.naver.com/PostView.naver?blogId=sejininc&amp;logNo=223908410733&amp;redirect=Dlog&amp;widgetTypeCall=true&amp;directAccess=false</t>
  </si>
  <si>
    <t>쿵쿵따쌤</t>
  </si>
  <si>
    <t>[이벤트] 미래엔과 함께하는 'KBS 우리말겨루기' 여름방학 특집 방송</t>
  </si>
  <si>
    <t>https://blog.naver.com/PostView.naver?blogId=kimming94&amp;logNo=223898001609&amp;redirect=Dlog&amp;widgetTypeCall=true&amp;directAccess=false</t>
  </si>
  <si>
    <t>울산매일</t>
  </si>
  <si>
    <t>자연과 축제, 울산의 순간들 ... ‘아름다운 울산을 담다’ 사진전 울산문화예술회관 제1전시장에서 개최</t>
  </si>
  <si>
    <t>https://blog.naver.com/PostView.naver?blogId=06rnftkrrl&amp;logNo=223886316373&amp;redirect=Dlog&amp;widgetTypeCall=true&amp;directAccess=false</t>
  </si>
  <si>
    <t>헬로디디</t>
  </si>
  <si>
    <t>달다구리</t>
  </si>
  <si>
    <t>Hello Didi_ 7세와 함께하는 헬로디디 (2)</t>
  </si>
  <si>
    <t>https://blog.naver.com/PostView.naver?blogId=daldaguri_y&amp;logNo=223917186649&amp;redirect=Dlog&amp;widgetTypeCall=true&amp;directAccess=false</t>
  </si>
  <si>
    <t>일요신문</t>
  </si>
  <si>
    <t>투자금 유치 절실한데…새벽배송대행 1위 팀프레시 ‘불안한 앞날’</t>
  </si>
  <si>
    <t>https://blog.naver.com/PostView.naver?blogId=neologis&amp;logNo=223910833258&amp;redirect=Dlog&amp;widgetTypeCall=true&amp;directAccess=false</t>
  </si>
  <si>
    <t>배민, 1만 원 이하 주문 수수료 안 받는다는데…소비자단체 비판 나오는 이유</t>
  </si>
  <si>
    <t>https://blog.naver.com/PostView.naver?blogId=ksj2020v&amp;logNo=223910278289&amp;redirect=Dlog&amp;widgetTypeCall=true&amp;directAccess=false</t>
  </si>
  <si>
    <t>onilyo</t>
  </si>
  <si>
    <t>성범죄 혐의→구속…‘나는솔로’ 출연자, 방송서 삭제된다</t>
  </si>
  <si>
    <t>https://blog.naver.com/PostView.naver?blogId=onilyo&amp;logNo=223910246487&amp;redirect=Dlog&amp;widgetTypeCall=true&amp;directAccess=false</t>
  </si>
  <si>
    <t>시사파이터</t>
  </si>
  <si>
    <t>🔍 김민석 총리 후보자를 둘러싼 공방…검증인가, 흠집내기인가?</t>
  </si>
  <si>
    <t>https://blog.naver.com/PostView.naver?blogId=p-media&amp;logNo=223908143608&amp;redirect=Dlog&amp;widgetTypeCall=true&amp;directAccess=false</t>
  </si>
  <si>
    <t>누군가의 팬이 된다는 것.</t>
  </si>
  <si>
    <t>https://blog.naver.com/PostView.naver?blogId=1998_c&amp;logNo=223904978344&amp;redirect=Dlog&amp;widgetTypeCall=true&amp;directAccess=false</t>
  </si>
  <si>
    <t>계원예대 대학일자리</t>
  </si>
  <si>
    <t>“퇴직자 재고용과 청년 고용 감소 상관관계 적다”</t>
  </si>
  <si>
    <t>https://blog.naver.com/PostView.naver?blogId=kaywonjob&amp;logNo=223896908798&amp;redirect=Dlog&amp;widgetTypeCall=true&amp;directAccess=false</t>
  </si>
  <si>
    <t>“남편 목소리 다시 듣게 해주세요”</t>
  </si>
  <si>
    <t>https://blog.naver.com/PostView.naver?blogId=onilyo&amp;logNo=223895515431&amp;redirect=Dlog&amp;widgetTypeCall=true&amp;directAccess=false</t>
  </si>
  <si>
    <t>신뢰관계 파탄 재조명될까…뉴진스 vs 어도어 ‘전속계약 해지 소송’ 쟁점</t>
  </si>
  <si>
    <t>https://blog.naver.com/PostView.naver?blogId=tomalss&amp;logNo=223891973787&amp;redirect=Dlog&amp;widgetTypeCall=true&amp;directAccess=false</t>
  </si>
  <si>
    <t>역경역전</t>
  </si>
  <si>
    <t>한 방울의 거짓말 : 테라노스와 홈스의 몰락</t>
  </si>
  <si>
    <t>https://blog.naver.com/PostView.naver?blogId=j33jdj&amp;logNo=223885781551&amp;redirect=Dlog&amp;widgetTypeCall=true&amp;directAccess=false</t>
  </si>
  <si>
    <t>충청일보</t>
  </si>
  <si>
    <t>6월 30일 월요일 장 마감 정리</t>
  </si>
  <si>
    <t>https://blog.naver.com/PostView.naver?blogId=yosin72&amp;logNo=223917204250&amp;redirect=Dlog&amp;widgetTypeCall=true&amp;directAccess=false</t>
  </si>
  <si>
    <t>야옹메롱</t>
  </si>
  <si>
    <t>[ 해킹 ] 김용대·윤인수 KAIST 교수팀 연구 필수 보안 소프트웨어의 취약점 밝혀내</t>
  </si>
  <si>
    <t>https://blog.naver.com/PostView.naver?blogId=mage7th&amp;logNo=223907853091&amp;redirect=Dlog&amp;widgetTypeCall=true&amp;directAccess=false</t>
  </si>
  <si>
    <t>청주사랑</t>
  </si>
  <si>
    <t>세상을보며, 선택과 결정의 중요성(23), 20250620</t>
  </si>
  <si>
    <t>https://blog.naver.com/PostView.naver?blogId=ygjung56&amp;logNo=223907837722&amp;redirect=Dlog&amp;widgetTypeCall=true&amp;directAccess=false</t>
  </si>
  <si>
    <t>궁금하다</t>
  </si>
  <si>
    <t>음주운전을 하는 차량에 동승한다면 방조죄로 처벌 가능성은 얼마나</t>
  </si>
  <si>
    <t>https://blog.naver.com/PostView.naver?blogId=singane111&amp;logNo=223903164644&amp;redirect=Dlog&amp;widgetTypeCall=true&amp;directAccess=false</t>
  </si>
  <si>
    <t>충남함께한걸음센터</t>
  </si>
  <si>
    <t>한국마약퇴치운동본부 충남지부, 6월 19일 마약류 중독치료재활 심포지엄 개최</t>
  </si>
  <si>
    <t>https://blog.naver.com/PostView.naver?blogId=cndf1342&amp;logNo=223901836876&amp;redirect=Dlog&amp;widgetTypeCall=true&amp;directAccess=false</t>
  </si>
  <si>
    <t>알쥐뻐스</t>
  </si>
  <si>
    <t>대전 롯데캐슬 더퍼스트 조건변경#2</t>
  </si>
  <si>
    <t>https://blog.naver.com/PostView.naver?blogId=izurade&amp;logNo=223901144546&amp;redirect=Dlog&amp;widgetTypeCall=true&amp;directAccess=false</t>
  </si>
  <si>
    <t>살아 가면서 주어지는 3번의 기회</t>
  </si>
  <si>
    <t>https://blog.naver.com/PostView.naver?blogId=durisori&amp;logNo=223894562410&amp;redirect=Dlog&amp;widgetTypeCall=true&amp;directAccess=false</t>
  </si>
  <si>
    <t>당진시대</t>
  </si>
  <si>
    <t>당진 박사장</t>
  </si>
  <si>
    <t>종합병원(산재전문,일반진료), 자사고 가시화되었다.</t>
  </si>
  <si>
    <t>https://blog.naver.com/PostView.naver?blogId=cdsyou50&amp;logNo=223911489822&amp;redirect=Dlog&amp;widgetTypeCall=true&amp;directAccess=false</t>
  </si>
  <si>
    <t>석문방조제 무인 비행장치(드론) 순찰 실시</t>
  </si>
  <si>
    <t>https://blog.naver.com/PostView.naver?blogId=loveis2668&amp;logNo=223909761304&amp;redirect=Dlog&amp;widgetTypeCall=true&amp;directAccess=false</t>
  </si>
  <si>
    <t>환경일보</t>
  </si>
  <si>
    <t>기후위기와 AI 토지피복</t>
  </si>
  <si>
    <t>https://blog.naver.com/PostView.naver?blogId=commbooks&amp;logNo=223916479643&amp;redirect=Dlog&amp;widgetTypeCall=true&amp;directAccess=false</t>
  </si>
  <si>
    <t>모돌</t>
  </si>
  <si>
    <t>경기도, ‘기회타운 제2호’ 북수원 테크노밸리 본격 추진</t>
  </si>
  <si>
    <t>https://blog.naver.com/PostView.naver?blogId=echo_hkbs&amp;logNo=223915546979&amp;redirect=Dlog&amp;widgetTypeCall=true&amp;directAccess=false</t>
  </si>
  <si>
    <t>경기도, 응급의료 위기 선제 대응…중증응급환자 위한 제도 마련</t>
  </si>
  <si>
    <t>https://blog.naver.com/PostView.naver?blogId=echo_hkbs&amp;logNo=223915543799&amp;redirect=Dlog&amp;widgetTypeCall=true&amp;directAccess=false</t>
  </si>
  <si>
    <t>“초록빛 이끼가 전하는 숲속 이야기”</t>
  </si>
  <si>
    <t>https://blog.naver.com/PostView.naver?blogId=echo_hkbs&amp;logNo=223915542163&amp;redirect=Dlog&amp;widgetTypeCall=true&amp;directAccess=false</t>
  </si>
  <si>
    <t>경기도, 도민 체내 평균 유해물질 농도 33.2% 감소</t>
  </si>
  <si>
    <t>https://blog.naver.com/PostView.naver?blogId=echo_hkbs&amp;logNo=223915539691&amp;redirect=Dlog&amp;widgetTypeCall=true&amp;directAccess=false</t>
  </si>
  <si>
    <t>경기도의회, 안재모·김종석 등 6명 홍보대사 위촉</t>
  </si>
  <si>
    <t>https://blog.naver.com/PostView.naver?blogId=echo_hkbs&amp;logNo=223914783431&amp;redirect=Dlog&amp;widgetTypeCall=true&amp;directAccess=false</t>
  </si>
  <si>
    <t>경기도, 일본뇌염 매개모기 올해 첫 발견… 작년보다 한 달 빨라</t>
  </si>
  <si>
    <t>https://blog.naver.com/PostView.naver?blogId=echo_hkbs&amp;logNo=223914781974&amp;redirect=Dlog&amp;widgetTypeCall=true&amp;directAccess=false</t>
  </si>
  <si>
    <t>경기도, 39조2826억 원 규모 제1회 추경 확정</t>
  </si>
  <si>
    <t>https://blog.naver.com/PostView.naver?blogId=echo_hkbs&amp;logNo=223914779650&amp;redirect=Dlog&amp;widgetTypeCall=true&amp;directAccess=false</t>
  </si>
  <si>
    <t>용인시, GTX-A 구성역 5번 출구 개통 맞춰 교통망 확대</t>
  </si>
  <si>
    <t>https://blog.naver.com/PostView.naver?blogId=echo_hkbs&amp;logNo=223914775477&amp;redirect=Dlog&amp;widgetTypeCall=true&amp;directAccess=false</t>
  </si>
  <si>
    <t>광주시의회, 6월 칭찬공무원 장만수 팀장 선정</t>
  </si>
  <si>
    <t>https://blog.naver.com/PostView.naver?blogId=echo_hkbs&amp;logNo=223913526020&amp;redirect=Dlog&amp;widgetTypeCall=true&amp;directAccess=false</t>
  </si>
  <si>
    <t>경기도의회, ‘2024 우수 조례 및 연구단체 시상식’ 개최</t>
  </si>
  <si>
    <t>https://blog.naver.com/PostView.naver?blogId=echo_hkbs&amp;logNo=223913515559&amp;redirect=Dlog&amp;widgetTypeCall=true&amp;directAccess=false</t>
  </si>
  <si>
    <t>용인특례시, 6·25전쟁 75주년 기념행사 개최</t>
  </si>
  <si>
    <t>https://blog.naver.com/PostView.naver?blogId=echo_hkbs&amp;logNo=223912673215&amp;redirect=Dlog&amp;widgetTypeCall=true&amp;directAccess=false</t>
  </si>
  <si>
    <t>성남시, 독거노인 우유 배달로 안부 확인</t>
  </si>
  <si>
    <t>https://blog.naver.com/PostView.naver?blogId=echo_hkbs&amp;logNo=223912661953&amp;redirect=Dlog&amp;widgetTypeCall=true&amp;directAccess=false</t>
  </si>
  <si>
    <t>광주시의회, 도심침수 저감 위한 연구 착수</t>
  </si>
  <si>
    <t>https://blog.naver.com/PostView.naver?blogId=echo_hkbs&amp;logNo=223912657697&amp;redirect=Dlog&amp;widgetTypeCall=true&amp;directAccess=false</t>
  </si>
  <si>
    <t>김인호</t>
  </si>
  <si>
    <t>그린수소가 철강 탈탄소화의 열쇠'</t>
  </si>
  <si>
    <t>https://blog.naver.com/PostView.naver?blogId=rladlsgh5113&amp;logNo=223912346751&amp;redirect=Dlog&amp;widgetTypeCall=true&amp;directAccess=false</t>
  </si>
  <si>
    <t>수원시, 경제자유구역 지정 추진…“한국형 실리콘밸리 만든다”</t>
  </si>
  <si>
    <t>https://blog.naver.com/PostView.naver?blogId=echo_hkbs&amp;logNo=223912199324&amp;redirect=Dlog&amp;widgetTypeCall=true&amp;directAccess=false</t>
  </si>
  <si>
    <t>경기도의회, 자치분권 강화를 위한 정책 세미나 개최</t>
  </si>
  <si>
    <t>https://blog.naver.com/PostView.naver?blogId=echo_hkbs&amp;logNo=223912195581&amp;redirect=Dlog&amp;widgetTypeCall=true&amp;directAccess=false</t>
  </si>
  <si>
    <t>“영웅들의 헌신을 기억하겠습니다”</t>
  </si>
  <si>
    <t>https://blog.naver.com/PostView.naver?blogId=echo_hkbs&amp;logNo=223912190473&amp;redirect=Dlog&amp;widgetTypeCall=true&amp;directAccess=false</t>
  </si>
  <si>
    <t>“기후를 기회로, 경기도가 답을 내다”</t>
  </si>
  <si>
    <t>https://blog.naver.com/PostView.naver?blogId=echo_hkbs&amp;logNo=223912186261&amp;redirect=Dlog&amp;widgetTypeCall=true&amp;directAccess=false</t>
  </si>
  <si>
    <t>경기지역화폐, 카카오페이와 연동</t>
  </si>
  <si>
    <t>https://blog.naver.com/PostView.naver?blogId=echo_hkbs&amp;logNo=223912182759&amp;redirect=Dlog&amp;widgetTypeCall=true&amp;directAccess=false</t>
  </si>
  <si>
    <t>경기도, 평택에 상용차용 수소충전소 개소</t>
  </si>
  <si>
    <t>https://blog.naver.com/PostView.naver?blogId=echo_hkbs&amp;logNo=223912179802&amp;redirect=Dlog&amp;widgetTypeCall=true&amp;directAccess=false</t>
  </si>
  <si>
    <t>수원특례시, 체감형 복지·생활정책으로 시민 삶의 질 높였다</t>
  </si>
  <si>
    <t>https://blog.naver.com/PostView.naver?blogId=echo_hkbs&amp;logNo=223912169552&amp;redirect=Dlog&amp;widgetTypeCall=true&amp;directAccess=false</t>
  </si>
  <si>
    <t>친환경 패키징의 리더</t>
  </si>
  <si>
    <t>2025 대한민국 ESG 친환경대전 ‘플라스틱 자원순환 및 패키징 특별관’ 눈길</t>
  </si>
  <si>
    <t>https://blog.naver.com/PostView.naver?blogId=sumwell&amp;logNo=223910883283&amp;redirect=Dlog&amp;widgetTypeCall=true&amp;directAccess=false</t>
  </si>
  <si>
    <t>eforestree</t>
  </si>
  <si>
    <t>제주도 오름 - 두산봉</t>
  </si>
  <si>
    <t>https://blog.naver.com/PostView.naver?blogId=eforestree&amp;logNo=223910529320&amp;redirect=Dlog&amp;widgetTypeCall=true&amp;directAccess=false</t>
  </si>
  <si>
    <t>경기도, 특별교통수단 진단서 발급절차 개선</t>
  </si>
  <si>
    <t>https://blog.naver.com/PostView.naver?blogId=echo_hkbs&amp;logNo=223907034291&amp;redirect=Dlog&amp;widgetTypeCall=true&amp;directAccess=false</t>
  </si>
  <si>
    <t>용인시, 물류터미널 소송 1심 일부승소</t>
  </si>
  <si>
    <t>https://blog.naver.com/PostView.naver?blogId=echo_hkbs&amp;logNo=223907032904&amp;redirect=Dlog&amp;widgetTypeCall=true&amp;directAccess=false</t>
  </si>
  <si>
    <t>대한노인회 처인구지회, '기로문학' 창간호 출판기념회</t>
  </si>
  <si>
    <t>https://blog.naver.com/PostView.naver?blogId=echo_hkbs&amp;logNo=223907031516&amp;redirect=Dlog&amp;widgetTypeCall=true&amp;directAccess=false</t>
  </si>
  <si>
    <t>수원시, 케이투레이저시스템과 민선 8기 14호 투자협약 체결</t>
  </si>
  <si>
    <t>https://blog.naver.com/PostView.naver?blogId=echo_hkbs&amp;logNo=223906214809&amp;redirect=Dlog&amp;widgetTypeCall=true&amp;directAccess=false</t>
  </si>
  <si>
    <t>수원시의회, 카자흐스탄 잠빌주와 교류 확대 논의</t>
  </si>
  <si>
    <t>https://blog.naver.com/PostView.naver?blogId=echo_hkbs&amp;logNo=223906213165&amp;redirect=Dlog&amp;widgetTypeCall=true&amp;directAccess=false</t>
  </si>
  <si>
    <t>수원시정연구원 “6월 폭염, 여름철 극한호우'' 상시 발생 가능</t>
  </si>
  <si>
    <t>https://blog.naver.com/PostView.naver?blogId=echo_hkbs&amp;logNo=223906211079&amp;redirect=Dlog&amp;widgetTypeCall=true&amp;directAccess=false</t>
  </si>
  <si>
    <t>광주시, ‘2025년 장애인 건강 보건 통합성과대회’서 우수기관 선정</t>
  </si>
  <si>
    <t>https://blog.naver.com/PostView.naver?blogId=echo_hkbs&amp;logNo=223906207867&amp;redirect=Dlog&amp;widgetTypeCall=true&amp;directAccess=false</t>
  </si>
  <si>
    <t>광주시의회, 제317회 정례회 마무리</t>
  </si>
  <si>
    <t>https://blog.naver.com/PostView.naver?blogId=echo_hkbs&amp;logNo=223906205882&amp;redirect=Dlog&amp;widgetTypeCall=true&amp;directAccess=false</t>
  </si>
  <si>
    <t>광주시, 여름철 집중호우 대비 공사장 안전점검 실시</t>
  </si>
  <si>
    <t>https://blog.naver.com/PostView.naver?blogId=echo_hkbs&amp;logNo=223906204082&amp;redirect=Dlog&amp;widgetTypeCall=true&amp;directAccess=false</t>
  </si>
  <si>
    <t>김동연 지사, 장마철 첫 호우 대비 재난안전대책본부 방문</t>
  </si>
  <si>
    <t>https://blog.naver.com/PostView.naver?blogId=echo_hkbs&amp;logNo=223906202402&amp;redirect=Dlog&amp;widgetTypeCall=true&amp;directAccess=false</t>
  </si>
  <si>
    <t>이상일 시장, “502조 투자되는 세계 최대 반도체 도시로 도약”</t>
  </si>
  <si>
    <t>https://blog.naver.com/PostView.naver?blogId=echo_hkbs&amp;logNo=223906200296&amp;redirect=Dlog&amp;widgetTypeCall=true&amp;directAccess=false</t>
  </si>
  <si>
    <t>경기도형 ESG 평가지표 개발 착수</t>
  </si>
  <si>
    <t>https://blog.naver.com/PostView.naver?blogId=echo_hkbs&amp;logNo=223906192429&amp;redirect=Dlog&amp;widgetTypeCall=true&amp;directAccess=false</t>
  </si>
  <si>
    <t>경기도, 장마철 첫 호우 대비 비상 1단계 발령</t>
  </si>
  <si>
    <t>https://blog.naver.com/PostView.naver?blogId=echo_hkbs&amp;logNo=223906190533&amp;redirect=Dlog&amp;widgetTypeCall=true&amp;directAccess=false</t>
  </si>
  <si>
    <t>경기도 로컬푸드 농산물, 99.2% 잔류농약 ‘안전’</t>
  </si>
  <si>
    <t>https://blog.naver.com/PostView.naver?blogId=echo_hkbs&amp;logNo=223906188631&amp;redirect=Dlog&amp;widgetTypeCall=true&amp;directAccess=false</t>
  </si>
  <si>
    <t>2040년 미래 청사진 담은 ‘경기도 종합계획’ 확정</t>
  </si>
  <si>
    <t>https://blog.naver.com/PostView.naver?blogId=echo_hkbs&amp;logNo=223906186110&amp;redirect=Dlog&amp;widgetTypeCall=true&amp;directAccess=false</t>
  </si>
  <si>
    <t>경기 기후보험, 온열질환 첫 보험금 지급</t>
  </si>
  <si>
    <t>https://blog.naver.com/PostView.naver?blogId=echo_hkbs&amp;logNo=223906181845&amp;redirect=Dlog&amp;widgetTypeCall=true&amp;directAccess=false</t>
  </si>
  <si>
    <t>경기도, LG디스플레이 7000억 원 규모 OLED 신기술 투자 유치</t>
  </si>
  <si>
    <t>https://blog.naver.com/PostView.naver?blogId=echo_hkbs&amp;logNo=223906180025&amp;redirect=Dlog&amp;widgetTypeCall=true&amp;directAccess=false</t>
  </si>
  <si>
    <t>경기도, 422만 자원봉사자와 함께 ‘사람 사는 세상’으로</t>
  </si>
  <si>
    <t>https://blog.naver.com/PostView.naver?blogId=echo_hkbs&amp;logNo=223906177586&amp;redirect=Dlog&amp;widgetTypeCall=true&amp;directAccess=false</t>
  </si>
  <si>
    <t>수원시장학재단, 상반기 장학생 365명에 장학증서 수여</t>
  </si>
  <si>
    <t>https://blog.naver.com/PostView.naver?blogId=echo_hkbs&amp;logNo=223906173615&amp;redirect=Dlog&amp;widgetTypeCall=true&amp;directAccess=false</t>
  </si>
  <si>
    <t>"사람과 마음을 잇는 다리, 처인장애인복지관"</t>
  </si>
  <si>
    <t>https://blog.naver.com/PostView.naver?blogId=echo_hkbs&amp;logNo=223906168773&amp;redirect=Dlog&amp;widgetTypeCall=true&amp;directAccess=false</t>
  </si>
  <si>
    <t>‘기부 키오스크’로 일상 속 기부 실천하는 수원시</t>
  </si>
  <si>
    <t>https://blog.naver.com/PostView.naver?blogId=echo_hkbs&amp;logNo=223906165702&amp;redirect=Dlog&amp;widgetTypeCall=true&amp;directAccess=false</t>
  </si>
  <si>
    <t>방배숲환경도서관, '그린월드 어워즈' 수상</t>
  </si>
  <si>
    <t>https://blog.naver.com/PostView.naver?blogId=echo_hkbs&amp;logNo=223906163009&amp;redirect=Dlog&amp;widgetTypeCall=true&amp;directAccess=false</t>
  </si>
  <si>
    <t>환경일보-한국기후변화학회, 기후위기 대응 사회적 실천 협력</t>
  </si>
  <si>
    <t>https://blog.naver.com/PostView.naver?blogId=echo_hkbs&amp;logNo=223906160787&amp;redirect=Dlog&amp;widgetTypeCall=true&amp;directAccess=false</t>
  </si>
  <si>
    <t>청주시, 일회용컵 회수·보상제 시행</t>
  </si>
  <si>
    <t>https://blog.naver.com/PostView.naver?blogId=echo_hkbs&amp;logNo=223906156135&amp;redirect=Dlog&amp;widgetTypeCall=true&amp;directAccess=false</t>
  </si>
  <si>
    <t>sigori2308</t>
  </si>
  <si>
    <t>[소교목] 윤노리나무</t>
  </si>
  <si>
    <t>https://blog.naver.com/PostView.naver?blogId=sigori2308&amp;logNo=223904620518&amp;redirect=Dlog&amp;widgetTypeCall=true&amp;directAccess=false</t>
  </si>
  <si>
    <t>김진경 의장, ‘예담채’ 첫 공식 행사로 청소원과 정담회</t>
  </si>
  <si>
    <t>https://blog.naver.com/PostView.naver?blogId=echo_hkbs&amp;logNo=223901319171&amp;redirect=Dlog&amp;widgetTypeCall=true&amp;directAccess=false</t>
  </si>
  <si>
    <t>임태희 교육감, 용인미르아이 공유학교 발표회 참석</t>
  </si>
  <si>
    <t>https://blog.naver.com/PostView.naver?blogId=echo_hkbs&amp;logNo=223900823985&amp;redirect=Dlog&amp;widgetTypeCall=true&amp;directAccess=false</t>
  </si>
  <si>
    <t>경기도, 제32회 농어민대상 신청 접수</t>
  </si>
  <si>
    <t>https://blog.naver.com/PostView.naver?blogId=echo_hkbs&amp;logNo=223900818488&amp;redirect=Dlog&amp;widgetTypeCall=true&amp;directAccess=false</t>
  </si>
  <si>
    <t>경기도, '노인생산품' 매장 지역화폐 가맹점 등록</t>
  </si>
  <si>
    <t>https://blog.naver.com/PostView.naver?blogId=echo_hkbs&amp;logNo=223900813779&amp;redirect=Dlog&amp;widgetTypeCall=true&amp;directAccess=false</t>
  </si>
  <si>
    <t>경기도, 의료기기 개발지원 기업 18개사 선정</t>
  </si>
  <si>
    <t>https://blog.naver.com/PostView.naver?blogId=echo_hkbs&amp;logNo=223900788837&amp;redirect=Dlog&amp;widgetTypeCall=true&amp;directAccess=false</t>
  </si>
  <si>
    <t>‘안전한 여름을 위한 준비’</t>
  </si>
  <si>
    <t>https://blog.naver.com/PostView.naver?blogId=echo_hkbs&amp;logNo=223900764570&amp;redirect=Dlog&amp;widgetTypeCall=true&amp;directAccess=false</t>
  </si>
  <si>
    <t>용인특례시, ‘독바위 민속줄다리기 한마음 축제’ 개최</t>
  </si>
  <si>
    <t>https://blog.naver.com/PostView.naver?blogId=echo_hkbs&amp;logNo=223900761859&amp;redirect=Dlog&amp;widgetTypeCall=true&amp;directAccess=false</t>
  </si>
  <si>
    <t>이재준 수원시장, 맨발걷기문화 확산 기여로 감사패 수상</t>
  </si>
  <si>
    <t>https://blog.naver.com/PostView.naver?blogId=echo_hkbs&amp;logNo=223900734095&amp;redirect=Dlog&amp;widgetTypeCall=true&amp;directAccess=false</t>
  </si>
  <si>
    <t>‘밤빛 품은 성곽도시’ 수원 국가유산 야행 개최</t>
  </si>
  <si>
    <t>https://blog.naver.com/PostView.naver?blogId=echo_hkbs&amp;logNo=223900729252&amp;redirect=Dlog&amp;widgetTypeCall=true&amp;directAccess=false</t>
  </si>
  <si>
    <t>경기도, 남양주에 카카오 ‘AI 디지털 허브’ 유치</t>
  </si>
  <si>
    <t>https://blog.naver.com/PostView.naver?blogId=echo_hkbs&amp;logNo=223900719046&amp;redirect=Dlog&amp;widgetTypeCall=true&amp;directAccess=false</t>
  </si>
  <si>
    <t>수원시 주민 대표단, 하남·평택 지하 폐기물 처리시설 견학</t>
  </si>
  <si>
    <t>https://blog.naver.com/PostView.naver?blogId=echo_hkbs&amp;logNo=223900714911&amp;redirect=Dlog&amp;widgetTypeCall=true&amp;directAccess=false</t>
  </si>
  <si>
    <t>“현 정책 체계, 기후위기 대응 컨트롤타워 부재”</t>
  </si>
  <si>
    <t>https://blog.naver.com/PostView.naver?blogId=echo_hkbs&amp;logNo=223900631177&amp;redirect=Dlog&amp;widgetTypeCall=true&amp;directAccess=false</t>
  </si>
  <si>
    <t>국민이 원하는 미래 에너지는 ‘재생에너지’</t>
  </si>
  <si>
    <t>https://blog.naver.com/PostView.naver?blogId=echo_hkbs&amp;logNo=223900587723&amp;redirect=Dlog&amp;widgetTypeCall=true&amp;directAccess=false</t>
  </si>
  <si>
    <t>수도권대기환경청, 장마철 대비 안전관리 강화</t>
  </si>
  <si>
    <t>https://blog.naver.com/PostView.naver?blogId=echo_hkbs&amp;logNo=223900576948&amp;redirect=Dlog&amp;widgetTypeCall=true&amp;directAccess=false</t>
  </si>
  <si>
    <t>국립수목원-하버드대학교 아놀드수목원과 업무협약</t>
  </si>
  <si>
    <t>https://blog.naver.com/PostView.naver?blogId=echo_hkbs&amp;logNo=223900571377&amp;redirect=Dlog&amp;widgetTypeCall=true&amp;directAccess=false</t>
  </si>
  <si>
    <t>개도국 기후변화 대응 ‘AI 기술’ 국제 공모</t>
  </si>
  <si>
    <t>https://blog.naver.com/PostView.naver?blogId=hkbs_7114&amp;logNo=223894766229&amp;redirect=Dlog&amp;widgetTypeCall=true&amp;directAccess=false</t>
  </si>
  <si>
    <t>수원시 ‘2025 만석거 새빛축제’ 개막</t>
  </si>
  <si>
    <t>https://blog.naver.com/PostView.naver?blogId=echo_hkbs&amp;logNo=223891820484&amp;redirect=Dlog&amp;widgetTypeCall=true&amp;directAccess=false</t>
  </si>
  <si>
    <t>이재준 시장 “조국 위한 헌신이 외면받지 않는 사회 만들겠다”</t>
  </si>
  <si>
    <t>https://blog.naver.com/PostView.naver?blogId=echo_hkbs&amp;logNo=223891815853&amp;redirect=Dlog&amp;widgetTypeCall=true&amp;directAccess=false</t>
  </si>
  <si>
    <t>용인특례시, 제30회 환경의 날 기념식 개최</t>
  </si>
  <si>
    <t>https://blog.naver.com/PostView.naver?blogId=echo_hkbs&amp;logNo=223891813243&amp;redirect=Dlog&amp;widgetTypeCall=true&amp;directAccess=false</t>
  </si>
  <si>
    <t>광주시, 제30회 환경의 날 기념행사 개최</t>
  </si>
  <si>
    <t>https://blog.naver.com/PostView.naver?blogId=echo_hkbs&amp;logNo=223891803535&amp;redirect=Dlog&amp;widgetTypeCall=true&amp;directAccess=false</t>
  </si>
  <si>
    <t>공사장 천공기 전도사고 현장 찾은 김동연 지사</t>
  </si>
  <si>
    <t>https://blog.naver.com/PostView.naver?blogId=echo_hkbs&amp;logNo=223891801429&amp;redirect=Dlog&amp;widgetTypeCall=true&amp;directAccess=false</t>
  </si>
  <si>
    <t>김진경 의장, 시흥시 현충일 추념식 참석</t>
  </si>
  <si>
    <t>https://blog.naver.com/PostView.naver?blogId=echo_hkbs&amp;logNo=223891799223&amp;redirect=Dlog&amp;widgetTypeCall=true&amp;directAccess=false</t>
  </si>
  <si>
    <t>신상진 성남시장, 새 현충탑에서 첫 현충일 추념식 참석</t>
  </si>
  <si>
    <t>https://blog.naver.com/PostView.naver?blogId=echo_hkbs&amp;logNo=223891797036&amp;redirect=Dlog&amp;widgetTypeCall=true&amp;directAccess=false</t>
  </si>
  <si>
    <t>수원시, 여름철 자연재난 대비 총력</t>
  </si>
  <si>
    <t>https://blog.naver.com/PostView.naver?blogId=echo_hkbs&amp;logNo=223891794698&amp;redirect=Dlog&amp;widgetTypeCall=true&amp;directAccess=false</t>
  </si>
  <si>
    <t>한국도자재단, ‘2025 경기도자페어’ 참가 업체 모집</t>
  </si>
  <si>
    <t>https://blog.naver.com/PostView.naver?blogId=echo_hkbs&amp;logNo=223891740726&amp;redirect=Dlog&amp;widgetTypeCall=true&amp;directAccess=false</t>
  </si>
  <si>
    <t>김대순 부지사, 아파트 건설현장 방문해 지반침하 예방 점검</t>
  </si>
  <si>
    <t>https://blog.naver.com/PostView.naver?blogId=echo_hkbs&amp;logNo=223891738186&amp;redirect=Dlog&amp;widgetTypeCall=true&amp;directAccess=false</t>
  </si>
  <si>
    <t>경기청년, 지구촌 곳곳서 기후위기 대응 나섰다</t>
  </si>
  <si>
    <t>https://blog.naver.com/PostView.naver?blogId=echo_hkbs&amp;logNo=223891736463&amp;redirect=Dlog&amp;widgetTypeCall=true&amp;directAccess=false</t>
  </si>
  <si>
    <t>백현종 도시환경위원장, ‘환경의 날’ 기후위기 대응 의지 강조</t>
  </si>
  <si>
    <t>https://blog.naver.com/PostView.naver?blogId=echo_hkbs&amp;logNo=223891733815&amp;redirect=Dlog&amp;widgetTypeCall=true&amp;directAccess=false</t>
  </si>
  <si>
    <t>수원시, 여성 1인 가구·범죄피해자에 ‘여성안심패키지’ 지원</t>
  </si>
  <si>
    <t>https://blog.naver.com/PostView.naver?blogId=echo_hkbs&amp;logNo=223891729540&amp;redirect=Dlog&amp;widgetTypeCall=true&amp;directAccess=false</t>
  </si>
  <si>
    <t>이재</t>
  </si>
  <si>
    <t>[2025] 서초구립방배숲환경도서관</t>
  </si>
  <si>
    <t>https://blog.naver.com/PostView.naver?blogId=leeyijae_&amp;logNo=223891263849&amp;redirect=Dlog&amp;widgetTypeCall=true&amp;directAccess=false</t>
  </si>
  <si>
    <t>용인특례시, ‘장애인 우선배려 주유서비스’ 본격 시행</t>
  </si>
  <si>
    <t>https://blog.naver.com/PostView.naver?blogId=echo_hkbs&amp;logNo=223890463976&amp;redirect=Dlog&amp;widgetTypeCall=true&amp;directAccess=false</t>
  </si>
  <si>
    <t>용인시박물관, 체험 행사 ‘opening : The 1898 흥화 클래스’ 개최</t>
  </si>
  <si>
    <t>https://blog.naver.com/PostView.naver?blogId=echo_hkbs&amp;logNo=223890462423&amp;redirect=Dlog&amp;widgetTypeCall=true&amp;directAccess=false</t>
  </si>
  <si>
    <t>용인특례시, 폭염 대비 건축공사장 근무 환경 집중 점검</t>
  </si>
  <si>
    <t>https://blog.naver.com/PostView.naver?blogId=echo_hkbs&amp;logNo=223890460722&amp;redirect=Dlog&amp;widgetTypeCall=true&amp;directAccess=false</t>
  </si>
  <si>
    <t>용인특례시, 근린공원에 '쿨링포그' 설치</t>
  </si>
  <si>
    <t>https://blog.naver.com/PostView.naver?blogId=echo_hkbs&amp;logNo=223890459207&amp;redirect=Dlog&amp;widgetTypeCall=true&amp;directAccess=false</t>
  </si>
  <si>
    <t>용인특례시의회, 제1차 정례회 대비 의정 연수 실시</t>
  </si>
  <si>
    <t>https://blog.naver.com/PostView.naver?blogId=echo_hkbs&amp;logNo=223890457591&amp;redirect=Dlog&amp;widgetTypeCall=true&amp;directAccess=false</t>
  </si>
  <si>
    <t>광주시의회, 제317회 제1차 정례회 개회</t>
  </si>
  <si>
    <t>https://blog.naver.com/PostView.naver?blogId=echo_hkbs&amp;logNo=223890453609&amp;redirect=Dlog&amp;widgetTypeCall=true&amp;directAccess=false</t>
  </si>
  <si>
    <t>경기도, ‘AI 고성능 컴퓨팅 센터’ 개소</t>
  </si>
  <si>
    <t>https://blog.naver.com/PostView.naver?blogId=echo_hkbs&amp;logNo=223890452047&amp;redirect=Dlog&amp;widgetTypeCall=true&amp;directAccess=false</t>
  </si>
  <si>
    <t>경기도, 고영인 경제부지사 등 주요 인사 단행</t>
  </si>
  <si>
    <t>https://blog.naver.com/PostView.naver?blogId=echo_hkbs&amp;logNo=223890449704&amp;redirect=Dlog&amp;widgetTypeCall=true&amp;directAccess=false</t>
  </si>
  <si>
    <t>경기도, ‘경기민원24’에 모바일 신분증 본인인증 도입</t>
  </si>
  <si>
    <t>https://blog.naver.com/PostView.naver?blogId=echo_hkbs&amp;logNo=223890442186&amp;redirect=Dlog&amp;widgetTypeCall=true&amp;directAccess=false</t>
  </si>
  <si>
    <t>경기도, 디지털 ‘출생축하카드’ 첫 인사</t>
  </si>
  <si>
    <t>https://blog.naver.com/PostView.naver?blogId=echo_hkbs&amp;logNo=223890439641&amp;redirect=Dlog&amp;widgetTypeCall=true&amp;directAccess=false</t>
  </si>
  <si>
    <t>김진경 의장, 시흥시 친환경 학교급식 페스타 참석</t>
  </si>
  <si>
    <t>https://blog.naver.com/PostView.naver?blogId=echo_hkbs&amp;logNo=223890413707&amp;redirect=Dlog&amp;widgetTypeCall=true&amp;directAccess=false</t>
  </si>
  <si>
    <t>기후변화로 모든 유역 홍수량 증가 전망</t>
  </si>
  <si>
    <t>https://blog.naver.com/PostView.naver?blogId=echo_hkbs&amp;logNo=223890399699&amp;redirect=Dlog&amp;widgetTypeCall=true&amp;directAccess=false</t>
  </si>
  <si>
    <t>세계 환경의 날, ‘플라스틱 오염 종식‘을 외치다</t>
  </si>
  <si>
    <t>https://blog.naver.com/PostView.naver?blogId=echo_hkbs&amp;logNo=223890391602&amp;redirect=Dlog&amp;widgetTypeCall=true&amp;directAccess=false</t>
  </si>
  <si>
    <t>“전 세계 시민이 지켜보고 있다”</t>
  </si>
  <si>
    <t>https://blog.naver.com/PostView.naver?blogId=hkbs_7114&amp;logNo=223889327286&amp;redirect=Dlog&amp;widgetTypeCall=true&amp;directAccess=false</t>
  </si>
  <si>
    <t>[환경의날 특별기고] 감염병 재유행, 이제는 ‘공기 방역’ 집중할 때</t>
  </si>
  <si>
    <t>https://blog.naver.com/PostView.naver?blogId=hkbs_7114&amp;logNo=223889293643&amp;redirect=Dlog&amp;widgetTypeCall=true&amp;directAccess=false</t>
  </si>
  <si>
    <t>[환경의날 특별기고] 임업이 있어야 사람이 살고 지역도 산다</t>
  </si>
  <si>
    <t>https://blog.naver.com/PostView.naver?blogId=hkbs_7114&amp;logNo=223886220518&amp;redirect=Dlog&amp;widgetTypeCall=true&amp;directAccess=false</t>
  </si>
  <si>
    <t>한라일보</t>
  </si>
  <si>
    <t>제주의 아픔, 세계의 평화로 로마에 울려 퍼지다</t>
  </si>
  <si>
    <t>https://blog.naver.com/PostView.naver?blogId=halla-ilbo&amp;logNo=223911254452&amp;redirect=Dlog&amp;widgetTypeCall=true&amp;directAccess=false</t>
  </si>
  <si>
    <t>[현장] 장마철 노지감귤 병충해 심화… 농심 속앓이</t>
  </si>
  <si>
    <t>https://blog.naver.com/PostView.naver?blogId=halla-ilbo&amp;logNo=223910151939&amp;redirect=Dlog&amp;widgetTypeCall=true&amp;directAccess=false</t>
  </si>
  <si>
    <t>제주 해수욕장 10곳 오늘 개장… 파라솔 2만원, 평상 3만원</t>
  </si>
  <si>
    <t>https://blog.naver.com/PostView.naver?blogId=halla-ilbo&amp;logNo=223909963773&amp;redirect=Dlog&amp;widgetTypeCall=true&amp;directAccess=false</t>
  </si>
  <si>
    <t>[현장] 횡단보도 앞 높은 ‘턱’… 휠체어는 어떻게 하나</t>
  </si>
  <si>
    <t>https://blog.naver.com/PostView.naver?blogId=halla-ilbo&amp;logNo=223909593105&amp;redirect=Dlog&amp;widgetTypeCall=true&amp;directAccess=false</t>
  </si>
  <si>
    <t>다이빙 명소 제주'… 낮은 수심에 목뼈 다친 환자 ↑</t>
  </si>
  <si>
    <t>https://blog.naver.com/PostView.naver?blogId=halla-ilbo&amp;logNo=223908854503&amp;redirect=Dlog&amp;widgetTypeCall=true&amp;directAccess=false</t>
  </si>
  <si>
    <t>[양기훈의 제주마을 백리백경.. 가름 따라, 풍광 따라] (90)애월읍 소길리</t>
  </si>
  <si>
    <t>https://blog.naver.com/PostView.naver?blogId=dwyun60&amp;logNo=223904477141&amp;redirect=Dlog&amp;widgetTypeCall=true&amp;directAccess=false</t>
  </si>
  <si>
    <t>제주도에 폐어구 걸린 남방큰돌고래 구조 전담팀 만든다</t>
  </si>
  <si>
    <t>https://blog.naver.com/PostView.naver?blogId=halla-ilbo&amp;logNo=223901148639&amp;redirect=Dlog&amp;widgetTypeCall=true&amp;directAccess=false</t>
  </si>
  <si>
    <t>장마 시작' 제주지방 내일 밤 강풍 동반 200㎜ 폭우</t>
  </si>
  <si>
    <t>https://blog.naver.com/PostView.naver?blogId=halla-ilbo&amp;logNo=223896583778&amp;redirect=Dlog&amp;widgetTypeCall=true&amp;directAccess=false</t>
  </si>
  <si>
    <t>yummy chelin</t>
  </si>
  <si>
    <t>&lt;제주도민들이 사랑하는 제주시외버스터미널 인근의 솥밥맛집&gt; 대우정</t>
  </si>
  <si>
    <t>https://blog.naver.com/PostView.naver?blogId=hym0104&amp;logNo=223894796166&amp;redirect=Dlog&amp;widgetTypeCall=true&amp;directAccess=false</t>
  </si>
  <si>
    <t>제주 전통시장보호구역 기업형 슈퍼마켓 첫 허용</t>
  </si>
  <si>
    <t>https://blog.naver.com/PostView.naver?blogId=halla-ilbo&amp;logNo=223894752324&amp;redirect=Dlog&amp;widgetTypeCall=true&amp;directAccess=false</t>
  </si>
  <si>
    <t>제주 수능 상위권 유지… 1등급 비율 전국 평균 밑돌아</t>
  </si>
  <si>
    <t>https://blog.naver.com/PostView.naver?blogId=halla-ilbo&amp;logNo=223893128759&amp;redirect=Dlog&amp;widgetTypeCall=true&amp;directAccess=false</t>
  </si>
  <si>
    <t>여행하는 늘그린</t>
  </si>
  <si>
    <t>제주 걷기 좋은 힐링로드 사려니숲길 /6월 물찻오름 예약 탐방</t>
  </si>
  <si>
    <t>https://blog.naver.com/PostView.naver?blogId=green275-&amp;logNo=223889900580&amp;redirect=Dlog&amp;widgetTypeCall=true&amp;directAccess=false</t>
  </si>
  <si>
    <t>리박스쿨 늘봄 강사' 의혹… 제주도교육청 전수조사</t>
  </si>
  <si>
    <t>https://blog.naver.com/PostView.naver?blogId=halla-ilbo&amp;logNo=223888455844&amp;redirect=Dlog&amp;widgetTypeCall=true&amp;directAccess=false</t>
  </si>
  <si>
    <t>제주 대선 최종 투표율 잠정 74.6% '전국 최하위'</t>
  </si>
  <si>
    <t>https://blog.naver.com/PostView.naver?blogId=halla-ilbo&amp;logNo=223887598631&amp;redirect=Dlog&amp;widgetTypeCall=true&amp;directAccess=false</t>
  </si>
  <si>
    <t>제주에서 사전투표 이어 이중 투표 시도 2명 적발</t>
  </si>
  <si>
    <t>https://blog.naver.com/PostView.naver?blogId=halla-ilbo&amp;logNo=223887394773&amp;redirect=Dlog&amp;widgetTypeCall=true&amp;directAccess=false</t>
  </si>
  <si>
    <t>울산신문</t>
  </si>
  <si>
    <t>2025년 6월 20일 - 재즈 오디세이 (Feat. 부에나비스타 소셜클럽을 기억하며)</t>
  </si>
  <si>
    <t>https://blog.naver.com/PostView.naver?blogId=bbaedaewon&amp;logNo=223907094758&amp;redirect=Dlog&amp;widgetTypeCall=true&amp;directAccess=false</t>
  </si>
  <si>
    <t>jinjin</t>
  </si>
  <si>
    <t>[김진의 천명지운]신은 주사위를 던졌을까?</t>
  </si>
  <si>
    <t>https://blog.naver.com/PostView.naver?blogId=moldiv0&amp;logNo=223903889454&amp;redirect=Dlog&amp;widgetTypeCall=true&amp;directAccess=false</t>
  </si>
  <si>
    <t>울산 염포산 鹽浦山 203m 명칭유래</t>
  </si>
  <si>
    <t>https://blog.naver.com/PostView.naver?blogId=transvert&amp;logNo=223903877886&amp;redirect=Dlog&amp;widgetTypeCall=true&amp;directAccess=false</t>
  </si>
  <si>
    <t>제주일보</t>
  </si>
  <si>
    <t>숨바꼭질</t>
  </si>
  <si>
    <t>https://blog.naver.com/PostView.naver?blogId=chang9871&amp;logNo=223906044808&amp;redirect=Dlog&amp;widgetTypeCall=true&amp;directAccess=false</t>
  </si>
  <si>
    <t>환희</t>
  </si>
  <si>
    <t>제주 서귀포 제4회 강정마을 생태 바다 축제/강정 크루즈 터미널 일대에서 /솔동산 음악회 일부</t>
  </si>
  <si>
    <t>https://blog.naver.com/PostView.naver?blogId=yeonhee6233&amp;logNo=223898786585&amp;redirect=Dlog&amp;widgetTypeCall=true&amp;directAccess=false</t>
  </si>
  <si>
    <t>백 가의 생각과 글</t>
  </si>
  <si>
    <t>6·25전쟁 중 미국의 “한반도 포기와 제주서 저항” 검토</t>
  </si>
  <si>
    <t>https://blog.naver.com/PostView.naver?blogId=shindosj&amp;logNo=223892272528&amp;redirect=Dlog&amp;widgetTypeCall=true&amp;directAccess=false</t>
  </si>
  <si>
    <t>원주투데이</t>
  </si>
  <si>
    <t>백성호교수</t>
  </si>
  <si>
    <t>강원도 원주에 AI기반 융합 첨단의료 복합단지 구축해야</t>
  </si>
  <si>
    <t>https://blog.naver.com/PostView.naver?blogId=sh2030100&amp;logNo=223904425967&amp;redirect=Dlog&amp;widgetTypeCall=true&amp;directAccess=false</t>
  </si>
  <si>
    <t>영주시민신문</t>
  </si>
  <si>
    <t>수승화강</t>
  </si>
  <si>
    <t>(경북 영주) 풍기 인삼박물관: 풍기인삼 기원과 주세붕</t>
  </si>
  <si>
    <t>https://blog.naver.com/PostView.naver?blogId=freestrong&amp;logNo=223896231834&amp;redirect=Dlog&amp;widgetTypeCall=true&amp;directAccess=false</t>
  </si>
  <si>
    <t>전라일보</t>
  </si>
  <si>
    <t>25.05.22. [전라일보] 김윤덕, "극우내란정당 국힘 행태 점입가경.."</t>
  </si>
  <si>
    <t>https://blog.naver.com/PostView.naver?blogId=ydkim22&amp;logNo=223899980713&amp;redirect=Dlog&amp;widgetTypeCall=true&amp;directAccess=false</t>
  </si>
  <si>
    <t>예수병원, 새내기 간호사 기념 행사 개최</t>
  </si>
  <si>
    <t>https://blog.naver.com/PostView.naver?blogId=pmcpr1898&amp;logNo=223897904195&amp;redirect=Dlog&amp;widgetTypeCall=true&amp;directAccess=false</t>
  </si>
  <si>
    <t>제민일보</t>
  </si>
  <si>
    <t>혜명한약사</t>
  </si>
  <si>
    <t>[한방이야기] 여름이 힘든 갱년기, 잘 극복하려면</t>
  </si>
  <si>
    <t>https://blog.naver.com/PostView.naver?blogId=hm170302&amp;logNo=223914533846&amp;redirect=Dlog&amp;widgetTypeCall=true&amp;directAccess=false</t>
  </si>
  <si>
    <t>[한방이야기] 땀의 계절 여름, 황기로 지키는 기운</t>
  </si>
  <si>
    <t>https://blog.naver.com/PostView.naver?blogId=hm170302&amp;logNo=223914534218&amp;redirect=Dlog&amp;widgetTypeCall=true&amp;directAccess=false</t>
  </si>
  <si>
    <t>뉴스의 창</t>
  </si>
  <si>
    <t>한국폴리텍대학 제주캠퍼스, '꿈드림공작소' 지역사회 연계 활성화 방안 모색</t>
  </si>
  <si>
    <t>https://blog.naver.com/PostView.naver?blogId=sisa7000&amp;logNo=223897832733&amp;redirect=Dlog&amp;widgetTypeCall=true&amp;directAccess=false</t>
  </si>
  <si>
    <t>노마드</t>
  </si>
  <si>
    <t>제주 4·3유적지 다랑쉬굴</t>
  </si>
  <si>
    <t>https://blog.naver.com/PostView.naver?blogId=mujurbar&amp;logNo=223891326019&amp;redirect=Dlog&amp;widgetTypeCall=true&amp;directAccess=false</t>
  </si>
  <si>
    <t>쿠키뉴스</t>
  </si>
  <si>
    <t>박수빈 의원, ‘2025 쿠키뉴스 선정 지방자치단체 우수 의정대상’ 수상</t>
  </si>
  <si>
    <t>https://blog.naver.com/PostView.naver?blogId=gbnews&amp;logNo=223916238037&amp;redirect=Dlog&amp;widgetTypeCall=true&amp;directAccess=false</t>
  </si>
  <si>
    <t>서울특별시의회민주당</t>
  </si>
  <si>
    <t>박수빈 서울시의원, ｢2025 쿠키뉴스 선정 지방자치단체 우수 의정대상｣ 수상 쾌거!</t>
  </si>
  <si>
    <t>https://blog.naver.com/PostView.naver?blogId=theminjoo_smc&amp;logNo=223913311825&amp;redirect=Dlog&amp;widgetTypeCall=true&amp;directAccess=false</t>
  </si>
  <si>
    <t>박유진 서울시의원, 노동자가 주는 상 다섯 번 받아</t>
  </si>
  <si>
    <t>https://blog.naver.com/PostView.naver?blogId=silverekn&amp;logNo=223912403988&amp;redirect=Dlog&amp;widgetTypeCall=true&amp;directAccess=false</t>
  </si>
  <si>
    <t>“눈물의 일터에 꽃을 심다”…노동자가 주는 상, 다섯 번 받은 박유진 시의원</t>
  </si>
  <si>
    <t>https://blog.naver.com/PostView.naver?blogId=theminjoo_smc&amp;logNo=223912087694&amp;redirect=Dlog&amp;widgetTypeCall=true&amp;directAccess=false</t>
  </si>
  <si>
    <t>학교 출입도 스마트하게 바른정보기술, 영일중에 스쿨패스 부스 설치</t>
  </si>
  <si>
    <t>https://blog.naver.com/PostView.naver?blogId=doceancokr&amp;logNo=223911277324&amp;redirect=Dlog&amp;widgetTypeCall=true&amp;directAccess=false</t>
  </si>
  <si>
    <t>minnnnnk</t>
  </si>
  <si>
    <t>상무팀, e스포츠 선수 도입 가능성 열릴까</t>
  </si>
  <si>
    <t>https://blog.naver.com/PostView.naver?blogId=absolutely_perfect&amp;logNo=223911252949&amp;redirect=Dlog&amp;widgetTypeCall=true&amp;directAccess=false</t>
  </si>
  <si>
    <t>국민의힘 불붙은 당권경쟁…김문수·한동훈에 안철수까지</t>
  </si>
  <si>
    <t>https://blog.naver.com/PostView.naver?blogId=tamsaj&amp;logNo=223904705193&amp;redirect=Dlog&amp;widgetTypeCall=true&amp;directAccess=false</t>
  </si>
  <si>
    <t>김문수 42.0% vs 한동훈 22.7%... 국민의힘 지지층 대상 '차기 당대표 적임자'</t>
  </si>
  <si>
    <t>https://blog.naver.com/PostView.naver?blogId=social_kr&amp;logNo=223904220297&amp;redirect=Dlog&amp;widgetTypeCall=true&amp;directAccess=false</t>
  </si>
  <si>
    <t>전 더불어민주당 국회의원 최인호 프로필 나이 고향 학력 경력 "TV 공개토론 응하라"</t>
  </si>
  <si>
    <t>https://blog.naver.com/PostView.naver?blogId=happyair4&amp;logNo=223897194489&amp;redirect=Dlog&amp;widgetTypeCall=true&amp;directAccess=false</t>
  </si>
  <si>
    <t>2024년 퇴직연금 수익률 30% 비결은 ‘장기‧직접‧배당‧증권’...KB증권 송상은 연금본부장 추천,연령 별 퇴직연금 자산운용 전략과 퇴직연금계좌 활용법.</t>
  </si>
  <si>
    <t>https://blog.naver.com/PostView.naver?blogId=kkkmhyun&amp;logNo=223893403522&amp;redirect=Dlog&amp;widgetTypeCall=true&amp;directAccess=false</t>
  </si>
  <si>
    <t>에너지경제</t>
  </si>
  <si>
    <t>에너지공단, ‘재생에너지 자원안보 전담기관’ 지정</t>
  </si>
  <si>
    <t>https://blog.naver.com/PostView.naver?blogId=muson999&amp;logNo=223886180008&amp;redirect=Dlog&amp;widgetTypeCall=true&amp;directAccess=false</t>
  </si>
  <si>
    <t>기다림</t>
  </si>
  <si>
    <t>[해운 시사] G교수와 알아보는 경제 상식 : 세계 최대 비상장 해운사 MSC의 역사와 전략</t>
  </si>
  <si>
    <t>https://blog.naver.com/PostView.naver?blogId=jsuin1020&amp;logNo=223882998118&amp;redirect=Dlog&amp;widgetTypeCall=true&amp;directAccess=false</t>
  </si>
  <si>
    <t>에경硏, 국가 자원안보 정책연구 전담기관 지정</t>
  </si>
  <si>
    <t>https://blog.naver.com/PostView.naver?blogId=muson999&amp;logNo=223889687839&amp;redirect=Dlog&amp;widgetTypeCall=true&amp;directAccess=false</t>
  </si>
  <si>
    <t>야금야금</t>
  </si>
  <si>
    <t>박춘근 - 기후위기시대 에너지 이야기</t>
  </si>
  <si>
    <t>https://blog.naver.com/PostView.naver?blogId=ls0810881&amp;logNo=223887848377&amp;redirect=Dlog&amp;widgetTypeCall=true&amp;directAccess=false</t>
  </si>
  <si>
    <t>새아침</t>
  </si>
  <si>
    <t>태양은 떴지만 전기는 못 보낸다 - 재생에너지 병목 3대 원인</t>
  </si>
  <si>
    <t>https://blog.naver.com/PostView.naver?blogId=ecosolution1218&amp;logNo=223892226197&amp;redirect=Dlog&amp;widgetTypeCall=true&amp;directAccess=false</t>
  </si>
  <si>
    <t>여름엔 수박…무더위 날릴 생과일음료 쏟아진다</t>
  </si>
  <si>
    <t>https://blog.naver.com/PostView.naver?blogId=milklove1010&amp;logNo=223890781103&amp;redirect=Dlog&amp;widgetTypeCall=true&amp;directAccess=false</t>
  </si>
  <si>
    <t>【단독】충청, 이재명 대통령 지지율 10명중 5명 "잘할 것"…'尹보다 높게 시작'[리얼미터]</t>
  </si>
  <si>
    <t>https://blog.naver.com/PostView.naver?blogId=esejong1&amp;logNo=223893584433&amp;redirect=Dlog&amp;widgetTypeCall=true&amp;directAccess=false</t>
  </si>
  <si>
    <t>[리얼미터] "이재명 대통령, 국정 수행 잘할 것" 58.2%_광주뉴스TV(G-TV)</t>
  </si>
  <si>
    <t>https://blog.naver.com/PostView.naver?blogId=g-tvnews&amp;logNo=223893031103&amp;redirect=Dlog&amp;widgetTypeCall=true&amp;directAccess=false</t>
  </si>
  <si>
    <t>SOLAR ASIA</t>
  </si>
  <si>
    <t>[In터뷰] 에너지경제연구원 김종익 연구위원, “영농형 태양광… 제도 개선과 주민수용성이 핵심 열쇠”</t>
  </si>
  <si>
    <t>https://blog.naver.com/PostView.naver?blogId=exposolar6931&amp;logNo=223896994681&amp;redirect=Dlog&amp;widgetTypeCall=true&amp;directAccess=false</t>
  </si>
  <si>
    <t>[BBC] 전기차 배터리용 금속 채굴 경쟁, 해양 낙원 위협한다</t>
  </si>
  <si>
    <t>https://blog.naver.com/PostView.naver?blogId=cheesetabbycat&amp;logNo=223899807872&amp;redirect=Dlog&amp;widgetTypeCall=true&amp;directAccess=false</t>
  </si>
  <si>
    <t>우빗거리다</t>
  </si>
  <si>
    <t>중동 정세 급변 관련하여 석유·가스 수급 긴급 점검 실시</t>
  </si>
  <si>
    <t>https://blog.naver.com/PostView.naver?blogId=ash1106&amp;logNo=223898452389&amp;redirect=Dlog&amp;widgetTypeCall=true&amp;directAccess=false</t>
  </si>
  <si>
    <t>【단독】충청, 민주 48.5% 국힘 33.8%...李대통령 첫 국정지지율 61.2%[리얼미터]</t>
  </si>
  <si>
    <t>https://blog.naver.com/PostView.naver?blogId=esejong1&amp;logNo=223901358760&amp;redirect=Dlog&amp;widgetTypeCall=true&amp;directAccess=false</t>
  </si>
  <si>
    <t>정경호 박사</t>
  </si>
  <si>
    <t>이재명 대통령의 국정 수행 지지도 58.6%</t>
  </si>
  <si>
    <t>https://blog.naver.com/PostView.naver?blogId=ena_core&amp;logNo=223900797109&amp;redirect=Dlog&amp;widgetTypeCall=true&amp;directAccess=false</t>
  </si>
  <si>
    <t>[리얼미터] 李 대통령 취임 첫 주 국정수행 '잘한다' 58.6%_광주뉴스TV(G-TV)</t>
  </si>
  <si>
    <t>https://blog.naver.com/PostView.naver?blogId=g-tvnews&amp;logNo=223900658667&amp;redirect=Dlog&amp;widgetTypeCall=true&amp;directAccess=false</t>
  </si>
  <si>
    <t>“한국, 공공재생에너지법 빨리 제정돼야”</t>
  </si>
  <si>
    <t>https://blog.naver.com/PostView.naver?blogId=co2korea&amp;logNo=223904802089&amp;redirect=Dlog&amp;widgetTypeCall=true&amp;directAccess=false</t>
  </si>
  <si>
    <t>세종대, ‘에너지 효율·친환경 대상’서 환경부 장관상</t>
  </si>
  <si>
    <t>https://blog.naver.com/PostView.naver?blogId=co2korea&amp;logNo=223904725419&amp;redirect=Dlog&amp;widgetTypeCall=true&amp;directAccess=false</t>
  </si>
  <si>
    <t>세종대, ‘대한민국 에너지 효율·친환경 대상’에서 환경부 장관상 수상</t>
  </si>
  <si>
    <t>https://blog.naver.com/PostView.naver?blogId=ceo009&amp;logNo=223903601683&amp;redirect=Dlog&amp;widgetTypeCall=true&amp;directAccess=false</t>
  </si>
  <si>
    <t>중동 전쟁에도 꿈쩍 않는 유가, 이유는?</t>
  </si>
  <si>
    <t>https://blog.naver.com/PostView.naver?blogId=kimyl1214&amp;logNo=223902979830&amp;redirect=Dlog&amp;widgetTypeCall=true&amp;directAccess=false</t>
  </si>
  <si>
    <t>아무리 시간차가 있어도 연구원이 이러면 문제</t>
  </si>
  <si>
    <t>https://blog.naver.com/PostView.naver?blogId=archurus&amp;logNo=223908023012&amp;redirect=Dlog&amp;widgetTypeCall=true&amp;directAccess=false</t>
  </si>
  <si>
    <t>“VPP는 그냥 전력 사업이 아니다 – 국가 안보이다.”</t>
  </si>
  <si>
    <t>https://blog.naver.com/PostView.naver?blogId=rmfjsepsss&amp;logNo=223907476733&amp;redirect=Dlog&amp;widgetTypeCall=true&amp;directAccess=false</t>
  </si>
  <si>
    <t>【단독】"충청인 10명 중 7명이상, 李대통령 향후 5년 임기에서 직무수행 잘할 것" [한국갤럽]</t>
  </si>
  <si>
    <t>https://blog.naver.com/PostView.naver?blogId=esejong1&amp;logNo=223908866641&amp;redirect=Dlog&amp;widgetTypeCall=true&amp;directAccess=false</t>
  </si>
  <si>
    <t>[리얼미터] 이재명 대통령 국정수행 '잘함' 59.3%_광주뉴스TV(G-TV)</t>
  </si>
  <si>
    <t>https://blog.naver.com/PostView.naver?blogId=g-tvnews&amp;logNo=223908830915&amp;redirect=Dlog&amp;widgetTypeCall=true&amp;directAccess=false</t>
  </si>
  <si>
    <t>李 대통령, 국정 긍정평가 59.3%, 부정 33.5%</t>
  </si>
  <si>
    <t>https://blog.naver.com/PostView.naver?blogId=soodoilbo&amp;logNo=223908643916&amp;redirect=Dlog&amp;widgetTypeCall=true&amp;directAccess=false</t>
  </si>
  <si>
    <t>李대통령 국정지지율 59.3%…민주 48.4%·국힘 31.4%[리얼미터]</t>
  </si>
  <si>
    <t>https://blog.naver.com/PostView.naver?blogId=dukedomk&amp;logNo=223908469575&amp;redirect=Dlog&amp;widgetTypeCall=true&amp;directAccess=false</t>
  </si>
  <si>
    <t>i가스저널</t>
  </si>
  <si>
    <t>[Issue]‘분산에너지 테스트베드’ 구축 본격화</t>
  </si>
  <si>
    <t>https://blog.naver.com/PostView.naver?blogId=igasjournal&amp;logNo=223908405265&amp;redirect=Dlog&amp;widgetTypeCall=true&amp;directAccess=false</t>
  </si>
  <si>
    <t>[정치] 이 대통령 국정지지율 59.3% [리얼미터]</t>
  </si>
  <si>
    <t>https://blog.naver.com/PostView.naver?blogId=parkcckr&amp;logNo=223908324181&amp;redirect=Dlog&amp;widgetTypeCall=true&amp;directAccess=false</t>
  </si>
  <si>
    <t>정경호박사</t>
  </si>
  <si>
    <t>이재명 대통령의 국정수행 지지율 59.3%</t>
  </si>
  <si>
    <t>https://blog.naver.com/PostView.naver?blogId=ena_core&amp;logNo=223909727022&amp;redirect=Dlog&amp;widgetTypeCall=true&amp;directAccess=false</t>
  </si>
  <si>
    <t>[E-로컬뉴스] 해남군, 완도군, 진도군 소식</t>
  </si>
  <si>
    <t>https://blog.naver.com/PostView.naver?blogId=3d4utech&amp;logNo=223914360580&amp;redirect=Dlog&amp;widgetTypeCall=true&amp;directAccess=false</t>
  </si>
  <si>
    <t>ydk</t>
  </si>
  <si>
    <t>[양수발전 세미나] “양수발전 전력계통 기여 보상체계 구축해야”</t>
  </si>
  <si>
    <t>https://blog.naver.com/PostView.naver?blogId=ydstoragepowerplant&amp;logNo=223912586176&amp;redirect=Dlog&amp;widgetTypeCall=true&amp;directAccess=false</t>
  </si>
  <si>
    <t>“삼성전자는 언제 올라요??” 의 영상 요약</t>
  </si>
  <si>
    <t>https://blog.naver.com/PostView.naver?blogId=lucidjun&amp;logNo=223912516117&amp;redirect=Dlog&amp;widgetTypeCall=true&amp;directAccess=false</t>
  </si>
  <si>
    <t>KOICA</t>
  </si>
  <si>
    <t>중앙아시아에 '스마트 전력'이 흐른다</t>
  </si>
  <si>
    <t>https://blog.naver.com/PostView.naver?blogId=prkoica&amp;logNo=223912240226&amp;redirect=Dlog&amp;widgetTypeCall=true&amp;directAccess=false</t>
  </si>
  <si>
    <t>[양수발전 세미나 토론] “데이터센터·해상풍력과 결합 가능…소형·국산화 위해 수익 개선 필요”</t>
  </si>
  <si>
    <t>https://blog.naver.com/PostView.naver?blogId=ydstoragepowerplant&amp;logNo=223912151391&amp;redirect=Dlog&amp;widgetTypeCall=true&amp;directAccess=false</t>
  </si>
  <si>
    <t>[에너지경제 여론조사]李 대통령 국정지지율 59.7%…TK 포함 전지역 ‘과반수’</t>
  </si>
  <si>
    <t>https://blog.naver.com/PostView.naver?blogId=getwhatiwant_365&amp;logNo=223916920954&amp;redirect=Dlog&amp;widgetTypeCall=true&amp;directAccess=false</t>
  </si>
  <si>
    <t>2025-06-30 주식 시장 주요 뉴스 및 주도 테마</t>
  </si>
  <si>
    <t>https://blog.naver.com/PostView.naver?blogId=mychocobox&amp;logNo=223916846289&amp;redirect=Dlog&amp;widgetTypeCall=true&amp;directAccess=false</t>
  </si>
  <si>
    <t>【단독】충청, 이 대통령 '잘한다' 61.9% 전주 대비 8.0%p↑...민주50% 돌파[리얼미터]</t>
  </si>
  <si>
    <t>https://blog.naver.com/PostView.naver?blogId=esejong1&amp;logNo=223916545618&amp;redirect=Dlog&amp;widgetTypeCall=true&amp;directAccess=false</t>
  </si>
  <si>
    <t>균등화발전원가(LCOE) 기반 에너지원 비교 분석</t>
  </si>
  <si>
    <t>https://blog.naver.com/PostView.naver?blogId=simula&amp;logNo=223916507301&amp;redirect=Dlog&amp;widgetTypeCall=true&amp;directAccess=false</t>
  </si>
  <si>
    <t>내란특검, 윤석열 측에 7월 1일 재출석 통보…“수사 방해 더 이상 좌시 않겠다”</t>
  </si>
  <si>
    <t>https://blog.naver.com/PostView.naver?blogId=mamy75&amp;logNo=223916327253&amp;redirect=Dlog&amp;widgetTypeCall=true&amp;directAccess=false</t>
  </si>
  <si>
    <t>[리얼미터] 이재명 대통령 국정수행 '잘함' 59.7%_광주뉴스TV(G-TV)</t>
  </si>
  <si>
    <t>https://blog.naver.com/PostView.naver?blogId=g-tvnews&amp;logNo=223916299872&amp;redirect=Dlog&amp;widgetTypeCall=true&amp;directAccess=false</t>
  </si>
  <si>
    <t>평택시민신문</t>
  </si>
  <si>
    <t>현선생</t>
  </si>
  <si>
    <t>샌님이 민낯을 드러내다</t>
  </si>
  <si>
    <t>https://blog.naver.com/PostView.naver?blogId=sialnaber&amp;logNo=223899338299&amp;redirect=Dlog&amp;widgetTypeCall=true&amp;directAccess=false</t>
  </si>
  <si>
    <t>미디어펜</t>
  </si>
  <si>
    <t>HEY</t>
  </si>
  <si>
    <t>[대학생 대외활동 추천] 너의 B는 뭐냐? 나는 Brand다.│팀 화이트 활동 후기</t>
  </si>
  <si>
    <t>https://blog.naver.com/PostView.naver?blogId=polatime&amp;logNo=223915118857&amp;redirect=Dlog&amp;widgetTypeCall=true&amp;directAccess=false</t>
  </si>
  <si>
    <t>윤지</t>
  </si>
  <si>
    <t>송민준 The 1st Mini Album [Prologue] 트랙리스트💚</t>
  </si>
  <si>
    <t>https://blog.naver.com/PostView.naver?blogId=kimyoonji___&amp;logNo=223904547046&amp;redirect=Dlog&amp;widgetTypeCall=true&amp;directAccess=false</t>
  </si>
  <si>
    <t>멸종위기 붉은점모시나비, ‘강원도 삼척’ 최대 집단서식처 확인</t>
  </si>
  <si>
    <t>https://blog.naver.com/PostView.naver?blogId=grt0809&amp;logNo=223903378311&amp;redirect=Dlog&amp;widgetTypeCall=true&amp;directAccess=false</t>
  </si>
  <si>
    <t>김포신문</t>
  </si>
  <si>
    <t>연합회장</t>
  </si>
  <si>
    <t>김포도시관리공사, 뿔났다</t>
  </si>
  <si>
    <t>https://blog.naver.com/PostView.naver?blogId=jange9439&amp;logNo=223904995374&amp;redirect=Dlog&amp;widgetTypeCall=true&amp;directAccess=false</t>
  </si>
  <si>
    <t>김포한방병원</t>
  </si>
  <si>
    <t>종합사회복지관-김포한방병원, ‘취약계층 건강복지향상’ MOU</t>
  </si>
  <si>
    <t>https://blog.naver.com/PostView.naver?blogId=gimpohanbang&amp;logNo=223885710933&amp;redirect=Dlog&amp;widgetTypeCall=true&amp;directAccess=false</t>
  </si>
  <si>
    <t>광남일보</t>
  </si>
  <si>
    <t>문금주 국회의원</t>
  </si>
  <si>
    <t>[2025.6.16. 문금주, 김산업진흥유통공사 설치법 대표발의-광남일보]</t>
  </si>
  <si>
    <t>https://blog.naver.com/PostView.naver?blogId=mgj318&amp;logNo=223901231341&amp;redirect=Dlog&amp;widgetTypeCall=true&amp;directAccess=false</t>
  </si>
  <si>
    <t>광주남구이강하미술관</t>
  </si>
  <si>
    <t>20250529_광남일보_'오월광주'넘어 미래 세대에 예술적 메시지 전달</t>
  </si>
  <si>
    <t>https://blog.naver.com/PostView.naver?blogId=lkhart0207&amp;logNo=223888254909&amp;redirect=Dlog&amp;widgetTypeCall=true&amp;directAccess=false</t>
  </si>
  <si>
    <t>펜앤드마이크</t>
  </si>
  <si>
    <t>[김용삼의 근대사] 유교, 주자성리학, 그리고 공산주의</t>
  </si>
  <si>
    <t>https://blog.naver.com/PostView.naver?blogId=dwyun60&amp;logNo=223904491206&amp;redirect=Dlog&amp;widgetTypeCall=true&amp;directAccess=false</t>
  </si>
  <si>
    <t>스타클</t>
  </si>
  <si>
    <t>"이재명, 이화영 대북송금 보고받았다" 자백 동영상 터졌다. '펜앤드마이크'</t>
  </si>
  <si>
    <t>https://blog.naver.com/PostView.naver?blogId=huheun05&amp;logNo=223896613408&amp;redirect=Dlog&amp;widgetTypeCall=true&amp;directAccess=false</t>
  </si>
  <si>
    <t>내외뉴스통신</t>
  </si>
  <si>
    <t>[집중분석] 이재명, 결국 자백했나?…이화영 대북송금 '보고받은 정황' 드러난 인터뷰 발언</t>
  </si>
  <si>
    <t>https://blog.naver.com/PostView.naver?blogId=nbnnews1&amp;logNo=223893427228&amp;redirect=Dlog&amp;widgetTypeCall=true&amp;directAccess=false</t>
  </si>
  <si>
    <t>이뿔</t>
  </si>
  <si>
    <t>김구의 개인적 가치관 - 당여 8</t>
  </si>
  <si>
    <t>https://blog.naver.com/PostView.naver?blogId=jkl8013&amp;logNo=223889210557&amp;redirect=Dlog&amp;widgetTypeCall=true&amp;directAccess=false</t>
  </si>
  <si>
    <t>홍성신문</t>
  </si>
  <si>
    <t>가치를잇는사람들</t>
  </si>
  <si>
    <t>2기 주민기자양성</t>
  </si>
  <si>
    <t>https://blog.naver.com/PostView.naver?blogId=naomi5004&amp;logNo=223914009162&amp;redirect=Dlog&amp;widgetTypeCall=true&amp;directAccess=false</t>
  </si>
  <si>
    <t>p형 혈액형 발견…“100만분의 1 미만 확률”</t>
  </si>
  <si>
    <t>https://blog.naver.com/PostView.naver?blogId=pgy0804&amp;logNo=223904618640&amp;redirect=Dlog&amp;widgetTypeCall=true&amp;directAccess=false</t>
  </si>
  <si>
    <t>16대 연쇄 추돌사고 낸 中샤오미 전기차, “이래도 중국 전기차 타시겠습니까?”</t>
  </si>
  <si>
    <t>https://blog.naver.com/PostView.naver?blogId=khchojh&amp;logNo=223898336209&amp;redirect=Dlog&amp;widgetTypeCall=true&amp;directAccess=false</t>
  </si>
  <si>
    <t>국제~~~동아일보 2025년6월13일</t>
  </si>
  <si>
    <t>https://blog.naver.com/PostView.naver?blogId=c1c1b1b1&amp;logNo=223897568317&amp;redirect=Dlog&amp;widgetTypeCall=true&amp;directAccess=false</t>
  </si>
  <si>
    <t>프레시안</t>
  </si>
  <si>
    <t>&lt;위장보수 무능,무책임 좌경용공 민주팔이 한동운 일당은 내부 분탕질이나 할 줄 알지 대여투쟁은커녕 무능,무책임 좌경용공 민주팔이 도우미질 못해서 안달..기사무관&gt;친한계 "꿀 빨다가</t>
  </si>
  <si>
    <t>https://blog.naver.com/PostView.naver?blogId=yesktj&amp;logNo=223916574593&amp;redirect=Dlog&amp;widgetTypeCall=true&amp;directAccess=false</t>
  </si>
  <si>
    <t>막걸리학교</t>
  </si>
  <si>
    <t>막걸리학교 67기 개강을 앞두고</t>
  </si>
  <si>
    <t>https://blog.naver.com/PostView.naver?blogId=soolschool2&amp;logNo=223916076908&amp;redirect=Dlog&amp;widgetTypeCall=true&amp;directAccess=false</t>
  </si>
  <si>
    <t>친윤보수 중 상당수는 극우 집단으로 전환될 개연성  – 한국리서치 2025년 4월 조사 -</t>
  </si>
  <si>
    <t>https://blog.naver.com/PostView.naver?blogId=beri510&amp;logNo=223914574666&amp;redirect=Dlog&amp;widgetTypeCall=true&amp;directAccess=false</t>
  </si>
  <si>
    <t>리움</t>
  </si>
  <si>
    <t>최재천의 서재 독서후기</t>
  </si>
  <si>
    <t>https://blog.naver.com/PostView.naver?blogId=kjw4421&amp;logNo=223914271505&amp;redirect=Dlog&amp;widgetTypeCall=true&amp;directAccess=false</t>
  </si>
  <si>
    <t>mouve</t>
  </si>
  <si>
    <t>꽤 오랜만인 위시리스트🧸</t>
  </si>
  <si>
    <t>https://blog.naver.com/PostView.naver?blogId=dearmymouve&amp;logNo=223913680973&amp;redirect=Dlog&amp;widgetTypeCall=true&amp;directAccess=false</t>
  </si>
  <si>
    <t>[시니어 마케팅] 인천형 스마트 경로당</t>
  </si>
  <si>
    <t>https://blog.naver.com/PostView.naver?blogId=msp3441&amp;logNo=223910320180&amp;redirect=Dlog&amp;widgetTypeCall=true&amp;directAccess=false</t>
  </si>
  <si>
    <t>흔들도리단</t>
  </si>
  <si>
    <t>프레시안 에그라이크 블러셔 구매</t>
  </si>
  <si>
    <t>https://blog.naver.com/PostView.naver?blogId=xnpxnp18&amp;logNo=223909835817&amp;redirect=Dlog&amp;widgetTypeCall=true&amp;directAccess=false</t>
  </si>
  <si>
    <t>신콩</t>
  </si>
  <si>
    <t>25.06.23 아! 팔레스타인(원혜진 지음) 그리고 나지 알 알리(Naji Al Ali)</t>
  </si>
  <si>
    <t>https://blog.naver.com/PostView.naver?blogId=csiy1004&amp;logNo=223909244620&amp;redirect=Dlog&amp;widgetTypeCall=true&amp;directAccess=false</t>
  </si>
  <si>
    <t>선교사 기념 명예도로 서대문구 곳곳 지정 외 (6/23)</t>
  </si>
  <si>
    <t>https://blog.naver.com/PostView.naver?blogId=khchojh&amp;logNo=223908395826&amp;redirect=Dlog&amp;widgetTypeCall=true&amp;directAccess=false</t>
  </si>
  <si>
    <t>滄珠香山의 放吾齋 日記 2025. 6. 22. 日</t>
  </si>
  <si>
    <t>https://blog.naver.com/PostView.naver?blogId=lestofilos&amp;logNo=223907336370&amp;redirect=Dlog&amp;widgetTypeCall=true&amp;directAccess=false</t>
  </si>
  <si>
    <t>고슴</t>
  </si>
  <si>
    <t>고명도 블러셔 발색 모음</t>
  </si>
  <si>
    <t>https://blog.naver.com/PostView.naver?blogId=coconenne83&amp;logNo=223907133456&amp;redirect=Dlog&amp;widgetTypeCall=true&amp;directAccess=false</t>
  </si>
  <si>
    <t>캡스톤브릿지</t>
  </si>
  <si>
    <t>[의회 소식] "바이오산업 발전전략 마련·예산증액 필요"</t>
  </si>
  <si>
    <t>https://blog.naver.com/PostView.naver?blogId=capstonebridge_&amp;logNo=223905883364&amp;redirect=Dlog&amp;widgetTypeCall=true&amp;directAccess=false</t>
  </si>
  <si>
    <t>민트</t>
  </si>
  <si>
    <t>#3. 카드포인트 로도 쓸 수 있다는 탄소중립포인트, 1년 동안 참여해 보니</t>
  </si>
  <si>
    <t>https://blog.naver.com/PostView.naver?blogId=harmonyponds&amp;logNo=223905680606&amp;redirect=Dlog&amp;widgetTypeCall=true&amp;directAccess=false</t>
  </si>
  <si>
    <t>풀꽃잎사랑</t>
  </si>
  <si>
    <t>6월 19일  프레시안 만평</t>
  </si>
  <si>
    <t>https://blog.naver.com/PostView.naver?blogId=cbnets&amp;logNo=223904887324&amp;redirect=Dlog&amp;widgetTypeCall=true&amp;directAccess=false</t>
  </si>
  <si>
    <t>ChatGPT와 함께 보는 『철학과 굴뚝청소부』 요약 - 이진경</t>
  </si>
  <si>
    <t>https://blog.naver.com/PostView.naver?blogId=doodle02&amp;logNo=223903324707&amp;redirect=Dlog&amp;widgetTypeCall=true&amp;directAccess=false</t>
  </si>
  <si>
    <t>foreveryrong</t>
  </si>
  <si>
    <t>2025 상반기 신상 올리브영 쿠션 5종 집중 비교― 프레시안 · 네이밍 · 어바웃톤 · 퓌(FWEE) · 3CE</t>
  </si>
  <si>
    <t>https://blog.naver.com/PostView.naver?blogId=for_everyrong&amp;logNo=223900941894&amp;redirect=Dlog&amp;widgetTypeCall=true&amp;directAccess=false</t>
  </si>
  <si>
    <t>대학 교수, 수업중 "민주당은 공산당…'윤석열 계엄'은 빨갱이 잡기 위해서" - 프레시안</t>
  </si>
  <si>
    <t>https://blog.naver.com/PostView.naver?blogId=testdirt&amp;logNo=223900071854&amp;redirect=Dlog&amp;widgetTypeCall=true&amp;directAccess=false</t>
  </si>
  <si>
    <t>25.05.22. [프레시안] 김윤덕 사무총장 "교사에 발급 '불법 임명장' 즉각 수사해야"</t>
  </si>
  <si>
    <t>https://blog.naver.com/PostView.naver?blogId=ydkim22&amp;logNo=223899983920&amp;redirect=Dlog&amp;widgetTypeCall=true&amp;directAccess=false</t>
  </si>
  <si>
    <t>curatorsim</t>
  </si>
  <si>
    <t>2차 세계대전 중, 태평양전쟁에서 미국과 일본이 휴전하고 서로의 영토를 인정했다면 2025년의 일본은 어떤 모습이었을까? 일본의 식민지였던 한국은 어땠을까?</t>
  </si>
  <si>
    <t>https://blog.naver.com/PostView.naver?blogId=wnsyd&amp;logNo=223899339522&amp;redirect=Dlog&amp;widgetTypeCall=true&amp;directAccess=false</t>
  </si>
  <si>
    <t>hana</t>
  </si>
  <si>
    <t>시험 먹금하고 내 블로그나 들어와~</t>
  </si>
  <si>
    <t>https://blog.naver.com/PostView.naver?blogId=hana0219_&amp;logNo=223896388392&amp;redirect=Dlog&amp;widgetTypeCall=true&amp;directAccess=false</t>
  </si>
  <si>
    <t>신좌파 다원주의 노선 무엇이 문제인가?2</t>
  </si>
  <si>
    <t>https://blog.naver.com/PostView.naver?blogId=marxleninkr&amp;logNo=223896155252&amp;redirect=Dlog&amp;widgetTypeCall=true&amp;directAccess=false</t>
  </si>
  <si>
    <t>&lt;위장 보수 사이비 진보 한동운이 분탕질로 망한 것임..찌그리기 좌경용공 민주팔이 출신 못속이는 깅성때..기사무관&gt;김성태 "여전히 망상 속에 사는 尹, 법정 갈 때 에스코트 1명도</t>
  </si>
  <si>
    <t>https://blog.naver.com/PostView.naver?blogId=yesktj&amp;logNo=223896129027&amp;redirect=Dlog&amp;widgetTypeCall=true&amp;directAccess=false</t>
  </si>
  <si>
    <t>쥬</t>
  </si>
  <si>
    <t>어떤 이야기는 한 방향으로만 읽어야 했어</t>
  </si>
  <si>
    <t>https://blog.naver.com/PostView.naver?blogId=u_zlor&amp;logNo=223895794747&amp;redirect=Dlog&amp;widgetTypeCall=true&amp;directAccess=false</t>
  </si>
  <si>
    <t>‘이재명 정부의 인사’를 걱정하는 임은정 검사</t>
  </si>
  <si>
    <t>https://blog.naver.com/PostView.naver?blogId=stenka25&amp;logNo=223892710496&amp;redirect=Dlog&amp;widgetTypeCall=true&amp;directAccess=false</t>
  </si>
  <si>
    <t>오늘의 신문 만평(2025. 6. 7., 토)</t>
  </si>
  <si>
    <t>https://blog.naver.com/PostView.naver?blogId=kominerba&amp;logNo=223891101622&amp;redirect=Dlog&amp;widgetTypeCall=true&amp;directAccess=false</t>
  </si>
  <si>
    <t>윤석열과 김건희--난파속에서도 거부권찾나;프레시안의 만평</t>
  </si>
  <si>
    <t>https://blog.naver.com/PostView.naver?blogId=cbnets&amp;logNo=223890370196&amp;redirect=Dlog&amp;widgetTypeCall=true&amp;directAccess=false</t>
  </si>
  <si>
    <t>해피가이</t>
  </si>
  <si>
    <t>교실 밖 배움, 교사와 학생 모두를 위한 숨통</t>
  </si>
  <si>
    <t>https://blog.naver.com/PostView.naver?blogId=roh1970&amp;logNo=223889710481&amp;redirect=Dlog&amp;widgetTypeCall=true&amp;directAccess=false</t>
  </si>
  <si>
    <t>kate</t>
  </si>
  <si>
    <t>프레시안 에그라이크 쿠션 비건</t>
  </si>
  <si>
    <t>https://blog.naver.com/PostView.naver?blogId=a41388&amp;logNo=223888326575&amp;redirect=Dlog&amp;widgetTypeCall=true&amp;directAccess=false</t>
  </si>
  <si>
    <t>Hola</t>
  </si>
  <si>
    <t>May-5</t>
  </si>
  <si>
    <t>https://blog.naver.com/PostView.naver?blogId=animo5030&amp;logNo=223888098552&amp;redirect=Dlog&amp;widgetTypeCall=true&amp;directAccess=false</t>
  </si>
  <si>
    <t>&lt;위장 보수 사이비 진보 한동운이 분탕질로 망한 것임..가짜보수 사이비 진보 한동운이와는 완전히 단절하고 갈라서지 않으면 보수 미래 없다..기사무관&gt;친한계 "계엄 옹호 세력에 길</t>
  </si>
  <si>
    <t>https://blog.naver.com/PostView.naver?blogId=yesktj&amp;logNo=223888219858&amp;redirect=Dlog&amp;widgetTypeCall=true&amp;directAccess=false</t>
  </si>
  <si>
    <t>다녕</t>
  </si>
  <si>
    <t>250602_ 월요일이었군</t>
  </si>
  <si>
    <t>https://blog.naver.com/PostView.naver?blogId=lovelybom329&amp;logNo=223886815893&amp;redirect=Dlog&amp;widgetTypeCall=true&amp;directAccess=false</t>
  </si>
  <si>
    <t>pabbycosmetics</t>
  </si>
  <si>
    <t>화장품 뷰티 업계 이슈(25-06-02)</t>
  </si>
  <si>
    <t>https://blog.naver.com/PostView.naver?blogId=pabbycosmetics&amp;logNo=223886152577&amp;redirect=Dlog&amp;widgetTypeCall=true&amp;directAccess=false</t>
  </si>
  <si>
    <t>소피아</t>
  </si>
  <si>
    <t>(제목짓는거 어려워서 그냥) 일상1부터 다시</t>
  </si>
  <si>
    <t>https://blog.naver.com/PostView.naver?blogId=limeee30&amp;logNo=223885698046&amp;redirect=Dlog&amp;widgetTypeCall=true&amp;directAccess=false</t>
  </si>
  <si>
    <t>[프레시안] 민주당 장애인시민본부, 장애인 관련단체 지지세 결집 안간힘(25.05.31)</t>
  </si>
  <si>
    <t>https://blog.naver.com/PostView.naver?blogId=m2hwaseo&amp;logNo=223885645225&amp;redirect=Dlog&amp;widgetTypeCall=true&amp;directAccess=false</t>
  </si>
  <si>
    <t>여성경제신문</t>
  </si>
  <si>
    <t>cognitivemath</t>
  </si>
  <si>
    <t>챗GPT와 딥시크, 그리고 리만 가설</t>
  </si>
  <si>
    <t>https://blog.naver.com/PostView.naver?blogId=cognitive_math&amp;logNo=223905180391&amp;redirect=Dlog&amp;widgetTypeCall=true&amp;directAccess=false</t>
  </si>
  <si>
    <t>용인 키스미 쥬얼리</t>
  </si>
  <si>
    <t>최근 주얼리 예물은 어떤종류를 많이하나요?</t>
  </si>
  <si>
    <t>https://blog.naver.com/PostView.naver?blogId=kissme_yongin&amp;logNo=223886635460&amp;redirect=Dlog&amp;widgetTypeCall=true&amp;directAccess=false</t>
  </si>
  <si>
    <t>플랫폼</t>
    <phoneticPr fontId="2" type="noConversion"/>
  </si>
  <si>
    <t>원문기사 url</t>
    <phoneticPr fontId="2" type="noConversion"/>
  </si>
  <si>
    <t>게시물 등록</t>
    <phoneticPr fontId="2" type="noConversion"/>
  </si>
  <si>
    <t>게시물 url</t>
    <phoneticPr fontId="2" type="noConversion"/>
  </si>
  <si>
    <t>게시물 제목</t>
    <phoneticPr fontId="2" type="noConversion"/>
  </si>
  <si>
    <t>네이버 블로그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</si>
</sst>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right"/>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416"/>
  <sheetViews>
    <sheetView tabSelected="1" topLeftCell="A10748" workbookViewId="0">
      <selection activeCell="G10843" sqref="G10843"/>
    </sheetView>
  </sheetViews>
  <sheetFormatPr defaultRowHeight="16.5" x14ac:dyDescent="0.3"/>
  <cols>
    <col min="2" max="2" width="13.625" customWidth="1"/>
    <col min="3" max="3" width="31.75" customWidth="1"/>
    <col min="4" max="4" width="21.375" customWidth="1"/>
    <col min="5" max="5" width="17.25" style="2" customWidth="1"/>
    <col min="6" max="6" width="14.375" customWidth="1"/>
    <col min="7" max="7" width="35.25" customWidth="1"/>
  </cols>
  <sheetData>
    <row r="1" spans="1:8" x14ac:dyDescent="0.3">
      <c r="A1" s="1" t="s">
        <v>0</v>
      </c>
      <c r="B1" s="1" t="s">
        <v>26946</v>
      </c>
      <c r="C1" s="1" t="s">
        <v>26949</v>
      </c>
      <c r="D1" s="1" t="s">
        <v>26950</v>
      </c>
      <c r="E1" s="1" t="s">
        <v>26948</v>
      </c>
      <c r="F1" s="1" t="s">
        <v>1</v>
      </c>
      <c r="G1" s="1" t="s">
        <v>26947</v>
      </c>
      <c r="H1" s="1" t="s">
        <v>2</v>
      </c>
    </row>
    <row r="2" spans="1:8" x14ac:dyDescent="0.3">
      <c r="A2" t="s">
        <v>3</v>
      </c>
      <c r="B2" t="s">
        <v>26951</v>
      </c>
      <c r="C2" t="s">
        <v>6</v>
      </c>
      <c r="D2" t="s">
        <v>5</v>
      </c>
      <c r="E2" s="2" t="s">
        <v>7</v>
      </c>
      <c r="F2" t="s">
        <v>4</v>
      </c>
      <c r="G2" t="str">
        <f>HYPERLINK("http://www.itdaily.kr/news/articleView.html?idxno=233919")</f>
        <v>http://www.itdaily.kr/news/articleView.html?idxno=233919</v>
      </c>
      <c r="H2">
        <v>0.373</v>
      </c>
    </row>
    <row r="3" spans="1:8" x14ac:dyDescent="0.3">
      <c r="A3" t="s">
        <v>3</v>
      </c>
      <c r="B3" t="s">
        <v>26951</v>
      </c>
      <c r="C3" t="s">
        <v>10</v>
      </c>
      <c r="D3" t="s">
        <v>9</v>
      </c>
      <c r="E3" s="2" t="s">
        <v>7</v>
      </c>
      <c r="F3" t="s">
        <v>8</v>
      </c>
      <c r="G3" t="str">
        <f>HYPERLINK("https://n.news.naver.com/mnews/article/018/0006047463?sid=103")</f>
        <v>https://n.news.naver.com/mnews/article/018/0006047463?sid=103</v>
      </c>
      <c r="H3">
        <v>0.16400000000000001</v>
      </c>
    </row>
    <row r="4" spans="1:8" x14ac:dyDescent="0.3">
      <c r="A4" t="s">
        <v>3</v>
      </c>
      <c r="B4" t="s">
        <v>26951</v>
      </c>
      <c r="C4" t="s">
        <v>13</v>
      </c>
      <c r="D4" t="s">
        <v>12</v>
      </c>
      <c r="E4" s="2" t="s">
        <v>7</v>
      </c>
      <c r="F4" t="s">
        <v>11</v>
      </c>
      <c r="G4" t="str">
        <f>HYPERLINK("https://www.straightnews.co.kr/news/articleView.html?idxno=233188")</f>
        <v>https://www.straightnews.co.kr/news/articleView.html?idxno=233188</v>
      </c>
      <c r="H4">
        <v>0.436</v>
      </c>
    </row>
    <row r="5" spans="1:8" x14ac:dyDescent="0.3">
      <c r="A5" t="s">
        <v>3</v>
      </c>
      <c r="B5" t="s">
        <v>26951</v>
      </c>
      <c r="C5" t="s">
        <v>16</v>
      </c>
      <c r="D5" t="s">
        <v>15</v>
      </c>
      <c r="E5" s="2" t="s">
        <v>7</v>
      </c>
      <c r="F5" t="s">
        <v>14</v>
      </c>
      <c r="G5" t="str">
        <f>HYPERLINK("https://n.news.naver.com/mnews/article/018/0005957502?sid=101")</f>
        <v>https://n.news.naver.com/mnews/article/018/0005957502?sid=101</v>
      </c>
      <c r="H5">
        <v>0.189</v>
      </c>
    </row>
    <row r="6" spans="1:8" x14ac:dyDescent="0.3">
      <c r="A6" t="s">
        <v>3</v>
      </c>
      <c r="B6" t="s">
        <v>26951</v>
      </c>
      <c r="C6" t="s">
        <v>18</v>
      </c>
      <c r="D6" t="s">
        <v>17</v>
      </c>
      <c r="E6" s="2" t="s">
        <v>7</v>
      </c>
      <c r="F6" t="s">
        <v>14</v>
      </c>
      <c r="G6" t="str">
        <f>HYPERLINK("https://www.eroun.net/news/articleView.html?idxno=34854")</f>
        <v>https://www.eroun.net/news/articleView.html?idxno=34854</v>
      </c>
      <c r="H6">
        <v>0.253</v>
      </c>
    </row>
    <row r="7" spans="1:8" x14ac:dyDescent="0.3">
      <c r="A7" t="s">
        <v>3</v>
      </c>
      <c r="B7" t="s">
        <v>26951</v>
      </c>
      <c r="C7" t="s">
        <v>21</v>
      </c>
      <c r="D7" t="s">
        <v>20</v>
      </c>
      <c r="E7" s="2" t="s">
        <v>7</v>
      </c>
      <c r="F7" t="s">
        <v>19</v>
      </c>
      <c r="G7" t="str">
        <f>HYPERLINK("https://n.news.naver.com/mnews/article/018/0005362172?sid=101")</f>
        <v>https://n.news.naver.com/mnews/article/018/0005362172?sid=101</v>
      </c>
      <c r="H7">
        <v>0.38500000000000001</v>
      </c>
    </row>
    <row r="8" spans="1:8" x14ac:dyDescent="0.3">
      <c r="A8" t="s">
        <v>3</v>
      </c>
      <c r="B8" t="s">
        <v>26951</v>
      </c>
      <c r="C8" t="s">
        <v>24</v>
      </c>
      <c r="D8" t="s">
        <v>23</v>
      </c>
      <c r="E8" s="2" t="s">
        <v>7</v>
      </c>
      <c r="F8" t="s">
        <v>22</v>
      </c>
      <c r="G8" t="str">
        <f>HYPERLINK("https://n.news.naver.com/mnews/article/469/0000872018?sid=102")</f>
        <v>https://n.news.naver.com/mnews/article/469/0000872018?sid=102</v>
      </c>
      <c r="H8">
        <v>0.17499999999999999</v>
      </c>
    </row>
    <row r="9" spans="1:8" x14ac:dyDescent="0.3">
      <c r="A9" t="s">
        <v>3</v>
      </c>
      <c r="B9" t="s">
        <v>26951</v>
      </c>
      <c r="C9" t="s">
        <v>27</v>
      </c>
      <c r="D9" t="s">
        <v>26</v>
      </c>
      <c r="E9" s="2" t="s">
        <v>7</v>
      </c>
      <c r="F9" t="s">
        <v>25</v>
      </c>
      <c r="G9" t="str">
        <f>HYPERLINK("https://n.news.naver.com/mnews/article/018/0004248904?sid=101")</f>
        <v>https://n.news.naver.com/mnews/article/018/0004248904?sid=101</v>
      </c>
      <c r="H9">
        <v>0.23699999999999999</v>
      </c>
    </row>
    <row r="10" spans="1:8" x14ac:dyDescent="0.3">
      <c r="A10" t="s">
        <v>3</v>
      </c>
      <c r="B10" t="s">
        <v>26951</v>
      </c>
      <c r="C10" t="s">
        <v>30</v>
      </c>
      <c r="D10" t="s">
        <v>29</v>
      </c>
      <c r="E10" s="2" t="s">
        <v>7</v>
      </c>
      <c r="F10" t="s">
        <v>28</v>
      </c>
      <c r="G10" t="str">
        <f>HYPERLINK("http://www.intn.co.kr/news/articleView.html?idxno=2017538")</f>
        <v>http://www.intn.co.kr/news/articleView.html?idxno=2017538</v>
      </c>
      <c r="H10">
        <v>0.56899999999999995</v>
      </c>
    </row>
    <row r="11" spans="1:8" x14ac:dyDescent="0.3">
      <c r="A11" t="s">
        <v>3</v>
      </c>
      <c r="B11" t="s">
        <v>26951</v>
      </c>
      <c r="C11" t="s">
        <v>33</v>
      </c>
      <c r="D11" t="s">
        <v>32</v>
      </c>
      <c r="E11" s="2" t="s">
        <v>7</v>
      </c>
      <c r="F11" t="s">
        <v>31</v>
      </c>
      <c r="G11" t="str">
        <f>HYPERLINK("https://www.newspim.com/news/view/20250630000153")</f>
        <v>https://www.newspim.com/news/view/20250630000153</v>
      </c>
      <c r="H11">
        <v>0.54700000000000004</v>
      </c>
    </row>
    <row r="12" spans="1:8" x14ac:dyDescent="0.3">
      <c r="A12" t="s">
        <v>3</v>
      </c>
      <c r="B12" t="s">
        <v>26951</v>
      </c>
      <c r="C12" t="s">
        <v>36</v>
      </c>
      <c r="D12" t="s">
        <v>35</v>
      </c>
      <c r="E12" s="2" t="s">
        <v>7</v>
      </c>
      <c r="F12" t="s">
        <v>34</v>
      </c>
      <c r="G12" t="str">
        <f>HYPERLINK("https://n.news.naver.com/mnews/article/018/0006053386?sid=101")</f>
        <v>https://n.news.naver.com/mnews/article/018/0006053386?sid=101</v>
      </c>
      <c r="H12">
        <v>0.33300000000000002</v>
      </c>
    </row>
    <row r="13" spans="1:8" x14ac:dyDescent="0.3">
      <c r="A13" t="s">
        <v>3</v>
      </c>
      <c r="B13" t="s">
        <v>26951</v>
      </c>
      <c r="C13" t="s">
        <v>39</v>
      </c>
      <c r="D13" t="s">
        <v>38</v>
      </c>
      <c r="E13" s="2" t="s">
        <v>7</v>
      </c>
      <c r="F13" t="s">
        <v>37</v>
      </c>
      <c r="G13" t="str">
        <f>HYPERLINK("https://n.news.naver.com/mnews/article/018/0006052497?sid=101")</f>
        <v>https://n.news.naver.com/mnews/article/018/0006052497?sid=101</v>
      </c>
      <c r="H13">
        <v>0.23699999999999999</v>
      </c>
    </row>
    <row r="14" spans="1:8" x14ac:dyDescent="0.3">
      <c r="A14" t="s">
        <v>3</v>
      </c>
      <c r="B14" t="s">
        <v>26951</v>
      </c>
      <c r="C14" t="s">
        <v>42</v>
      </c>
      <c r="D14" t="s">
        <v>41</v>
      </c>
      <c r="E14" s="2" t="s">
        <v>7</v>
      </c>
      <c r="F14" t="s">
        <v>40</v>
      </c>
      <c r="G14" t="str">
        <f>HYPERLINK("https://n.news.naver.com/mnews/article/018/0006049541?sid=101")</f>
        <v>https://n.news.naver.com/mnews/article/018/0006049541?sid=101</v>
      </c>
      <c r="H14">
        <v>0.25</v>
      </c>
    </row>
    <row r="15" spans="1:8" x14ac:dyDescent="0.3">
      <c r="A15" t="s">
        <v>3</v>
      </c>
      <c r="B15" t="s">
        <v>26951</v>
      </c>
      <c r="C15" t="s">
        <v>44</v>
      </c>
      <c r="D15" t="s">
        <v>43</v>
      </c>
      <c r="E15" s="2" t="s">
        <v>7</v>
      </c>
      <c r="F15" t="s">
        <v>40</v>
      </c>
      <c r="G15" t="str">
        <f>HYPERLINK("https://news.einfomax.co.kr/news/articleView.html?idxno=4305802")</f>
        <v>https://news.einfomax.co.kr/news/articleView.html?idxno=4305802</v>
      </c>
      <c r="H15">
        <v>0.51400000000000001</v>
      </c>
    </row>
    <row r="16" spans="1:8" x14ac:dyDescent="0.3">
      <c r="A16" t="s">
        <v>3</v>
      </c>
      <c r="B16" t="s">
        <v>26951</v>
      </c>
      <c r="C16" t="s">
        <v>47</v>
      </c>
      <c r="D16" t="s">
        <v>46</v>
      </c>
      <c r="E16" s="2" t="s">
        <v>7</v>
      </c>
      <c r="F16" t="s">
        <v>45</v>
      </c>
      <c r="G16" t="str">
        <f>HYPERLINK("https://n.news.naver.com/mnews/article/018/0006052438?sid=102")</f>
        <v>https://n.news.naver.com/mnews/article/018/0006052438?sid=102</v>
      </c>
      <c r="H16">
        <v>0.23499999999999999</v>
      </c>
    </row>
    <row r="17" spans="1:8" x14ac:dyDescent="0.3">
      <c r="A17" t="s">
        <v>3</v>
      </c>
      <c r="B17" t="s">
        <v>26951</v>
      </c>
      <c r="C17" t="s">
        <v>50</v>
      </c>
      <c r="D17" t="s">
        <v>49</v>
      </c>
      <c r="E17" s="2" t="s">
        <v>7</v>
      </c>
      <c r="F17" t="s">
        <v>48</v>
      </c>
      <c r="G17" t="str">
        <f>HYPERLINK("https://www.apnews.kr/news/articleView.html?idxno=3015950")</f>
        <v>https://www.apnews.kr/news/articleView.html?idxno=3015950</v>
      </c>
      <c r="H17">
        <v>0.20799999999999999</v>
      </c>
    </row>
    <row r="18" spans="1:8" x14ac:dyDescent="0.3">
      <c r="A18" t="s">
        <v>3</v>
      </c>
      <c r="B18" t="s">
        <v>26951</v>
      </c>
      <c r="C18" t="s">
        <v>53</v>
      </c>
      <c r="D18" t="s">
        <v>52</v>
      </c>
      <c r="E18" s="2" t="s">
        <v>7</v>
      </c>
      <c r="F18" t="s">
        <v>51</v>
      </c>
      <c r="G18" t="str">
        <f>HYPERLINK("https://www.christiantoday.co.kr/news/369064")</f>
        <v>https://www.christiantoday.co.kr/news/369064</v>
      </c>
      <c r="H18">
        <v>0.55400000000000005</v>
      </c>
    </row>
    <row r="19" spans="1:8" x14ac:dyDescent="0.3">
      <c r="A19" t="s">
        <v>3</v>
      </c>
      <c r="B19" t="s">
        <v>26951</v>
      </c>
      <c r="C19" t="s">
        <v>56</v>
      </c>
      <c r="D19" t="s">
        <v>55</v>
      </c>
      <c r="E19" s="2" t="s">
        <v>7</v>
      </c>
      <c r="F19" t="s">
        <v>54</v>
      </c>
      <c r="G19" t="str">
        <f>HYPERLINK("http://www.sctoday.co.kr/news/articleView.html?idxno=45363")</f>
        <v>http://www.sctoday.co.kr/news/articleView.html?idxno=45363</v>
      </c>
      <c r="H19">
        <v>0.105</v>
      </c>
    </row>
    <row r="20" spans="1:8" x14ac:dyDescent="0.3">
      <c r="A20" t="s">
        <v>3</v>
      </c>
      <c r="B20" t="s">
        <v>26951</v>
      </c>
      <c r="C20" t="s">
        <v>59</v>
      </c>
      <c r="D20" t="s">
        <v>58</v>
      </c>
      <c r="E20" s="2" t="s">
        <v>7</v>
      </c>
      <c r="F20" t="s">
        <v>57</v>
      </c>
      <c r="G20" t="str">
        <f>HYPERLINK("https://www.rcast.co.kr/news/articleView.html?idxno=28137")</f>
        <v>https://www.rcast.co.kr/news/articleView.html?idxno=28137</v>
      </c>
      <c r="H20">
        <v>0.14299999999999999</v>
      </c>
    </row>
    <row r="21" spans="1:8" x14ac:dyDescent="0.3">
      <c r="A21" t="s">
        <v>3</v>
      </c>
      <c r="B21" t="s">
        <v>26951</v>
      </c>
      <c r="C21" t="s">
        <v>62</v>
      </c>
      <c r="D21" t="s">
        <v>61</v>
      </c>
      <c r="E21" s="2" t="s">
        <v>7</v>
      </c>
      <c r="F21" t="s">
        <v>60</v>
      </c>
      <c r="G21" t="str">
        <f>HYPERLINK("http://www.laborplus.co.kr/news/articleView.html?idxno=33002")</f>
        <v>http://www.laborplus.co.kr/news/articleView.html?idxno=33002</v>
      </c>
      <c r="H21">
        <v>0.61699999999999999</v>
      </c>
    </row>
    <row r="22" spans="1:8" x14ac:dyDescent="0.3">
      <c r="A22" t="s">
        <v>3</v>
      </c>
      <c r="B22" t="s">
        <v>26951</v>
      </c>
      <c r="C22" t="s">
        <v>65</v>
      </c>
      <c r="D22" t="s">
        <v>64</v>
      </c>
      <c r="E22" s="2" t="s">
        <v>66</v>
      </c>
      <c r="F22" t="s">
        <v>63</v>
      </c>
      <c r="G22" t="str">
        <f>HYPERLINK("http://www.newsfreezone.co.kr/news/articleView.html?idxno=412370")</f>
        <v>http://www.newsfreezone.co.kr/news/articleView.html?idxno=412370</v>
      </c>
      <c r="H22">
        <v>0.19800000000000001</v>
      </c>
    </row>
    <row r="23" spans="1:8" x14ac:dyDescent="0.3">
      <c r="A23" t="s">
        <v>3</v>
      </c>
      <c r="B23" t="s">
        <v>26951</v>
      </c>
      <c r="C23" t="s">
        <v>69</v>
      </c>
      <c r="D23" t="s">
        <v>68</v>
      </c>
      <c r="E23" s="2" t="s">
        <v>66</v>
      </c>
      <c r="F23" t="s">
        <v>67</v>
      </c>
      <c r="G23" t="str">
        <f>HYPERLINK("https://n.news.naver.com/mnews/article/022/0004047762?sid=100")</f>
        <v>https://n.news.naver.com/mnews/article/022/0004047762?sid=100</v>
      </c>
      <c r="H23">
        <v>0.27900000000000003</v>
      </c>
    </row>
    <row r="24" spans="1:8" x14ac:dyDescent="0.3">
      <c r="A24" t="s">
        <v>3</v>
      </c>
      <c r="B24" t="s">
        <v>26951</v>
      </c>
      <c r="C24" t="s">
        <v>72</v>
      </c>
      <c r="D24" t="s">
        <v>71</v>
      </c>
      <c r="E24" s="2" t="s">
        <v>66</v>
      </c>
      <c r="F24" t="s">
        <v>70</v>
      </c>
      <c r="G24" t="str">
        <f>HYPERLINK("https://www.obsnews.co.kr/news/articleView.html?idxno=1486608")</f>
        <v>https://www.obsnews.co.kr/news/articleView.html?idxno=1486608</v>
      </c>
      <c r="H24">
        <v>0.23899999999999999</v>
      </c>
    </row>
    <row r="25" spans="1:8" x14ac:dyDescent="0.3">
      <c r="A25" t="s">
        <v>3</v>
      </c>
      <c r="B25" t="s">
        <v>26951</v>
      </c>
      <c r="C25" t="s">
        <v>77</v>
      </c>
      <c r="D25" t="s">
        <v>76</v>
      </c>
      <c r="E25" s="2" t="s">
        <v>74</v>
      </c>
      <c r="F25" t="s">
        <v>75</v>
      </c>
      <c r="G25" t="str">
        <f>HYPERLINK("http://www.hitnews.co.kr/news/articleView.html?idxno=57044")</f>
        <v>http://www.hitnews.co.kr/news/articleView.html?idxno=57044</v>
      </c>
      <c r="H25">
        <v>0.21</v>
      </c>
    </row>
    <row r="26" spans="1:8" x14ac:dyDescent="0.3">
      <c r="A26" t="s">
        <v>3</v>
      </c>
      <c r="B26" t="s">
        <v>26951</v>
      </c>
      <c r="C26" t="s">
        <v>79</v>
      </c>
      <c r="D26" t="s">
        <v>78</v>
      </c>
      <c r="E26" s="2" t="s">
        <v>74</v>
      </c>
      <c r="F26" t="s">
        <v>14</v>
      </c>
      <c r="G26" t="str">
        <f>HYPERLINK("https://www.incheonilbo.com/news/articleView.html?idxno=1202041")</f>
        <v>https://www.incheonilbo.com/news/articleView.html?idxno=1202041</v>
      </c>
      <c r="H26">
        <v>0.14000000000000001</v>
      </c>
    </row>
    <row r="27" spans="1:8" x14ac:dyDescent="0.3">
      <c r="A27" t="s">
        <v>3</v>
      </c>
      <c r="B27" t="s">
        <v>26951</v>
      </c>
      <c r="C27" t="s">
        <v>81</v>
      </c>
      <c r="D27" t="s">
        <v>80</v>
      </c>
      <c r="E27" s="2" t="s">
        <v>74</v>
      </c>
      <c r="F27" t="s">
        <v>8</v>
      </c>
      <c r="G27" t="str">
        <f>HYPERLINK("https://n.news.naver.com/mnews/article/018/0006047463?sid=103")</f>
        <v>https://n.news.naver.com/mnews/article/018/0006047463?sid=103</v>
      </c>
      <c r="H27">
        <v>0.14899999999999999</v>
      </c>
    </row>
    <row r="28" spans="1:8" x14ac:dyDescent="0.3">
      <c r="A28" t="s">
        <v>3</v>
      </c>
      <c r="B28" t="s">
        <v>26951</v>
      </c>
      <c r="C28" t="s">
        <v>84</v>
      </c>
      <c r="D28" t="s">
        <v>83</v>
      </c>
      <c r="E28" s="2" t="s">
        <v>74</v>
      </c>
      <c r="F28" t="s">
        <v>82</v>
      </c>
      <c r="G28" t="str">
        <f>HYPERLINK("https://n.news.naver.com/mnews/article/018/0005711036?sid=105")</f>
        <v>https://n.news.naver.com/mnews/article/018/0005711036?sid=105</v>
      </c>
      <c r="H28">
        <v>0.17</v>
      </c>
    </row>
    <row r="29" spans="1:8" x14ac:dyDescent="0.3">
      <c r="A29" t="s">
        <v>3</v>
      </c>
      <c r="B29" t="s">
        <v>26951</v>
      </c>
      <c r="C29" t="s">
        <v>87</v>
      </c>
      <c r="D29" t="s">
        <v>86</v>
      </c>
      <c r="E29" s="2" t="s">
        <v>74</v>
      </c>
      <c r="F29" t="s">
        <v>85</v>
      </c>
      <c r="G29" t="str">
        <f>HYPERLINK("https://www.dkilbo.com/news/articleView.html?idxno=501319")</f>
        <v>https://www.dkilbo.com/news/articleView.html?idxno=501319</v>
      </c>
      <c r="H29">
        <v>0.749</v>
      </c>
    </row>
    <row r="30" spans="1:8" x14ac:dyDescent="0.3">
      <c r="A30" t="s">
        <v>3</v>
      </c>
      <c r="B30" t="s">
        <v>26951</v>
      </c>
      <c r="C30" t="s">
        <v>92</v>
      </c>
      <c r="D30" t="s">
        <v>91</v>
      </c>
      <c r="E30" s="2" t="s">
        <v>74</v>
      </c>
      <c r="F30" t="s">
        <v>90</v>
      </c>
      <c r="G30" t="str">
        <f>HYPERLINK("https://n.news.naver.com/mnews/article/016/0002491598?sid=104")</f>
        <v>https://n.news.naver.com/mnews/article/016/0002491598?sid=104</v>
      </c>
      <c r="H30">
        <v>0.316</v>
      </c>
    </row>
    <row r="31" spans="1:8" x14ac:dyDescent="0.3">
      <c r="A31" t="s">
        <v>3</v>
      </c>
      <c r="B31" t="s">
        <v>26951</v>
      </c>
      <c r="C31" t="s">
        <v>95</v>
      </c>
      <c r="D31" t="s">
        <v>94</v>
      </c>
      <c r="E31" s="2" t="s">
        <v>74</v>
      </c>
      <c r="F31" t="s">
        <v>93</v>
      </c>
      <c r="G31" t="str">
        <f>HYPERLINK("https://n.news.naver.com/mnews/article/018/0006051067?sid=101")</f>
        <v>https://n.news.naver.com/mnews/article/018/0006051067?sid=101</v>
      </c>
      <c r="H31">
        <v>0.155</v>
      </c>
    </row>
    <row r="32" spans="1:8" x14ac:dyDescent="0.3">
      <c r="A32" t="s">
        <v>3</v>
      </c>
      <c r="B32" t="s">
        <v>26951</v>
      </c>
      <c r="C32" t="s">
        <v>101</v>
      </c>
      <c r="D32" t="s">
        <v>100</v>
      </c>
      <c r="E32" s="2" t="s">
        <v>74</v>
      </c>
      <c r="F32" t="s">
        <v>99</v>
      </c>
      <c r="G32" t="str">
        <f>HYPERLINK("https://www.econovill.com/news/articleView.html?idxno=701416")</f>
        <v>https://www.econovill.com/news/articleView.html?idxno=701416</v>
      </c>
      <c r="H32">
        <v>0.45800000000000002</v>
      </c>
    </row>
    <row r="33" spans="1:8" x14ac:dyDescent="0.3">
      <c r="A33" t="s">
        <v>3</v>
      </c>
      <c r="B33" t="s">
        <v>26951</v>
      </c>
      <c r="C33" t="s">
        <v>104</v>
      </c>
      <c r="D33" t="s">
        <v>103</v>
      </c>
      <c r="E33" s="2" t="s">
        <v>105</v>
      </c>
      <c r="F33" t="s">
        <v>102</v>
      </c>
      <c r="G33" t="str">
        <f>HYPERLINK("http://apnews.kr/View.aspx?No=2203170")</f>
        <v>http://apnews.kr/View.aspx?No=2203170</v>
      </c>
      <c r="H33">
        <v>0.15</v>
      </c>
    </row>
    <row r="34" spans="1:8" x14ac:dyDescent="0.3">
      <c r="A34" t="s">
        <v>3</v>
      </c>
      <c r="B34" t="s">
        <v>26951</v>
      </c>
      <c r="C34" t="s">
        <v>108</v>
      </c>
      <c r="D34" t="s">
        <v>107</v>
      </c>
      <c r="E34" s="2" t="s">
        <v>105</v>
      </c>
      <c r="F34" t="s">
        <v>106</v>
      </c>
      <c r="G34" t="str">
        <f>HYPERLINK("https://n.news.naver.com/mnews/article/018/0006049876?sid=102")</f>
        <v>https://n.news.naver.com/mnews/article/018/0006049876?sid=102</v>
      </c>
      <c r="H34">
        <v>0.245</v>
      </c>
    </row>
    <row r="35" spans="1:8" x14ac:dyDescent="0.3">
      <c r="A35" t="s">
        <v>3</v>
      </c>
      <c r="B35" t="s">
        <v>26951</v>
      </c>
      <c r="C35" t="s">
        <v>110</v>
      </c>
      <c r="D35" t="s">
        <v>109</v>
      </c>
      <c r="E35" s="2" t="s">
        <v>105</v>
      </c>
      <c r="F35" t="s">
        <v>51</v>
      </c>
      <c r="G35" t="str">
        <f>HYPERLINK("https://n.news.naver.com/mnews/article/018/0005993783?sid=102")</f>
        <v>https://n.news.naver.com/mnews/article/018/0005993783?sid=102</v>
      </c>
      <c r="H35">
        <v>0.20300000000000001</v>
      </c>
    </row>
    <row r="36" spans="1:8" x14ac:dyDescent="0.3">
      <c r="A36" t="s">
        <v>3</v>
      </c>
      <c r="B36" t="s">
        <v>26951</v>
      </c>
      <c r="C36" t="s">
        <v>114</v>
      </c>
      <c r="D36" t="s">
        <v>113</v>
      </c>
      <c r="E36" s="2" t="s">
        <v>105</v>
      </c>
      <c r="F36" t="s">
        <v>112</v>
      </c>
      <c r="G36" t="str">
        <f>HYPERLINK("https://www.greened.kr/news/articleView.html?idxno=327788")</f>
        <v>https://www.greened.kr/news/articleView.html?idxno=327788</v>
      </c>
      <c r="H36">
        <v>0.40699999999999997</v>
      </c>
    </row>
    <row r="37" spans="1:8" x14ac:dyDescent="0.3">
      <c r="A37" t="s">
        <v>3</v>
      </c>
      <c r="B37" t="s">
        <v>26951</v>
      </c>
      <c r="C37" t="s">
        <v>117</v>
      </c>
      <c r="D37" t="s">
        <v>116</v>
      </c>
      <c r="E37" s="2" t="s">
        <v>105</v>
      </c>
      <c r="F37" t="s">
        <v>115</v>
      </c>
      <c r="G37" t="str">
        <f>HYPERLINK("https://n.news.naver.com/mnews/article/018/0005778268?sid=101")</f>
        <v>https://n.news.naver.com/mnews/article/018/0005778268?sid=101</v>
      </c>
      <c r="H37">
        <v>9.6000000000000002E-2</v>
      </c>
    </row>
    <row r="38" spans="1:8" x14ac:dyDescent="0.3">
      <c r="A38" t="s">
        <v>3</v>
      </c>
      <c r="B38" t="s">
        <v>26951</v>
      </c>
      <c r="C38" t="s">
        <v>122</v>
      </c>
      <c r="D38" t="s">
        <v>121</v>
      </c>
      <c r="E38" s="2" t="s">
        <v>105</v>
      </c>
      <c r="F38" t="s">
        <v>120</v>
      </c>
      <c r="G38" t="str">
        <f>HYPERLINK("https://n.news.naver.com/mnews/article/018/0003983893?sid=104")</f>
        <v>https://n.news.naver.com/mnews/article/018/0003983893?sid=104</v>
      </c>
      <c r="H38">
        <v>0.27900000000000003</v>
      </c>
    </row>
    <row r="39" spans="1:8" x14ac:dyDescent="0.3">
      <c r="A39" t="s">
        <v>3</v>
      </c>
      <c r="B39" t="s">
        <v>26951</v>
      </c>
      <c r="C39" t="s">
        <v>125</v>
      </c>
      <c r="D39" t="s">
        <v>124</v>
      </c>
      <c r="E39" s="2" t="s">
        <v>105</v>
      </c>
      <c r="F39" t="s">
        <v>123</v>
      </c>
      <c r="G39" t="str">
        <f>HYPERLINK("https://n.news.naver.com/mnews/article/018/0006042779?sid=101")</f>
        <v>https://n.news.naver.com/mnews/article/018/0006042779?sid=101</v>
      </c>
      <c r="H39">
        <v>0.26300000000000001</v>
      </c>
    </row>
    <row r="40" spans="1:8" x14ac:dyDescent="0.3">
      <c r="A40" t="s">
        <v>3</v>
      </c>
      <c r="B40" t="s">
        <v>26951</v>
      </c>
      <c r="C40" t="s">
        <v>128</v>
      </c>
      <c r="D40" t="s">
        <v>127</v>
      </c>
      <c r="E40" s="2" t="s">
        <v>105</v>
      </c>
      <c r="F40" t="s">
        <v>126</v>
      </c>
      <c r="G40" t="str">
        <f>HYPERLINK("https://n.news.naver.com/mnews/article/022/0004027121?sid=102")</f>
        <v>https://n.news.naver.com/mnews/article/022/0004027121?sid=102</v>
      </c>
      <c r="H40">
        <v>0.254</v>
      </c>
    </row>
    <row r="41" spans="1:8" x14ac:dyDescent="0.3">
      <c r="A41" t="s">
        <v>3</v>
      </c>
      <c r="B41" t="s">
        <v>26951</v>
      </c>
      <c r="C41" t="s">
        <v>130</v>
      </c>
      <c r="D41" t="s">
        <v>129</v>
      </c>
      <c r="E41" s="2" t="s">
        <v>105</v>
      </c>
      <c r="F41" t="s">
        <v>57</v>
      </c>
      <c r="G41" t="str">
        <f>HYPERLINK("https://www.newspim.com/news/view/20250627000360")</f>
        <v>https://www.newspim.com/news/view/20250627000360</v>
      </c>
      <c r="H41">
        <v>0.183</v>
      </c>
    </row>
    <row r="42" spans="1:8" x14ac:dyDescent="0.3">
      <c r="A42" t="s">
        <v>3</v>
      </c>
      <c r="B42" t="s">
        <v>26951</v>
      </c>
      <c r="C42" t="s">
        <v>132</v>
      </c>
      <c r="D42" t="s">
        <v>131</v>
      </c>
      <c r="E42" s="2" t="s">
        <v>133</v>
      </c>
      <c r="F42" t="s">
        <v>8</v>
      </c>
      <c r="G42" t="str">
        <f>HYPERLINK("https://n.news.naver.com/mnews/article/018/0006047463?sid=103")</f>
        <v>https://n.news.naver.com/mnews/article/018/0006047463?sid=103</v>
      </c>
      <c r="H42">
        <v>0.19900000000000001</v>
      </c>
    </row>
    <row r="43" spans="1:8" x14ac:dyDescent="0.3">
      <c r="A43" t="s">
        <v>3</v>
      </c>
      <c r="B43" t="s">
        <v>26951</v>
      </c>
      <c r="C43" t="s">
        <v>136</v>
      </c>
      <c r="D43" t="s">
        <v>135</v>
      </c>
      <c r="E43" s="2" t="s">
        <v>133</v>
      </c>
      <c r="F43" t="s">
        <v>134</v>
      </c>
      <c r="G43" t="str">
        <f>HYPERLINK("https://www.apnews.kr/news/articleView.html?idxno=3020698")</f>
        <v>https://www.apnews.kr/news/articleView.html?idxno=3020698</v>
      </c>
      <c r="H43">
        <v>0.20899999999999999</v>
      </c>
    </row>
    <row r="44" spans="1:8" x14ac:dyDescent="0.3">
      <c r="A44" t="s">
        <v>3</v>
      </c>
      <c r="B44" t="s">
        <v>26951</v>
      </c>
      <c r="C44" t="s">
        <v>139</v>
      </c>
      <c r="D44" t="s">
        <v>138</v>
      </c>
      <c r="E44" s="2" t="s">
        <v>133</v>
      </c>
      <c r="F44" t="s">
        <v>137</v>
      </c>
      <c r="G44" t="str">
        <f>HYPERLINK("http://www.readersnews.com/news/articleView.html?idxno=93176")</f>
        <v>http://www.readersnews.com/news/articleView.html?idxno=93176</v>
      </c>
      <c r="H44">
        <v>0.255</v>
      </c>
    </row>
    <row r="45" spans="1:8" x14ac:dyDescent="0.3">
      <c r="A45" t="s">
        <v>3</v>
      </c>
      <c r="B45" t="s">
        <v>26951</v>
      </c>
      <c r="C45" t="s">
        <v>142</v>
      </c>
      <c r="D45" t="s">
        <v>141</v>
      </c>
      <c r="E45" s="2" t="s">
        <v>133</v>
      </c>
      <c r="F45" t="s">
        <v>140</v>
      </c>
      <c r="G45" t="str">
        <f>HYPERLINK("https://www.aitimes.com/news/articleView.html?idxno=200064")</f>
        <v>https://www.aitimes.com/news/articleView.html?idxno=200064</v>
      </c>
      <c r="H45">
        <v>0.76200000000000001</v>
      </c>
    </row>
    <row r="46" spans="1:8" x14ac:dyDescent="0.3">
      <c r="A46" t="s">
        <v>3</v>
      </c>
      <c r="B46" t="s">
        <v>26951</v>
      </c>
      <c r="C46" t="s">
        <v>144</v>
      </c>
      <c r="D46" t="s">
        <v>143</v>
      </c>
      <c r="E46" s="2" t="s">
        <v>133</v>
      </c>
      <c r="F46" t="s">
        <v>22</v>
      </c>
      <c r="G46" t="str">
        <f>HYPERLINK("https://n.news.naver.com/mnews/article/011/0004236544?sid=102")</f>
        <v>https://n.news.naver.com/mnews/article/011/0004236544?sid=102</v>
      </c>
      <c r="H46">
        <v>0.183</v>
      </c>
    </row>
    <row r="47" spans="1:8" x14ac:dyDescent="0.3">
      <c r="A47" t="s">
        <v>3</v>
      </c>
      <c r="B47" t="s">
        <v>26951</v>
      </c>
      <c r="C47" t="s">
        <v>147</v>
      </c>
      <c r="D47" t="s">
        <v>146</v>
      </c>
      <c r="E47" s="2" t="s">
        <v>133</v>
      </c>
      <c r="F47" t="s">
        <v>145</v>
      </c>
      <c r="G47" t="str">
        <f>HYPERLINK("https://n.news.naver.com/mnews/article/018/0006053386?sid=101")</f>
        <v>https://n.news.naver.com/mnews/article/018/0006053386?sid=101</v>
      </c>
      <c r="H47">
        <v>0.33</v>
      </c>
    </row>
    <row r="48" spans="1:8" x14ac:dyDescent="0.3">
      <c r="A48" t="s">
        <v>3</v>
      </c>
      <c r="B48" t="s">
        <v>26951</v>
      </c>
      <c r="C48" t="s">
        <v>150</v>
      </c>
      <c r="D48" t="s">
        <v>149</v>
      </c>
      <c r="E48" s="2" t="s">
        <v>133</v>
      </c>
      <c r="F48" t="s">
        <v>148</v>
      </c>
      <c r="G48" t="str">
        <f>HYPERLINK("https://n.news.naver.com/mnews/article/018/0004747816?sid=103")</f>
        <v>https://n.news.naver.com/mnews/article/018/0004747816?sid=103</v>
      </c>
      <c r="H48">
        <v>0.189</v>
      </c>
    </row>
    <row r="49" spans="1:8" x14ac:dyDescent="0.3">
      <c r="A49" t="s">
        <v>3</v>
      </c>
      <c r="B49" t="s">
        <v>26951</v>
      </c>
      <c r="C49" t="s">
        <v>153</v>
      </c>
      <c r="D49" t="s">
        <v>152</v>
      </c>
      <c r="E49" s="2" t="s">
        <v>133</v>
      </c>
      <c r="F49" t="s">
        <v>151</v>
      </c>
      <c r="G49" t="str">
        <f>HYPERLINK("https://www.christiantoday.co.kr/news/369168")</f>
        <v>https://www.christiantoday.co.kr/news/369168</v>
      </c>
      <c r="H49">
        <v>0.443</v>
      </c>
    </row>
    <row r="50" spans="1:8" x14ac:dyDescent="0.3">
      <c r="A50" t="s">
        <v>3</v>
      </c>
      <c r="B50" t="s">
        <v>26951</v>
      </c>
      <c r="C50" t="s">
        <v>155</v>
      </c>
      <c r="D50" t="s">
        <v>154</v>
      </c>
      <c r="E50" s="2" t="s">
        <v>133</v>
      </c>
      <c r="F50" t="s">
        <v>40</v>
      </c>
      <c r="G50" t="str">
        <f>HYPERLINK("https://n.news.naver.com/mnews/article/032/0003378716?sid=101")</f>
        <v>https://n.news.naver.com/mnews/article/032/0003378716?sid=101</v>
      </c>
      <c r="H50">
        <v>0.26700000000000002</v>
      </c>
    </row>
    <row r="51" spans="1:8" x14ac:dyDescent="0.3">
      <c r="A51" t="s">
        <v>3</v>
      </c>
      <c r="B51" t="s">
        <v>26951</v>
      </c>
      <c r="C51" t="s">
        <v>157</v>
      </c>
      <c r="D51" t="s">
        <v>156</v>
      </c>
      <c r="E51" s="2" t="s">
        <v>133</v>
      </c>
      <c r="F51" t="s">
        <v>82</v>
      </c>
      <c r="G51" t="str">
        <f>HYPERLINK("https://www.pdjournal.com/news/articleView.html?idxno=80215")</f>
        <v>https://www.pdjournal.com/news/articleView.html?idxno=80215</v>
      </c>
      <c r="H51">
        <v>0.191</v>
      </c>
    </row>
    <row r="52" spans="1:8" x14ac:dyDescent="0.3">
      <c r="A52" t="s">
        <v>3</v>
      </c>
      <c r="B52" t="s">
        <v>26951</v>
      </c>
      <c r="C52" t="s">
        <v>162</v>
      </c>
      <c r="D52" t="s">
        <v>161</v>
      </c>
      <c r="E52" s="2" t="s">
        <v>133</v>
      </c>
      <c r="F52" t="s">
        <v>160</v>
      </c>
      <c r="G52" t="str">
        <f>HYPERLINK("http://www.kukinews.com/newsView/kuk202207010164")</f>
        <v>http://www.kukinews.com/newsView/kuk202207010164</v>
      </c>
      <c r="H52">
        <v>0.503</v>
      </c>
    </row>
    <row r="53" spans="1:8" x14ac:dyDescent="0.3">
      <c r="A53" t="s">
        <v>3</v>
      </c>
      <c r="B53" t="s">
        <v>26951</v>
      </c>
      <c r="C53" t="s">
        <v>165</v>
      </c>
      <c r="D53" t="s">
        <v>164</v>
      </c>
      <c r="E53" s="2" t="s">
        <v>133</v>
      </c>
      <c r="F53" t="s">
        <v>163</v>
      </c>
      <c r="G53" t="str">
        <f>HYPERLINK("https://www.pharmnews.com/news/articleView.html?idxno=261255")</f>
        <v>https://www.pharmnews.com/news/articleView.html?idxno=261255</v>
      </c>
      <c r="H53">
        <v>0.42799999999999999</v>
      </c>
    </row>
    <row r="54" spans="1:8" x14ac:dyDescent="0.3">
      <c r="A54" t="s">
        <v>3</v>
      </c>
      <c r="B54" t="s">
        <v>26951</v>
      </c>
      <c r="C54" t="s">
        <v>168</v>
      </c>
      <c r="D54" t="s">
        <v>167</v>
      </c>
      <c r="E54" s="2" t="s">
        <v>133</v>
      </c>
      <c r="F54" t="s">
        <v>166</v>
      </c>
      <c r="G54" t="str">
        <f>HYPERLINK("https://n.news.naver.com/mnews/article/018/0006020071?sid=154")</f>
        <v>https://n.news.naver.com/mnews/article/018/0006020071?sid=154</v>
      </c>
      <c r="H54">
        <v>0.14499999999999999</v>
      </c>
    </row>
    <row r="55" spans="1:8" x14ac:dyDescent="0.3">
      <c r="A55" t="s">
        <v>3</v>
      </c>
      <c r="B55" t="s">
        <v>26951</v>
      </c>
      <c r="C55" t="s">
        <v>170</v>
      </c>
      <c r="D55" t="s">
        <v>169</v>
      </c>
      <c r="E55" s="2" t="s">
        <v>133</v>
      </c>
      <c r="F55" t="s">
        <v>99</v>
      </c>
      <c r="G55" t="str">
        <f>HYPERLINK("https://news.einfomax.co.kr/news/articleView.html?idxno=4362043")</f>
        <v>https://news.einfomax.co.kr/news/articleView.html?idxno=4362043</v>
      </c>
      <c r="H55">
        <v>0.80700000000000005</v>
      </c>
    </row>
    <row r="56" spans="1:8" x14ac:dyDescent="0.3">
      <c r="A56" t="s">
        <v>3</v>
      </c>
      <c r="B56" t="s">
        <v>26951</v>
      </c>
      <c r="C56" t="s">
        <v>174</v>
      </c>
      <c r="D56" t="s">
        <v>173</v>
      </c>
      <c r="E56" s="2" t="s">
        <v>172</v>
      </c>
      <c r="F56" t="s">
        <v>8</v>
      </c>
      <c r="G56" t="str">
        <f>HYPERLINK("https://www.etoday.co.kr/news/view/1933733")</f>
        <v>https://www.etoday.co.kr/news/view/1933733</v>
      </c>
      <c r="H56">
        <v>0.28100000000000003</v>
      </c>
    </row>
    <row r="57" spans="1:8" x14ac:dyDescent="0.3">
      <c r="A57" t="s">
        <v>3</v>
      </c>
      <c r="B57" t="s">
        <v>26951</v>
      </c>
      <c r="C57" t="s">
        <v>178</v>
      </c>
      <c r="D57" t="s">
        <v>177</v>
      </c>
      <c r="E57" s="2" t="s">
        <v>172</v>
      </c>
      <c r="F57" t="s">
        <v>176</v>
      </c>
      <c r="G57" t="str">
        <f>HYPERLINK("https://n.news.naver.com/mnews/article/018/0006048299?sid=105")</f>
        <v>https://n.news.naver.com/mnews/article/018/0006048299?sid=105</v>
      </c>
      <c r="H57">
        <v>0.18099999999999999</v>
      </c>
    </row>
    <row r="58" spans="1:8" x14ac:dyDescent="0.3">
      <c r="A58" t="s">
        <v>3</v>
      </c>
      <c r="B58" t="s">
        <v>26951</v>
      </c>
      <c r="C58" t="s">
        <v>181</v>
      </c>
      <c r="D58" t="s">
        <v>180</v>
      </c>
      <c r="E58" s="2" t="s">
        <v>172</v>
      </c>
      <c r="F58" t="s">
        <v>179</v>
      </c>
      <c r="G58" t="str">
        <f>HYPERLINK("https://n.news.naver.com/mnews/article/022/0004046310?sid=103")</f>
        <v>https://n.news.naver.com/mnews/article/022/0004046310?sid=103</v>
      </c>
      <c r="H58">
        <v>0.39400000000000002</v>
      </c>
    </row>
    <row r="59" spans="1:8" x14ac:dyDescent="0.3">
      <c r="A59" t="s">
        <v>3</v>
      </c>
      <c r="B59" t="s">
        <v>26951</v>
      </c>
      <c r="C59" t="s">
        <v>183</v>
      </c>
      <c r="D59" t="s">
        <v>182</v>
      </c>
      <c r="E59" s="2" t="s">
        <v>172</v>
      </c>
      <c r="F59" t="s">
        <v>40</v>
      </c>
      <c r="G59" t="str">
        <f>HYPERLINK("https://n.news.naver.com/mnews/article/018/0005242690?sid=102")</f>
        <v>https://n.news.naver.com/mnews/article/018/0005242690?sid=102</v>
      </c>
      <c r="H59">
        <v>0.26100000000000001</v>
      </c>
    </row>
    <row r="60" spans="1:8" x14ac:dyDescent="0.3">
      <c r="A60" t="s">
        <v>3</v>
      </c>
      <c r="B60" t="s">
        <v>26951</v>
      </c>
      <c r="C60" t="s">
        <v>186</v>
      </c>
      <c r="D60" t="s">
        <v>185</v>
      </c>
      <c r="E60" s="2" t="s">
        <v>172</v>
      </c>
      <c r="F60" t="s">
        <v>184</v>
      </c>
      <c r="G60" t="str">
        <f>HYPERLINK("http://www.metroseoul.co.kr/article/20250622500155")</f>
        <v>http://www.metroseoul.co.kr/article/20250622500155</v>
      </c>
      <c r="H60">
        <v>0.39200000000000002</v>
      </c>
    </row>
    <row r="61" spans="1:8" x14ac:dyDescent="0.3">
      <c r="A61" t="s">
        <v>3</v>
      </c>
      <c r="B61" t="s">
        <v>26951</v>
      </c>
      <c r="C61" t="s">
        <v>189</v>
      </c>
      <c r="D61" t="s">
        <v>188</v>
      </c>
      <c r="E61" s="2" t="s">
        <v>172</v>
      </c>
      <c r="F61" t="s">
        <v>187</v>
      </c>
      <c r="G61" t="str">
        <f>HYPERLINK("https://n.news.naver.com/mnews/article/018/0006050101?sid=105")</f>
        <v>https://n.news.naver.com/mnews/article/018/0006050101?sid=105</v>
      </c>
      <c r="H61">
        <v>0.224</v>
      </c>
    </row>
    <row r="62" spans="1:8" x14ac:dyDescent="0.3">
      <c r="A62" t="s">
        <v>3</v>
      </c>
      <c r="B62" t="s">
        <v>26951</v>
      </c>
      <c r="C62" t="s">
        <v>192</v>
      </c>
      <c r="D62" t="s">
        <v>191</v>
      </c>
      <c r="E62" s="2" t="s">
        <v>172</v>
      </c>
      <c r="F62" t="s">
        <v>190</v>
      </c>
      <c r="G62" t="str">
        <f>HYPERLINK("https://n.news.naver.com/mnews/article/018/0006043203?sid=102")</f>
        <v>https://n.news.naver.com/mnews/article/018/0006043203?sid=102</v>
      </c>
      <c r="H62">
        <v>0.46200000000000002</v>
      </c>
    </row>
    <row r="63" spans="1:8" x14ac:dyDescent="0.3">
      <c r="A63" t="s">
        <v>3</v>
      </c>
      <c r="B63" t="s">
        <v>26951</v>
      </c>
      <c r="C63" t="s">
        <v>195</v>
      </c>
      <c r="D63" t="s">
        <v>194</v>
      </c>
      <c r="E63" s="2" t="s">
        <v>196</v>
      </c>
      <c r="F63" t="s">
        <v>193</v>
      </c>
      <c r="G63" t="str">
        <f>HYPERLINK("http://www.biztribune.co.kr/news/articleView.html?idxno=335721")</f>
        <v>http://www.biztribune.co.kr/news/articleView.html?idxno=335721</v>
      </c>
      <c r="H63">
        <v>0.28199999999999997</v>
      </c>
    </row>
    <row r="64" spans="1:8" x14ac:dyDescent="0.3">
      <c r="A64" t="s">
        <v>3</v>
      </c>
      <c r="B64" t="s">
        <v>26951</v>
      </c>
      <c r="C64" t="s">
        <v>199</v>
      </c>
      <c r="D64" t="s">
        <v>198</v>
      </c>
      <c r="E64" s="2" t="s">
        <v>196</v>
      </c>
      <c r="F64" t="s">
        <v>197</v>
      </c>
      <c r="G64" t="str">
        <f>HYPERLINK("https://n.news.naver.com/mnews/article/018/0002539564?sid=101")</f>
        <v>https://n.news.naver.com/mnews/article/018/0002539564?sid=101</v>
      </c>
      <c r="H64">
        <v>0.30299999999999999</v>
      </c>
    </row>
    <row r="65" spans="1:8" x14ac:dyDescent="0.3">
      <c r="A65" t="s">
        <v>3</v>
      </c>
      <c r="B65" t="s">
        <v>26951</v>
      </c>
      <c r="C65" t="s">
        <v>202</v>
      </c>
      <c r="D65" t="s">
        <v>201</v>
      </c>
      <c r="E65" s="2" t="s">
        <v>196</v>
      </c>
      <c r="F65" t="s">
        <v>200</v>
      </c>
      <c r="G65" t="str">
        <f>HYPERLINK("https://n.news.naver.com/mnews/article/018/0004197164?sid=101")</f>
        <v>https://n.news.naver.com/mnews/article/018/0004197164?sid=101</v>
      </c>
      <c r="H65">
        <v>0.29099999999999998</v>
      </c>
    </row>
    <row r="66" spans="1:8" x14ac:dyDescent="0.3">
      <c r="A66" t="s">
        <v>3</v>
      </c>
      <c r="B66" t="s">
        <v>26951</v>
      </c>
      <c r="C66" t="s">
        <v>204</v>
      </c>
      <c r="D66" t="s">
        <v>203</v>
      </c>
      <c r="E66" s="2" t="s">
        <v>196</v>
      </c>
      <c r="F66" t="s">
        <v>96</v>
      </c>
      <c r="G66" t="str">
        <f>HYPERLINK("http://www.pdjournal.com/news/articleView.html?idxno=22755")</f>
        <v>http://www.pdjournal.com/news/articleView.html?idxno=22755</v>
      </c>
      <c r="H66">
        <v>0.69899999999999995</v>
      </c>
    </row>
    <row r="67" spans="1:8" x14ac:dyDescent="0.3">
      <c r="A67" t="s">
        <v>3</v>
      </c>
      <c r="B67" t="s">
        <v>26951</v>
      </c>
      <c r="C67" t="s">
        <v>207</v>
      </c>
      <c r="D67" t="s">
        <v>206</v>
      </c>
      <c r="E67" s="2" t="s">
        <v>196</v>
      </c>
      <c r="F67" t="s">
        <v>205</v>
      </c>
      <c r="G67" t="str">
        <f>HYPERLINK("https://n.news.naver.com/mnews/article/022/0004046153?sid=102")</f>
        <v>https://n.news.naver.com/mnews/article/022/0004046153?sid=102</v>
      </c>
      <c r="H67">
        <v>0.27300000000000002</v>
      </c>
    </row>
    <row r="68" spans="1:8" x14ac:dyDescent="0.3">
      <c r="A68" t="s">
        <v>3</v>
      </c>
      <c r="B68" t="s">
        <v>26951</v>
      </c>
      <c r="C68" t="s">
        <v>210</v>
      </c>
      <c r="D68" t="s">
        <v>209</v>
      </c>
      <c r="E68" s="2" t="s">
        <v>196</v>
      </c>
      <c r="F68" t="s">
        <v>208</v>
      </c>
      <c r="G68" t="str">
        <f>HYPERLINK("https://n.news.naver.com/mnews/article/119/0002973907?sid=101")</f>
        <v>https://n.news.naver.com/mnews/article/119/0002973907?sid=101</v>
      </c>
      <c r="H68">
        <v>0.184</v>
      </c>
    </row>
    <row r="69" spans="1:8" x14ac:dyDescent="0.3">
      <c r="A69" t="s">
        <v>3</v>
      </c>
      <c r="B69" t="s">
        <v>26951</v>
      </c>
      <c r="C69" t="s">
        <v>214</v>
      </c>
      <c r="D69" t="s">
        <v>213</v>
      </c>
      <c r="E69" s="2" t="s">
        <v>196</v>
      </c>
      <c r="F69" t="s">
        <v>212</v>
      </c>
      <c r="G69" t="str">
        <f>HYPERLINK("https://n.news.naver.com/mnews/article/079/0003808330?sid=102")</f>
        <v>https://n.news.naver.com/mnews/article/079/0003808330?sid=102</v>
      </c>
      <c r="H69">
        <v>0.153</v>
      </c>
    </row>
    <row r="70" spans="1:8" x14ac:dyDescent="0.3">
      <c r="A70" t="s">
        <v>3</v>
      </c>
      <c r="B70" t="s">
        <v>26951</v>
      </c>
      <c r="C70" t="s">
        <v>217</v>
      </c>
      <c r="D70" t="s">
        <v>216</v>
      </c>
      <c r="E70" s="2" t="s">
        <v>196</v>
      </c>
      <c r="F70" t="s">
        <v>215</v>
      </c>
      <c r="G70" t="str">
        <f>HYPERLINK("https://n.news.naver.com/mnews/article/018/0006046750?sid=102")</f>
        <v>https://n.news.naver.com/mnews/article/018/0006046750?sid=102</v>
      </c>
      <c r="H70">
        <v>0.24199999999999999</v>
      </c>
    </row>
    <row r="71" spans="1:8" x14ac:dyDescent="0.3">
      <c r="A71" t="s">
        <v>3</v>
      </c>
      <c r="B71" t="s">
        <v>26951</v>
      </c>
      <c r="C71" t="s">
        <v>219</v>
      </c>
      <c r="D71" t="s">
        <v>218</v>
      </c>
      <c r="E71" s="2" t="s">
        <v>196</v>
      </c>
      <c r="F71" t="s">
        <v>40</v>
      </c>
      <c r="G71" t="str">
        <f>HYPERLINK("https://n.news.naver.com/mnews/article/018/0005797840?sid=101")</f>
        <v>https://n.news.naver.com/mnews/article/018/0005797840?sid=101</v>
      </c>
      <c r="H71">
        <v>0.29199999999999998</v>
      </c>
    </row>
    <row r="72" spans="1:8" x14ac:dyDescent="0.3">
      <c r="A72" t="s">
        <v>3</v>
      </c>
      <c r="B72" t="s">
        <v>26951</v>
      </c>
      <c r="C72" t="s">
        <v>221</v>
      </c>
      <c r="D72" t="s">
        <v>220</v>
      </c>
      <c r="E72" s="2" t="s">
        <v>196</v>
      </c>
      <c r="F72" t="s">
        <v>197</v>
      </c>
      <c r="G72" t="str">
        <f>HYPERLINK("http://www.newspim.com/news/view/20220314000024")</f>
        <v>http://www.newspim.com/news/view/20220314000024</v>
      </c>
      <c r="H72">
        <v>0.50900000000000001</v>
      </c>
    </row>
    <row r="73" spans="1:8" x14ac:dyDescent="0.3">
      <c r="A73" t="s">
        <v>3</v>
      </c>
      <c r="B73" t="s">
        <v>26951</v>
      </c>
      <c r="C73" t="s">
        <v>225</v>
      </c>
      <c r="D73" t="s">
        <v>224</v>
      </c>
      <c r="E73" s="2" t="s">
        <v>196</v>
      </c>
      <c r="F73" t="s">
        <v>197</v>
      </c>
      <c r="G73" t="str">
        <f>HYPERLINK("https://n.news.naver.com/mnews/article/018/0005831002?sid=104")</f>
        <v>https://n.news.naver.com/mnews/article/018/0005831002?sid=104</v>
      </c>
      <c r="H73">
        <v>0.27200000000000002</v>
      </c>
    </row>
    <row r="74" spans="1:8" x14ac:dyDescent="0.3">
      <c r="A74" t="s">
        <v>3</v>
      </c>
      <c r="B74" t="s">
        <v>26951</v>
      </c>
      <c r="C74" t="s">
        <v>227</v>
      </c>
      <c r="D74" t="s">
        <v>226</v>
      </c>
      <c r="E74" s="2" t="s">
        <v>196</v>
      </c>
      <c r="F74" t="s">
        <v>197</v>
      </c>
      <c r="G74" t="str">
        <f>HYPERLINK("https://n.news.naver.com/mnews/article/018/0005117263?sid=103")</f>
        <v>https://n.news.naver.com/mnews/article/018/0005117263?sid=103</v>
      </c>
      <c r="H74">
        <v>0.26</v>
      </c>
    </row>
    <row r="75" spans="1:8" x14ac:dyDescent="0.3">
      <c r="A75" t="s">
        <v>3</v>
      </c>
      <c r="B75" t="s">
        <v>26951</v>
      </c>
      <c r="C75" t="s">
        <v>229</v>
      </c>
      <c r="D75" t="s">
        <v>228</v>
      </c>
      <c r="E75" s="2" t="s">
        <v>230</v>
      </c>
      <c r="F75" t="s">
        <v>197</v>
      </c>
      <c r="G75" t="str">
        <f>HYPERLINK("https://n.news.naver.com/mnews/article/018/0003113468?sid=101")</f>
        <v>https://n.news.naver.com/mnews/article/018/0003113468?sid=101</v>
      </c>
      <c r="H75">
        <v>0.26800000000000002</v>
      </c>
    </row>
    <row r="76" spans="1:8" x14ac:dyDescent="0.3">
      <c r="A76" t="s">
        <v>3</v>
      </c>
      <c r="B76" t="s">
        <v>26951</v>
      </c>
      <c r="C76" t="s">
        <v>232</v>
      </c>
      <c r="D76" t="s">
        <v>231</v>
      </c>
      <c r="E76" s="2" t="s">
        <v>230</v>
      </c>
      <c r="F76" t="s">
        <v>197</v>
      </c>
      <c r="G76" t="str">
        <f>HYPERLINK("https://n.news.naver.com/mnews/article/243/0000029071?sid=101")</f>
        <v>https://n.news.naver.com/mnews/article/243/0000029071?sid=101</v>
      </c>
      <c r="H76">
        <v>0.24399999999999999</v>
      </c>
    </row>
    <row r="77" spans="1:8" x14ac:dyDescent="0.3">
      <c r="A77" t="s">
        <v>3</v>
      </c>
      <c r="B77" t="s">
        <v>26951</v>
      </c>
      <c r="C77" t="s">
        <v>234</v>
      </c>
      <c r="D77" t="s">
        <v>233</v>
      </c>
      <c r="E77" s="2" t="s">
        <v>230</v>
      </c>
      <c r="F77" t="s">
        <v>197</v>
      </c>
      <c r="G77" t="str">
        <f>HYPERLINK("http://www.newsmp.com/news/articleView.html?idxno=247144")</f>
        <v>http://www.newsmp.com/news/articleView.html?idxno=247144</v>
      </c>
      <c r="H77">
        <v>0.59199999999999997</v>
      </c>
    </row>
    <row r="78" spans="1:8" x14ac:dyDescent="0.3">
      <c r="A78" t="s">
        <v>3</v>
      </c>
      <c r="B78" t="s">
        <v>26951</v>
      </c>
      <c r="C78" t="s">
        <v>237</v>
      </c>
      <c r="D78" t="s">
        <v>236</v>
      </c>
      <c r="E78" s="2" t="s">
        <v>230</v>
      </c>
      <c r="F78" t="s">
        <v>235</v>
      </c>
      <c r="G78" t="str">
        <f>HYPERLINK("http://www.kyongbuk.co.kr/news/articleView.html?idxno=2082529")</f>
        <v>http://www.kyongbuk.co.kr/news/articleView.html?idxno=2082529</v>
      </c>
      <c r="H78">
        <v>0.46800000000000003</v>
      </c>
    </row>
    <row r="79" spans="1:8" x14ac:dyDescent="0.3">
      <c r="A79" t="s">
        <v>3</v>
      </c>
      <c r="B79" t="s">
        <v>26951</v>
      </c>
      <c r="C79" t="s">
        <v>239</v>
      </c>
      <c r="D79" t="s">
        <v>238</v>
      </c>
      <c r="E79" s="2" t="s">
        <v>230</v>
      </c>
      <c r="F79" t="s">
        <v>8</v>
      </c>
      <c r="G79" t="str">
        <f>HYPERLINK("https://n.news.naver.com/mnews/article/018/0006047463?sid=103")</f>
        <v>https://n.news.naver.com/mnews/article/018/0006047463?sid=103</v>
      </c>
      <c r="H79">
        <v>0.17499999999999999</v>
      </c>
    </row>
    <row r="80" spans="1:8" x14ac:dyDescent="0.3">
      <c r="A80" t="s">
        <v>3</v>
      </c>
      <c r="B80" t="s">
        <v>26951</v>
      </c>
      <c r="C80" t="s">
        <v>242</v>
      </c>
      <c r="D80" t="s">
        <v>241</v>
      </c>
      <c r="E80" s="2" t="s">
        <v>230</v>
      </c>
      <c r="F80" t="s">
        <v>240</v>
      </c>
      <c r="G80" t="str">
        <f>HYPERLINK("https://n.news.naver.com/mnews/article/018/0005959569?sid=102")</f>
        <v>https://n.news.naver.com/mnews/article/018/0005959569?sid=102</v>
      </c>
      <c r="H80">
        <v>0.33100000000000002</v>
      </c>
    </row>
    <row r="81" spans="1:8" x14ac:dyDescent="0.3">
      <c r="A81" t="s">
        <v>3</v>
      </c>
      <c r="B81" t="s">
        <v>26951</v>
      </c>
      <c r="C81" t="s">
        <v>245</v>
      </c>
      <c r="D81" t="s">
        <v>244</v>
      </c>
      <c r="E81" s="2" t="s">
        <v>230</v>
      </c>
      <c r="F81" t="s">
        <v>243</v>
      </c>
      <c r="G81" t="str">
        <f>HYPERLINK("https://n.news.naver.com/mnews/article/018/0006050076?sid=101")</f>
        <v>https://n.news.naver.com/mnews/article/018/0006050076?sid=101</v>
      </c>
      <c r="H81">
        <v>0.27300000000000002</v>
      </c>
    </row>
    <row r="82" spans="1:8" x14ac:dyDescent="0.3">
      <c r="A82" t="s">
        <v>3</v>
      </c>
      <c r="B82" t="s">
        <v>26951</v>
      </c>
      <c r="C82" t="s">
        <v>248</v>
      </c>
      <c r="D82" t="s">
        <v>247</v>
      </c>
      <c r="E82" s="2" t="s">
        <v>230</v>
      </c>
      <c r="F82" t="s">
        <v>246</v>
      </c>
      <c r="G82" t="str">
        <f>HYPERLINK("https://n.news.naver.com/mnews/article/018/0006046159?sid=101")</f>
        <v>https://n.news.naver.com/mnews/article/018/0006046159?sid=101</v>
      </c>
      <c r="H82">
        <v>0.34</v>
      </c>
    </row>
    <row r="83" spans="1:8" x14ac:dyDescent="0.3">
      <c r="A83" t="s">
        <v>3</v>
      </c>
      <c r="B83" t="s">
        <v>26951</v>
      </c>
      <c r="C83" t="s">
        <v>250</v>
      </c>
      <c r="D83" t="s">
        <v>249</v>
      </c>
      <c r="E83" s="2" t="s">
        <v>230</v>
      </c>
      <c r="F83" t="s">
        <v>148</v>
      </c>
      <c r="G83" t="str">
        <f>HYPERLINK("https://n.news.naver.com/mnews/article/018/0004747816?sid=103")</f>
        <v>https://n.news.naver.com/mnews/article/018/0004747816?sid=103</v>
      </c>
      <c r="H83">
        <v>0.17299999999999999</v>
      </c>
    </row>
    <row r="84" spans="1:8" x14ac:dyDescent="0.3">
      <c r="A84" t="s">
        <v>3</v>
      </c>
      <c r="B84" t="s">
        <v>26951</v>
      </c>
      <c r="C84" t="s">
        <v>253</v>
      </c>
      <c r="D84" t="s">
        <v>252</v>
      </c>
      <c r="E84" s="2" t="s">
        <v>230</v>
      </c>
      <c r="F84" t="s">
        <v>251</v>
      </c>
      <c r="G84" t="str">
        <f>HYPERLINK("https://n.news.naver.com/mnews/article/018/0006040276?sid=101")</f>
        <v>https://n.news.naver.com/mnews/article/018/0006040276?sid=101</v>
      </c>
      <c r="H84">
        <v>0.29099999999999998</v>
      </c>
    </row>
    <row r="85" spans="1:8" x14ac:dyDescent="0.3">
      <c r="A85" t="s">
        <v>3</v>
      </c>
      <c r="B85" t="s">
        <v>26951</v>
      </c>
      <c r="C85" t="s">
        <v>255</v>
      </c>
      <c r="D85" t="s">
        <v>254</v>
      </c>
      <c r="E85" s="2" t="s">
        <v>230</v>
      </c>
      <c r="F85" t="s">
        <v>90</v>
      </c>
      <c r="G85" t="str">
        <f>HYPERLINK("https://www.businessplus.kr/news/articleView.html?idxno=90191")</f>
        <v>https://www.businessplus.kr/news/articleView.html?idxno=90191</v>
      </c>
      <c r="H85">
        <v>0.44600000000000001</v>
      </c>
    </row>
    <row r="86" spans="1:8" x14ac:dyDescent="0.3">
      <c r="A86" t="s">
        <v>3</v>
      </c>
      <c r="B86" t="s">
        <v>26951</v>
      </c>
      <c r="C86" t="s">
        <v>258</v>
      </c>
      <c r="D86" t="s">
        <v>257</v>
      </c>
      <c r="E86" s="2" t="s">
        <v>230</v>
      </c>
      <c r="F86" t="s">
        <v>256</v>
      </c>
      <c r="G86" t="str">
        <f>HYPERLINK("https://weekly.hankooki.com/news/articleView.html?idxno=7117239")</f>
        <v>https://weekly.hankooki.com/news/articleView.html?idxno=7117239</v>
      </c>
      <c r="H86">
        <v>0.18099999999999999</v>
      </c>
    </row>
    <row r="87" spans="1:8" x14ac:dyDescent="0.3">
      <c r="A87" t="s">
        <v>3</v>
      </c>
      <c r="B87" t="s">
        <v>26951</v>
      </c>
      <c r="C87" t="s">
        <v>260</v>
      </c>
      <c r="D87" t="s">
        <v>259</v>
      </c>
      <c r="E87" s="2" t="s">
        <v>230</v>
      </c>
      <c r="F87" t="s">
        <v>57</v>
      </c>
      <c r="G87" t="str">
        <f>HYPERLINK("https://www.newspim.com/news/view/20250609000780")</f>
        <v>https://www.newspim.com/news/view/20250609000780</v>
      </c>
      <c r="H87">
        <v>0.19800000000000001</v>
      </c>
    </row>
    <row r="88" spans="1:8" x14ac:dyDescent="0.3">
      <c r="A88" t="s">
        <v>3</v>
      </c>
      <c r="B88" t="s">
        <v>26951</v>
      </c>
      <c r="C88" t="s">
        <v>263</v>
      </c>
      <c r="D88" t="s">
        <v>262</v>
      </c>
      <c r="E88" s="2" t="s">
        <v>230</v>
      </c>
      <c r="F88" t="s">
        <v>261</v>
      </c>
      <c r="G88" t="str">
        <f>HYPERLINK("https://n.news.naver.com/mnews/article/052/0001981772?sid=100")</f>
        <v>https://n.news.naver.com/mnews/article/052/0001981772?sid=100</v>
      </c>
      <c r="H88">
        <v>0.31</v>
      </c>
    </row>
    <row r="89" spans="1:8" x14ac:dyDescent="0.3">
      <c r="A89" t="s">
        <v>3</v>
      </c>
      <c r="B89" t="s">
        <v>26951</v>
      </c>
      <c r="C89" t="s">
        <v>266</v>
      </c>
      <c r="D89" t="s">
        <v>265</v>
      </c>
      <c r="E89" s="2" t="s">
        <v>267</v>
      </c>
      <c r="F89" t="s">
        <v>264</v>
      </c>
      <c r="G89" t="str">
        <f>HYPERLINK("https://n.news.naver.com/mnews/article/018/0005138687?sid=105")</f>
        <v>https://n.news.naver.com/mnews/article/018/0005138687?sid=105</v>
      </c>
      <c r="H89">
        <v>0.36499999999999999</v>
      </c>
    </row>
    <row r="90" spans="1:8" x14ac:dyDescent="0.3">
      <c r="A90" t="s">
        <v>3</v>
      </c>
      <c r="B90" t="s">
        <v>26951</v>
      </c>
      <c r="C90" t="s">
        <v>270</v>
      </c>
      <c r="D90" t="s">
        <v>269</v>
      </c>
      <c r="E90" s="2" t="s">
        <v>267</v>
      </c>
      <c r="F90" t="s">
        <v>8</v>
      </c>
      <c r="G90" t="str">
        <f>HYPERLINK("https://n.news.naver.com/mnews/article/018/0006047463?sid=103")</f>
        <v>https://n.news.naver.com/mnews/article/018/0006047463?sid=103</v>
      </c>
      <c r="H90">
        <v>0.19</v>
      </c>
    </row>
    <row r="91" spans="1:8" x14ac:dyDescent="0.3">
      <c r="A91" t="s">
        <v>3</v>
      </c>
      <c r="B91" t="s">
        <v>26951</v>
      </c>
      <c r="C91" t="s">
        <v>273</v>
      </c>
      <c r="D91" t="s">
        <v>272</v>
      </c>
      <c r="E91" s="2" t="s">
        <v>267</v>
      </c>
      <c r="F91" t="s">
        <v>271</v>
      </c>
      <c r="G91" t="str">
        <f>HYPERLINK("http://www.sisaon.co.kr/news/articleView.html?idxno=170937")</f>
        <v>http://www.sisaon.co.kr/news/articleView.html?idxno=170937</v>
      </c>
      <c r="H91">
        <v>0.47699999999999998</v>
      </c>
    </row>
    <row r="92" spans="1:8" x14ac:dyDescent="0.3">
      <c r="A92" t="s">
        <v>3</v>
      </c>
      <c r="B92" t="s">
        <v>26951</v>
      </c>
      <c r="C92" t="s">
        <v>276</v>
      </c>
      <c r="D92" t="s">
        <v>275</v>
      </c>
      <c r="E92" s="2" t="s">
        <v>267</v>
      </c>
      <c r="F92" t="s">
        <v>274</v>
      </c>
      <c r="G92" t="str">
        <f>HYPERLINK("https://n.news.naver.com/mnews/article/018/0006046276?sid=101")</f>
        <v>https://n.news.naver.com/mnews/article/018/0006046276?sid=101</v>
      </c>
      <c r="H92">
        <v>0.308</v>
      </c>
    </row>
    <row r="93" spans="1:8" x14ac:dyDescent="0.3">
      <c r="A93" t="s">
        <v>3</v>
      </c>
      <c r="B93" t="s">
        <v>26951</v>
      </c>
      <c r="C93" t="s">
        <v>279</v>
      </c>
      <c r="D93" t="s">
        <v>278</v>
      </c>
      <c r="E93" s="2" t="s">
        <v>267</v>
      </c>
      <c r="F93" t="s">
        <v>277</v>
      </c>
      <c r="G93" t="str">
        <f>HYPERLINK("https://kookbang.dema.mil.kr/newsWeb/20250626/1/ATCE_CTGR_0050020000/view.do")</f>
        <v>https://kookbang.dema.mil.kr/newsWeb/20250626/1/ATCE_CTGR_0050020000/view.do</v>
      </c>
      <c r="H93">
        <v>0.40600000000000003</v>
      </c>
    </row>
    <row r="94" spans="1:8" x14ac:dyDescent="0.3">
      <c r="A94" t="s">
        <v>3</v>
      </c>
      <c r="B94" t="s">
        <v>26951</v>
      </c>
      <c r="C94" t="s">
        <v>282</v>
      </c>
      <c r="D94" t="s">
        <v>281</v>
      </c>
      <c r="E94" s="2" t="s">
        <v>280</v>
      </c>
      <c r="F94" t="s">
        <v>197</v>
      </c>
      <c r="G94" t="str">
        <f>HYPERLINK("https://n.news.naver.com/mnews/article/018/0005259605?sid=101")</f>
        <v>https://n.news.naver.com/mnews/article/018/0005259605?sid=101</v>
      </c>
      <c r="H94">
        <v>0.30099999999999999</v>
      </c>
    </row>
    <row r="95" spans="1:8" x14ac:dyDescent="0.3">
      <c r="A95" t="s">
        <v>3</v>
      </c>
      <c r="B95" t="s">
        <v>26951</v>
      </c>
      <c r="C95" t="s">
        <v>286</v>
      </c>
      <c r="D95" t="s">
        <v>285</v>
      </c>
      <c r="E95" s="2" t="s">
        <v>280</v>
      </c>
      <c r="F95" t="s">
        <v>40</v>
      </c>
      <c r="G95" t="str">
        <f>HYPERLINK("https://www.tokenpost.kr/article-206785")</f>
        <v>https://www.tokenpost.kr/article-206785</v>
      </c>
      <c r="H95">
        <v>0.61799999999999999</v>
      </c>
    </row>
    <row r="96" spans="1:8" x14ac:dyDescent="0.3">
      <c r="A96" t="s">
        <v>3</v>
      </c>
      <c r="B96" t="s">
        <v>26951</v>
      </c>
      <c r="C96" t="s">
        <v>288</v>
      </c>
      <c r="D96" t="s">
        <v>287</v>
      </c>
      <c r="E96" s="2" t="s">
        <v>280</v>
      </c>
      <c r="F96" t="s">
        <v>240</v>
      </c>
      <c r="G96" t="str">
        <f>HYPERLINK("https://news.einfomax.co.kr/news/articleView.html?idxno=4313086")</f>
        <v>https://news.einfomax.co.kr/news/articleView.html?idxno=4313086</v>
      </c>
      <c r="H96">
        <v>0.57499999999999996</v>
      </c>
    </row>
    <row r="97" spans="1:8" x14ac:dyDescent="0.3">
      <c r="A97" t="s">
        <v>3</v>
      </c>
      <c r="B97" t="s">
        <v>26951</v>
      </c>
      <c r="C97" t="s">
        <v>291</v>
      </c>
      <c r="D97" t="s">
        <v>290</v>
      </c>
      <c r="E97" s="2" t="s">
        <v>280</v>
      </c>
      <c r="F97" t="s">
        <v>289</v>
      </c>
      <c r="G97" t="str">
        <f>HYPERLINK("http://www.pdjournal.com/news/articleView.html?idxno=60737")</f>
        <v>http://www.pdjournal.com/news/articleView.html?idxno=60737</v>
      </c>
      <c r="H97">
        <v>0.49099999999999999</v>
      </c>
    </row>
    <row r="98" spans="1:8" x14ac:dyDescent="0.3">
      <c r="A98" t="s">
        <v>3</v>
      </c>
      <c r="B98" t="s">
        <v>26951</v>
      </c>
      <c r="C98" t="s">
        <v>293</v>
      </c>
      <c r="D98" t="s">
        <v>292</v>
      </c>
      <c r="E98" s="2" t="s">
        <v>280</v>
      </c>
      <c r="F98" t="s">
        <v>8</v>
      </c>
      <c r="G98" t="str">
        <f>HYPERLINK("https://n.news.naver.com/mnews/article/018/0006047463?sid=103")</f>
        <v>https://n.news.naver.com/mnews/article/018/0006047463?sid=103</v>
      </c>
      <c r="H98">
        <v>0.20899999999999999</v>
      </c>
    </row>
    <row r="99" spans="1:8" x14ac:dyDescent="0.3">
      <c r="A99" t="s">
        <v>3</v>
      </c>
      <c r="B99" t="s">
        <v>26951</v>
      </c>
      <c r="C99" t="s">
        <v>295</v>
      </c>
      <c r="D99" t="s">
        <v>294</v>
      </c>
      <c r="E99" s="2" t="s">
        <v>280</v>
      </c>
      <c r="F99" t="s">
        <v>208</v>
      </c>
      <c r="G99" t="str">
        <f>HYPERLINK("https://n.news.naver.com/mnews/article/119/0002973907?sid=101")</f>
        <v>https://n.news.naver.com/mnews/article/119/0002973907?sid=101</v>
      </c>
      <c r="H99">
        <v>0.16800000000000001</v>
      </c>
    </row>
    <row r="100" spans="1:8" x14ac:dyDescent="0.3">
      <c r="A100" t="s">
        <v>3</v>
      </c>
      <c r="B100" t="s">
        <v>26951</v>
      </c>
      <c r="C100" t="s">
        <v>297</v>
      </c>
      <c r="D100" t="s">
        <v>296</v>
      </c>
      <c r="E100" s="2" t="s">
        <v>280</v>
      </c>
      <c r="F100" t="s">
        <v>212</v>
      </c>
      <c r="G100" t="str">
        <f>HYPERLINK("https://www.ilyoseoul.co.kr/news/articleView.html?idxno=502694")</f>
        <v>https://www.ilyoseoul.co.kr/news/articleView.html?idxno=502694</v>
      </c>
      <c r="H100">
        <v>0.18099999999999999</v>
      </c>
    </row>
    <row r="101" spans="1:8" x14ac:dyDescent="0.3">
      <c r="A101" t="s">
        <v>3</v>
      </c>
      <c r="B101" t="s">
        <v>26951</v>
      </c>
      <c r="C101" t="s">
        <v>300</v>
      </c>
      <c r="D101" t="s">
        <v>299</v>
      </c>
      <c r="E101" s="2" t="s">
        <v>280</v>
      </c>
      <c r="F101" t="s">
        <v>298</v>
      </c>
      <c r="G101" t="str">
        <f>HYPERLINK("http://www.youthdaily.co.kr/news/article.html?no=73916")</f>
        <v>http://www.youthdaily.co.kr/news/article.html?no=73916</v>
      </c>
      <c r="H101">
        <v>0.63800000000000001</v>
      </c>
    </row>
    <row r="102" spans="1:8" x14ac:dyDescent="0.3">
      <c r="A102" t="s">
        <v>3</v>
      </c>
      <c r="B102" t="s">
        <v>26951</v>
      </c>
      <c r="C102" t="s">
        <v>303</v>
      </c>
      <c r="D102" t="s">
        <v>302</v>
      </c>
      <c r="E102" s="2" t="s">
        <v>280</v>
      </c>
      <c r="F102" t="s">
        <v>301</v>
      </c>
      <c r="G102" t="str">
        <f>HYPERLINK("https://www.incheontoday.com/news/articleView.html?idxno=303641")</f>
        <v>https://www.incheontoday.com/news/articleView.html?idxno=303641</v>
      </c>
      <c r="H102">
        <v>0.55400000000000005</v>
      </c>
    </row>
    <row r="103" spans="1:8" x14ac:dyDescent="0.3">
      <c r="A103" t="s">
        <v>3</v>
      </c>
      <c r="B103" t="s">
        <v>26951</v>
      </c>
      <c r="C103" t="s">
        <v>307</v>
      </c>
      <c r="D103" t="s">
        <v>306</v>
      </c>
      <c r="E103" s="2" t="s">
        <v>280</v>
      </c>
      <c r="F103" t="s">
        <v>40</v>
      </c>
      <c r="G103" t="str">
        <f>HYPERLINK("https://n.news.naver.com/mnews/article/018/0006044241?sid=101")</f>
        <v>https://n.news.naver.com/mnews/article/018/0006044241?sid=101</v>
      </c>
      <c r="H103">
        <v>0.26600000000000001</v>
      </c>
    </row>
    <row r="104" spans="1:8" x14ac:dyDescent="0.3">
      <c r="A104" t="s">
        <v>3</v>
      </c>
      <c r="B104" t="s">
        <v>26951</v>
      </c>
      <c r="C104" t="s">
        <v>309</v>
      </c>
      <c r="D104" t="s">
        <v>308</v>
      </c>
      <c r="E104" s="2" t="s">
        <v>280</v>
      </c>
      <c r="F104" t="s">
        <v>40</v>
      </c>
      <c r="G104" t="str">
        <f>HYPERLINK("https://n.news.naver.com/mnews/article/018/0003323158?sid=104")</f>
        <v>https://n.news.naver.com/mnews/article/018/0003323158?sid=104</v>
      </c>
      <c r="H104">
        <v>0.29199999999999998</v>
      </c>
    </row>
    <row r="105" spans="1:8" x14ac:dyDescent="0.3">
      <c r="A105" t="s">
        <v>3</v>
      </c>
      <c r="B105" t="s">
        <v>26951</v>
      </c>
      <c r="C105" t="s">
        <v>312</v>
      </c>
      <c r="D105" t="s">
        <v>311</v>
      </c>
      <c r="E105" s="2" t="s">
        <v>280</v>
      </c>
      <c r="F105" t="s">
        <v>310</v>
      </c>
      <c r="G105" t="str">
        <f>HYPERLINK("https://www.lecturernews.com/news/articleView.html?idxno=175345")</f>
        <v>https://www.lecturernews.com/news/articleView.html?idxno=175345</v>
      </c>
      <c r="H105">
        <v>0.48799999999999999</v>
      </c>
    </row>
    <row r="106" spans="1:8" x14ac:dyDescent="0.3">
      <c r="A106" t="s">
        <v>3</v>
      </c>
      <c r="B106" t="s">
        <v>26951</v>
      </c>
      <c r="C106" t="s">
        <v>316</v>
      </c>
      <c r="D106" t="s">
        <v>315</v>
      </c>
      <c r="E106" s="2" t="s">
        <v>313</v>
      </c>
      <c r="F106" t="s">
        <v>314</v>
      </c>
      <c r="G106" t="str">
        <f>HYPERLINK("https://n.news.naver.com/mnews/article/018/0006042914?sid=102")</f>
        <v>https://n.news.naver.com/mnews/article/018/0006042914?sid=102</v>
      </c>
      <c r="H106">
        <v>0.26400000000000001</v>
      </c>
    </row>
    <row r="107" spans="1:8" x14ac:dyDescent="0.3">
      <c r="A107" t="s">
        <v>3</v>
      </c>
      <c r="B107" t="s">
        <v>26951</v>
      </c>
      <c r="C107" t="s">
        <v>319</v>
      </c>
      <c r="D107" t="s">
        <v>318</v>
      </c>
      <c r="E107" s="2" t="s">
        <v>313</v>
      </c>
      <c r="F107" t="s">
        <v>317</v>
      </c>
      <c r="G107" t="str">
        <f>HYPERLINK("https://n.news.naver.com/mnews/article/018/0004901494?sid=104")</f>
        <v>https://n.news.naver.com/mnews/article/018/0004901494?sid=104</v>
      </c>
      <c r="H107">
        <v>0.25</v>
      </c>
    </row>
    <row r="108" spans="1:8" x14ac:dyDescent="0.3">
      <c r="A108" t="s">
        <v>3</v>
      </c>
      <c r="B108" t="s">
        <v>26951</v>
      </c>
      <c r="C108" t="s">
        <v>324</v>
      </c>
      <c r="D108" t="s">
        <v>323</v>
      </c>
      <c r="E108" s="2" t="s">
        <v>313</v>
      </c>
      <c r="F108" t="s">
        <v>322</v>
      </c>
      <c r="G108" t="str">
        <f>HYPERLINK("https://www.startuptoday.co.kr/news/articleView.html?idxno=468442")</f>
        <v>https://www.startuptoday.co.kr/news/articleView.html?idxno=468442</v>
      </c>
      <c r="H108">
        <v>0.35799999999999998</v>
      </c>
    </row>
    <row r="109" spans="1:8" x14ac:dyDescent="0.3">
      <c r="A109" t="s">
        <v>3</v>
      </c>
      <c r="B109" t="s">
        <v>26951</v>
      </c>
      <c r="C109" t="s">
        <v>326</v>
      </c>
      <c r="D109" t="s">
        <v>325</v>
      </c>
      <c r="E109" s="2" t="s">
        <v>313</v>
      </c>
      <c r="F109" t="s">
        <v>106</v>
      </c>
      <c r="G109" t="str">
        <f>HYPERLINK("https://www.vogue.co.kr/2018/05/08/2018-%eb%a9%a7-%ea%b0%88%eb%9d%bc-%eb%b2%a0%ec%8a%a4%ed%8a%b8-%eb%93%9c%eb%a0%88%ec%84%9c%eb%8a%94/?utm_source=naver&amp;utm_medium=partnership")</f>
        <v>https://www.vogue.co.kr/2018/05/08/2018-%eb%a9%a7-%ea%b0%88%eb%9d%bc-%eb%b2%a0%ec%8a%a4%ed%8a%b8-%eb%93%9c%eb%a0%88%ec%84%9c%eb%8a%94/?utm_source=naver&amp;utm_medium=partnership</v>
      </c>
      <c r="H109">
        <v>0.23300000000000001</v>
      </c>
    </row>
    <row r="110" spans="1:8" x14ac:dyDescent="0.3">
      <c r="A110" t="s">
        <v>3</v>
      </c>
      <c r="B110" t="s">
        <v>26951</v>
      </c>
      <c r="C110" t="s">
        <v>329</v>
      </c>
      <c r="D110" t="s">
        <v>328</v>
      </c>
      <c r="E110" s="2" t="s">
        <v>313</v>
      </c>
      <c r="F110" t="s">
        <v>327</v>
      </c>
      <c r="G110" t="str">
        <f>HYPERLINK("https://n.news.naver.com/mnews/article/018/0002013793?sid=101")</f>
        <v>https://n.news.naver.com/mnews/article/018/0002013793?sid=101</v>
      </c>
      <c r="H110">
        <v>0.24299999999999999</v>
      </c>
    </row>
    <row r="111" spans="1:8" x14ac:dyDescent="0.3">
      <c r="A111" t="s">
        <v>3</v>
      </c>
      <c r="B111" t="s">
        <v>26951</v>
      </c>
      <c r="C111" t="s">
        <v>331</v>
      </c>
      <c r="D111" t="s">
        <v>330</v>
      </c>
      <c r="E111" s="2" t="s">
        <v>313</v>
      </c>
      <c r="F111" t="s">
        <v>8</v>
      </c>
      <c r="G111" t="str">
        <f>HYPERLINK("https://n.news.naver.com/mnews/article/018/0006047463?sid=103")</f>
        <v>https://n.news.naver.com/mnews/article/018/0006047463?sid=103</v>
      </c>
      <c r="H111">
        <v>0.188</v>
      </c>
    </row>
    <row r="112" spans="1:8" x14ac:dyDescent="0.3">
      <c r="A112" t="s">
        <v>3</v>
      </c>
      <c r="B112" t="s">
        <v>26951</v>
      </c>
      <c r="C112" t="s">
        <v>334</v>
      </c>
      <c r="D112" t="s">
        <v>333</v>
      </c>
      <c r="E112" s="2" t="s">
        <v>313</v>
      </c>
      <c r="F112" t="s">
        <v>332</v>
      </c>
      <c r="G112" t="str">
        <f>HYPERLINK("https://n.news.naver.com/mnews/article/018/0006024634?sid=101")</f>
        <v>https://n.news.naver.com/mnews/article/018/0006024634?sid=101</v>
      </c>
      <c r="H112">
        <v>0.27</v>
      </c>
    </row>
    <row r="113" spans="1:8" x14ac:dyDescent="0.3">
      <c r="A113" t="s">
        <v>3</v>
      </c>
      <c r="B113" t="s">
        <v>26951</v>
      </c>
      <c r="C113" t="s">
        <v>337</v>
      </c>
      <c r="D113" t="s">
        <v>336</v>
      </c>
      <c r="E113" s="2" t="s">
        <v>313</v>
      </c>
      <c r="F113" t="s">
        <v>335</v>
      </c>
      <c r="G113" t="str">
        <f>HYPERLINK("http://www.youthdaily.co.kr/news/article.html?no=76111")</f>
        <v>http://www.youthdaily.co.kr/news/article.html?no=76111</v>
      </c>
      <c r="H113">
        <v>0.40699999999999997</v>
      </c>
    </row>
    <row r="114" spans="1:8" x14ac:dyDescent="0.3">
      <c r="A114" t="s">
        <v>3</v>
      </c>
      <c r="B114" t="s">
        <v>26951</v>
      </c>
      <c r="C114" t="s">
        <v>339</v>
      </c>
      <c r="D114" t="s">
        <v>338</v>
      </c>
      <c r="E114" s="2" t="s">
        <v>313</v>
      </c>
      <c r="F114" t="s">
        <v>211</v>
      </c>
      <c r="G114" t="str">
        <f>HYPERLINK("https://n.news.naver.com/mnews/article/277/0005239460?sid=102")</f>
        <v>https://n.news.naver.com/mnews/article/277/0005239460?sid=102</v>
      </c>
      <c r="H114">
        <v>0.151</v>
      </c>
    </row>
    <row r="115" spans="1:8" x14ac:dyDescent="0.3">
      <c r="A115" t="s">
        <v>3</v>
      </c>
      <c r="B115" t="s">
        <v>26951</v>
      </c>
      <c r="C115" t="s">
        <v>344</v>
      </c>
      <c r="D115" t="s">
        <v>343</v>
      </c>
      <c r="E115" s="2" t="s">
        <v>313</v>
      </c>
      <c r="F115" t="s">
        <v>342</v>
      </c>
      <c r="G115" t="str">
        <f>HYPERLINK("https://n.news.naver.com/mnews/article/277/0005545162?sid=101")</f>
        <v>https://n.news.naver.com/mnews/article/277/0005545162?sid=101</v>
      </c>
      <c r="H115">
        <v>0.17399999999999999</v>
      </c>
    </row>
    <row r="116" spans="1:8" x14ac:dyDescent="0.3">
      <c r="A116" t="s">
        <v>3</v>
      </c>
      <c r="B116" t="s">
        <v>26951</v>
      </c>
      <c r="C116" t="s">
        <v>347</v>
      </c>
      <c r="D116" t="s">
        <v>346</v>
      </c>
      <c r="E116" s="2" t="s">
        <v>313</v>
      </c>
      <c r="F116" t="s">
        <v>345</v>
      </c>
      <c r="G116" t="str">
        <f>HYPERLINK("https://n.news.naver.com/mnews/article/018/0004782822?sid=105")</f>
        <v>https://n.news.naver.com/mnews/article/018/0004782822?sid=105</v>
      </c>
      <c r="H116">
        <v>0.375</v>
      </c>
    </row>
    <row r="117" spans="1:8" x14ac:dyDescent="0.3">
      <c r="A117" t="s">
        <v>3</v>
      </c>
      <c r="B117" t="s">
        <v>26951</v>
      </c>
      <c r="C117" t="s">
        <v>349</v>
      </c>
      <c r="D117" t="s">
        <v>348</v>
      </c>
      <c r="E117" s="2" t="s">
        <v>313</v>
      </c>
      <c r="F117" t="s">
        <v>57</v>
      </c>
      <c r="G117" t="str">
        <f>HYPERLINK("https://www.newspim.com/news/view/20250602000462")</f>
        <v>https://www.newspim.com/news/view/20250602000462</v>
      </c>
      <c r="H117">
        <v>0.13800000000000001</v>
      </c>
    </row>
    <row r="118" spans="1:8" x14ac:dyDescent="0.3">
      <c r="A118" t="s">
        <v>3</v>
      </c>
      <c r="B118" t="s">
        <v>26951</v>
      </c>
      <c r="C118" t="s">
        <v>352</v>
      </c>
      <c r="D118" t="s">
        <v>351</v>
      </c>
      <c r="E118" s="2" t="s">
        <v>313</v>
      </c>
      <c r="F118" t="s">
        <v>350</v>
      </c>
      <c r="G118" t="str">
        <f>HYPERLINK("https://vmspace.com/report/report_view.html?base_seq=MjI4Nw==")</f>
        <v>https://vmspace.com/report/report_view.html?base_seq=MjI4Nw==</v>
      </c>
      <c r="H118">
        <v>0.56699999999999995</v>
      </c>
    </row>
    <row r="119" spans="1:8" x14ac:dyDescent="0.3">
      <c r="A119" t="s">
        <v>3</v>
      </c>
      <c r="B119" t="s">
        <v>26951</v>
      </c>
      <c r="C119" t="s">
        <v>355</v>
      </c>
      <c r="D119" t="s">
        <v>354</v>
      </c>
      <c r="E119" s="2" t="s">
        <v>356</v>
      </c>
      <c r="F119" t="s">
        <v>353</v>
      </c>
      <c r="G119" t="str">
        <f>HYPERLINK("http://www.incheonilbo.com/news/articleView.html?idxno=1191709")</f>
        <v>http://www.incheonilbo.com/news/articleView.html?idxno=1191709</v>
      </c>
      <c r="H119">
        <v>0.54200000000000004</v>
      </c>
    </row>
    <row r="120" spans="1:8" x14ac:dyDescent="0.3">
      <c r="A120" t="s">
        <v>3</v>
      </c>
      <c r="B120" t="s">
        <v>26951</v>
      </c>
      <c r="C120" t="s">
        <v>358</v>
      </c>
      <c r="D120" t="s">
        <v>357</v>
      </c>
      <c r="E120" s="2" t="s">
        <v>356</v>
      </c>
      <c r="F120" t="s">
        <v>8</v>
      </c>
      <c r="G120" t="str">
        <f>HYPERLINK("https://n.news.naver.com/mnews/article/018/0006047463?sid=103")</f>
        <v>https://n.news.naver.com/mnews/article/018/0006047463?sid=103</v>
      </c>
      <c r="H120">
        <v>0.20599999999999999</v>
      </c>
    </row>
    <row r="121" spans="1:8" x14ac:dyDescent="0.3">
      <c r="A121" t="s">
        <v>3</v>
      </c>
      <c r="B121" t="s">
        <v>26951</v>
      </c>
      <c r="C121" t="s">
        <v>361</v>
      </c>
      <c r="D121" t="s">
        <v>360</v>
      </c>
      <c r="E121" s="2" t="s">
        <v>356</v>
      </c>
      <c r="F121" t="s">
        <v>246</v>
      </c>
      <c r="G121" t="str">
        <f>HYPERLINK("https://n.news.naver.com/mnews/article/018/0006041255?sid=101")</f>
        <v>https://n.news.naver.com/mnews/article/018/0006041255?sid=101</v>
      </c>
      <c r="H121">
        <v>0.33</v>
      </c>
    </row>
    <row r="122" spans="1:8" x14ac:dyDescent="0.3">
      <c r="A122" t="s">
        <v>3</v>
      </c>
      <c r="B122" t="s">
        <v>26951</v>
      </c>
      <c r="C122" t="s">
        <v>364</v>
      </c>
      <c r="D122" t="s">
        <v>363</v>
      </c>
      <c r="E122" s="2" t="s">
        <v>356</v>
      </c>
      <c r="F122" t="s">
        <v>362</v>
      </c>
      <c r="G122" t="str">
        <f>HYPERLINK("https://www.greened.kr/news/articleView.html?idxno=320018")</f>
        <v>https://www.greened.kr/news/articleView.html?idxno=320018</v>
      </c>
      <c r="H122">
        <v>0.38600000000000001</v>
      </c>
    </row>
    <row r="123" spans="1:8" x14ac:dyDescent="0.3">
      <c r="A123" t="s">
        <v>3</v>
      </c>
      <c r="B123" t="s">
        <v>26951</v>
      </c>
      <c r="C123" t="s">
        <v>366</v>
      </c>
      <c r="D123" t="s">
        <v>365</v>
      </c>
      <c r="E123" s="2" t="s">
        <v>356</v>
      </c>
      <c r="F123" t="s">
        <v>145</v>
      </c>
      <c r="G123" t="str">
        <f>HYPERLINK("https://n.news.naver.com/mnews/article/018/0006053386?sid=101")</f>
        <v>https://n.news.naver.com/mnews/article/018/0006053386?sid=101</v>
      </c>
      <c r="H123">
        <v>0.32500000000000001</v>
      </c>
    </row>
    <row r="124" spans="1:8" x14ac:dyDescent="0.3">
      <c r="A124" t="s">
        <v>3</v>
      </c>
      <c r="B124" t="s">
        <v>26951</v>
      </c>
      <c r="C124" t="s">
        <v>369</v>
      </c>
      <c r="D124" t="s">
        <v>368</v>
      </c>
      <c r="E124" s="2" t="s">
        <v>356</v>
      </c>
      <c r="F124" t="s">
        <v>367</v>
      </c>
      <c r="G124" t="str">
        <f>HYPERLINK("http://www.bosa.co.kr/news/articleView.html?idxno=2244568")</f>
        <v>http://www.bosa.co.kr/news/articleView.html?idxno=2244568</v>
      </c>
      <c r="H124">
        <v>0.76200000000000001</v>
      </c>
    </row>
    <row r="125" spans="1:8" x14ac:dyDescent="0.3">
      <c r="A125" t="s">
        <v>3</v>
      </c>
      <c r="B125" t="s">
        <v>26951</v>
      </c>
      <c r="C125" t="s">
        <v>372</v>
      </c>
      <c r="D125" t="s">
        <v>371</v>
      </c>
      <c r="E125" s="2" t="s">
        <v>356</v>
      </c>
      <c r="F125" t="s">
        <v>370</v>
      </c>
      <c r="G125" t="str">
        <f>HYPERLINK("http://www.k-health.com/news/articleView.html?idxno=56500")</f>
        <v>http://www.k-health.com/news/articleView.html?idxno=56500</v>
      </c>
      <c r="H125">
        <v>0.61499999999999999</v>
      </c>
    </row>
    <row r="126" spans="1:8" x14ac:dyDescent="0.3">
      <c r="A126" t="s">
        <v>3</v>
      </c>
      <c r="B126" t="s">
        <v>26951</v>
      </c>
      <c r="C126" t="s">
        <v>375</v>
      </c>
      <c r="D126" t="s">
        <v>374</v>
      </c>
      <c r="E126" s="2" t="s">
        <v>356</v>
      </c>
      <c r="F126" t="s">
        <v>373</v>
      </c>
      <c r="G126" t="str">
        <f>HYPERLINK("http://www.sctoday.co.kr/news/articleView.html?idxno=45391")</f>
        <v>http://www.sctoday.co.kr/news/articleView.html?idxno=45391</v>
      </c>
      <c r="H126">
        <v>0.749</v>
      </c>
    </row>
    <row r="127" spans="1:8" x14ac:dyDescent="0.3">
      <c r="A127" t="s">
        <v>3</v>
      </c>
      <c r="B127" t="s">
        <v>26951</v>
      </c>
      <c r="C127" t="s">
        <v>381</v>
      </c>
      <c r="D127" t="s">
        <v>380</v>
      </c>
      <c r="E127" s="2" t="s">
        <v>356</v>
      </c>
      <c r="F127" t="s">
        <v>379</v>
      </c>
      <c r="G127" t="str">
        <f>HYPERLINK("http://www.sctoday.co.kr/news/articleView.html?idxno=45391")</f>
        <v>http://www.sctoday.co.kr/news/articleView.html?idxno=45391</v>
      </c>
      <c r="H127">
        <v>0.95099999999999996</v>
      </c>
    </row>
    <row r="128" spans="1:8" x14ac:dyDescent="0.3">
      <c r="A128" t="s">
        <v>3</v>
      </c>
      <c r="B128" t="s">
        <v>26951</v>
      </c>
      <c r="C128" t="s">
        <v>383</v>
      </c>
      <c r="D128" t="s">
        <v>382</v>
      </c>
      <c r="E128" s="2" t="s">
        <v>356</v>
      </c>
      <c r="F128" t="s">
        <v>60</v>
      </c>
      <c r="G128" t="str">
        <f>HYPERLINK("https://n.news.naver.com/mnews/article/018/0003566578?sid=105")</f>
        <v>https://n.news.naver.com/mnews/article/018/0003566578?sid=105</v>
      </c>
      <c r="H128">
        <v>0.36099999999999999</v>
      </c>
    </row>
    <row r="129" spans="1:8" x14ac:dyDescent="0.3">
      <c r="A129" t="s">
        <v>3</v>
      </c>
      <c r="B129" t="s">
        <v>26951</v>
      </c>
      <c r="C129" t="s">
        <v>385</v>
      </c>
      <c r="D129" t="s">
        <v>384</v>
      </c>
      <c r="E129" s="2" t="s">
        <v>356</v>
      </c>
      <c r="F129" t="s">
        <v>57</v>
      </c>
      <c r="G129" t="str">
        <f>HYPERLINK("http://www.metroseoul.co.kr/article/20250619500430")</f>
        <v>http://www.metroseoul.co.kr/article/20250619500430</v>
      </c>
      <c r="H129">
        <v>0.155</v>
      </c>
    </row>
    <row r="130" spans="1:8" x14ac:dyDescent="0.3">
      <c r="A130" t="s">
        <v>3</v>
      </c>
      <c r="B130" t="s">
        <v>26951</v>
      </c>
      <c r="C130" t="s">
        <v>388</v>
      </c>
      <c r="D130" t="s">
        <v>387</v>
      </c>
      <c r="E130" s="2" t="s">
        <v>356</v>
      </c>
      <c r="F130" t="s">
        <v>386</v>
      </c>
      <c r="G130" t="str">
        <f>HYPERLINK("https://www.greened.kr/news/articleView.html?idxno=328049")</f>
        <v>https://www.greened.kr/news/articleView.html?idxno=328049</v>
      </c>
      <c r="H130">
        <v>0.44700000000000001</v>
      </c>
    </row>
    <row r="131" spans="1:8" x14ac:dyDescent="0.3">
      <c r="A131" t="s">
        <v>3</v>
      </c>
      <c r="B131" t="s">
        <v>26951</v>
      </c>
      <c r="C131" t="s">
        <v>390</v>
      </c>
      <c r="D131" t="s">
        <v>389</v>
      </c>
      <c r="E131" s="2" t="s">
        <v>356</v>
      </c>
      <c r="F131" t="s">
        <v>184</v>
      </c>
      <c r="G131" t="str">
        <f>HYPERLINK("https://n.news.naver.com/mnews/article/018/0004210419?sid=105")</f>
        <v>https://n.news.naver.com/mnews/article/018/0004210419?sid=105</v>
      </c>
      <c r="H131">
        <v>0.24</v>
      </c>
    </row>
    <row r="132" spans="1:8" x14ac:dyDescent="0.3">
      <c r="A132" t="s">
        <v>3</v>
      </c>
      <c r="B132" t="s">
        <v>26951</v>
      </c>
      <c r="C132" t="s">
        <v>393</v>
      </c>
      <c r="D132" t="s">
        <v>392</v>
      </c>
      <c r="E132" s="2" t="s">
        <v>394</v>
      </c>
      <c r="F132" t="s">
        <v>391</v>
      </c>
      <c r="G132" t="str">
        <f>HYPERLINK("https://www.econovill.com/news/articleView.html?idxno=701445")</f>
        <v>https://www.econovill.com/news/articleView.html?idxno=701445</v>
      </c>
      <c r="H132">
        <v>0.17899999999999999</v>
      </c>
    </row>
    <row r="133" spans="1:8" x14ac:dyDescent="0.3">
      <c r="A133" t="s">
        <v>3</v>
      </c>
      <c r="B133" t="s">
        <v>26951</v>
      </c>
      <c r="C133" t="s">
        <v>396</v>
      </c>
      <c r="D133" t="s">
        <v>395</v>
      </c>
      <c r="E133" s="2" t="s">
        <v>394</v>
      </c>
      <c r="F133" t="s">
        <v>140</v>
      </c>
      <c r="G133" t="str">
        <f>HYPERLINK("https://n.news.naver.com/mnews/article/018/0006040234?sid=105")</f>
        <v>https://n.news.naver.com/mnews/article/018/0006040234?sid=105</v>
      </c>
      <c r="H133">
        <v>0.32500000000000001</v>
      </c>
    </row>
    <row r="134" spans="1:8" x14ac:dyDescent="0.3">
      <c r="A134" t="s">
        <v>3</v>
      </c>
      <c r="B134" t="s">
        <v>26951</v>
      </c>
      <c r="C134" t="s">
        <v>399</v>
      </c>
      <c r="D134" t="s">
        <v>398</v>
      </c>
      <c r="E134" s="2" t="s">
        <v>394</v>
      </c>
      <c r="F134" t="s">
        <v>397</v>
      </c>
      <c r="G134" t="str">
        <f>HYPERLINK("https://n.news.naver.com/mnews/article/014/0002257642?sid=103")</f>
        <v>https://n.news.naver.com/mnews/article/014/0002257642?sid=103</v>
      </c>
      <c r="H134">
        <v>0.24099999999999999</v>
      </c>
    </row>
    <row r="135" spans="1:8" x14ac:dyDescent="0.3">
      <c r="A135" t="s">
        <v>3</v>
      </c>
      <c r="B135" t="s">
        <v>26951</v>
      </c>
      <c r="C135" t="s">
        <v>401</v>
      </c>
      <c r="D135" t="s">
        <v>400</v>
      </c>
      <c r="E135" s="2" t="s">
        <v>394</v>
      </c>
      <c r="F135" t="s">
        <v>8</v>
      </c>
      <c r="G135" t="str">
        <f>HYPERLINK("https://n.news.naver.com/mnews/article/018/0006047463?sid=103")</f>
        <v>https://n.news.naver.com/mnews/article/018/0006047463?sid=103</v>
      </c>
      <c r="H135">
        <v>0.17299999999999999</v>
      </c>
    </row>
    <row r="136" spans="1:8" x14ac:dyDescent="0.3">
      <c r="A136" t="s">
        <v>3</v>
      </c>
      <c r="B136" t="s">
        <v>26951</v>
      </c>
      <c r="C136" t="s">
        <v>403</v>
      </c>
      <c r="D136" t="s">
        <v>402</v>
      </c>
      <c r="E136" s="2" t="s">
        <v>394</v>
      </c>
      <c r="F136" t="s">
        <v>332</v>
      </c>
      <c r="G136" t="str">
        <f>HYPERLINK("https://www.pinpointnews.co.kr/news/articleView.html?idxno=350873")</f>
        <v>https://www.pinpointnews.co.kr/news/articleView.html?idxno=350873</v>
      </c>
      <c r="H136">
        <v>0.46800000000000003</v>
      </c>
    </row>
    <row r="137" spans="1:8" x14ac:dyDescent="0.3">
      <c r="A137" t="s">
        <v>3</v>
      </c>
      <c r="B137" t="s">
        <v>26951</v>
      </c>
      <c r="C137" t="s">
        <v>406</v>
      </c>
      <c r="D137" t="s">
        <v>405</v>
      </c>
      <c r="E137" s="2" t="s">
        <v>394</v>
      </c>
      <c r="F137" t="s">
        <v>404</v>
      </c>
      <c r="G137" t="str">
        <f>HYPERLINK("https://www.widedaily.com/news/articleView.html?idxno=268328")</f>
        <v>https://www.widedaily.com/news/articleView.html?idxno=268328</v>
      </c>
      <c r="H137">
        <v>0.58699999999999997</v>
      </c>
    </row>
    <row r="138" spans="1:8" x14ac:dyDescent="0.3">
      <c r="A138" t="s">
        <v>3</v>
      </c>
      <c r="B138" t="s">
        <v>26951</v>
      </c>
      <c r="C138" t="s">
        <v>410</v>
      </c>
      <c r="D138" t="s">
        <v>409</v>
      </c>
      <c r="E138" s="2" t="s">
        <v>394</v>
      </c>
      <c r="F138" t="s">
        <v>408</v>
      </c>
      <c r="G138" t="str">
        <f>HYPERLINK("https://n.news.naver.com/mnews/article/018/0006044577?sid=105")</f>
        <v>https://n.news.naver.com/mnews/article/018/0006044577?sid=105</v>
      </c>
      <c r="H138">
        <v>0.28100000000000003</v>
      </c>
    </row>
    <row r="139" spans="1:8" x14ac:dyDescent="0.3">
      <c r="A139" t="s">
        <v>3</v>
      </c>
      <c r="B139" t="s">
        <v>26951</v>
      </c>
      <c r="C139" t="s">
        <v>413</v>
      </c>
      <c r="D139" t="s">
        <v>412</v>
      </c>
      <c r="E139" s="2" t="s">
        <v>394</v>
      </c>
      <c r="F139" t="s">
        <v>411</v>
      </c>
      <c r="G139" t="str">
        <f>HYPERLINK("https://www.joongangenews.com/news/articleView.html?idxno=427185")</f>
        <v>https://www.joongangenews.com/news/articleView.html?idxno=427185</v>
      </c>
      <c r="H139">
        <v>0.9</v>
      </c>
    </row>
    <row r="140" spans="1:8" x14ac:dyDescent="0.3">
      <c r="A140" t="s">
        <v>3</v>
      </c>
      <c r="B140" t="s">
        <v>26951</v>
      </c>
      <c r="C140" t="s">
        <v>415</v>
      </c>
      <c r="D140" t="s">
        <v>414</v>
      </c>
      <c r="E140" s="2" t="s">
        <v>394</v>
      </c>
      <c r="F140" t="s">
        <v>60</v>
      </c>
      <c r="G140" t="str">
        <f>HYPERLINK("https://n.news.naver.com/mnews/article/018/0003566578?sid=105")</f>
        <v>https://n.news.naver.com/mnews/article/018/0003566578?sid=105</v>
      </c>
      <c r="H140">
        <v>0.33500000000000002</v>
      </c>
    </row>
    <row r="141" spans="1:8" x14ac:dyDescent="0.3">
      <c r="A141" t="s">
        <v>3</v>
      </c>
      <c r="B141" t="s">
        <v>26951</v>
      </c>
      <c r="C141" t="s">
        <v>417</v>
      </c>
      <c r="D141" t="s">
        <v>416</v>
      </c>
      <c r="E141" s="2" t="s">
        <v>418</v>
      </c>
      <c r="F141" t="s">
        <v>197</v>
      </c>
      <c r="G141" t="str">
        <f>HYPERLINK("http://www.newspenguin.com/news/articleView.html?idxno=18696")</f>
        <v>http://www.newspenguin.com/news/articleView.html?idxno=18696</v>
      </c>
      <c r="H141">
        <v>0.52100000000000002</v>
      </c>
    </row>
    <row r="142" spans="1:8" x14ac:dyDescent="0.3">
      <c r="A142" t="s">
        <v>3</v>
      </c>
      <c r="B142" t="s">
        <v>26951</v>
      </c>
      <c r="C142" t="s">
        <v>421</v>
      </c>
      <c r="D142" t="s">
        <v>420</v>
      </c>
      <c r="E142" s="2" t="s">
        <v>418</v>
      </c>
      <c r="F142" t="s">
        <v>419</v>
      </c>
      <c r="G142" t="str">
        <f>HYPERLINK("https://www.ggilbo.com/news/articleView.html?idxno=1095724")</f>
        <v>https://www.ggilbo.com/news/articleView.html?idxno=1095724</v>
      </c>
      <c r="H142">
        <v>0.60799999999999998</v>
      </c>
    </row>
    <row r="143" spans="1:8" x14ac:dyDescent="0.3">
      <c r="A143" t="s">
        <v>3</v>
      </c>
      <c r="B143" t="s">
        <v>26951</v>
      </c>
      <c r="C143" t="s">
        <v>424</v>
      </c>
      <c r="D143" t="s">
        <v>423</v>
      </c>
      <c r="E143" s="2" t="s">
        <v>418</v>
      </c>
      <c r="F143" t="s">
        <v>422</v>
      </c>
      <c r="G143" t="str">
        <f>HYPERLINK("https://n.news.naver.com/mnews/article/018/0002856500?sid=100")</f>
        <v>https://n.news.naver.com/mnews/article/018/0002856500?sid=100</v>
      </c>
      <c r="H143">
        <v>0.19</v>
      </c>
    </row>
    <row r="144" spans="1:8" x14ac:dyDescent="0.3">
      <c r="A144" t="s">
        <v>3</v>
      </c>
      <c r="B144" t="s">
        <v>26951</v>
      </c>
      <c r="C144" t="s">
        <v>427</v>
      </c>
      <c r="D144" t="s">
        <v>426</v>
      </c>
      <c r="E144" s="2" t="s">
        <v>418</v>
      </c>
      <c r="F144" t="s">
        <v>425</v>
      </c>
      <c r="G144" t="str">
        <f>HYPERLINK("https://n.news.naver.com/mnews/article/018/0006035019?sid=105")</f>
        <v>https://n.news.naver.com/mnews/article/018/0006035019?sid=105</v>
      </c>
      <c r="H144">
        <v>0.23499999999999999</v>
      </c>
    </row>
    <row r="145" spans="1:8" x14ac:dyDescent="0.3">
      <c r="A145" t="s">
        <v>3</v>
      </c>
      <c r="B145" t="s">
        <v>26951</v>
      </c>
      <c r="C145" t="s">
        <v>429</v>
      </c>
      <c r="D145" t="s">
        <v>428</v>
      </c>
      <c r="E145" s="2" t="s">
        <v>418</v>
      </c>
      <c r="F145" t="s">
        <v>8</v>
      </c>
      <c r="G145" t="str">
        <f>HYPERLINK("https://n.news.naver.com/mnews/article/018/0006047463?sid=103")</f>
        <v>https://n.news.naver.com/mnews/article/018/0006047463?sid=103</v>
      </c>
      <c r="H145">
        <v>0.20499999999999999</v>
      </c>
    </row>
    <row r="146" spans="1:8" x14ac:dyDescent="0.3">
      <c r="A146" t="s">
        <v>3</v>
      </c>
      <c r="B146" t="s">
        <v>26951</v>
      </c>
      <c r="C146" t="s">
        <v>432</v>
      </c>
      <c r="D146" t="s">
        <v>431</v>
      </c>
      <c r="E146" s="2" t="s">
        <v>418</v>
      </c>
      <c r="F146" t="s">
        <v>430</v>
      </c>
      <c r="G146" t="str">
        <f>HYPERLINK("https://n.news.naver.com/mnews/article/018/0006048827?sid=103")</f>
        <v>https://n.news.naver.com/mnews/article/018/0006048827?sid=103</v>
      </c>
      <c r="H146">
        <v>0.32400000000000001</v>
      </c>
    </row>
    <row r="147" spans="1:8" x14ac:dyDescent="0.3">
      <c r="A147" t="s">
        <v>3</v>
      </c>
      <c r="B147" t="s">
        <v>26951</v>
      </c>
      <c r="C147" t="s">
        <v>434</v>
      </c>
      <c r="D147" t="s">
        <v>433</v>
      </c>
      <c r="E147" s="2" t="s">
        <v>418</v>
      </c>
      <c r="F147" t="s">
        <v>407</v>
      </c>
      <c r="G147" t="str">
        <f>HYPERLINK("https://n.news.naver.com/mnews/article/018/0006040593?sid=102")</f>
        <v>https://n.news.naver.com/mnews/article/018/0006040593?sid=102</v>
      </c>
      <c r="H147">
        <v>0.247</v>
      </c>
    </row>
    <row r="148" spans="1:8" x14ac:dyDescent="0.3">
      <c r="A148" t="s">
        <v>3</v>
      </c>
      <c r="B148" t="s">
        <v>26951</v>
      </c>
      <c r="C148" t="s">
        <v>437</v>
      </c>
      <c r="D148" t="s">
        <v>436</v>
      </c>
      <c r="E148" s="2" t="s">
        <v>418</v>
      </c>
      <c r="F148" t="s">
        <v>435</v>
      </c>
      <c r="G148" t="str">
        <f>HYPERLINK("https://n.news.naver.com/mnews/article/008/0002611325?sid=101")</f>
        <v>https://n.news.naver.com/mnews/article/008/0002611325?sid=101</v>
      </c>
      <c r="H148">
        <v>0.48699999999999999</v>
      </c>
    </row>
    <row r="149" spans="1:8" x14ac:dyDescent="0.3">
      <c r="A149" t="s">
        <v>3</v>
      </c>
      <c r="B149" t="s">
        <v>26951</v>
      </c>
      <c r="C149" t="s">
        <v>440</v>
      </c>
      <c r="D149" t="s">
        <v>439</v>
      </c>
      <c r="E149" s="2" t="s">
        <v>418</v>
      </c>
      <c r="F149" t="s">
        <v>438</v>
      </c>
      <c r="G149" t="str">
        <f>HYPERLINK("http://www.sctoday.co.kr/news/articleView.html?idxno=45088")</f>
        <v>http://www.sctoday.co.kr/news/articleView.html?idxno=45088</v>
      </c>
      <c r="H149">
        <v>0.55400000000000005</v>
      </c>
    </row>
    <row r="150" spans="1:8" x14ac:dyDescent="0.3">
      <c r="A150" t="s">
        <v>3</v>
      </c>
      <c r="B150" t="s">
        <v>26951</v>
      </c>
      <c r="C150" t="s">
        <v>444</v>
      </c>
      <c r="D150" t="s">
        <v>443</v>
      </c>
      <c r="E150" s="2" t="s">
        <v>418</v>
      </c>
      <c r="F150" t="s">
        <v>442</v>
      </c>
      <c r="G150" t="str">
        <f>HYPERLINK("https://www.joongangenews.com/news/articleView.html?idxno=430190")</f>
        <v>https://www.joongangenews.com/news/articleView.html?idxno=430190</v>
      </c>
      <c r="H150">
        <v>0.376</v>
      </c>
    </row>
    <row r="151" spans="1:8" x14ac:dyDescent="0.3">
      <c r="A151" t="s">
        <v>3</v>
      </c>
      <c r="B151" t="s">
        <v>26951</v>
      </c>
      <c r="C151" t="s">
        <v>446</v>
      </c>
      <c r="D151" t="s">
        <v>445</v>
      </c>
      <c r="E151" s="2" t="s">
        <v>418</v>
      </c>
      <c r="F151" t="s">
        <v>60</v>
      </c>
      <c r="G151" t="str">
        <f>HYPERLINK("https://n.news.naver.com/mnews/article/018/0003566578?sid=105")</f>
        <v>https://n.news.naver.com/mnews/article/018/0003566578?sid=105</v>
      </c>
      <c r="H151">
        <v>0.35</v>
      </c>
    </row>
    <row r="152" spans="1:8" x14ac:dyDescent="0.3">
      <c r="A152" t="s">
        <v>3</v>
      </c>
      <c r="B152" t="s">
        <v>26951</v>
      </c>
      <c r="C152" t="s">
        <v>449</v>
      </c>
      <c r="D152" t="s">
        <v>448</v>
      </c>
      <c r="E152" s="2" t="s">
        <v>418</v>
      </c>
      <c r="F152" t="s">
        <v>447</v>
      </c>
      <c r="G152" t="str">
        <f>HYPERLINK("https://www.etoday.co.kr/news/view/2170999")</f>
        <v>https://www.etoday.co.kr/news/view/2170999</v>
      </c>
      <c r="H152">
        <v>0.33700000000000002</v>
      </c>
    </row>
    <row r="153" spans="1:8" x14ac:dyDescent="0.3">
      <c r="A153" t="s">
        <v>3</v>
      </c>
      <c r="B153" t="s">
        <v>26951</v>
      </c>
      <c r="C153" t="s">
        <v>451</v>
      </c>
      <c r="D153" t="s">
        <v>450</v>
      </c>
      <c r="E153" s="2" t="s">
        <v>452</v>
      </c>
      <c r="F153" t="s">
        <v>419</v>
      </c>
      <c r="G153" t="str">
        <f>HYPERLINK("https://www.ggilbo.com/news/articleView.html?idxno=1095489")</f>
        <v>https://www.ggilbo.com/news/articleView.html?idxno=1095489</v>
      </c>
      <c r="H153">
        <v>0.67600000000000005</v>
      </c>
    </row>
    <row r="154" spans="1:8" x14ac:dyDescent="0.3">
      <c r="A154" t="s">
        <v>3</v>
      </c>
      <c r="B154" t="s">
        <v>26951</v>
      </c>
      <c r="C154" t="s">
        <v>455</v>
      </c>
      <c r="D154" t="s">
        <v>454</v>
      </c>
      <c r="E154" s="2" t="s">
        <v>452</v>
      </c>
      <c r="F154" t="s">
        <v>453</v>
      </c>
      <c r="G154" t="str">
        <f>HYPERLINK("https://n.news.naver.com/mnews/article/018/0006053220?sid=102")</f>
        <v>https://n.news.naver.com/mnews/article/018/0006053220?sid=102</v>
      </c>
      <c r="H154">
        <v>0.28000000000000003</v>
      </c>
    </row>
    <row r="155" spans="1:8" x14ac:dyDescent="0.3">
      <c r="A155" t="s">
        <v>3</v>
      </c>
      <c r="B155" t="s">
        <v>26951</v>
      </c>
      <c r="C155" t="s">
        <v>457</v>
      </c>
      <c r="D155" t="s">
        <v>456</v>
      </c>
      <c r="E155" s="2" t="s">
        <v>452</v>
      </c>
      <c r="F155" t="s">
        <v>264</v>
      </c>
      <c r="G155" t="str">
        <f>HYPERLINK("https://n.news.naver.com/mnews/article/018/0004089867?sid=100")</f>
        <v>https://n.news.naver.com/mnews/article/018/0004089867?sid=100</v>
      </c>
      <c r="H155">
        <v>0.376</v>
      </c>
    </row>
    <row r="156" spans="1:8" x14ac:dyDescent="0.3">
      <c r="A156" t="s">
        <v>3</v>
      </c>
      <c r="B156" t="s">
        <v>26951</v>
      </c>
      <c r="C156" t="s">
        <v>459</v>
      </c>
      <c r="D156" t="s">
        <v>458</v>
      </c>
      <c r="E156" s="2" t="s">
        <v>452</v>
      </c>
      <c r="F156" t="s">
        <v>419</v>
      </c>
      <c r="G156" t="str">
        <f>HYPERLINK("https://www.ggilbo.com/news/articleView.html?idxno=1095489")</f>
        <v>https://www.ggilbo.com/news/articleView.html?idxno=1095489</v>
      </c>
      <c r="H156">
        <v>0.55100000000000005</v>
      </c>
    </row>
    <row r="157" spans="1:8" x14ac:dyDescent="0.3">
      <c r="A157" t="s">
        <v>3</v>
      </c>
      <c r="B157" t="s">
        <v>26951</v>
      </c>
      <c r="C157" t="s">
        <v>462</v>
      </c>
      <c r="D157" t="s">
        <v>461</v>
      </c>
      <c r="E157" s="2" t="s">
        <v>452</v>
      </c>
      <c r="F157" t="s">
        <v>460</v>
      </c>
      <c r="G157" t="str">
        <f>HYPERLINK("https://www.mediawatch.kr/news/article.html?no=255882")</f>
        <v>https://www.mediawatch.kr/news/article.html?no=255882</v>
      </c>
      <c r="H157">
        <v>0.41899999999999998</v>
      </c>
    </row>
    <row r="158" spans="1:8" x14ac:dyDescent="0.3">
      <c r="A158" t="s">
        <v>3</v>
      </c>
      <c r="B158" t="s">
        <v>26951</v>
      </c>
      <c r="C158" t="s">
        <v>466</v>
      </c>
      <c r="D158" t="s">
        <v>465</v>
      </c>
      <c r="E158" s="2" t="s">
        <v>452</v>
      </c>
      <c r="F158" t="s">
        <v>197</v>
      </c>
      <c r="G158" t="str">
        <f>HYPERLINK("https://n.news.naver.com/mnews/article/018/0006050266?sid=102")</f>
        <v>https://n.news.naver.com/mnews/article/018/0006050266?sid=102</v>
      </c>
      <c r="H158">
        <v>0.32400000000000001</v>
      </c>
    </row>
    <row r="159" spans="1:8" x14ac:dyDescent="0.3">
      <c r="A159" t="s">
        <v>3</v>
      </c>
      <c r="B159" t="s">
        <v>26951</v>
      </c>
      <c r="C159" t="s">
        <v>469</v>
      </c>
      <c r="D159" t="s">
        <v>468</v>
      </c>
      <c r="E159" s="2" t="s">
        <v>452</v>
      </c>
      <c r="F159" t="s">
        <v>467</v>
      </c>
      <c r="G159" t="str">
        <f>HYPERLINK("https://n.news.naver.com/mnews/article/018/0003340398?sid=103")</f>
        <v>https://n.news.naver.com/mnews/article/018/0003340398?sid=103</v>
      </c>
      <c r="H159">
        <v>0.32500000000000001</v>
      </c>
    </row>
    <row r="160" spans="1:8" x14ac:dyDescent="0.3">
      <c r="A160" t="s">
        <v>3</v>
      </c>
      <c r="B160" t="s">
        <v>26951</v>
      </c>
      <c r="C160" t="s">
        <v>471</v>
      </c>
      <c r="D160" t="s">
        <v>470</v>
      </c>
      <c r="E160" s="2" t="s">
        <v>452</v>
      </c>
      <c r="F160" t="s">
        <v>208</v>
      </c>
      <c r="G160" t="str">
        <f>HYPERLINK("https://n.news.naver.com/mnews/article/119/0002973907?sid=101")</f>
        <v>https://n.news.naver.com/mnews/article/119/0002973907?sid=101</v>
      </c>
      <c r="H160">
        <v>0.218</v>
      </c>
    </row>
    <row r="161" spans="1:8" x14ac:dyDescent="0.3">
      <c r="A161" t="s">
        <v>3</v>
      </c>
      <c r="B161" t="s">
        <v>26951</v>
      </c>
      <c r="C161" t="s">
        <v>474</v>
      </c>
      <c r="D161" t="s">
        <v>473</v>
      </c>
      <c r="E161" s="2" t="s">
        <v>452</v>
      </c>
      <c r="F161" t="s">
        <v>472</v>
      </c>
      <c r="G161" t="str">
        <f>HYPERLINK("https://www.lecturernews.com/news/articleView.html?idxno=177972")</f>
        <v>https://www.lecturernews.com/news/articleView.html?idxno=177972</v>
      </c>
      <c r="H161">
        <v>0.67500000000000004</v>
      </c>
    </row>
    <row r="162" spans="1:8" x14ac:dyDescent="0.3">
      <c r="A162" t="s">
        <v>3</v>
      </c>
      <c r="B162" t="s">
        <v>26951</v>
      </c>
      <c r="C162" t="s">
        <v>476</v>
      </c>
      <c r="D162" t="s">
        <v>475</v>
      </c>
      <c r="E162" s="2" t="s">
        <v>452</v>
      </c>
      <c r="F162" t="s">
        <v>256</v>
      </c>
      <c r="G162" t="str">
        <f>HYPERLINK("https://news.einfomax.co.kr/news/articleView.html?idxno=4362185")</f>
        <v>https://news.einfomax.co.kr/news/articleView.html?idxno=4362185</v>
      </c>
      <c r="H162">
        <v>0.22800000000000001</v>
      </c>
    </row>
    <row r="163" spans="1:8" x14ac:dyDescent="0.3">
      <c r="A163" t="s">
        <v>3</v>
      </c>
      <c r="B163" t="s">
        <v>26951</v>
      </c>
      <c r="C163" t="s">
        <v>478</v>
      </c>
      <c r="D163" t="s">
        <v>477</v>
      </c>
      <c r="E163" s="2" t="s">
        <v>452</v>
      </c>
      <c r="F163" t="s">
        <v>60</v>
      </c>
      <c r="G163" t="str">
        <f>HYPERLINK("https://n.news.naver.com/mnews/article/018/0003566578?sid=105")</f>
        <v>https://n.news.naver.com/mnews/article/018/0003566578?sid=105</v>
      </c>
      <c r="H163">
        <v>0.34300000000000003</v>
      </c>
    </row>
    <row r="164" spans="1:8" x14ac:dyDescent="0.3">
      <c r="A164" t="s">
        <v>3</v>
      </c>
      <c r="B164" t="s">
        <v>26951</v>
      </c>
      <c r="C164" t="s">
        <v>480</v>
      </c>
      <c r="D164" t="s">
        <v>479</v>
      </c>
      <c r="E164" s="2" t="s">
        <v>481</v>
      </c>
      <c r="F164" t="s">
        <v>8</v>
      </c>
      <c r="G164" t="str">
        <f>HYPERLINK("https://n.news.naver.com/mnews/article/018/0006047463?sid=103")</f>
        <v>https://n.news.naver.com/mnews/article/018/0006047463?sid=103</v>
      </c>
      <c r="H164">
        <v>0.16800000000000001</v>
      </c>
    </row>
    <row r="165" spans="1:8" x14ac:dyDescent="0.3">
      <c r="A165" t="s">
        <v>3</v>
      </c>
      <c r="B165" t="s">
        <v>26951</v>
      </c>
      <c r="C165" t="s">
        <v>484</v>
      </c>
      <c r="D165" t="s">
        <v>483</v>
      </c>
      <c r="E165" s="2" t="s">
        <v>481</v>
      </c>
      <c r="F165" t="s">
        <v>482</v>
      </c>
      <c r="G165" t="str">
        <f>HYPERLINK("http://www.sisaon.co.kr/news/articleView.html?idxno=171308")</f>
        <v>http://www.sisaon.co.kr/news/articleView.html?idxno=171308</v>
      </c>
      <c r="H165">
        <v>0.24099999999999999</v>
      </c>
    </row>
    <row r="166" spans="1:8" x14ac:dyDescent="0.3">
      <c r="A166" t="s">
        <v>3</v>
      </c>
      <c r="B166" t="s">
        <v>26951</v>
      </c>
      <c r="C166" t="s">
        <v>486</v>
      </c>
      <c r="D166" t="s">
        <v>485</v>
      </c>
      <c r="E166" s="2" t="s">
        <v>481</v>
      </c>
      <c r="F166" t="s">
        <v>332</v>
      </c>
      <c r="G166" t="str">
        <f>HYPERLINK("https://n.news.naver.com/mnews/article/018/0004104039?sid=103")</f>
        <v>https://n.news.naver.com/mnews/article/018/0004104039?sid=103</v>
      </c>
      <c r="H166">
        <v>0.214</v>
      </c>
    </row>
    <row r="167" spans="1:8" x14ac:dyDescent="0.3">
      <c r="A167" t="s">
        <v>3</v>
      </c>
      <c r="B167" t="s">
        <v>26951</v>
      </c>
      <c r="C167" t="s">
        <v>489</v>
      </c>
      <c r="D167" t="s">
        <v>488</v>
      </c>
      <c r="E167" s="2" t="s">
        <v>481</v>
      </c>
      <c r="F167" t="s">
        <v>487</v>
      </c>
      <c r="G167" t="str">
        <f>HYPERLINK("https://n.news.naver.com/mnews/article/018/0006040133?sid=105")</f>
        <v>https://n.news.naver.com/mnews/article/018/0006040133?sid=105</v>
      </c>
      <c r="H167">
        <v>0.188</v>
      </c>
    </row>
    <row r="168" spans="1:8" x14ac:dyDescent="0.3">
      <c r="A168" t="s">
        <v>3</v>
      </c>
      <c r="B168" t="s">
        <v>26951</v>
      </c>
      <c r="C168" t="s">
        <v>492</v>
      </c>
      <c r="D168" t="s">
        <v>491</v>
      </c>
      <c r="E168" s="2" t="s">
        <v>481</v>
      </c>
      <c r="F168" t="s">
        <v>490</v>
      </c>
      <c r="G168" t="str">
        <f>HYPERLINK("http://www.newspim.com/news/view/20211130000741")</f>
        <v>http://www.newspim.com/news/view/20211130000741</v>
      </c>
      <c r="H168">
        <v>0.45100000000000001</v>
      </c>
    </row>
    <row r="169" spans="1:8" x14ac:dyDescent="0.3">
      <c r="A169" t="s">
        <v>3</v>
      </c>
      <c r="B169" t="s">
        <v>26951</v>
      </c>
      <c r="C169" t="s">
        <v>495</v>
      </c>
      <c r="D169" t="s">
        <v>494</v>
      </c>
      <c r="E169" s="2" t="s">
        <v>481</v>
      </c>
      <c r="F169" t="s">
        <v>493</v>
      </c>
      <c r="G169" t="str">
        <f>HYPERLINK("https://www.ibabynews.com/news/articleView.html?idxno=133619")</f>
        <v>https://www.ibabynews.com/news/articleView.html?idxno=133619</v>
      </c>
      <c r="H169">
        <v>0.42799999999999999</v>
      </c>
    </row>
    <row r="170" spans="1:8" x14ac:dyDescent="0.3">
      <c r="A170" t="s">
        <v>3</v>
      </c>
      <c r="B170" t="s">
        <v>26951</v>
      </c>
      <c r="C170" t="s">
        <v>498</v>
      </c>
      <c r="D170" t="s">
        <v>497</v>
      </c>
      <c r="E170" s="2" t="s">
        <v>481</v>
      </c>
      <c r="F170" t="s">
        <v>496</v>
      </c>
      <c r="G170" t="str">
        <f>HYPERLINK("https://n.news.naver.com/mnews/article/016/0002484081?sid=101")</f>
        <v>https://n.news.naver.com/mnews/article/016/0002484081?sid=101</v>
      </c>
      <c r="H170">
        <v>0.26400000000000001</v>
      </c>
    </row>
    <row r="171" spans="1:8" x14ac:dyDescent="0.3">
      <c r="A171" t="s">
        <v>3</v>
      </c>
      <c r="B171" t="s">
        <v>26951</v>
      </c>
      <c r="C171" t="s">
        <v>501</v>
      </c>
      <c r="D171" t="s">
        <v>500</v>
      </c>
      <c r="E171" s="2" t="s">
        <v>502</v>
      </c>
      <c r="F171" t="s">
        <v>499</v>
      </c>
      <c r="G171" t="str">
        <f>HYPERLINK("https://n.news.naver.com/mnews/article/018/0006038118?sid=101")</f>
        <v>https://n.news.naver.com/mnews/article/018/0006038118?sid=101</v>
      </c>
      <c r="H171">
        <v>0.21299999999999999</v>
      </c>
    </row>
    <row r="172" spans="1:8" x14ac:dyDescent="0.3">
      <c r="A172" t="s">
        <v>3</v>
      </c>
      <c r="B172" t="s">
        <v>26951</v>
      </c>
      <c r="C172" t="s">
        <v>504</v>
      </c>
      <c r="D172" t="s">
        <v>503</v>
      </c>
      <c r="E172" s="2" t="s">
        <v>502</v>
      </c>
      <c r="F172" t="s">
        <v>96</v>
      </c>
      <c r="G172" t="str">
        <f>HYPERLINK("https://n.news.naver.com/mnews/article/018/0006019322?sid=101")</f>
        <v>https://n.news.naver.com/mnews/article/018/0006019322?sid=101</v>
      </c>
      <c r="H172">
        <v>0.13400000000000001</v>
      </c>
    </row>
    <row r="173" spans="1:8" x14ac:dyDescent="0.3">
      <c r="A173" t="s">
        <v>3</v>
      </c>
      <c r="B173" t="s">
        <v>26951</v>
      </c>
      <c r="C173" t="s">
        <v>507</v>
      </c>
      <c r="D173" t="s">
        <v>506</v>
      </c>
      <c r="E173" s="2" t="s">
        <v>502</v>
      </c>
      <c r="F173" t="s">
        <v>505</v>
      </c>
      <c r="G173" t="str">
        <f>HYPERLINK("http://www.sisaon.co.kr/news/articleView.html?idxno=172250")</f>
        <v>http://www.sisaon.co.kr/news/articleView.html?idxno=172250</v>
      </c>
      <c r="H173">
        <v>0.39500000000000002</v>
      </c>
    </row>
    <row r="174" spans="1:8" x14ac:dyDescent="0.3">
      <c r="A174" t="s">
        <v>3</v>
      </c>
      <c r="B174" t="s">
        <v>26951</v>
      </c>
      <c r="C174" t="s">
        <v>509</v>
      </c>
      <c r="D174" t="s">
        <v>508</v>
      </c>
      <c r="E174" s="2" t="s">
        <v>502</v>
      </c>
      <c r="F174" t="s">
        <v>40</v>
      </c>
      <c r="G174" t="str">
        <f>HYPERLINK("http://www.wikileaks-kr.org/news/articleView.html?idxno=162218")</f>
        <v>http://www.wikileaks-kr.org/news/articleView.html?idxno=162218</v>
      </c>
      <c r="H174">
        <v>0.60199999999999998</v>
      </c>
    </row>
    <row r="175" spans="1:8" x14ac:dyDescent="0.3">
      <c r="A175" t="s">
        <v>3</v>
      </c>
      <c r="B175" t="s">
        <v>26951</v>
      </c>
      <c r="C175" t="s">
        <v>514</v>
      </c>
      <c r="D175" t="s">
        <v>513</v>
      </c>
      <c r="E175" s="2" t="s">
        <v>502</v>
      </c>
      <c r="F175" t="s">
        <v>51</v>
      </c>
      <c r="G175" t="str">
        <f>HYPERLINK("http://www.ifs.or.kr/bbs/board.php?bo_table=YTT_board&amp;wr_id=50749")</f>
        <v>http://www.ifs.or.kr/bbs/board.php?bo_table=YTT_board&amp;wr_id=50749</v>
      </c>
      <c r="H175">
        <v>0.57699999999999996</v>
      </c>
    </row>
    <row r="176" spans="1:8" x14ac:dyDescent="0.3">
      <c r="A176" t="s">
        <v>3</v>
      </c>
      <c r="B176" t="s">
        <v>26951</v>
      </c>
      <c r="C176" t="s">
        <v>516</v>
      </c>
      <c r="D176" t="s">
        <v>515</v>
      </c>
      <c r="E176" s="2" t="s">
        <v>502</v>
      </c>
      <c r="F176" t="s">
        <v>411</v>
      </c>
      <c r="G176" t="str">
        <f>HYPERLINK("https://www.apnews.kr/news/articleView.html?idxno=3033507")</f>
        <v>https://www.apnews.kr/news/articleView.html?idxno=3033507</v>
      </c>
      <c r="H176">
        <v>0.43099999999999999</v>
      </c>
    </row>
    <row r="177" spans="1:8" x14ac:dyDescent="0.3">
      <c r="A177" t="s">
        <v>3</v>
      </c>
      <c r="B177" t="s">
        <v>26951</v>
      </c>
      <c r="C177" t="s">
        <v>520</v>
      </c>
      <c r="D177" t="s">
        <v>519</v>
      </c>
      <c r="E177" s="2" t="s">
        <v>517</v>
      </c>
      <c r="F177" t="s">
        <v>518</v>
      </c>
      <c r="G177" t="str">
        <f>HYPERLINK("https://n.news.naver.com/mnews/article/018/0004207475?sid=102")</f>
        <v>https://n.news.naver.com/mnews/article/018/0004207475?sid=102</v>
      </c>
      <c r="H177">
        <v>0.14599999999999999</v>
      </c>
    </row>
    <row r="178" spans="1:8" x14ac:dyDescent="0.3">
      <c r="A178" t="s">
        <v>3</v>
      </c>
      <c r="B178" t="s">
        <v>26951</v>
      </c>
      <c r="C178" t="s">
        <v>523</v>
      </c>
      <c r="D178" t="s">
        <v>522</v>
      </c>
      <c r="E178" s="2" t="s">
        <v>517</v>
      </c>
      <c r="F178" t="s">
        <v>521</v>
      </c>
      <c r="G178" t="str">
        <f>HYPERLINK("https://n.news.naver.com/mnews/article/018/0006038565?sid=102")</f>
        <v>https://n.news.naver.com/mnews/article/018/0006038565?sid=102</v>
      </c>
      <c r="H178">
        <v>0.18099999999999999</v>
      </c>
    </row>
    <row r="179" spans="1:8" x14ac:dyDescent="0.3">
      <c r="A179" t="s">
        <v>3</v>
      </c>
      <c r="B179" t="s">
        <v>26951</v>
      </c>
      <c r="C179" t="s">
        <v>525</v>
      </c>
      <c r="D179" t="s">
        <v>524</v>
      </c>
      <c r="E179" s="2" t="s">
        <v>517</v>
      </c>
      <c r="F179" t="s">
        <v>37</v>
      </c>
      <c r="G179" t="str">
        <f>HYPERLINK("https://news.einfomax.co.kr/news/articleView.html?idxno=4281633")</f>
        <v>https://news.einfomax.co.kr/news/articleView.html?idxno=4281633</v>
      </c>
      <c r="H179">
        <v>0.61599999999999999</v>
      </c>
    </row>
    <row r="180" spans="1:8" x14ac:dyDescent="0.3">
      <c r="A180" t="s">
        <v>3</v>
      </c>
      <c r="B180" t="s">
        <v>26951</v>
      </c>
      <c r="C180" t="s">
        <v>527</v>
      </c>
      <c r="D180" t="s">
        <v>526</v>
      </c>
      <c r="E180" s="2" t="s">
        <v>517</v>
      </c>
      <c r="F180" t="s">
        <v>40</v>
      </c>
      <c r="G180" t="str">
        <f>HYPERLINK("https://n.news.naver.com/mnews/article/018/0005651293?sid=101")</f>
        <v>https://n.news.naver.com/mnews/article/018/0005651293?sid=101</v>
      </c>
      <c r="H180">
        <v>0.24399999999999999</v>
      </c>
    </row>
    <row r="181" spans="1:8" x14ac:dyDescent="0.3">
      <c r="A181" t="s">
        <v>3</v>
      </c>
      <c r="B181" t="s">
        <v>26951</v>
      </c>
      <c r="C181" t="s">
        <v>529</v>
      </c>
      <c r="D181" t="s">
        <v>528</v>
      </c>
      <c r="E181" s="2" t="s">
        <v>517</v>
      </c>
      <c r="F181" t="s">
        <v>205</v>
      </c>
      <c r="G181" t="str">
        <f>HYPERLINK("https://www.newstree.kr/newsView/ntr202506120024")</f>
        <v>https://www.newstree.kr/newsView/ntr202506120024</v>
      </c>
      <c r="H181">
        <v>0.253</v>
      </c>
    </row>
    <row r="182" spans="1:8" x14ac:dyDescent="0.3">
      <c r="A182" t="s">
        <v>3</v>
      </c>
      <c r="B182" t="s">
        <v>26951</v>
      </c>
      <c r="C182" t="s">
        <v>532</v>
      </c>
      <c r="D182" t="s">
        <v>531</v>
      </c>
      <c r="E182" s="2" t="s">
        <v>517</v>
      </c>
      <c r="F182" t="s">
        <v>530</v>
      </c>
      <c r="G182" t="str">
        <f>HYPERLINK("https://www.naeil.com/news/read/552854?ref=naver")</f>
        <v>https://www.naeil.com/news/read/552854?ref=naver</v>
      </c>
      <c r="H182">
        <v>0.60099999999999998</v>
      </c>
    </row>
    <row r="183" spans="1:8" x14ac:dyDescent="0.3">
      <c r="A183" t="s">
        <v>3</v>
      </c>
      <c r="B183" t="s">
        <v>26951</v>
      </c>
      <c r="C183" t="s">
        <v>534</v>
      </c>
      <c r="D183" t="s">
        <v>533</v>
      </c>
      <c r="E183" s="2" t="s">
        <v>517</v>
      </c>
      <c r="F183" t="s">
        <v>57</v>
      </c>
      <c r="G183" t="str">
        <f>HYPERLINK("http://www.sisaon.co.kr/news/articleView.html?idxno=172191")</f>
        <v>http://www.sisaon.co.kr/news/articleView.html?idxno=172191</v>
      </c>
      <c r="H183">
        <v>0.159</v>
      </c>
    </row>
    <row r="184" spans="1:8" x14ac:dyDescent="0.3">
      <c r="A184" t="s">
        <v>3</v>
      </c>
      <c r="B184" t="s">
        <v>26951</v>
      </c>
      <c r="C184" t="s">
        <v>537</v>
      </c>
      <c r="D184" t="s">
        <v>536</v>
      </c>
      <c r="E184" s="2" t="s">
        <v>538</v>
      </c>
      <c r="F184" t="s">
        <v>535</v>
      </c>
      <c r="G184" t="str">
        <f>HYPERLINK("https://n.news.naver.com/mnews/article/018/0003197576?sid=101")</f>
        <v>https://n.news.naver.com/mnews/article/018/0003197576?sid=101</v>
      </c>
      <c r="H184">
        <v>0.17</v>
      </c>
    </row>
    <row r="185" spans="1:8" x14ac:dyDescent="0.3">
      <c r="A185" t="s">
        <v>3</v>
      </c>
      <c r="B185" t="s">
        <v>26951</v>
      </c>
      <c r="C185" t="s">
        <v>541</v>
      </c>
      <c r="D185" t="s">
        <v>540</v>
      </c>
      <c r="E185" s="2" t="s">
        <v>538</v>
      </c>
      <c r="F185" t="s">
        <v>539</v>
      </c>
      <c r="G185" t="str">
        <f>HYPERLINK("https://www.kfenews.co.kr/news/articleView.html?idxno=638997")</f>
        <v>https://www.kfenews.co.kr/news/articleView.html?idxno=638997</v>
      </c>
      <c r="H185">
        <v>0.39500000000000002</v>
      </c>
    </row>
    <row r="186" spans="1:8" x14ac:dyDescent="0.3">
      <c r="A186" t="s">
        <v>3</v>
      </c>
      <c r="B186" t="s">
        <v>26951</v>
      </c>
      <c r="C186" t="s">
        <v>544</v>
      </c>
      <c r="D186" t="s">
        <v>543</v>
      </c>
      <c r="E186" s="2" t="s">
        <v>538</v>
      </c>
      <c r="F186" t="s">
        <v>542</v>
      </c>
      <c r="G186" t="str">
        <f>HYPERLINK("http://www.kgnews.co.kr/news/articleView.html?idxno=318200")</f>
        <v>http://www.kgnews.co.kr/news/articleView.html?idxno=318200</v>
      </c>
      <c r="H186">
        <v>0.36399999999999999</v>
      </c>
    </row>
    <row r="187" spans="1:8" x14ac:dyDescent="0.3">
      <c r="A187" t="s">
        <v>3</v>
      </c>
      <c r="B187" t="s">
        <v>26951</v>
      </c>
      <c r="C187" t="s">
        <v>546</v>
      </c>
      <c r="D187" t="s">
        <v>545</v>
      </c>
      <c r="E187" s="2" t="s">
        <v>538</v>
      </c>
      <c r="F187" t="s">
        <v>408</v>
      </c>
      <c r="G187" t="str">
        <f>HYPERLINK("https://daily.hankooki.com/news/articleView.html?idxno=1228306")</f>
        <v>https://daily.hankooki.com/news/articleView.html?idxno=1228306</v>
      </c>
      <c r="H187">
        <v>0.97799999999999998</v>
      </c>
    </row>
    <row r="188" spans="1:8" x14ac:dyDescent="0.3">
      <c r="A188" t="s">
        <v>3</v>
      </c>
      <c r="B188" t="s">
        <v>26951</v>
      </c>
      <c r="C188" t="s">
        <v>548</v>
      </c>
      <c r="D188" t="s">
        <v>547</v>
      </c>
      <c r="E188" s="2" t="s">
        <v>538</v>
      </c>
      <c r="F188" t="s">
        <v>8</v>
      </c>
      <c r="G188" t="str">
        <f>HYPERLINK("https://n.news.naver.com/mnews/article/018/0006047463?sid=103")</f>
        <v>https://n.news.naver.com/mnews/article/018/0006047463?sid=103</v>
      </c>
      <c r="H188">
        <v>0.2</v>
      </c>
    </row>
    <row r="189" spans="1:8" x14ac:dyDescent="0.3">
      <c r="A189" t="s">
        <v>3</v>
      </c>
      <c r="B189" t="s">
        <v>26951</v>
      </c>
      <c r="C189" t="s">
        <v>551</v>
      </c>
      <c r="D189" t="s">
        <v>550</v>
      </c>
      <c r="E189" s="2" t="s">
        <v>538</v>
      </c>
      <c r="F189" t="s">
        <v>549</v>
      </c>
      <c r="G189" t="str">
        <f>HYPERLINK("https://n.news.naver.com/mnews/article/018/0006037236?sid=101")</f>
        <v>https://n.news.naver.com/mnews/article/018/0006037236?sid=101</v>
      </c>
      <c r="H189">
        <v>0.191</v>
      </c>
    </row>
    <row r="190" spans="1:8" x14ac:dyDescent="0.3">
      <c r="A190" t="s">
        <v>3</v>
      </c>
      <c r="B190" t="s">
        <v>26951</v>
      </c>
      <c r="C190" t="s">
        <v>553</v>
      </c>
      <c r="D190" t="s">
        <v>552</v>
      </c>
      <c r="E190" s="2" t="s">
        <v>538</v>
      </c>
      <c r="F190" t="s">
        <v>549</v>
      </c>
      <c r="G190" t="str">
        <f>HYPERLINK("https://n.news.naver.com/mnews/article/018/0006037235?sid=104")</f>
        <v>https://n.news.naver.com/mnews/article/018/0006037235?sid=104</v>
      </c>
      <c r="H190">
        <v>0.24099999999999999</v>
      </c>
    </row>
    <row r="191" spans="1:8" x14ac:dyDescent="0.3">
      <c r="A191" t="s">
        <v>3</v>
      </c>
      <c r="B191" t="s">
        <v>26951</v>
      </c>
      <c r="C191" t="s">
        <v>555</v>
      </c>
      <c r="D191" t="s">
        <v>554</v>
      </c>
      <c r="E191" s="2" t="s">
        <v>538</v>
      </c>
      <c r="F191" t="s">
        <v>549</v>
      </c>
      <c r="G191" t="str">
        <f>HYPERLINK("https://n.news.naver.com/mnews/article/018/0006037117?sid=101")</f>
        <v>https://n.news.naver.com/mnews/article/018/0006037117?sid=101</v>
      </c>
      <c r="H191">
        <v>0.182</v>
      </c>
    </row>
    <row r="192" spans="1:8" x14ac:dyDescent="0.3">
      <c r="A192" t="s">
        <v>3</v>
      </c>
      <c r="B192" t="s">
        <v>26951</v>
      </c>
      <c r="C192" t="s">
        <v>558</v>
      </c>
      <c r="D192" t="s">
        <v>557</v>
      </c>
      <c r="E192" s="2" t="s">
        <v>538</v>
      </c>
      <c r="F192" t="s">
        <v>556</v>
      </c>
      <c r="G192" t="str">
        <f>HYPERLINK("https://n.news.naver.com/mnews/article/018/0003288604?sid=101")</f>
        <v>https://n.news.naver.com/mnews/article/018/0003288604?sid=101</v>
      </c>
      <c r="H192">
        <v>0.254</v>
      </c>
    </row>
    <row r="193" spans="1:8" x14ac:dyDescent="0.3">
      <c r="A193" t="s">
        <v>3</v>
      </c>
      <c r="B193" t="s">
        <v>26951</v>
      </c>
      <c r="C193" t="s">
        <v>561</v>
      </c>
      <c r="D193" t="s">
        <v>560</v>
      </c>
      <c r="E193" s="2" t="s">
        <v>538</v>
      </c>
      <c r="F193" t="s">
        <v>559</v>
      </c>
      <c r="G193" t="str">
        <f>HYPERLINK("https://n.news.naver.com/mnews/article/018/0002240959?sid=101")</f>
        <v>https://n.news.naver.com/mnews/article/018/0002240959?sid=101</v>
      </c>
      <c r="H193">
        <v>0.30599999999999999</v>
      </c>
    </row>
    <row r="194" spans="1:8" x14ac:dyDescent="0.3">
      <c r="A194" t="s">
        <v>3</v>
      </c>
      <c r="B194" t="s">
        <v>26951</v>
      </c>
      <c r="C194" t="s">
        <v>563</v>
      </c>
      <c r="D194" t="s">
        <v>562</v>
      </c>
      <c r="E194" s="2" t="s">
        <v>538</v>
      </c>
      <c r="F194" t="s">
        <v>549</v>
      </c>
      <c r="G194" t="str">
        <f>HYPERLINK("https://n.news.naver.com/mnews/article/018/0005917154?sid=101")</f>
        <v>https://n.news.naver.com/mnews/article/018/0005917154?sid=101</v>
      </c>
      <c r="H194">
        <v>0.17899999999999999</v>
      </c>
    </row>
    <row r="195" spans="1:8" x14ac:dyDescent="0.3">
      <c r="A195" t="s">
        <v>3</v>
      </c>
      <c r="B195" t="s">
        <v>26951</v>
      </c>
      <c r="C195" t="s">
        <v>566</v>
      </c>
      <c r="D195" t="s">
        <v>565</v>
      </c>
      <c r="E195" s="2" t="s">
        <v>538</v>
      </c>
      <c r="F195" t="s">
        <v>564</v>
      </c>
      <c r="G195" t="str">
        <f>HYPERLINK("https://kr.aving.net/news/articleView.html?idxno=1801384")</f>
        <v>https://kr.aving.net/news/articleView.html?idxno=1801384</v>
      </c>
      <c r="H195">
        <v>0.52300000000000002</v>
      </c>
    </row>
    <row r="196" spans="1:8" x14ac:dyDescent="0.3">
      <c r="A196" t="s">
        <v>3</v>
      </c>
      <c r="B196" t="s">
        <v>26951</v>
      </c>
      <c r="C196" t="s">
        <v>569</v>
      </c>
      <c r="D196" t="s">
        <v>568</v>
      </c>
      <c r="E196" s="2" t="s">
        <v>538</v>
      </c>
      <c r="F196" t="s">
        <v>567</v>
      </c>
      <c r="G196" t="str">
        <f>HYPERLINK("https://n.news.naver.com/mnews/article/018/0006052806?sid=101")</f>
        <v>https://n.news.naver.com/mnews/article/018/0006052806?sid=101</v>
      </c>
      <c r="H196">
        <v>0.16</v>
      </c>
    </row>
    <row r="197" spans="1:8" x14ac:dyDescent="0.3">
      <c r="A197" t="s">
        <v>3</v>
      </c>
      <c r="B197" t="s">
        <v>26951</v>
      </c>
      <c r="C197" t="s">
        <v>575</v>
      </c>
      <c r="D197" t="s">
        <v>574</v>
      </c>
      <c r="E197" s="2" t="s">
        <v>572</v>
      </c>
      <c r="F197" t="s">
        <v>573</v>
      </c>
      <c r="G197" t="str">
        <f>HYPERLINK("https://n.news.naver.com/mnews/article/018/0005755635?sid=102")</f>
        <v>https://n.news.naver.com/mnews/article/018/0005755635?sid=102</v>
      </c>
      <c r="H197">
        <v>0.16900000000000001</v>
      </c>
    </row>
    <row r="198" spans="1:8" x14ac:dyDescent="0.3">
      <c r="A198" t="s">
        <v>3</v>
      </c>
      <c r="B198" t="s">
        <v>26951</v>
      </c>
      <c r="C198" t="s">
        <v>578</v>
      </c>
      <c r="D198" t="s">
        <v>577</v>
      </c>
      <c r="E198" s="2" t="s">
        <v>572</v>
      </c>
      <c r="F198" t="s">
        <v>576</v>
      </c>
      <c r="G198" t="str">
        <f>HYPERLINK("https://n.news.naver.com/mnews/article/018/0004483624?sid=101")</f>
        <v>https://n.news.naver.com/mnews/article/018/0004483624?sid=101</v>
      </c>
      <c r="H198">
        <v>0.26500000000000001</v>
      </c>
    </row>
    <row r="199" spans="1:8" x14ac:dyDescent="0.3">
      <c r="A199" t="s">
        <v>3</v>
      </c>
      <c r="B199" t="s">
        <v>26951</v>
      </c>
      <c r="C199" t="s">
        <v>580</v>
      </c>
      <c r="D199" t="s">
        <v>579</v>
      </c>
      <c r="E199" s="2" t="s">
        <v>572</v>
      </c>
      <c r="F199" t="s">
        <v>40</v>
      </c>
      <c r="G199" t="str">
        <f>HYPERLINK("https://n.news.naver.com/mnews/article/018/0005064186?sid=102")</f>
        <v>https://n.news.naver.com/mnews/article/018/0005064186?sid=102</v>
      </c>
      <c r="H199">
        <v>0.27</v>
      </c>
    </row>
    <row r="200" spans="1:8" x14ac:dyDescent="0.3">
      <c r="A200" t="s">
        <v>3</v>
      </c>
      <c r="B200" t="s">
        <v>26951</v>
      </c>
      <c r="C200" t="s">
        <v>582</v>
      </c>
      <c r="D200" t="s">
        <v>581</v>
      </c>
      <c r="E200" s="2" t="s">
        <v>572</v>
      </c>
      <c r="F200" t="s">
        <v>40</v>
      </c>
      <c r="G200" t="str">
        <f>HYPERLINK("http://www.sisaon.co.kr/news/articleView.html?idxno=172677")</f>
        <v>http://www.sisaon.co.kr/news/articleView.html?idxno=172677</v>
      </c>
      <c r="H200">
        <v>0.51300000000000001</v>
      </c>
    </row>
    <row r="201" spans="1:8" x14ac:dyDescent="0.3">
      <c r="A201" t="s">
        <v>3</v>
      </c>
      <c r="B201" t="s">
        <v>26951</v>
      </c>
      <c r="C201" t="s">
        <v>585</v>
      </c>
      <c r="D201" t="s">
        <v>584</v>
      </c>
      <c r="E201" s="2" t="s">
        <v>572</v>
      </c>
      <c r="F201" t="s">
        <v>583</v>
      </c>
      <c r="G201" t="str">
        <f>HYPERLINK("https://www.khgames.co.kr/news/articleView.html?idxno=240888")</f>
        <v>https://www.khgames.co.kr/news/articleView.html?idxno=240888</v>
      </c>
      <c r="H201">
        <v>0.47899999999999998</v>
      </c>
    </row>
    <row r="202" spans="1:8" x14ac:dyDescent="0.3">
      <c r="A202" t="s">
        <v>3</v>
      </c>
      <c r="B202" t="s">
        <v>26951</v>
      </c>
      <c r="C202" t="s">
        <v>587</v>
      </c>
      <c r="D202" t="s">
        <v>586</v>
      </c>
      <c r="E202" s="2" t="s">
        <v>572</v>
      </c>
      <c r="F202" t="s">
        <v>31</v>
      </c>
      <c r="G202" t="str">
        <f>HYPERLINK("https://www.yeongnam.com/web/view.php?key=20250611029054963")</f>
        <v>https://www.yeongnam.com/web/view.php?key=20250611029054963</v>
      </c>
      <c r="H202">
        <v>0.32600000000000001</v>
      </c>
    </row>
    <row r="203" spans="1:8" x14ac:dyDescent="0.3">
      <c r="A203" t="s">
        <v>3</v>
      </c>
      <c r="B203" t="s">
        <v>26951</v>
      </c>
      <c r="C203" t="s">
        <v>590</v>
      </c>
      <c r="D203" t="s">
        <v>589</v>
      </c>
      <c r="E203" s="2" t="s">
        <v>572</v>
      </c>
      <c r="F203" t="s">
        <v>588</v>
      </c>
      <c r="G203" t="str">
        <f>HYPERLINK("https://www.beopbo.com/news/articleView.html?idxno=330000")</f>
        <v>https://www.beopbo.com/news/articleView.html?idxno=330000</v>
      </c>
      <c r="H203">
        <v>0.39300000000000002</v>
      </c>
    </row>
    <row r="204" spans="1:8" x14ac:dyDescent="0.3">
      <c r="A204" t="s">
        <v>3</v>
      </c>
      <c r="B204" t="s">
        <v>26951</v>
      </c>
      <c r="C204" t="s">
        <v>592</v>
      </c>
      <c r="D204" t="s">
        <v>591</v>
      </c>
      <c r="E204" s="2" t="s">
        <v>572</v>
      </c>
      <c r="F204" t="s">
        <v>549</v>
      </c>
      <c r="G204" t="str">
        <f>HYPERLINK("https://n.news.naver.com/mnews/article/018/0006036176?sid=101")</f>
        <v>https://n.news.naver.com/mnews/article/018/0006036176?sid=101</v>
      </c>
      <c r="H204">
        <v>0.18</v>
      </c>
    </row>
    <row r="205" spans="1:8" x14ac:dyDescent="0.3">
      <c r="A205" t="s">
        <v>3</v>
      </c>
      <c r="B205" t="s">
        <v>26951</v>
      </c>
      <c r="C205" t="s">
        <v>595</v>
      </c>
      <c r="D205" t="s">
        <v>594</v>
      </c>
      <c r="E205" s="2" t="s">
        <v>572</v>
      </c>
      <c r="F205" t="s">
        <v>593</v>
      </c>
      <c r="G205" t="str">
        <f>HYPERLINK("https://n.news.naver.com/mnews/article/018/0005476188?sid=101")</f>
        <v>https://n.news.naver.com/mnews/article/018/0005476188?sid=101</v>
      </c>
      <c r="H205">
        <v>0.22700000000000001</v>
      </c>
    </row>
    <row r="206" spans="1:8" x14ac:dyDescent="0.3">
      <c r="A206" t="s">
        <v>3</v>
      </c>
      <c r="B206" t="s">
        <v>26951</v>
      </c>
      <c r="C206" t="s">
        <v>597</v>
      </c>
      <c r="D206" t="s">
        <v>596</v>
      </c>
      <c r="E206" s="2" t="s">
        <v>572</v>
      </c>
      <c r="F206" t="s">
        <v>549</v>
      </c>
      <c r="G206" t="str">
        <f>HYPERLINK("https://www.apnews.kr/news/articleView.html?idxno=3013505")</f>
        <v>https://www.apnews.kr/news/articleView.html?idxno=3013505</v>
      </c>
      <c r="H206">
        <v>0.47899999999999998</v>
      </c>
    </row>
    <row r="207" spans="1:8" x14ac:dyDescent="0.3">
      <c r="A207" t="s">
        <v>3</v>
      </c>
      <c r="B207" t="s">
        <v>26951</v>
      </c>
      <c r="C207" t="s">
        <v>599</v>
      </c>
      <c r="D207" t="s">
        <v>598</v>
      </c>
      <c r="E207" s="2" t="s">
        <v>572</v>
      </c>
      <c r="F207" t="s">
        <v>40</v>
      </c>
      <c r="G207" t="str">
        <f>HYPERLINK("https://www.youthdaily.co.kr/news/article.html?no=188451")</f>
        <v>https://www.youthdaily.co.kr/news/article.html?no=188451</v>
      </c>
      <c r="H207">
        <v>0.54900000000000004</v>
      </c>
    </row>
    <row r="208" spans="1:8" x14ac:dyDescent="0.3">
      <c r="A208" t="s">
        <v>3</v>
      </c>
      <c r="B208" t="s">
        <v>26951</v>
      </c>
      <c r="C208" t="s">
        <v>602</v>
      </c>
      <c r="D208" t="s">
        <v>601</v>
      </c>
      <c r="E208" s="2" t="s">
        <v>572</v>
      </c>
      <c r="F208" t="s">
        <v>600</v>
      </c>
      <c r="G208" t="str">
        <f>HYPERLINK("https://n.news.naver.com/mnews/article/018/0006035255?sid=102")</f>
        <v>https://n.news.naver.com/mnews/article/018/0006035255?sid=102</v>
      </c>
      <c r="H208">
        <v>0.24099999999999999</v>
      </c>
    </row>
    <row r="209" spans="1:8" x14ac:dyDescent="0.3">
      <c r="A209" t="s">
        <v>3</v>
      </c>
      <c r="B209" t="s">
        <v>26951</v>
      </c>
      <c r="C209" t="s">
        <v>604</v>
      </c>
      <c r="D209" t="s">
        <v>603</v>
      </c>
      <c r="E209" s="2" t="s">
        <v>572</v>
      </c>
      <c r="F209" t="s">
        <v>505</v>
      </c>
      <c r="G209" t="str">
        <f>HYPERLINK("http://www.sisaon.co.kr/news/articleView.html?idxno=172250")</f>
        <v>http://www.sisaon.co.kr/news/articleView.html?idxno=172250</v>
      </c>
      <c r="H209">
        <v>0.40699999999999997</v>
      </c>
    </row>
    <row r="210" spans="1:8" x14ac:dyDescent="0.3">
      <c r="A210" t="s">
        <v>3</v>
      </c>
      <c r="B210" t="s">
        <v>26951</v>
      </c>
      <c r="C210" t="s">
        <v>606</v>
      </c>
      <c r="D210" t="s">
        <v>605</v>
      </c>
      <c r="E210" s="2" t="s">
        <v>572</v>
      </c>
      <c r="F210" t="s">
        <v>305</v>
      </c>
      <c r="G210" t="str">
        <f>HYPERLINK("https://n.news.naver.com/mnews/article/018/0002430701?sid=101")</f>
        <v>https://n.news.naver.com/mnews/article/018/0002430701?sid=101</v>
      </c>
      <c r="H210">
        <v>0.19500000000000001</v>
      </c>
    </row>
    <row r="211" spans="1:8" x14ac:dyDescent="0.3">
      <c r="A211" t="s">
        <v>3</v>
      </c>
      <c r="B211" t="s">
        <v>26951</v>
      </c>
      <c r="C211" t="s">
        <v>608</v>
      </c>
      <c r="D211" t="s">
        <v>607</v>
      </c>
      <c r="E211" s="2" t="s">
        <v>609</v>
      </c>
      <c r="F211" t="s">
        <v>40</v>
      </c>
      <c r="G211" t="str">
        <f>HYPERLINK("http://coinreaders.com/169029")</f>
        <v>http://coinreaders.com/169029</v>
      </c>
      <c r="H211">
        <v>0.45400000000000001</v>
      </c>
    </row>
    <row r="212" spans="1:8" x14ac:dyDescent="0.3">
      <c r="A212" t="s">
        <v>3</v>
      </c>
      <c r="B212" t="s">
        <v>26951</v>
      </c>
      <c r="C212" t="s">
        <v>611</v>
      </c>
      <c r="D212" t="s">
        <v>610</v>
      </c>
      <c r="E212" s="2" t="s">
        <v>609</v>
      </c>
      <c r="F212" t="s">
        <v>205</v>
      </c>
      <c r="G212" t="str">
        <f>HYPERLINK("https://www.jemin.com/news/articleView.html?idxno=815927")</f>
        <v>https://www.jemin.com/news/articleView.html?idxno=815927</v>
      </c>
      <c r="H212">
        <v>0.58499999999999996</v>
      </c>
    </row>
    <row r="213" spans="1:8" x14ac:dyDescent="0.3">
      <c r="A213" t="s">
        <v>3</v>
      </c>
      <c r="B213" t="s">
        <v>26951</v>
      </c>
      <c r="C213" t="s">
        <v>613</v>
      </c>
      <c r="D213" t="s">
        <v>612</v>
      </c>
      <c r="E213" s="2" t="s">
        <v>609</v>
      </c>
      <c r="F213" t="s">
        <v>208</v>
      </c>
      <c r="G213" t="str">
        <f>HYPERLINK("https://n.news.naver.com/mnews/article/119/0002973907?sid=101")</f>
        <v>https://n.news.naver.com/mnews/article/119/0002973907?sid=101</v>
      </c>
      <c r="H213">
        <v>0.25800000000000001</v>
      </c>
    </row>
    <row r="214" spans="1:8" x14ac:dyDescent="0.3">
      <c r="A214" t="s">
        <v>3</v>
      </c>
      <c r="B214" t="s">
        <v>26951</v>
      </c>
      <c r="C214" t="s">
        <v>615</v>
      </c>
      <c r="D214" t="s">
        <v>614</v>
      </c>
      <c r="E214" s="2" t="s">
        <v>609</v>
      </c>
      <c r="F214" t="s">
        <v>208</v>
      </c>
      <c r="G214" t="str">
        <f>HYPERLINK("https://n.news.naver.com/mnews/article/119/0002973907?sid=101")</f>
        <v>https://n.news.naver.com/mnews/article/119/0002973907?sid=101</v>
      </c>
      <c r="H214">
        <v>0.21099999999999999</v>
      </c>
    </row>
    <row r="215" spans="1:8" x14ac:dyDescent="0.3">
      <c r="A215" t="s">
        <v>3</v>
      </c>
      <c r="B215" t="s">
        <v>26951</v>
      </c>
      <c r="C215" t="s">
        <v>617</v>
      </c>
      <c r="D215" t="s">
        <v>616</v>
      </c>
      <c r="E215" s="2" t="s">
        <v>609</v>
      </c>
      <c r="F215" t="s">
        <v>22</v>
      </c>
      <c r="G215" t="str">
        <f>HYPERLINK("https://n.news.naver.com/mnews/article/018/0002991855?sid=102")</f>
        <v>https://n.news.naver.com/mnews/article/018/0002991855?sid=102</v>
      </c>
      <c r="H215">
        <v>0.187</v>
      </c>
    </row>
    <row r="216" spans="1:8" x14ac:dyDescent="0.3">
      <c r="A216" t="s">
        <v>3</v>
      </c>
      <c r="B216" t="s">
        <v>26951</v>
      </c>
      <c r="C216" t="s">
        <v>619</v>
      </c>
      <c r="D216" t="s">
        <v>618</v>
      </c>
      <c r="E216" s="2" t="s">
        <v>609</v>
      </c>
      <c r="F216" t="s">
        <v>40</v>
      </c>
      <c r="G216" t="str">
        <f>HYPERLINK("http://www.impacton.net/news/articleView.html?idxno=5683")</f>
        <v>http://www.impacton.net/news/articleView.html?idxno=5683</v>
      </c>
      <c r="H216">
        <v>0.50600000000000001</v>
      </c>
    </row>
    <row r="217" spans="1:8" x14ac:dyDescent="0.3">
      <c r="A217" t="s">
        <v>3</v>
      </c>
      <c r="B217" t="s">
        <v>26951</v>
      </c>
      <c r="C217" t="s">
        <v>621</v>
      </c>
      <c r="D217" t="s">
        <v>620</v>
      </c>
      <c r="E217" s="2" t="s">
        <v>609</v>
      </c>
      <c r="F217" t="s">
        <v>600</v>
      </c>
      <c r="G217" t="str">
        <f>HYPERLINK("https://n.news.naver.com/mnews/article/018/0004533050?sid=101")</f>
        <v>https://n.news.naver.com/mnews/article/018/0004533050?sid=101</v>
      </c>
      <c r="H217">
        <v>0.19500000000000001</v>
      </c>
    </row>
    <row r="218" spans="1:8" x14ac:dyDescent="0.3">
      <c r="A218" t="s">
        <v>3</v>
      </c>
      <c r="B218" t="s">
        <v>26951</v>
      </c>
      <c r="C218" t="s">
        <v>624</v>
      </c>
      <c r="D218" t="s">
        <v>623</v>
      </c>
      <c r="E218" s="2" t="s">
        <v>609</v>
      </c>
      <c r="F218" t="s">
        <v>622</v>
      </c>
      <c r="G218" t="str">
        <f>HYPERLINK("https://n.news.naver.com/mnews/article/018/0006047281?sid=101")</f>
        <v>https://n.news.naver.com/mnews/article/018/0006047281?sid=101</v>
      </c>
      <c r="H218">
        <v>8.1000000000000003E-2</v>
      </c>
    </row>
    <row r="219" spans="1:8" x14ac:dyDescent="0.3">
      <c r="A219" t="s">
        <v>3</v>
      </c>
      <c r="B219" t="s">
        <v>26951</v>
      </c>
      <c r="C219" t="s">
        <v>627</v>
      </c>
      <c r="D219" t="s">
        <v>626</v>
      </c>
      <c r="E219" s="2" t="s">
        <v>609</v>
      </c>
      <c r="F219" t="s">
        <v>625</v>
      </c>
      <c r="G219" t="str">
        <f>HYPERLINK("https://n.news.naver.com/mnews/article/018/0005147464?sid=101")</f>
        <v>https://n.news.naver.com/mnews/article/018/0005147464?sid=101</v>
      </c>
      <c r="H219">
        <v>0.23899999999999999</v>
      </c>
    </row>
    <row r="220" spans="1:8" x14ac:dyDescent="0.3">
      <c r="A220" t="s">
        <v>3</v>
      </c>
      <c r="B220" t="s">
        <v>26951</v>
      </c>
      <c r="C220" t="s">
        <v>630</v>
      </c>
      <c r="D220" t="s">
        <v>629</v>
      </c>
      <c r="E220" s="2" t="s">
        <v>609</v>
      </c>
      <c r="F220" t="s">
        <v>31</v>
      </c>
      <c r="G220" t="str">
        <f>HYPERLINK("https://n.news.naver.com/mnews/article/011/0004494875?sid=102")</f>
        <v>https://n.news.naver.com/mnews/article/011/0004494875?sid=102</v>
      </c>
      <c r="H220">
        <v>0.09</v>
      </c>
    </row>
    <row r="221" spans="1:8" x14ac:dyDescent="0.3">
      <c r="A221" t="s">
        <v>3</v>
      </c>
      <c r="B221" t="s">
        <v>26951</v>
      </c>
      <c r="C221" t="s">
        <v>632</v>
      </c>
      <c r="D221" t="s">
        <v>631</v>
      </c>
      <c r="E221" s="2" t="s">
        <v>609</v>
      </c>
      <c r="F221" t="s">
        <v>549</v>
      </c>
      <c r="G221" t="str">
        <f>HYPERLINK("https://n.news.naver.com/mnews/article/018/0006035540?sid=105")</f>
        <v>https://n.news.naver.com/mnews/article/018/0006035540?sid=105</v>
      </c>
      <c r="H221">
        <v>0.20599999999999999</v>
      </c>
    </row>
    <row r="222" spans="1:8" x14ac:dyDescent="0.3">
      <c r="A222" t="s">
        <v>3</v>
      </c>
      <c r="B222" t="s">
        <v>26951</v>
      </c>
      <c r="C222" t="s">
        <v>634</v>
      </c>
      <c r="D222" t="s">
        <v>633</v>
      </c>
      <c r="E222" s="2" t="s">
        <v>609</v>
      </c>
      <c r="F222" t="s">
        <v>549</v>
      </c>
      <c r="G222" t="str">
        <f>HYPERLINK("https://n.news.naver.com/mnews/article/018/0006035517?sid=101")</f>
        <v>https://n.news.naver.com/mnews/article/018/0006035517?sid=101</v>
      </c>
      <c r="H222">
        <v>0.26</v>
      </c>
    </row>
    <row r="223" spans="1:8" x14ac:dyDescent="0.3">
      <c r="A223" t="s">
        <v>3</v>
      </c>
      <c r="B223" t="s">
        <v>26951</v>
      </c>
      <c r="C223" t="s">
        <v>637</v>
      </c>
      <c r="D223" t="s">
        <v>636</v>
      </c>
      <c r="E223" s="2" t="s">
        <v>609</v>
      </c>
      <c r="F223" t="s">
        <v>635</v>
      </c>
      <c r="G223" t="str">
        <f>HYPERLINK("http://www.joongboo.com/?mod=news&amp;act=articleView&amp;idxno=1014095")</f>
        <v>http://www.joongboo.com/?mod=news&amp;act=articleView&amp;idxno=1014095</v>
      </c>
      <c r="H223">
        <v>9.9000000000000005E-2</v>
      </c>
    </row>
    <row r="224" spans="1:8" x14ac:dyDescent="0.3">
      <c r="A224" t="s">
        <v>3</v>
      </c>
      <c r="B224" t="s">
        <v>26951</v>
      </c>
      <c r="C224" t="s">
        <v>639</v>
      </c>
      <c r="D224" t="s">
        <v>638</v>
      </c>
      <c r="E224" s="2" t="s">
        <v>609</v>
      </c>
      <c r="F224" t="s">
        <v>256</v>
      </c>
      <c r="G224" t="str">
        <f>HYPERLINK("https://www.1conomynews.co.kr/news/articleView.html?idxno=41747")</f>
        <v>https://www.1conomynews.co.kr/news/articleView.html?idxno=41747</v>
      </c>
      <c r="H224">
        <v>6.3E-2</v>
      </c>
    </row>
    <row r="225" spans="1:8" x14ac:dyDescent="0.3">
      <c r="A225" t="s">
        <v>3</v>
      </c>
      <c r="B225" t="s">
        <v>26951</v>
      </c>
      <c r="C225" t="s">
        <v>641</v>
      </c>
      <c r="D225" t="s">
        <v>640</v>
      </c>
      <c r="E225" s="2" t="s">
        <v>609</v>
      </c>
      <c r="F225" t="s">
        <v>549</v>
      </c>
      <c r="G225" t="str">
        <f>HYPERLINK("https://n.news.naver.com/mnews/article/018/0002117017?sid=101")</f>
        <v>https://n.news.naver.com/mnews/article/018/0002117017?sid=101</v>
      </c>
      <c r="H225">
        <v>0.18</v>
      </c>
    </row>
    <row r="226" spans="1:8" x14ac:dyDescent="0.3">
      <c r="A226" t="s">
        <v>3</v>
      </c>
      <c r="B226" t="s">
        <v>26951</v>
      </c>
      <c r="C226" t="s">
        <v>644</v>
      </c>
      <c r="D226" t="s">
        <v>643</v>
      </c>
      <c r="E226" s="2" t="s">
        <v>609</v>
      </c>
      <c r="F226" t="s">
        <v>642</v>
      </c>
      <c r="G226" t="str">
        <f>HYPERLINK("https://www.nspna.com/news/?mode=view&amp;newsid=745953")</f>
        <v>https://www.nspna.com/news/?mode=view&amp;newsid=745953</v>
      </c>
      <c r="H226">
        <v>0.65200000000000002</v>
      </c>
    </row>
    <row r="227" spans="1:8" x14ac:dyDescent="0.3">
      <c r="A227" t="s">
        <v>3</v>
      </c>
      <c r="B227" t="s">
        <v>26951</v>
      </c>
      <c r="C227" t="s">
        <v>646</v>
      </c>
      <c r="D227" t="s">
        <v>645</v>
      </c>
      <c r="E227" s="2" t="s">
        <v>609</v>
      </c>
      <c r="F227" t="s">
        <v>549</v>
      </c>
      <c r="G227" t="str">
        <f>HYPERLINK("https://n.news.naver.com/mnews/article/018/0002009244?sid=101")</f>
        <v>https://n.news.naver.com/mnews/article/018/0002009244?sid=101</v>
      </c>
      <c r="H227">
        <v>0.246</v>
      </c>
    </row>
    <row r="228" spans="1:8" x14ac:dyDescent="0.3">
      <c r="A228" t="s">
        <v>3</v>
      </c>
      <c r="B228" t="s">
        <v>26951</v>
      </c>
      <c r="C228" t="s">
        <v>650</v>
      </c>
      <c r="D228" t="s">
        <v>649</v>
      </c>
      <c r="E228" s="2" t="s">
        <v>609</v>
      </c>
      <c r="F228" t="s">
        <v>57</v>
      </c>
      <c r="G228" t="str">
        <f>HYPERLINK("http://www.whitepaper.co.kr/news/articleView.html?idxno=248252")</f>
        <v>http://www.whitepaper.co.kr/news/articleView.html?idxno=248252</v>
      </c>
      <c r="H228">
        <v>0.106</v>
      </c>
    </row>
    <row r="229" spans="1:8" x14ac:dyDescent="0.3">
      <c r="A229" t="s">
        <v>3</v>
      </c>
      <c r="B229" t="s">
        <v>26951</v>
      </c>
      <c r="C229" t="s">
        <v>652</v>
      </c>
      <c r="D229" t="s">
        <v>651</v>
      </c>
      <c r="E229" s="2" t="s">
        <v>653</v>
      </c>
      <c r="F229" t="s">
        <v>419</v>
      </c>
      <c r="G229" t="str">
        <f>HYPERLINK("https://www.ggilbo.com/news/articleView.html?idxno=1094216")</f>
        <v>https://www.ggilbo.com/news/articleView.html?idxno=1094216</v>
      </c>
      <c r="H229">
        <v>0.746</v>
      </c>
    </row>
    <row r="230" spans="1:8" x14ac:dyDescent="0.3">
      <c r="A230" t="s">
        <v>3</v>
      </c>
      <c r="B230" t="s">
        <v>26951</v>
      </c>
      <c r="C230" t="s">
        <v>655</v>
      </c>
      <c r="D230" t="s">
        <v>654</v>
      </c>
      <c r="E230" s="2" t="s">
        <v>653</v>
      </c>
      <c r="F230" t="s">
        <v>134</v>
      </c>
      <c r="G230" t="str">
        <f>HYPERLINK("http://www.bigtanews.co.kr/news/articleView.html?idxno=11818")</f>
        <v>http://www.bigtanews.co.kr/news/articleView.html?idxno=11818</v>
      </c>
      <c r="H230">
        <v>0.159</v>
      </c>
    </row>
    <row r="231" spans="1:8" x14ac:dyDescent="0.3">
      <c r="A231" t="s">
        <v>3</v>
      </c>
      <c r="B231" t="s">
        <v>26951</v>
      </c>
      <c r="C231" t="s">
        <v>657</v>
      </c>
      <c r="D231" t="s">
        <v>656</v>
      </c>
      <c r="E231" s="2" t="s">
        <v>653</v>
      </c>
      <c r="F231" t="s">
        <v>419</v>
      </c>
      <c r="G231" t="str">
        <f>HYPERLINK("https://www.ggilbo.com/news/articleView.html?idxno=1094216")</f>
        <v>https://www.ggilbo.com/news/articleView.html?idxno=1094216</v>
      </c>
      <c r="H231">
        <v>0.68700000000000006</v>
      </c>
    </row>
    <row r="232" spans="1:8" x14ac:dyDescent="0.3">
      <c r="A232" t="s">
        <v>3</v>
      </c>
      <c r="B232" t="s">
        <v>26951</v>
      </c>
      <c r="C232" t="s">
        <v>660</v>
      </c>
      <c r="D232" t="s">
        <v>659</v>
      </c>
      <c r="E232" s="2" t="s">
        <v>653</v>
      </c>
      <c r="F232" t="s">
        <v>658</v>
      </c>
      <c r="G232" t="str">
        <f>HYPERLINK("http://www.betanews.net:8080/article/1000232.html")</f>
        <v>http://www.betanews.net:8080/article/1000232.html</v>
      </c>
      <c r="H232">
        <v>0.47399999999999998</v>
      </c>
    </row>
    <row r="233" spans="1:8" x14ac:dyDescent="0.3">
      <c r="A233" t="s">
        <v>3</v>
      </c>
      <c r="B233" t="s">
        <v>26951</v>
      </c>
      <c r="C233" t="s">
        <v>663</v>
      </c>
      <c r="D233" t="s">
        <v>662</v>
      </c>
      <c r="E233" s="2" t="s">
        <v>653</v>
      </c>
      <c r="F233" t="s">
        <v>73</v>
      </c>
      <c r="G233" t="str">
        <f>HYPERLINK("https://n.news.naver.com/mnews/article/022/0004014784?sid=101")</f>
        <v>https://n.news.naver.com/mnews/article/022/0004014784?sid=101</v>
      </c>
      <c r="H233">
        <v>0.34699999999999998</v>
      </c>
    </row>
    <row r="234" spans="1:8" x14ac:dyDescent="0.3">
      <c r="A234" t="s">
        <v>3</v>
      </c>
      <c r="B234" t="s">
        <v>26951</v>
      </c>
      <c r="C234" t="s">
        <v>665</v>
      </c>
      <c r="D234" t="s">
        <v>664</v>
      </c>
      <c r="E234" s="2" t="s">
        <v>653</v>
      </c>
      <c r="F234" t="s">
        <v>40</v>
      </c>
      <c r="G234" t="str">
        <f>HYPERLINK("https://www.danbinews.com/news/articleView.html?idxno=30758")</f>
        <v>https://www.danbinews.com/news/articleView.html?idxno=30758</v>
      </c>
      <c r="H234">
        <v>0.46200000000000002</v>
      </c>
    </row>
    <row r="235" spans="1:8" x14ac:dyDescent="0.3">
      <c r="A235" t="s">
        <v>3</v>
      </c>
      <c r="B235" t="s">
        <v>26951</v>
      </c>
      <c r="C235" t="s">
        <v>668</v>
      </c>
      <c r="D235" t="s">
        <v>667</v>
      </c>
      <c r="E235" s="2" t="s">
        <v>653</v>
      </c>
      <c r="F235" t="s">
        <v>666</v>
      </c>
      <c r="G235" t="str">
        <f>HYPERLINK("https://n.news.naver.com/mnews/article/018/0002864947?sid=101")</f>
        <v>https://n.news.naver.com/mnews/article/018/0002864947?sid=101</v>
      </c>
      <c r="H235">
        <v>0.32</v>
      </c>
    </row>
    <row r="236" spans="1:8" x14ac:dyDescent="0.3">
      <c r="A236" t="s">
        <v>3</v>
      </c>
      <c r="B236" t="s">
        <v>26951</v>
      </c>
      <c r="C236" t="s">
        <v>670</v>
      </c>
      <c r="D236" t="s">
        <v>669</v>
      </c>
      <c r="E236" s="2" t="s">
        <v>653</v>
      </c>
      <c r="F236" t="s">
        <v>31</v>
      </c>
      <c r="G236" t="str">
        <f>HYPERLINK("https://n.news.naver.com/mnews/article/018/0006034584?sid=103")</f>
        <v>https://n.news.naver.com/mnews/article/018/0006034584?sid=103</v>
      </c>
      <c r="H236">
        <v>3.7999999999999999E-2</v>
      </c>
    </row>
    <row r="237" spans="1:8" x14ac:dyDescent="0.3">
      <c r="A237" t="s">
        <v>3</v>
      </c>
      <c r="B237" t="s">
        <v>26951</v>
      </c>
      <c r="C237" t="s">
        <v>673</v>
      </c>
      <c r="D237" t="s">
        <v>672</v>
      </c>
      <c r="E237" s="2" t="s">
        <v>653</v>
      </c>
      <c r="F237" t="s">
        <v>671</v>
      </c>
      <c r="G237" t="str">
        <f>HYPERLINK("https://www.christiantoday.co.kr/news/369045")</f>
        <v>https://www.christiantoday.co.kr/news/369045</v>
      </c>
      <c r="H237">
        <v>0.24199999999999999</v>
      </c>
    </row>
    <row r="238" spans="1:8" x14ac:dyDescent="0.3">
      <c r="A238" t="s">
        <v>3</v>
      </c>
      <c r="B238" t="s">
        <v>26951</v>
      </c>
      <c r="C238" t="s">
        <v>676</v>
      </c>
      <c r="D238" t="s">
        <v>675</v>
      </c>
      <c r="E238" s="2" t="s">
        <v>653</v>
      </c>
      <c r="F238" t="s">
        <v>674</v>
      </c>
      <c r="G238" t="str">
        <f>HYPERLINK("http://www.foodnews.co.kr/news/articleView.html?idxno=113896")</f>
        <v>http://www.foodnews.co.kr/news/articleView.html?idxno=113896</v>
      </c>
      <c r="H238">
        <v>0.32800000000000001</v>
      </c>
    </row>
    <row r="239" spans="1:8" x14ac:dyDescent="0.3">
      <c r="A239" t="s">
        <v>3</v>
      </c>
      <c r="B239" t="s">
        <v>26951</v>
      </c>
      <c r="C239" t="s">
        <v>679</v>
      </c>
      <c r="D239" t="s">
        <v>678</v>
      </c>
      <c r="E239" s="2" t="s">
        <v>653</v>
      </c>
      <c r="F239" t="s">
        <v>57</v>
      </c>
      <c r="G239" t="str">
        <f>HYPERLINK("https://www.newspim.com/news/view/20250609000780")</f>
        <v>https://www.newspim.com/news/view/20250609000780</v>
      </c>
      <c r="H239">
        <v>0.17100000000000001</v>
      </c>
    </row>
    <row r="240" spans="1:8" x14ac:dyDescent="0.3">
      <c r="A240" t="s">
        <v>3</v>
      </c>
      <c r="B240" t="s">
        <v>26951</v>
      </c>
      <c r="C240" t="s">
        <v>682</v>
      </c>
      <c r="D240" t="s">
        <v>681</v>
      </c>
      <c r="E240" s="2" t="s">
        <v>653</v>
      </c>
      <c r="F240" t="s">
        <v>680</v>
      </c>
      <c r="G240" t="str">
        <f>HYPERLINK("http://www.seoulwire.com/news/articleView.html?idxno=239700")</f>
        <v>http://www.seoulwire.com/news/articleView.html?idxno=239700</v>
      </c>
      <c r="H240">
        <v>0.20899999999999999</v>
      </c>
    </row>
    <row r="241" spans="1:8" x14ac:dyDescent="0.3">
      <c r="A241" t="s">
        <v>3</v>
      </c>
      <c r="B241" t="s">
        <v>26951</v>
      </c>
      <c r="C241" t="s">
        <v>685</v>
      </c>
      <c r="D241" t="s">
        <v>684</v>
      </c>
      <c r="E241" s="2" t="s">
        <v>653</v>
      </c>
      <c r="F241" t="s">
        <v>683</v>
      </c>
      <c r="G241" t="str">
        <f>HYPERLINK("https://n.news.naver.com/mnews/article/018/0003856245?sid=101")</f>
        <v>https://n.news.naver.com/mnews/article/018/0003856245?sid=101</v>
      </c>
      <c r="H241">
        <v>7.6999999999999999E-2</v>
      </c>
    </row>
    <row r="242" spans="1:8" x14ac:dyDescent="0.3">
      <c r="A242" t="s">
        <v>3</v>
      </c>
      <c r="B242" t="s">
        <v>26951</v>
      </c>
      <c r="C242" t="s">
        <v>688</v>
      </c>
      <c r="D242" t="s">
        <v>687</v>
      </c>
      <c r="E242" s="2" t="s">
        <v>653</v>
      </c>
      <c r="F242" t="s">
        <v>686</v>
      </c>
      <c r="G242" t="str">
        <f>HYPERLINK("https://n.news.naver.com/mnews/article/018/0006033895?sid=102")</f>
        <v>https://n.news.naver.com/mnews/article/018/0006033895?sid=102</v>
      </c>
      <c r="H242">
        <v>0.19</v>
      </c>
    </row>
    <row r="243" spans="1:8" x14ac:dyDescent="0.3">
      <c r="A243" t="s">
        <v>3</v>
      </c>
      <c r="B243" t="s">
        <v>26951</v>
      </c>
      <c r="C243" t="s">
        <v>691</v>
      </c>
      <c r="D243" t="s">
        <v>690</v>
      </c>
      <c r="E243" s="2" t="s">
        <v>692</v>
      </c>
      <c r="F243" t="s">
        <v>689</v>
      </c>
      <c r="G243" t="str">
        <f>HYPERLINK("https://n.news.naver.com/mnews/article/018/0006047463?sid=103")</f>
        <v>https://n.news.naver.com/mnews/article/018/0006047463?sid=103</v>
      </c>
      <c r="H243">
        <v>0.26400000000000001</v>
      </c>
    </row>
    <row r="244" spans="1:8" x14ac:dyDescent="0.3">
      <c r="A244" t="s">
        <v>3</v>
      </c>
      <c r="B244" t="s">
        <v>26951</v>
      </c>
      <c r="C244" t="s">
        <v>695</v>
      </c>
      <c r="D244" t="s">
        <v>694</v>
      </c>
      <c r="E244" s="2" t="s">
        <v>692</v>
      </c>
      <c r="F244" t="s">
        <v>693</v>
      </c>
      <c r="G244" t="str">
        <f>HYPERLINK("https://n.news.naver.com/mnews/article/018/0005399830?sid=100")</f>
        <v>https://n.news.naver.com/mnews/article/018/0005399830?sid=100</v>
      </c>
      <c r="H244">
        <v>0.20899999999999999</v>
      </c>
    </row>
    <row r="245" spans="1:8" x14ac:dyDescent="0.3">
      <c r="A245" t="s">
        <v>3</v>
      </c>
      <c r="B245" t="s">
        <v>26951</v>
      </c>
      <c r="C245" t="s">
        <v>698</v>
      </c>
      <c r="D245" t="s">
        <v>697</v>
      </c>
      <c r="E245" s="2" t="s">
        <v>692</v>
      </c>
      <c r="F245" t="s">
        <v>696</v>
      </c>
      <c r="G245" t="str">
        <f>HYPERLINK("https://n.news.naver.com/mnews/article/052/0001768076?sid=100")</f>
        <v>https://n.news.naver.com/mnews/article/052/0001768076?sid=100</v>
      </c>
      <c r="H245">
        <v>0.252</v>
      </c>
    </row>
    <row r="246" spans="1:8" x14ac:dyDescent="0.3">
      <c r="A246" t="s">
        <v>3</v>
      </c>
      <c r="B246" t="s">
        <v>26951</v>
      </c>
      <c r="C246" t="s">
        <v>701</v>
      </c>
      <c r="D246" t="s">
        <v>700</v>
      </c>
      <c r="E246" s="2" t="s">
        <v>692</v>
      </c>
      <c r="F246" t="s">
        <v>699</v>
      </c>
      <c r="G246" t="str">
        <f>HYPERLINK("https://www.etoday.co.kr/news/view/2481277")</f>
        <v>https://www.etoday.co.kr/news/view/2481277</v>
      </c>
      <c r="H246">
        <v>0.23</v>
      </c>
    </row>
    <row r="247" spans="1:8" x14ac:dyDescent="0.3">
      <c r="A247" t="s">
        <v>3</v>
      </c>
      <c r="B247" t="s">
        <v>26951</v>
      </c>
      <c r="C247" t="s">
        <v>703</v>
      </c>
      <c r="D247" t="s">
        <v>702</v>
      </c>
      <c r="E247" s="2" t="s">
        <v>692</v>
      </c>
      <c r="F247" t="s">
        <v>40</v>
      </c>
      <c r="G247" t="str">
        <f>HYPERLINK("https://dealsite.co.kr/articles/142275")</f>
        <v>https://dealsite.co.kr/articles/142275</v>
      </c>
      <c r="H247">
        <v>0.51500000000000001</v>
      </c>
    </row>
    <row r="248" spans="1:8" x14ac:dyDescent="0.3">
      <c r="A248" t="s">
        <v>3</v>
      </c>
      <c r="B248" t="s">
        <v>26951</v>
      </c>
      <c r="C248" t="s">
        <v>705</v>
      </c>
      <c r="D248" t="s">
        <v>704</v>
      </c>
      <c r="E248" s="2" t="s">
        <v>692</v>
      </c>
      <c r="F248" t="s">
        <v>332</v>
      </c>
      <c r="G248" t="str">
        <f>HYPERLINK("https://n.news.naver.com/mnews/article/018/0006021507?sid=101")</f>
        <v>https://n.news.naver.com/mnews/article/018/0006021507?sid=101</v>
      </c>
      <c r="H248">
        <v>0.23100000000000001</v>
      </c>
    </row>
    <row r="249" spans="1:8" x14ac:dyDescent="0.3">
      <c r="A249" t="s">
        <v>3</v>
      </c>
      <c r="B249" t="s">
        <v>26951</v>
      </c>
      <c r="C249" t="s">
        <v>708</v>
      </c>
      <c r="D249" t="s">
        <v>707</v>
      </c>
      <c r="E249" s="2" t="s">
        <v>692</v>
      </c>
      <c r="F249" t="s">
        <v>706</v>
      </c>
      <c r="G249" t="str">
        <f>HYPERLINK("https://n.news.naver.com/mnews/article/018/0005965483?sid=101")</f>
        <v>https://n.news.naver.com/mnews/article/018/0005965483?sid=101</v>
      </c>
      <c r="H249">
        <v>0.221</v>
      </c>
    </row>
    <row r="250" spans="1:8" x14ac:dyDescent="0.3">
      <c r="A250" t="s">
        <v>3</v>
      </c>
      <c r="B250" t="s">
        <v>26951</v>
      </c>
      <c r="C250" t="s">
        <v>710</v>
      </c>
      <c r="D250" t="s">
        <v>709</v>
      </c>
      <c r="E250" s="2" t="s">
        <v>692</v>
      </c>
      <c r="F250" t="s">
        <v>40</v>
      </c>
      <c r="G250" t="str">
        <f>HYPERLINK("https://www.pinpointnews.co.kr/news/articleView.html?idxno=303602")</f>
        <v>https://www.pinpointnews.co.kr/news/articleView.html?idxno=303602</v>
      </c>
      <c r="H250">
        <v>0.55700000000000005</v>
      </c>
    </row>
    <row r="251" spans="1:8" x14ac:dyDescent="0.3">
      <c r="A251" t="s">
        <v>3</v>
      </c>
      <c r="B251" t="s">
        <v>26951</v>
      </c>
      <c r="C251" t="s">
        <v>714</v>
      </c>
      <c r="D251" t="s">
        <v>713</v>
      </c>
      <c r="E251" s="2" t="s">
        <v>711</v>
      </c>
      <c r="F251" t="s">
        <v>712</v>
      </c>
      <c r="G251" t="str">
        <f>HYPERLINK("http://www.seoulwire.com/news/articleView.html?idxno=263286")</f>
        <v>http://www.seoulwire.com/news/articleView.html?idxno=263286</v>
      </c>
      <c r="H251">
        <v>0.39500000000000002</v>
      </c>
    </row>
    <row r="252" spans="1:8" x14ac:dyDescent="0.3">
      <c r="A252" t="s">
        <v>3</v>
      </c>
      <c r="B252" t="s">
        <v>26951</v>
      </c>
      <c r="C252" t="s">
        <v>717</v>
      </c>
      <c r="D252" t="s">
        <v>716</v>
      </c>
      <c r="E252" s="2" t="s">
        <v>711</v>
      </c>
      <c r="F252" t="s">
        <v>715</v>
      </c>
      <c r="G252" t="str">
        <f>HYPERLINK("http://www.incheontoday.com/news/articleView.html?idxno=238009")</f>
        <v>http://www.incheontoday.com/news/articleView.html?idxno=238009</v>
      </c>
      <c r="H252">
        <v>0.46800000000000003</v>
      </c>
    </row>
    <row r="253" spans="1:8" x14ac:dyDescent="0.3">
      <c r="A253" t="s">
        <v>3</v>
      </c>
      <c r="B253" t="s">
        <v>26951</v>
      </c>
      <c r="C253" t="s">
        <v>722</v>
      </c>
      <c r="D253" t="s">
        <v>721</v>
      </c>
      <c r="E253" s="2" t="s">
        <v>711</v>
      </c>
      <c r="F253" t="s">
        <v>40</v>
      </c>
      <c r="G253" t="str">
        <f>HYPERLINK("https://n.news.naver.com/mnews/article/018/0004335149?sid=101")</f>
        <v>https://n.news.naver.com/mnews/article/018/0004335149?sid=101</v>
      </c>
      <c r="H253">
        <v>0.252</v>
      </c>
    </row>
    <row r="254" spans="1:8" x14ac:dyDescent="0.3">
      <c r="A254" t="s">
        <v>3</v>
      </c>
      <c r="B254" t="s">
        <v>26951</v>
      </c>
      <c r="C254" t="s">
        <v>724</v>
      </c>
      <c r="D254" t="s">
        <v>723</v>
      </c>
      <c r="E254" s="2" t="s">
        <v>711</v>
      </c>
      <c r="F254" t="s">
        <v>310</v>
      </c>
      <c r="G254" t="str">
        <f>HYPERLINK("https://www.ggilbo.com/news/articleView.html?idxno=1042453")</f>
        <v>https://www.ggilbo.com/news/articleView.html?idxno=1042453</v>
      </c>
      <c r="H254">
        <v>0.28399999999999997</v>
      </c>
    </row>
    <row r="255" spans="1:8" x14ac:dyDescent="0.3">
      <c r="A255" t="s">
        <v>3</v>
      </c>
      <c r="B255" t="s">
        <v>26951</v>
      </c>
      <c r="C255" t="s">
        <v>728</v>
      </c>
      <c r="D255" t="s">
        <v>727</v>
      </c>
      <c r="E255" s="2" t="s">
        <v>725</v>
      </c>
      <c r="F255" t="s">
        <v>726</v>
      </c>
      <c r="G255" t="str">
        <f>HYPERLINK("https://news.bbsi.co.kr/news/articleView.html?idxno=4036213")</f>
        <v>https://news.bbsi.co.kr/news/articleView.html?idxno=4036213</v>
      </c>
      <c r="H255">
        <v>0.39800000000000002</v>
      </c>
    </row>
    <row r="256" spans="1:8" x14ac:dyDescent="0.3">
      <c r="A256" t="s">
        <v>3</v>
      </c>
      <c r="B256" t="s">
        <v>26951</v>
      </c>
      <c r="C256" t="s">
        <v>731</v>
      </c>
      <c r="D256" t="s">
        <v>730</v>
      </c>
      <c r="E256" s="2" t="s">
        <v>725</v>
      </c>
      <c r="F256" t="s">
        <v>729</v>
      </c>
      <c r="G256" t="str">
        <f>HYPERLINK("https://n.news.naver.com/mnews/article/018/0006049876?sid=102")</f>
        <v>https://n.news.naver.com/mnews/article/018/0006049876?sid=102</v>
      </c>
      <c r="H256">
        <v>0.33200000000000002</v>
      </c>
    </row>
    <row r="257" spans="1:8" x14ac:dyDescent="0.3">
      <c r="A257" t="s">
        <v>3</v>
      </c>
      <c r="B257" t="s">
        <v>26951</v>
      </c>
      <c r="C257" t="s">
        <v>734</v>
      </c>
      <c r="D257" t="s">
        <v>733</v>
      </c>
      <c r="E257" s="2" t="s">
        <v>725</v>
      </c>
      <c r="F257" t="s">
        <v>732</v>
      </c>
      <c r="G257" t="str">
        <f>HYPERLINK("http://www.nextdaily.co.kr/news/articleView.html?idxno=212228")</f>
        <v>http://www.nextdaily.co.kr/news/articleView.html?idxno=212228</v>
      </c>
      <c r="H257">
        <v>0.26400000000000001</v>
      </c>
    </row>
    <row r="258" spans="1:8" x14ac:dyDescent="0.3">
      <c r="A258" t="s">
        <v>3</v>
      </c>
      <c r="B258" t="s">
        <v>26951</v>
      </c>
      <c r="C258" t="s">
        <v>736</v>
      </c>
      <c r="D258" t="s">
        <v>735</v>
      </c>
      <c r="E258" s="2" t="s">
        <v>725</v>
      </c>
      <c r="F258" t="s">
        <v>411</v>
      </c>
      <c r="G258" t="str">
        <f>HYPERLINK("http://www.seoulfn.com/news/articleView.html?idxno=559395")</f>
        <v>http://www.seoulfn.com/news/articleView.html?idxno=559395</v>
      </c>
      <c r="H258">
        <v>0.79700000000000004</v>
      </c>
    </row>
    <row r="259" spans="1:8" x14ac:dyDescent="0.3">
      <c r="A259" t="s">
        <v>3</v>
      </c>
      <c r="B259" t="s">
        <v>26951</v>
      </c>
      <c r="C259" t="s">
        <v>739</v>
      </c>
      <c r="D259" t="s">
        <v>738</v>
      </c>
      <c r="E259" s="2" t="s">
        <v>725</v>
      </c>
      <c r="F259" t="s">
        <v>737</v>
      </c>
      <c r="G259" t="str">
        <f>HYPERLINK("https://n.news.naver.com/mnews/article/032/0003379072?sid=100")</f>
        <v>https://n.news.naver.com/mnews/article/032/0003379072?sid=100</v>
      </c>
      <c r="H259">
        <v>0.26800000000000002</v>
      </c>
    </row>
    <row r="260" spans="1:8" x14ac:dyDescent="0.3">
      <c r="A260" t="s">
        <v>3</v>
      </c>
      <c r="B260" t="s">
        <v>26951</v>
      </c>
      <c r="C260" t="s">
        <v>741</v>
      </c>
      <c r="D260" t="s">
        <v>740</v>
      </c>
      <c r="E260" s="2" t="s">
        <v>742</v>
      </c>
      <c r="F260" t="s">
        <v>535</v>
      </c>
      <c r="G260" t="str">
        <f>HYPERLINK("https://n.news.naver.com/mnews/article/018/0002495564?sid=101")</f>
        <v>https://n.news.naver.com/mnews/article/018/0002495564?sid=101</v>
      </c>
      <c r="H260">
        <v>0.16600000000000001</v>
      </c>
    </row>
    <row r="261" spans="1:8" x14ac:dyDescent="0.3">
      <c r="A261" t="s">
        <v>3</v>
      </c>
      <c r="B261" t="s">
        <v>26951</v>
      </c>
      <c r="C261" t="s">
        <v>745</v>
      </c>
      <c r="D261" t="s">
        <v>744</v>
      </c>
      <c r="E261" s="2" t="s">
        <v>742</v>
      </c>
      <c r="F261" t="s">
        <v>743</v>
      </c>
      <c r="G261" t="str">
        <f>HYPERLINK("https://ppss.kr/archives/227109")</f>
        <v>https://ppss.kr/archives/227109</v>
      </c>
      <c r="H261">
        <v>0.40300000000000002</v>
      </c>
    </row>
    <row r="262" spans="1:8" x14ac:dyDescent="0.3">
      <c r="A262" t="s">
        <v>3</v>
      </c>
      <c r="B262" t="s">
        <v>26951</v>
      </c>
      <c r="C262" t="s">
        <v>747</v>
      </c>
      <c r="D262" t="s">
        <v>746</v>
      </c>
      <c r="E262" s="2" t="s">
        <v>742</v>
      </c>
      <c r="F262" t="s">
        <v>40</v>
      </c>
      <c r="G262" t="str">
        <f>HYPERLINK("http://www.newspim.com/news/view/20201110000803")</f>
        <v>http://www.newspim.com/news/view/20201110000803</v>
      </c>
      <c r="H262">
        <v>0.438</v>
      </c>
    </row>
    <row r="263" spans="1:8" x14ac:dyDescent="0.3">
      <c r="A263" t="s">
        <v>3</v>
      </c>
      <c r="B263" t="s">
        <v>26951</v>
      </c>
      <c r="C263" t="s">
        <v>749</v>
      </c>
      <c r="D263" t="s">
        <v>748</v>
      </c>
      <c r="E263" s="2" t="s">
        <v>742</v>
      </c>
      <c r="F263" t="s">
        <v>8</v>
      </c>
      <c r="G263" t="str">
        <f>HYPERLINK("https://www.viva100.com/main/view.php?key=20231130010009117")</f>
        <v>https://www.viva100.com/main/view.php?key=20231130010009117</v>
      </c>
      <c r="H263">
        <v>0.20399999999999999</v>
      </c>
    </row>
    <row r="264" spans="1:8" x14ac:dyDescent="0.3">
      <c r="A264" t="s">
        <v>3</v>
      </c>
      <c r="B264" t="s">
        <v>26951</v>
      </c>
      <c r="C264" t="s">
        <v>751</v>
      </c>
      <c r="D264" t="s">
        <v>750</v>
      </c>
      <c r="E264" s="2" t="s">
        <v>742</v>
      </c>
      <c r="F264" t="s">
        <v>40</v>
      </c>
      <c r="G264" t="str">
        <f>HYPERLINK("https://news.einfomax.co.kr/news/articleView.html?idxno=4319145")</f>
        <v>https://news.einfomax.co.kr/news/articleView.html?idxno=4319145</v>
      </c>
      <c r="H264">
        <v>0.51400000000000001</v>
      </c>
    </row>
    <row r="265" spans="1:8" x14ac:dyDescent="0.3">
      <c r="A265" t="s">
        <v>3</v>
      </c>
      <c r="B265" t="s">
        <v>26951</v>
      </c>
      <c r="C265" t="s">
        <v>753</v>
      </c>
      <c r="D265" t="s">
        <v>752</v>
      </c>
      <c r="E265" s="2" t="s">
        <v>742</v>
      </c>
      <c r="F265" t="s">
        <v>549</v>
      </c>
      <c r="G265" t="str">
        <f>HYPERLINK("https://n.news.naver.com/mnews/article/018/0006031916?sid=101")</f>
        <v>https://n.news.naver.com/mnews/article/018/0006031916?sid=101</v>
      </c>
      <c r="H265">
        <v>0.28899999999999998</v>
      </c>
    </row>
    <row r="266" spans="1:8" x14ac:dyDescent="0.3">
      <c r="A266" t="s">
        <v>3</v>
      </c>
      <c r="B266" t="s">
        <v>26951</v>
      </c>
      <c r="C266" t="s">
        <v>755</v>
      </c>
      <c r="D266" t="s">
        <v>754</v>
      </c>
      <c r="E266" s="2" t="s">
        <v>742</v>
      </c>
      <c r="F266" t="s">
        <v>658</v>
      </c>
      <c r="G266" t="str">
        <f>HYPERLINK("https://n.news.naver.com/mnews/article/018/0003319618?sid=101")</f>
        <v>https://n.news.naver.com/mnews/article/018/0003319618?sid=101</v>
      </c>
      <c r="H266">
        <v>0.151</v>
      </c>
    </row>
    <row r="267" spans="1:8" x14ac:dyDescent="0.3">
      <c r="A267" t="s">
        <v>3</v>
      </c>
      <c r="B267" t="s">
        <v>26951</v>
      </c>
      <c r="C267" t="s">
        <v>757</v>
      </c>
      <c r="D267" t="s">
        <v>756</v>
      </c>
      <c r="E267" s="2" t="s">
        <v>742</v>
      </c>
      <c r="F267" t="s">
        <v>625</v>
      </c>
      <c r="G267" t="str">
        <f>HYPERLINK("https://news.einfomax.co.kr/news/articleView.html?idxno=4324027")</f>
        <v>https://news.einfomax.co.kr/news/articleView.html?idxno=4324027</v>
      </c>
      <c r="H267">
        <v>0.435</v>
      </c>
    </row>
    <row r="268" spans="1:8" x14ac:dyDescent="0.3">
      <c r="A268" t="s">
        <v>3</v>
      </c>
      <c r="B268" t="s">
        <v>26951</v>
      </c>
      <c r="C268" t="s">
        <v>759</v>
      </c>
      <c r="D268" t="s">
        <v>758</v>
      </c>
      <c r="E268" s="2" t="s">
        <v>742</v>
      </c>
      <c r="F268" t="s">
        <v>407</v>
      </c>
      <c r="G268" t="str">
        <f>HYPERLINK("http://www.newspim.com/news/view/20180525000320")</f>
        <v>http://www.newspim.com/news/view/20180525000320</v>
      </c>
      <c r="H268">
        <v>0.29799999999999999</v>
      </c>
    </row>
    <row r="269" spans="1:8" x14ac:dyDescent="0.3">
      <c r="A269" t="s">
        <v>3</v>
      </c>
      <c r="B269" t="s">
        <v>26951</v>
      </c>
      <c r="C269" t="s">
        <v>760</v>
      </c>
      <c r="D269" t="s">
        <v>182</v>
      </c>
      <c r="E269" s="2" t="s">
        <v>742</v>
      </c>
      <c r="F269" t="s">
        <v>40</v>
      </c>
      <c r="G269" t="str">
        <f>HYPERLINK("https://n.news.naver.com/mnews/article/018/0005242690?sid=102")</f>
        <v>https://n.news.naver.com/mnews/article/018/0005242690?sid=102</v>
      </c>
      <c r="H269">
        <v>0.314</v>
      </c>
    </row>
    <row r="270" spans="1:8" x14ac:dyDescent="0.3">
      <c r="A270" t="s">
        <v>3</v>
      </c>
      <c r="B270" t="s">
        <v>26951</v>
      </c>
      <c r="C270" t="s">
        <v>763</v>
      </c>
      <c r="D270" t="s">
        <v>762</v>
      </c>
      <c r="E270" s="2" t="s">
        <v>742</v>
      </c>
      <c r="F270" t="s">
        <v>761</v>
      </c>
      <c r="G270" t="str">
        <f>HYPERLINK("https://www.ccdailynews.com/news/articleView.html?idxno=2207060")</f>
        <v>https://www.ccdailynews.com/news/articleView.html?idxno=2207060</v>
      </c>
      <c r="H270">
        <v>0.52100000000000002</v>
      </c>
    </row>
    <row r="271" spans="1:8" x14ac:dyDescent="0.3">
      <c r="A271" t="s">
        <v>3</v>
      </c>
      <c r="B271" t="s">
        <v>26951</v>
      </c>
      <c r="C271" t="s">
        <v>766</v>
      </c>
      <c r="D271" t="s">
        <v>765</v>
      </c>
      <c r="E271" s="2" t="s">
        <v>742</v>
      </c>
      <c r="F271" t="s">
        <v>764</v>
      </c>
      <c r="G271" t="str">
        <f>HYPERLINK("https://www.ekn.kr/web/view.php?key=20250529020111493")</f>
        <v>https://www.ekn.kr/web/view.php?key=20250529020111493</v>
      </c>
      <c r="H271">
        <v>0.51500000000000001</v>
      </c>
    </row>
    <row r="272" spans="1:8" x14ac:dyDescent="0.3">
      <c r="A272" t="s">
        <v>3</v>
      </c>
      <c r="B272" t="s">
        <v>26951</v>
      </c>
      <c r="C272" t="s">
        <v>769</v>
      </c>
      <c r="D272" t="s">
        <v>768</v>
      </c>
      <c r="E272" s="2" t="s">
        <v>742</v>
      </c>
      <c r="F272" t="s">
        <v>767</v>
      </c>
      <c r="G272" t="str">
        <f>HYPERLINK("https://weekly.hankooki.com/news/articleView.html?idxno=7087946")</f>
        <v>https://weekly.hankooki.com/news/articleView.html?idxno=7087946</v>
      </c>
      <c r="H272">
        <v>0.183</v>
      </c>
    </row>
    <row r="273" spans="1:8" x14ac:dyDescent="0.3">
      <c r="A273" t="s">
        <v>3</v>
      </c>
      <c r="B273" t="s">
        <v>26951</v>
      </c>
      <c r="C273" t="s">
        <v>771</v>
      </c>
      <c r="D273" t="s">
        <v>770</v>
      </c>
      <c r="E273" s="2" t="s">
        <v>742</v>
      </c>
      <c r="F273" t="s">
        <v>31</v>
      </c>
      <c r="G273" t="str">
        <f>HYPERLINK("http://www.seoulwire.com/news/articleView.html?idxno=228471")</f>
        <v>http://www.seoulwire.com/news/articleView.html?idxno=228471</v>
      </c>
      <c r="H273">
        <v>0.248</v>
      </c>
    </row>
    <row r="274" spans="1:8" x14ac:dyDescent="0.3">
      <c r="A274" t="s">
        <v>3</v>
      </c>
      <c r="B274" t="s">
        <v>26951</v>
      </c>
      <c r="C274" t="s">
        <v>773</v>
      </c>
      <c r="D274" t="s">
        <v>772</v>
      </c>
      <c r="E274" s="2" t="s">
        <v>742</v>
      </c>
      <c r="F274" t="s">
        <v>549</v>
      </c>
      <c r="G274" t="str">
        <f>HYPERLINK("https://n.news.naver.com/mnews/article/018/0003915852?sid=101")</f>
        <v>https://n.news.naver.com/mnews/article/018/0003915852?sid=101</v>
      </c>
      <c r="H274">
        <v>0.29299999999999998</v>
      </c>
    </row>
    <row r="275" spans="1:8" x14ac:dyDescent="0.3">
      <c r="A275" t="s">
        <v>3</v>
      </c>
      <c r="B275" t="s">
        <v>26951</v>
      </c>
      <c r="C275" t="s">
        <v>775</v>
      </c>
      <c r="D275" t="s">
        <v>774</v>
      </c>
      <c r="E275" s="2" t="s">
        <v>742</v>
      </c>
      <c r="F275" t="s">
        <v>530</v>
      </c>
      <c r="G275" t="str">
        <f>HYPERLINK("https://news.einfomax.co.kr/news/articleView.html?idxno=4356749")</f>
        <v>https://news.einfomax.co.kr/news/articleView.html?idxno=4356749</v>
      </c>
      <c r="H275">
        <v>0.71699999999999997</v>
      </c>
    </row>
    <row r="276" spans="1:8" x14ac:dyDescent="0.3">
      <c r="A276" t="s">
        <v>3</v>
      </c>
      <c r="B276" t="s">
        <v>26951</v>
      </c>
      <c r="C276" t="s">
        <v>778</v>
      </c>
      <c r="D276" t="s">
        <v>777</v>
      </c>
      <c r="E276" s="2" t="s">
        <v>742</v>
      </c>
      <c r="F276" t="s">
        <v>776</v>
      </c>
      <c r="G276" t="str">
        <f>HYPERLINK("http://www.kdpress.co.kr/news/articleView.html?idxno=116198")</f>
        <v>http://www.kdpress.co.kr/news/articleView.html?idxno=116198</v>
      </c>
      <c r="H276">
        <v>0.31900000000000001</v>
      </c>
    </row>
    <row r="277" spans="1:8" x14ac:dyDescent="0.3">
      <c r="A277" t="s">
        <v>3</v>
      </c>
      <c r="B277" t="s">
        <v>26951</v>
      </c>
      <c r="C277" t="s">
        <v>781</v>
      </c>
      <c r="D277" t="s">
        <v>780</v>
      </c>
      <c r="E277" s="2" t="s">
        <v>742</v>
      </c>
      <c r="F277" t="s">
        <v>779</v>
      </c>
      <c r="G277" t="str">
        <f>HYPERLINK("https://n.news.naver.com/mnews/article/018/0006031280?sid=100")</f>
        <v>https://n.news.naver.com/mnews/article/018/0006031280?sid=100</v>
      </c>
      <c r="H277">
        <v>0.28399999999999997</v>
      </c>
    </row>
    <row r="278" spans="1:8" x14ac:dyDescent="0.3">
      <c r="A278" t="s">
        <v>3</v>
      </c>
      <c r="B278" t="s">
        <v>26951</v>
      </c>
      <c r="C278" t="s">
        <v>784</v>
      </c>
      <c r="D278" t="s">
        <v>783</v>
      </c>
      <c r="E278" s="2" t="s">
        <v>742</v>
      </c>
      <c r="F278" t="s">
        <v>782</v>
      </c>
      <c r="G278" t="str">
        <f>HYPERLINK("http://www.jbsori.com/news/articleView.html?idxno=11881")</f>
        <v>http://www.jbsori.com/news/articleView.html?idxno=11881</v>
      </c>
      <c r="H278">
        <v>0.109</v>
      </c>
    </row>
    <row r="279" spans="1:8" x14ac:dyDescent="0.3">
      <c r="A279" t="s">
        <v>3</v>
      </c>
      <c r="B279" t="s">
        <v>26951</v>
      </c>
      <c r="C279" t="s">
        <v>787</v>
      </c>
      <c r="D279" t="s">
        <v>786</v>
      </c>
      <c r="E279" s="2" t="s">
        <v>742</v>
      </c>
      <c r="F279" t="s">
        <v>785</v>
      </c>
      <c r="G279" t="str">
        <f>HYPERLINK("https://n.news.naver.com/mnews/article/018/0006044099?sid=101")</f>
        <v>https://n.news.naver.com/mnews/article/018/0006044099?sid=101</v>
      </c>
      <c r="H279">
        <v>0.23100000000000001</v>
      </c>
    </row>
    <row r="280" spans="1:8" x14ac:dyDescent="0.3">
      <c r="A280" t="s">
        <v>3</v>
      </c>
      <c r="B280" t="s">
        <v>26951</v>
      </c>
      <c r="C280" t="s">
        <v>789</v>
      </c>
      <c r="D280" t="s">
        <v>788</v>
      </c>
      <c r="E280" s="2" t="s">
        <v>742</v>
      </c>
      <c r="F280" t="s">
        <v>785</v>
      </c>
      <c r="G280" t="str">
        <f>HYPERLINK("https://n.news.naver.com/mnews/article/018/0006049876?sid=102")</f>
        <v>https://n.news.naver.com/mnews/article/018/0006049876?sid=102</v>
      </c>
      <c r="H280">
        <v>0.24299999999999999</v>
      </c>
    </row>
    <row r="281" spans="1:8" x14ac:dyDescent="0.3">
      <c r="A281" t="s">
        <v>3</v>
      </c>
      <c r="B281" t="s">
        <v>26951</v>
      </c>
      <c r="C281" t="s">
        <v>791</v>
      </c>
      <c r="D281" t="s">
        <v>790</v>
      </c>
      <c r="E281" s="2" t="s">
        <v>742</v>
      </c>
      <c r="F281" t="s">
        <v>785</v>
      </c>
      <c r="G281" t="str">
        <f>HYPERLINK("http://www.sisaon.co.kr/news/articleView.html?idxno=172518")</f>
        <v>http://www.sisaon.co.kr/news/articleView.html?idxno=172518</v>
      </c>
      <c r="H281">
        <v>0.26300000000000001</v>
      </c>
    </row>
    <row r="282" spans="1:8" x14ac:dyDescent="0.3">
      <c r="A282" t="s">
        <v>3</v>
      </c>
      <c r="B282" t="s">
        <v>26951</v>
      </c>
      <c r="C282" t="s">
        <v>793</v>
      </c>
      <c r="D282" t="s">
        <v>792</v>
      </c>
      <c r="E282" s="2" t="s">
        <v>742</v>
      </c>
      <c r="F282" t="s">
        <v>453</v>
      </c>
      <c r="G282" t="str">
        <f>HYPERLINK("http://www.nongaek.com/news/articleView.html?idxno=91799")</f>
        <v>http://www.nongaek.com/news/articleView.html?idxno=91799</v>
      </c>
      <c r="H282">
        <v>0.47699999999999998</v>
      </c>
    </row>
    <row r="283" spans="1:8" x14ac:dyDescent="0.3">
      <c r="A283" t="s">
        <v>3</v>
      </c>
      <c r="B283" t="s">
        <v>26951</v>
      </c>
      <c r="C283" t="s">
        <v>795</v>
      </c>
      <c r="D283" t="s">
        <v>794</v>
      </c>
      <c r="E283" s="2" t="s">
        <v>742</v>
      </c>
      <c r="F283" t="s">
        <v>453</v>
      </c>
      <c r="G283" t="str">
        <f>HYPERLINK("https://n.news.naver.com/mnews/article/277/0005615227?sid=105")</f>
        <v>https://n.news.naver.com/mnews/article/277/0005615227?sid=105</v>
      </c>
      <c r="H283">
        <v>0.26900000000000002</v>
      </c>
    </row>
    <row r="284" spans="1:8" x14ac:dyDescent="0.3">
      <c r="A284" t="s">
        <v>3</v>
      </c>
      <c r="B284" t="s">
        <v>26951</v>
      </c>
      <c r="C284" t="s">
        <v>798</v>
      </c>
      <c r="D284" t="s">
        <v>797</v>
      </c>
      <c r="E284" s="2" t="s">
        <v>799</v>
      </c>
      <c r="F284" t="s">
        <v>796</v>
      </c>
      <c r="G284" t="str">
        <f>HYPERLINK("https://n.news.naver.com/mnews/article/006/0000067059?sid=102")</f>
        <v>https://n.news.naver.com/mnews/article/006/0000067059?sid=102</v>
      </c>
      <c r="H284">
        <v>0.215</v>
      </c>
    </row>
    <row r="285" spans="1:8" x14ac:dyDescent="0.3">
      <c r="A285" t="s">
        <v>3</v>
      </c>
      <c r="B285" t="s">
        <v>26951</v>
      </c>
      <c r="C285" t="s">
        <v>802</v>
      </c>
      <c r="D285" t="s">
        <v>801</v>
      </c>
      <c r="E285" s="2" t="s">
        <v>799</v>
      </c>
      <c r="F285" t="s">
        <v>800</v>
      </c>
      <c r="G285" t="str">
        <f>HYPERLINK("https://n.news.naver.com/mnews/article/018/0006030102?sid=102")</f>
        <v>https://n.news.naver.com/mnews/article/018/0006030102?sid=102</v>
      </c>
      <c r="H285">
        <v>0.24299999999999999</v>
      </c>
    </row>
    <row r="286" spans="1:8" x14ac:dyDescent="0.3">
      <c r="A286" t="s">
        <v>3</v>
      </c>
      <c r="B286" t="s">
        <v>26951</v>
      </c>
      <c r="C286" t="s">
        <v>804</v>
      </c>
      <c r="D286" t="s">
        <v>803</v>
      </c>
      <c r="E286" s="2" t="s">
        <v>799</v>
      </c>
      <c r="F286" t="s">
        <v>8</v>
      </c>
      <c r="G286" t="str">
        <f>HYPERLINK("https://n.news.naver.com/mnews/article/018/0006047463?sid=103")</f>
        <v>https://n.news.naver.com/mnews/article/018/0006047463?sid=103</v>
      </c>
      <c r="H286">
        <v>0.17699999999999999</v>
      </c>
    </row>
    <row r="287" spans="1:8" x14ac:dyDescent="0.3">
      <c r="A287" t="s">
        <v>3</v>
      </c>
      <c r="B287" t="s">
        <v>26951</v>
      </c>
      <c r="C287" t="s">
        <v>807</v>
      </c>
      <c r="D287" t="s">
        <v>806</v>
      </c>
      <c r="E287" s="2" t="s">
        <v>799</v>
      </c>
      <c r="F287" t="s">
        <v>805</v>
      </c>
      <c r="G287" t="str">
        <f>HYPERLINK("https://www.econovill.com/news/articleView.html?idxno=701611")</f>
        <v>https://www.econovill.com/news/articleView.html?idxno=701611</v>
      </c>
      <c r="H287">
        <v>0.20399999999999999</v>
      </c>
    </row>
    <row r="288" spans="1:8" x14ac:dyDescent="0.3">
      <c r="A288" t="s">
        <v>3</v>
      </c>
      <c r="B288" t="s">
        <v>26951</v>
      </c>
      <c r="C288" t="s">
        <v>810</v>
      </c>
      <c r="D288" t="s">
        <v>809</v>
      </c>
      <c r="E288" s="2" t="s">
        <v>799</v>
      </c>
      <c r="F288" t="s">
        <v>808</v>
      </c>
      <c r="G288" t="str">
        <f>HYPERLINK("http://apnews.kr/View.aspx?No=874326")</f>
        <v>http://apnews.kr/View.aspx?No=874326</v>
      </c>
      <c r="H288">
        <v>0.57999999999999996</v>
      </c>
    </row>
    <row r="289" spans="1:8" x14ac:dyDescent="0.3">
      <c r="A289" t="s">
        <v>3</v>
      </c>
      <c r="B289" t="s">
        <v>26951</v>
      </c>
      <c r="C289" t="s">
        <v>813</v>
      </c>
      <c r="D289" t="s">
        <v>812</v>
      </c>
      <c r="E289" s="2" t="s">
        <v>799</v>
      </c>
      <c r="F289" t="s">
        <v>811</v>
      </c>
      <c r="G289" t="str">
        <f>HYPERLINK("http://www.ggilbo.com/news/articleView.html?idxno=921760")</f>
        <v>http://www.ggilbo.com/news/articleView.html?idxno=921760</v>
      </c>
      <c r="H289">
        <v>0.43099999999999999</v>
      </c>
    </row>
    <row r="290" spans="1:8" x14ac:dyDescent="0.3">
      <c r="A290" t="s">
        <v>3</v>
      </c>
      <c r="B290" t="s">
        <v>26951</v>
      </c>
      <c r="C290" t="s">
        <v>816</v>
      </c>
      <c r="D290" t="s">
        <v>815</v>
      </c>
      <c r="E290" s="2" t="s">
        <v>799</v>
      </c>
      <c r="F290" t="s">
        <v>814</v>
      </c>
      <c r="G290" t="str">
        <f>HYPERLINK("https://n.news.naver.com/mnews/article/018/0006042769?sid=105")</f>
        <v>https://n.news.naver.com/mnews/article/018/0006042769?sid=105</v>
      </c>
      <c r="H290">
        <v>0.28199999999999997</v>
      </c>
    </row>
    <row r="291" spans="1:8" x14ac:dyDescent="0.3">
      <c r="A291" t="s">
        <v>3</v>
      </c>
      <c r="B291" t="s">
        <v>26951</v>
      </c>
      <c r="C291" t="s">
        <v>819</v>
      </c>
      <c r="D291" t="s">
        <v>818</v>
      </c>
      <c r="E291" s="2" t="s">
        <v>799</v>
      </c>
      <c r="F291" t="s">
        <v>817</v>
      </c>
      <c r="G291" t="str">
        <f>HYPERLINK("https://www.socialvalue.kr/news/view/1065568454221722")</f>
        <v>https://www.socialvalue.kr/news/view/1065568454221722</v>
      </c>
      <c r="H291">
        <v>0.55100000000000005</v>
      </c>
    </row>
    <row r="292" spans="1:8" x14ac:dyDescent="0.3">
      <c r="A292" t="s">
        <v>3</v>
      </c>
      <c r="B292" t="s">
        <v>26951</v>
      </c>
      <c r="C292" t="s">
        <v>821</v>
      </c>
      <c r="D292" t="s">
        <v>820</v>
      </c>
      <c r="E292" s="2" t="s">
        <v>799</v>
      </c>
      <c r="F292" t="s">
        <v>556</v>
      </c>
      <c r="G292" t="str">
        <f>HYPERLINK("https://n.news.naver.com/mnews/article/018/0004465205?sid=102")</f>
        <v>https://n.news.naver.com/mnews/article/018/0004465205?sid=102</v>
      </c>
      <c r="H292">
        <v>0.25600000000000001</v>
      </c>
    </row>
    <row r="293" spans="1:8" x14ac:dyDescent="0.3">
      <c r="A293" t="s">
        <v>3</v>
      </c>
      <c r="B293" t="s">
        <v>26951</v>
      </c>
      <c r="C293" t="s">
        <v>825</v>
      </c>
      <c r="D293" t="s">
        <v>824</v>
      </c>
      <c r="E293" s="2" t="s">
        <v>799</v>
      </c>
      <c r="F293" t="s">
        <v>305</v>
      </c>
      <c r="G293" t="str">
        <f>HYPERLINK("https://n.news.naver.com/mnews/article/018/0006030654?sid=101")</f>
        <v>https://n.news.naver.com/mnews/article/018/0006030654?sid=101</v>
      </c>
      <c r="H293">
        <v>0.23499999999999999</v>
      </c>
    </row>
    <row r="294" spans="1:8" x14ac:dyDescent="0.3">
      <c r="A294" t="s">
        <v>3</v>
      </c>
      <c r="B294" t="s">
        <v>26951</v>
      </c>
      <c r="C294" t="s">
        <v>828</v>
      </c>
      <c r="D294" t="s">
        <v>827</v>
      </c>
      <c r="E294" s="2" t="s">
        <v>799</v>
      </c>
      <c r="F294" t="s">
        <v>826</v>
      </c>
      <c r="G294" t="str">
        <f>HYPERLINK("https://radio.ytn.co.kr/program/?f=2&amp;id=95987&amp;s_mcd=0206&amp;s_hcd=15")</f>
        <v>https://radio.ytn.co.kr/program/?f=2&amp;id=95987&amp;s_mcd=0206&amp;s_hcd=15</v>
      </c>
      <c r="H294">
        <v>0.13100000000000001</v>
      </c>
    </row>
    <row r="295" spans="1:8" x14ac:dyDescent="0.3">
      <c r="A295" t="s">
        <v>3</v>
      </c>
      <c r="B295" t="s">
        <v>26951</v>
      </c>
      <c r="C295" t="s">
        <v>830</v>
      </c>
      <c r="D295" t="s">
        <v>829</v>
      </c>
      <c r="E295" s="2" t="s">
        <v>799</v>
      </c>
      <c r="F295" t="s">
        <v>453</v>
      </c>
      <c r="G295" t="str">
        <f>HYPERLINK("https://n.news.naver.com/mnews/article/018/0006053220?sid=102")</f>
        <v>https://n.news.naver.com/mnews/article/018/0006053220?sid=102</v>
      </c>
      <c r="H295">
        <v>0.20399999999999999</v>
      </c>
    </row>
    <row r="296" spans="1:8" x14ac:dyDescent="0.3">
      <c r="A296" t="s">
        <v>3</v>
      </c>
      <c r="B296" t="s">
        <v>26951</v>
      </c>
      <c r="C296" t="s">
        <v>832</v>
      </c>
      <c r="D296" t="s">
        <v>831</v>
      </c>
      <c r="E296" s="2" t="s">
        <v>799</v>
      </c>
      <c r="F296" t="s">
        <v>376</v>
      </c>
      <c r="G296" t="str">
        <f>HYPERLINK("https://n.news.naver.com/mnews/article/018/0002467966?sid=101")</f>
        <v>https://n.news.naver.com/mnews/article/018/0002467966?sid=101</v>
      </c>
      <c r="H296">
        <v>0.17599999999999999</v>
      </c>
    </row>
    <row r="297" spans="1:8" x14ac:dyDescent="0.3">
      <c r="A297" t="s">
        <v>3</v>
      </c>
      <c r="B297" t="s">
        <v>26951</v>
      </c>
      <c r="C297" t="s">
        <v>834</v>
      </c>
      <c r="D297" t="s">
        <v>833</v>
      </c>
      <c r="E297" s="2" t="s">
        <v>799</v>
      </c>
      <c r="F297" t="s">
        <v>57</v>
      </c>
      <c r="G297" t="str">
        <f>HYPERLINK("https://www.newspim.com/news/view/20250611000843")</f>
        <v>https://www.newspim.com/news/view/20250611000843</v>
      </c>
      <c r="H297">
        <v>0.184</v>
      </c>
    </row>
    <row r="298" spans="1:8" x14ac:dyDescent="0.3">
      <c r="A298" t="s">
        <v>3</v>
      </c>
      <c r="B298" t="s">
        <v>26951</v>
      </c>
      <c r="C298" t="s">
        <v>836</v>
      </c>
      <c r="D298" t="s">
        <v>835</v>
      </c>
      <c r="E298" s="2" t="s">
        <v>799</v>
      </c>
      <c r="F298" t="s">
        <v>126</v>
      </c>
      <c r="G298" t="str">
        <f>HYPERLINK("https://n.news.naver.com/mnews/article/018/0006047281?sid=101")</f>
        <v>https://n.news.naver.com/mnews/article/018/0006047281?sid=101</v>
      </c>
      <c r="H298">
        <v>0.372</v>
      </c>
    </row>
    <row r="299" spans="1:8" x14ac:dyDescent="0.3">
      <c r="A299" t="s">
        <v>3</v>
      </c>
      <c r="B299" t="s">
        <v>26951</v>
      </c>
      <c r="C299" t="s">
        <v>839</v>
      </c>
      <c r="D299" t="s">
        <v>838</v>
      </c>
      <c r="E299" s="2" t="s">
        <v>840</v>
      </c>
      <c r="F299" t="s">
        <v>837</v>
      </c>
      <c r="G299" t="str">
        <f>HYPERLINK("https://n.news.naver.com/mnews/article/018/0006029987?sid=101")</f>
        <v>https://n.news.naver.com/mnews/article/018/0006029987?sid=101</v>
      </c>
      <c r="H299">
        <v>0.17499999999999999</v>
      </c>
    </row>
    <row r="300" spans="1:8" x14ac:dyDescent="0.3">
      <c r="A300" t="s">
        <v>3</v>
      </c>
      <c r="B300" t="s">
        <v>26951</v>
      </c>
      <c r="C300" t="s">
        <v>842</v>
      </c>
      <c r="D300" t="s">
        <v>841</v>
      </c>
      <c r="E300" s="2" t="s">
        <v>840</v>
      </c>
      <c r="F300" t="s">
        <v>453</v>
      </c>
      <c r="G300" t="str">
        <f>HYPERLINK("http://www.doctorstimes.com/news/articleView.html?idxno=233214")</f>
        <v>http://www.doctorstimes.com/news/articleView.html?idxno=233214</v>
      </c>
      <c r="H300">
        <v>0.28799999999999998</v>
      </c>
    </row>
    <row r="301" spans="1:8" x14ac:dyDescent="0.3">
      <c r="A301" t="s">
        <v>3</v>
      </c>
      <c r="B301" t="s">
        <v>26951</v>
      </c>
      <c r="C301" t="s">
        <v>845</v>
      </c>
      <c r="D301" t="s">
        <v>844</v>
      </c>
      <c r="E301" s="2" t="s">
        <v>840</v>
      </c>
      <c r="F301" t="s">
        <v>843</v>
      </c>
      <c r="G301" t="str">
        <f>HYPERLINK("https://n.news.naver.com/mnews/article/214/0001419085?sid=100")</f>
        <v>https://n.news.naver.com/mnews/article/214/0001419085?sid=100</v>
      </c>
      <c r="H301">
        <v>0.21199999999999999</v>
      </c>
    </row>
    <row r="302" spans="1:8" x14ac:dyDescent="0.3">
      <c r="A302" t="s">
        <v>3</v>
      </c>
      <c r="B302" t="s">
        <v>26951</v>
      </c>
      <c r="C302" t="s">
        <v>848</v>
      </c>
      <c r="D302" t="s">
        <v>847</v>
      </c>
      <c r="E302" s="2" t="s">
        <v>840</v>
      </c>
      <c r="F302" t="s">
        <v>785</v>
      </c>
      <c r="G302" t="str">
        <f>HYPERLINK("https://n.news.naver.com/mnews/article/277/0005615227?sid=105")</f>
        <v>https://n.news.naver.com/mnews/article/277/0005615227?sid=105</v>
      </c>
      <c r="H302">
        <v>0.157</v>
      </c>
    </row>
    <row r="303" spans="1:8" x14ac:dyDescent="0.3">
      <c r="A303" t="s">
        <v>3</v>
      </c>
      <c r="B303" t="s">
        <v>26951</v>
      </c>
      <c r="C303" t="s">
        <v>850</v>
      </c>
      <c r="D303" t="s">
        <v>849</v>
      </c>
      <c r="E303" s="2" t="s">
        <v>840</v>
      </c>
      <c r="F303" t="s">
        <v>785</v>
      </c>
      <c r="G303" t="str">
        <f>HYPERLINK("https://n.news.naver.com/mnews/article/018/0006049876?sid=102")</f>
        <v>https://n.news.naver.com/mnews/article/018/0006049876?sid=102</v>
      </c>
      <c r="H303">
        <v>0.18099999999999999</v>
      </c>
    </row>
    <row r="304" spans="1:8" x14ac:dyDescent="0.3">
      <c r="A304" t="s">
        <v>3</v>
      </c>
      <c r="B304" t="s">
        <v>26951</v>
      </c>
      <c r="C304" t="s">
        <v>852</v>
      </c>
      <c r="D304" t="s">
        <v>851</v>
      </c>
      <c r="E304" s="2" t="s">
        <v>840</v>
      </c>
      <c r="F304" t="s">
        <v>453</v>
      </c>
      <c r="G304" t="str">
        <f>HYPERLINK("http://www.sctoday.co.kr/news/articleView.html?idxno=45448")</f>
        <v>http://www.sctoday.co.kr/news/articleView.html?idxno=45448</v>
      </c>
      <c r="H304">
        <v>0.223</v>
      </c>
    </row>
    <row r="305" spans="1:8" x14ac:dyDescent="0.3">
      <c r="A305" t="s">
        <v>3</v>
      </c>
      <c r="B305" t="s">
        <v>26951</v>
      </c>
      <c r="C305" t="s">
        <v>854</v>
      </c>
      <c r="D305" t="s">
        <v>853</v>
      </c>
      <c r="E305" s="2" t="s">
        <v>840</v>
      </c>
      <c r="F305" t="s">
        <v>453</v>
      </c>
      <c r="G305" t="str">
        <f>HYPERLINK("http://www.issuenbiz.com/news/articleView.html?idxno=62924")</f>
        <v>http://www.issuenbiz.com/news/articleView.html?idxno=62924</v>
      </c>
      <c r="H305">
        <v>0.23899999999999999</v>
      </c>
    </row>
    <row r="306" spans="1:8" x14ac:dyDescent="0.3">
      <c r="A306" t="s">
        <v>3</v>
      </c>
      <c r="B306" t="s">
        <v>26951</v>
      </c>
      <c r="C306" t="s">
        <v>856</v>
      </c>
      <c r="D306" t="s">
        <v>855</v>
      </c>
      <c r="E306" s="2" t="s">
        <v>840</v>
      </c>
      <c r="F306" t="s">
        <v>453</v>
      </c>
      <c r="G306" t="str">
        <f>HYPERLINK("https://n.news.naver.com/mnews/article/018/0006053220?sid=102")</f>
        <v>https://n.news.naver.com/mnews/article/018/0006053220?sid=102</v>
      </c>
      <c r="H306">
        <v>0.3</v>
      </c>
    </row>
    <row r="307" spans="1:8" x14ac:dyDescent="0.3">
      <c r="A307" t="s">
        <v>3</v>
      </c>
      <c r="B307" t="s">
        <v>26951</v>
      </c>
      <c r="C307" t="s">
        <v>859</v>
      </c>
      <c r="D307" t="s">
        <v>858</v>
      </c>
      <c r="E307" s="2" t="s">
        <v>840</v>
      </c>
      <c r="F307" t="s">
        <v>857</v>
      </c>
      <c r="G307" t="str">
        <f>HYPERLINK("https://www.apnews.kr/news/articleView.html?idxno=3034697")</f>
        <v>https://www.apnews.kr/news/articleView.html?idxno=3034697</v>
      </c>
      <c r="H307">
        <v>0.251</v>
      </c>
    </row>
    <row r="308" spans="1:8" x14ac:dyDescent="0.3">
      <c r="A308" t="s">
        <v>3</v>
      </c>
      <c r="B308" t="s">
        <v>26951</v>
      </c>
      <c r="C308" t="s">
        <v>863</v>
      </c>
      <c r="D308" t="s">
        <v>862</v>
      </c>
      <c r="E308" s="2" t="s">
        <v>860</v>
      </c>
      <c r="F308" t="s">
        <v>861</v>
      </c>
      <c r="G308" t="str">
        <f>HYPERLINK("https://n.news.naver.com/mnews/article/018/0005663718?sid=101")</f>
        <v>https://n.news.naver.com/mnews/article/018/0005663718?sid=101</v>
      </c>
      <c r="H308">
        <v>0.14499999999999999</v>
      </c>
    </row>
    <row r="309" spans="1:8" x14ac:dyDescent="0.3">
      <c r="A309" t="s">
        <v>3</v>
      </c>
      <c r="B309" t="s">
        <v>26951</v>
      </c>
      <c r="C309" t="s">
        <v>865</v>
      </c>
      <c r="D309" t="s">
        <v>864</v>
      </c>
      <c r="E309" s="2" t="s">
        <v>860</v>
      </c>
      <c r="F309" t="s">
        <v>8</v>
      </c>
      <c r="G309" t="str">
        <f>HYPERLINK("https://n.news.naver.com/mnews/article/018/0006047463?sid=103")</f>
        <v>https://n.news.naver.com/mnews/article/018/0006047463?sid=103</v>
      </c>
      <c r="H309">
        <v>0.20100000000000001</v>
      </c>
    </row>
    <row r="310" spans="1:8" x14ac:dyDescent="0.3">
      <c r="A310" t="s">
        <v>3</v>
      </c>
      <c r="B310" t="s">
        <v>26951</v>
      </c>
      <c r="C310" t="s">
        <v>868</v>
      </c>
      <c r="D310" t="s">
        <v>867</v>
      </c>
      <c r="E310" s="2" t="s">
        <v>860</v>
      </c>
      <c r="F310" t="s">
        <v>866</v>
      </c>
      <c r="G310" t="str">
        <f>HYPERLINK("https://www.tokenpost.kr/article-192643")</f>
        <v>https://www.tokenpost.kr/article-192643</v>
      </c>
      <c r="H310">
        <v>0.76</v>
      </c>
    </row>
    <row r="311" spans="1:8" x14ac:dyDescent="0.3">
      <c r="A311" t="s">
        <v>3</v>
      </c>
      <c r="B311" t="s">
        <v>26951</v>
      </c>
      <c r="C311" t="s">
        <v>871</v>
      </c>
      <c r="D311" t="s">
        <v>870</v>
      </c>
      <c r="E311" s="2" t="s">
        <v>860</v>
      </c>
      <c r="F311" t="s">
        <v>869</v>
      </c>
      <c r="G311" t="str">
        <f>HYPERLINK("http://www.naeil.com/news_view/?id_art=486156")</f>
        <v>http://www.naeil.com/news_view/?id_art=486156</v>
      </c>
      <c r="H311">
        <v>0.436</v>
      </c>
    </row>
    <row r="312" spans="1:8" x14ac:dyDescent="0.3">
      <c r="A312" t="s">
        <v>3</v>
      </c>
      <c r="B312" t="s">
        <v>26951</v>
      </c>
      <c r="C312" t="s">
        <v>873</v>
      </c>
      <c r="D312" t="s">
        <v>872</v>
      </c>
      <c r="E312" s="2" t="s">
        <v>860</v>
      </c>
      <c r="F312" t="s">
        <v>419</v>
      </c>
      <c r="G312" t="str">
        <f>HYPERLINK("https://n.news.naver.com/mnews/article/056/0011979247?sid=103")</f>
        <v>https://n.news.naver.com/mnews/article/056/0011979247?sid=103</v>
      </c>
      <c r="H312">
        <v>0.33600000000000002</v>
      </c>
    </row>
    <row r="313" spans="1:8" x14ac:dyDescent="0.3">
      <c r="A313" t="s">
        <v>3</v>
      </c>
      <c r="B313" t="s">
        <v>26951</v>
      </c>
      <c r="C313" t="s">
        <v>876</v>
      </c>
      <c r="D313" t="s">
        <v>875</v>
      </c>
      <c r="E313" s="2" t="s">
        <v>860</v>
      </c>
      <c r="F313" t="s">
        <v>874</v>
      </c>
      <c r="G313" t="str">
        <f>HYPERLINK("https://n.news.naver.com/mnews/article/018/0005609693?sid=103")</f>
        <v>https://n.news.naver.com/mnews/article/018/0005609693?sid=103</v>
      </c>
      <c r="H313">
        <v>0.158</v>
      </c>
    </row>
    <row r="314" spans="1:8" x14ac:dyDescent="0.3">
      <c r="A314" t="s">
        <v>3</v>
      </c>
      <c r="B314" t="s">
        <v>26951</v>
      </c>
      <c r="C314" t="s">
        <v>878</v>
      </c>
      <c r="D314" t="s">
        <v>877</v>
      </c>
      <c r="E314" s="2" t="s">
        <v>860</v>
      </c>
      <c r="F314" t="s">
        <v>625</v>
      </c>
      <c r="G314" t="str">
        <f>HYPERLINK("https://news.einfomax.co.kr/news/articleView.html?idxno=4324027")</f>
        <v>https://news.einfomax.co.kr/news/articleView.html?idxno=4324027</v>
      </c>
      <c r="H314">
        <v>0.39</v>
      </c>
    </row>
    <row r="315" spans="1:8" x14ac:dyDescent="0.3">
      <c r="A315" t="s">
        <v>3</v>
      </c>
      <c r="B315" t="s">
        <v>26951</v>
      </c>
      <c r="C315" t="s">
        <v>881</v>
      </c>
      <c r="D315" t="s">
        <v>880</v>
      </c>
      <c r="E315" s="2" t="s">
        <v>860</v>
      </c>
      <c r="F315" t="s">
        <v>879</v>
      </c>
      <c r="G315" t="str">
        <f>HYPERLINK("https://n.news.naver.com/mnews/article/079/0004030794?sid=100")</f>
        <v>https://n.news.naver.com/mnews/article/079/0004030794?sid=100</v>
      </c>
      <c r="H315">
        <v>0.23699999999999999</v>
      </c>
    </row>
    <row r="316" spans="1:8" x14ac:dyDescent="0.3">
      <c r="A316" t="s">
        <v>3</v>
      </c>
      <c r="B316" t="s">
        <v>26951</v>
      </c>
      <c r="C316" t="s">
        <v>883</v>
      </c>
      <c r="D316" t="s">
        <v>882</v>
      </c>
      <c r="E316" s="2" t="s">
        <v>860</v>
      </c>
      <c r="F316" t="s">
        <v>31</v>
      </c>
      <c r="G316" t="str">
        <f>HYPERLINK("https://www.apnews.kr/news/articleView.html?idxno=3012403")</f>
        <v>https://www.apnews.kr/news/articleView.html?idxno=3012403</v>
      </c>
      <c r="H316">
        <v>0.224</v>
      </c>
    </row>
    <row r="317" spans="1:8" x14ac:dyDescent="0.3">
      <c r="A317" t="s">
        <v>3</v>
      </c>
      <c r="B317" t="s">
        <v>26951</v>
      </c>
      <c r="C317" t="s">
        <v>885</v>
      </c>
      <c r="D317" t="s">
        <v>884</v>
      </c>
      <c r="E317" s="2" t="s">
        <v>860</v>
      </c>
      <c r="F317" t="s">
        <v>549</v>
      </c>
      <c r="G317" t="str">
        <f>HYPERLINK("https://n.news.naver.com/mnews/article/011/0004501697?sid=104")</f>
        <v>https://n.news.naver.com/mnews/article/011/0004501697?sid=104</v>
      </c>
      <c r="H317">
        <v>0.26100000000000001</v>
      </c>
    </row>
    <row r="318" spans="1:8" x14ac:dyDescent="0.3">
      <c r="A318" t="s">
        <v>3</v>
      </c>
      <c r="B318" t="s">
        <v>26951</v>
      </c>
      <c r="C318" t="s">
        <v>888</v>
      </c>
      <c r="D318" t="s">
        <v>887</v>
      </c>
      <c r="E318" s="2" t="s">
        <v>860</v>
      </c>
      <c r="F318" t="s">
        <v>886</v>
      </c>
      <c r="G318" t="str">
        <f>HYPERLINK("https://news.einfomax.co.kr/news/articleView.html?idxno=4361978")</f>
        <v>https://news.einfomax.co.kr/news/articleView.html?idxno=4361978</v>
      </c>
      <c r="H318">
        <v>0.41</v>
      </c>
    </row>
    <row r="319" spans="1:8" x14ac:dyDescent="0.3">
      <c r="A319" t="s">
        <v>3</v>
      </c>
      <c r="B319" t="s">
        <v>26951</v>
      </c>
      <c r="C319" t="s">
        <v>890</v>
      </c>
      <c r="D319" t="s">
        <v>889</v>
      </c>
      <c r="E319" s="2" t="s">
        <v>860</v>
      </c>
      <c r="F319" t="s">
        <v>205</v>
      </c>
      <c r="G319" t="str">
        <f>HYPERLINK("https://n.news.naver.com/mnews/article/119/0002963682?sid=101")</f>
        <v>https://n.news.naver.com/mnews/article/119/0002963682?sid=101</v>
      </c>
      <c r="H319">
        <v>0.20100000000000001</v>
      </c>
    </row>
    <row r="320" spans="1:8" x14ac:dyDescent="0.3">
      <c r="A320" t="s">
        <v>3</v>
      </c>
      <c r="B320" t="s">
        <v>26951</v>
      </c>
      <c r="C320" t="s">
        <v>892</v>
      </c>
      <c r="D320" t="s">
        <v>891</v>
      </c>
      <c r="E320" s="2" t="s">
        <v>860</v>
      </c>
      <c r="F320" t="s">
        <v>376</v>
      </c>
      <c r="G320" t="str">
        <f>HYPERLINK("http://apnews.kr/View.aspx?No=2177343")</f>
        <v>http://apnews.kr/View.aspx?No=2177343</v>
      </c>
      <c r="H320">
        <v>0.19900000000000001</v>
      </c>
    </row>
    <row r="321" spans="1:8" x14ac:dyDescent="0.3">
      <c r="A321" t="s">
        <v>3</v>
      </c>
      <c r="B321" t="s">
        <v>26951</v>
      </c>
      <c r="C321" t="s">
        <v>895</v>
      </c>
      <c r="D321" t="s">
        <v>894</v>
      </c>
      <c r="E321" s="2" t="s">
        <v>860</v>
      </c>
      <c r="F321" t="s">
        <v>893</v>
      </c>
      <c r="G321" t="str">
        <f>HYPERLINK("https://dealsite.co.kr/articles/142275")</f>
        <v>https://dealsite.co.kr/articles/142275</v>
      </c>
      <c r="H321">
        <v>0.28599999999999998</v>
      </c>
    </row>
    <row r="322" spans="1:8" x14ac:dyDescent="0.3">
      <c r="A322" t="s">
        <v>3</v>
      </c>
      <c r="B322" t="s">
        <v>26951</v>
      </c>
      <c r="C322" t="s">
        <v>897</v>
      </c>
      <c r="D322" t="s">
        <v>896</v>
      </c>
      <c r="E322" s="2" t="s">
        <v>860</v>
      </c>
      <c r="F322" t="s">
        <v>782</v>
      </c>
      <c r="G322" t="str">
        <f>HYPERLINK("http://ch.yes24.com/Article/View/52717")</f>
        <v>http://ch.yes24.com/Article/View/52717</v>
      </c>
      <c r="H322">
        <v>0.17599999999999999</v>
      </c>
    </row>
    <row r="323" spans="1:8" x14ac:dyDescent="0.3">
      <c r="A323" t="s">
        <v>3</v>
      </c>
      <c r="B323" t="s">
        <v>26951</v>
      </c>
      <c r="C323" t="s">
        <v>900</v>
      </c>
      <c r="D323" t="s">
        <v>899</v>
      </c>
      <c r="E323" s="2" t="s">
        <v>860</v>
      </c>
      <c r="F323" t="s">
        <v>898</v>
      </c>
      <c r="G323" t="str">
        <f>HYPERLINK("https://www.danbinews.com/news/articleView.html?idxno=30758")</f>
        <v>https://www.danbinews.com/news/articleView.html?idxno=30758</v>
      </c>
      <c r="H323">
        <v>0.65200000000000002</v>
      </c>
    </row>
    <row r="324" spans="1:8" x14ac:dyDescent="0.3">
      <c r="A324" t="s">
        <v>3</v>
      </c>
      <c r="B324" t="s">
        <v>26951</v>
      </c>
      <c r="C324" t="s">
        <v>902</v>
      </c>
      <c r="D324" t="s">
        <v>901</v>
      </c>
      <c r="E324" s="2" t="s">
        <v>903</v>
      </c>
      <c r="F324" t="s">
        <v>785</v>
      </c>
      <c r="G324" t="str">
        <f>HYPERLINK("https://n.news.naver.com/mnews/article/018/0006044099?sid=101")</f>
        <v>https://n.news.naver.com/mnews/article/018/0006044099?sid=101</v>
      </c>
      <c r="H324">
        <v>0.19</v>
      </c>
    </row>
    <row r="325" spans="1:8" x14ac:dyDescent="0.3">
      <c r="A325" t="s">
        <v>3</v>
      </c>
      <c r="B325" t="s">
        <v>26951</v>
      </c>
      <c r="C325" t="s">
        <v>905</v>
      </c>
      <c r="D325" t="s">
        <v>904</v>
      </c>
      <c r="E325" s="2" t="s">
        <v>903</v>
      </c>
      <c r="F325" t="s">
        <v>785</v>
      </c>
      <c r="G325" t="str">
        <f>HYPERLINK("https://www.kukinews.com/article/view/kuk202506300102")</f>
        <v>https://www.kukinews.com/article/view/kuk202506300102</v>
      </c>
      <c r="H325">
        <v>0.20699999999999999</v>
      </c>
    </row>
    <row r="326" spans="1:8" x14ac:dyDescent="0.3">
      <c r="A326" t="s">
        <v>3</v>
      </c>
      <c r="B326" t="s">
        <v>26951</v>
      </c>
      <c r="C326" t="s">
        <v>907</v>
      </c>
      <c r="D326" t="s">
        <v>906</v>
      </c>
      <c r="E326" s="2" t="s">
        <v>903</v>
      </c>
      <c r="F326" t="s">
        <v>785</v>
      </c>
      <c r="G326" t="str">
        <f>HYPERLINK("https://n.news.naver.com/mnews/article/018/0006053220?sid=102")</f>
        <v>https://n.news.naver.com/mnews/article/018/0006053220?sid=102</v>
      </c>
      <c r="H326">
        <v>0.158</v>
      </c>
    </row>
    <row r="327" spans="1:8" x14ac:dyDescent="0.3">
      <c r="A327" t="s">
        <v>3</v>
      </c>
      <c r="B327" t="s">
        <v>26951</v>
      </c>
      <c r="C327" t="s">
        <v>909</v>
      </c>
      <c r="D327" t="s">
        <v>908</v>
      </c>
      <c r="E327" s="2" t="s">
        <v>903</v>
      </c>
      <c r="F327" t="s">
        <v>785</v>
      </c>
      <c r="G327" t="str">
        <f>HYPERLINK("https://n.news.naver.com/mnews/article/469/0000873197?sid=104")</f>
        <v>https://n.news.naver.com/mnews/article/469/0000873197?sid=104</v>
      </c>
      <c r="H327">
        <v>0.19800000000000001</v>
      </c>
    </row>
    <row r="328" spans="1:8" x14ac:dyDescent="0.3">
      <c r="A328" t="s">
        <v>3</v>
      </c>
      <c r="B328" t="s">
        <v>26951</v>
      </c>
      <c r="C328" t="s">
        <v>912</v>
      </c>
      <c r="D328" t="s">
        <v>911</v>
      </c>
      <c r="E328" s="2" t="s">
        <v>903</v>
      </c>
      <c r="F328" t="s">
        <v>910</v>
      </c>
      <c r="G328" t="str">
        <f>HYPERLINK("http://www.itdaily.kr/news/articleView.html?idxno=221681")</f>
        <v>http://www.itdaily.kr/news/articleView.html?idxno=221681</v>
      </c>
      <c r="H328">
        <v>0.23400000000000001</v>
      </c>
    </row>
    <row r="329" spans="1:8" x14ac:dyDescent="0.3">
      <c r="A329" t="s">
        <v>913</v>
      </c>
      <c r="B329" t="s">
        <v>26951</v>
      </c>
      <c r="C329" t="s">
        <v>916</v>
      </c>
      <c r="D329" t="s">
        <v>915</v>
      </c>
      <c r="E329" s="2" t="s">
        <v>7</v>
      </c>
      <c r="F329" t="s">
        <v>914</v>
      </c>
      <c r="G329" t="str">
        <f>HYPERLINK("https://news.mtn.co.kr/news-detail/2025031912365872425")</f>
        <v>https://news.mtn.co.kr/news-detail/2025031912365872425</v>
      </c>
      <c r="H329">
        <v>0.16700000000000001</v>
      </c>
    </row>
    <row r="330" spans="1:8" x14ac:dyDescent="0.3">
      <c r="A330" t="s">
        <v>913</v>
      </c>
      <c r="B330" t="s">
        <v>26951</v>
      </c>
      <c r="C330" t="s">
        <v>919</v>
      </c>
      <c r="D330" t="s">
        <v>918</v>
      </c>
      <c r="E330" s="2" t="s">
        <v>7</v>
      </c>
      <c r="F330" t="s">
        <v>917</v>
      </c>
      <c r="G330" t="str">
        <f>HYPERLINK("https://n.news.naver.com/mnews/article/018/0006053386?sid=101")</f>
        <v>https://n.news.naver.com/mnews/article/018/0006053386?sid=101</v>
      </c>
      <c r="H330">
        <v>0.217</v>
      </c>
    </row>
    <row r="331" spans="1:8" x14ac:dyDescent="0.3">
      <c r="A331" t="s">
        <v>913</v>
      </c>
      <c r="B331" t="s">
        <v>26951</v>
      </c>
      <c r="C331" t="s">
        <v>922</v>
      </c>
      <c r="D331" t="s">
        <v>921</v>
      </c>
      <c r="E331" s="2" t="s">
        <v>7</v>
      </c>
      <c r="F331" t="s">
        <v>920</v>
      </c>
      <c r="G331" t="str">
        <f>HYPERLINK("https://n.news.naver.com/mnews/article/008/0000751258?sid=101")</f>
        <v>https://n.news.naver.com/mnews/article/008/0000751258?sid=101</v>
      </c>
      <c r="H331">
        <v>0.55300000000000005</v>
      </c>
    </row>
    <row r="332" spans="1:8" x14ac:dyDescent="0.3">
      <c r="A332" t="s">
        <v>913</v>
      </c>
      <c r="B332" t="s">
        <v>26951</v>
      </c>
      <c r="C332" t="s">
        <v>924</v>
      </c>
      <c r="D332" t="s">
        <v>923</v>
      </c>
      <c r="E332" s="2" t="s">
        <v>7</v>
      </c>
      <c r="F332" t="s">
        <v>805</v>
      </c>
      <c r="G332" t="str">
        <f>HYPERLINK("https://www.obsnews.co.kr/news/articleView.html?idxno=1488458")</f>
        <v>https://www.obsnews.co.kr/news/articleView.html?idxno=1488458</v>
      </c>
      <c r="H332">
        <v>0.54700000000000004</v>
      </c>
    </row>
    <row r="333" spans="1:8" x14ac:dyDescent="0.3">
      <c r="A333" t="s">
        <v>913</v>
      </c>
      <c r="B333" t="s">
        <v>26951</v>
      </c>
      <c r="C333" t="s">
        <v>926</v>
      </c>
      <c r="D333" t="s">
        <v>925</v>
      </c>
      <c r="E333" s="2" t="s">
        <v>7</v>
      </c>
      <c r="F333" t="s">
        <v>857</v>
      </c>
      <c r="G333" t="str">
        <f>HYPERLINK("https://n.news.naver.com/mnews/article/008/0005215085?sid=102")</f>
        <v>https://n.news.naver.com/mnews/article/008/0005215085?sid=102</v>
      </c>
      <c r="H333">
        <v>0.10199999999999999</v>
      </c>
    </row>
    <row r="334" spans="1:8" x14ac:dyDescent="0.3">
      <c r="A334" t="s">
        <v>913</v>
      </c>
      <c r="B334" t="s">
        <v>26951</v>
      </c>
      <c r="C334" t="s">
        <v>928</v>
      </c>
      <c r="D334" t="s">
        <v>927</v>
      </c>
      <c r="E334" s="2" t="s">
        <v>7</v>
      </c>
      <c r="F334" t="s">
        <v>376</v>
      </c>
      <c r="G334" t="str">
        <f>HYPERLINK("https://n.news.naver.com/mnews/article/028/0002701275?sid=102")</f>
        <v>https://n.news.naver.com/mnews/article/028/0002701275?sid=102</v>
      </c>
      <c r="H334">
        <v>0.115</v>
      </c>
    </row>
    <row r="335" spans="1:8" x14ac:dyDescent="0.3">
      <c r="A335" t="s">
        <v>913</v>
      </c>
      <c r="B335" t="s">
        <v>26951</v>
      </c>
      <c r="C335" t="s">
        <v>930</v>
      </c>
      <c r="D335" t="s">
        <v>929</v>
      </c>
      <c r="E335" s="2" t="s">
        <v>66</v>
      </c>
      <c r="F335" t="s">
        <v>776</v>
      </c>
      <c r="G335" t="str">
        <f>HYPERLINK("http://www.irobotnews.com/news/articleView.html?idxno=26069")</f>
        <v>http://www.irobotnews.com/news/articleView.html?idxno=26069</v>
      </c>
      <c r="H335">
        <v>0.41099999999999998</v>
      </c>
    </row>
    <row r="336" spans="1:8" x14ac:dyDescent="0.3">
      <c r="A336" t="s">
        <v>913</v>
      </c>
      <c r="B336" t="s">
        <v>26951</v>
      </c>
      <c r="C336" t="s">
        <v>932</v>
      </c>
      <c r="D336" t="s">
        <v>931</v>
      </c>
      <c r="E336" s="2" t="s">
        <v>66</v>
      </c>
      <c r="F336" t="s">
        <v>776</v>
      </c>
      <c r="G336" t="str">
        <f>HYPERLINK("http://www.irobotnews.com/news/articleView.html?idxno=26069")</f>
        <v>http://www.irobotnews.com/news/articleView.html?idxno=26069</v>
      </c>
      <c r="H336">
        <v>0.41899999999999998</v>
      </c>
    </row>
    <row r="337" spans="1:8" x14ac:dyDescent="0.3">
      <c r="A337" t="s">
        <v>913</v>
      </c>
      <c r="B337" t="s">
        <v>26951</v>
      </c>
      <c r="C337" t="s">
        <v>934</v>
      </c>
      <c r="D337" t="s">
        <v>933</v>
      </c>
      <c r="E337" s="2" t="s">
        <v>66</v>
      </c>
      <c r="F337" t="s">
        <v>776</v>
      </c>
      <c r="G337" t="str">
        <f>HYPERLINK("http://www.irobotnews.com/news/articleView.html?idxno=26069")</f>
        <v>http://www.irobotnews.com/news/articleView.html?idxno=26069</v>
      </c>
      <c r="H337">
        <v>0.48</v>
      </c>
    </row>
    <row r="338" spans="1:8" x14ac:dyDescent="0.3">
      <c r="A338" t="s">
        <v>913</v>
      </c>
      <c r="B338" t="s">
        <v>26951</v>
      </c>
      <c r="C338" t="s">
        <v>937</v>
      </c>
      <c r="D338" t="s">
        <v>936</v>
      </c>
      <c r="E338" s="2" t="s">
        <v>66</v>
      </c>
      <c r="F338" t="s">
        <v>935</v>
      </c>
      <c r="G338" t="str">
        <f>HYPERLINK("https://n.news.naver.com/mnews/article/008/0002866078?sid=102")</f>
        <v>https://n.news.naver.com/mnews/article/008/0002866078?sid=102</v>
      </c>
      <c r="H338">
        <v>0.53</v>
      </c>
    </row>
    <row r="339" spans="1:8" x14ac:dyDescent="0.3">
      <c r="A339" t="s">
        <v>913</v>
      </c>
      <c r="B339" t="s">
        <v>26951</v>
      </c>
      <c r="C339" t="s">
        <v>939</v>
      </c>
      <c r="D339" t="s">
        <v>938</v>
      </c>
      <c r="E339" s="2" t="s">
        <v>66</v>
      </c>
      <c r="F339" t="s">
        <v>96</v>
      </c>
      <c r="G339" t="str">
        <f>HYPERLINK("http://www.newsfreezone.co.kr/news/articleView.html?idxno=396746")</f>
        <v>http://www.newsfreezone.co.kr/news/articleView.html?idxno=396746</v>
      </c>
      <c r="H339">
        <v>0.20699999999999999</v>
      </c>
    </row>
    <row r="340" spans="1:8" x14ac:dyDescent="0.3">
      <c r="A340" t="s">
        <v>913</v>
      </c>
      <c r="B340" t="s">
        <v>26951</v>
      </c>
      <c r="C340" t="s">
        <v>942</v>
      </c>
      <c r="D340" t="s">
        <v>941</v>
      </c>
      <c r="E340" s="2" t="s">
        <v>74</v>
      </c>
      <c r="F340" t="s">
        <v>940</v>
      </c>
      <c r="G340" t="str">
        <f>HYPERLINK("https://n.news.naver.com/mnews/article/056/0011914295?sid=101")</f>
        <v>https://n.news.naver.com/mnews/article/056/0011914295?sid=101</v>
      </c>
      <c r="H340">
        <v>0.214</v>
      </c>
    </row>
    <row r="341" spans="1:8" x14ac:dyDescent="0.3">
      <c r="A341" t="s">
        <v>913</v>
      </c>
      <c r="B341" t="s">
        <v>26951</v>
      </c>
      <c r="C341" t="s">
        <v>945</v>
      </c>
      <c r="D341" t="s">
        <v>944</v>
      </c>
      <c r="E341" s="2" t="s">
        <v>74</v>
      </c>
      <c r="F341" t="s">
        <v>943</v>
      </c>
      <c r="G341" t="str">
        <f>HYPERLINK("https://www.bizwork.co.kr/news/articleView.html?idxno=403179")</f>
        <v>https://www.bizwork.co.kr/news/articleView.html?idxno=403179</v>
      </c>
      <c r="H341">
        <v>0.61799999999999999</v>
      </c>
    </row>
    <row r="342" spans="1:8" x14ac:dyDescent="0.3">
      <c r="A342" t="s">
        <v>913</v>
      </c>
      <c r="B342" t="s">
        <v>26951</v>
      </c>
      <c r="C342" t="s">
        <v>947</v>
      </c>
      <c r="D342" t="s">
        <v>946</v>
      </c>
      <c r="E342" s="2" t="s">
        <v>74</v>
      </c>
      <c r="F342" t="s">
        <v>215</v>
      </c>
      <c r="G342" t="str">
        <f>HYPERLINK("http://www.econovill.com/news/articleView.html?idxno=277838")</f>
        <v>http://www.econovill.com/news/articleView.html?idxno=277838</v>
      </c>
      <c r="H342">
        <v>0.36199999999999999</v>
      </c>
    </row>
    <row r="343" spans="1:8" x14ac:dyDescent="0.3">
      <c r="A343" t="s">
        <v>913</v>
      </c>
      <c r="B343" t="s">
        <v>26951</v>
      </c>
      <c r="C343" t="s">
        <v>950</v>
      </c>
      <c r="D343" t="s">
        <v>949</v>
      </c>
      <c r="E343" s="2" t="s">
        <v>74</v>
      </c>
      <c r="F343" t="s">
        <v>948</v>
      </c>
      <c r="G343" t="str">
        <f>HYPERLINK("http://www.intn.co.kr/news/articleView.html?idxno=2016550")</f>
        <v>http://www.intn.co.kr/news/articleView.html?idxno=2016550</v>
      </c>
      <c r="H343">
        <v>0.46100000000000002</v>
      </c>
    </row>
    <row r="344" spans="1:8" x14ac:dyDescent="0.3">
      <c r="A344" t="s">
        <v>913</v>
      </c>
      <c r="B344" t="s">
        <v>26951</v>
      </c>
      <c r="C344" t="s">
        <v>953</v>
      </c>
      <c r="D344" t="s">
        <v>952</v>
      </c>
      <c r="E344" s="2" t="s">
        <v>105</v>
      </c>
      <c r="F344" t="s">
        <v>951</v>
      </c>
      <c r="G344" t="str">
        <f>HYPERLINK("https://www.greened.kr/news/articleView.html?idxno=325081")</f>
        <v>https://www.greened.kr/news/articleView.html?idxno=325081</v>
      </c>
      <c r="H344">
        <v>0.39600000000000002</v>
      </c>
    </row>
    <row r="345" spans="1:8" x14ac:dyDescent="0.3">
      <c r="A345" t="s">
        <v>913</v>
      </c>
      <c r="B345" t="s">
        <v>26951</v>
      </c>
      <c r="C345" t="s">
        <v>956</v>
      </c>
      <c r="D345" t="s">
        <v>955</v>
      </c>
      <c r="E345" s="2" t="s">
        <v>105</v>
      </c>
      <c r="F345" t="s">
        <v>954</v>
      </c>
      <c r="G345" t="str">
        <f>HYPERLINK("https://n.news.naver.com/mnews/article/008/0005213717?sid=101")</f>
        <v>https://n.news.naver.com/mnews/article/008/0005213717?sid=101</v>
      </c>
      <c r="H345">
        <v>0.13600000000000001</v>
      </c>
    </row>
    <row r="346" spans="1:8" x14ac:dyDescent="0.3">
      <c r="A346" t="s">
        <v>913</v>
      </c>
      <c r="B346" t="s">
        <v>26951</v>
      </c>
      <c r="C346" t="s">
        <v>959</v>
      </c>
      <c r="D346" t="s">
        <v>958</v>
      </c>
      <c r="E346" s="2" t="s">
        <v>105</v>
      </c>
      <c r="F346" t="s">
        <v>957</v>
      </c>
      <c r="G346" t="str">
        <f>HYPERLINK("http://www.ccreview.co.kr/news/articleView.html?idxno=282180")</f>
        <v>http://www.ccreview.co.kr/news/articleView.html?idxno=282180</v>
      </c>
      <c r="H346">
        <v>0.56399999999999995</v>
      </c>
    </row>
    <row r="347" spans="1:8" x14ac:dyDescent="0.3">
      <c r="A347" t="s">
        <v>913</v>
      </c>
      <c r="B347" t="s">
        <v>26951</v>
      </c>
      <c r="C347" t="s">
        <v>964</v>
      </c>
      <c r="D347" t="s">
        <v>963</v>
      </c>
      <c r="E347" s="2" t="s">
        <v>105</v>
      </c>
      <c r="F347" t="s">
        <v>962</v>
      </c>
      <c r="G347" t="str">
        <f>HYPERLINK("https://www.koreahealthlog.com/news/articleView.html?idxno=52418")</f>
        <v>https://www.koreahealthlog.com/news/articleView.html?idxno=52418</v>
      </c>
      <c r="H347">
        <v>0.154</v>
      </c>
    </row>
    <row r="348" spans="1:8" x14ac:dyDescent="0.3">
      <c r="A348" t="s">
        <v>913</v>
      </c>
      <c r="B348" t="s">
        <v>26951</v>
      </c>
      <c r="C348" t="s">
        <v>966</v>
      </c>
      <c r="D348" t="s">
        <v>965</v>
      </c>
      <c r="E348" s="2" t="s">
        <v>105</v>
      </c>
      <c r="F348" t="s">
        <v>376</v>
      </c>
      <c r="G348" t="str">
        <f>HYPERLINK("https://n.news.naver.com/mnews/article/028/0002701275?sid=102")</f>
        <v>https://n.news.naver.com/mnews/article/028/0002701275?sid=102</v>
      </c>
      <c r="H348">
        <v>0.152</v>
      </c>
    </row>
    <row r="349" spans="1:8" x14ac:dyDescent="0.3">
      <c r="A349" t="s">
        <v>913</v>
      </c>
      <c r="B349" t="s">
        <v>26951</v>
      </c>
      <c r="C349" t="s">
        <v>969</v>
      </c>
      <c r="D349" t="s">
        <v>968</v>
      </c>
      <c r="E349" s="2" t="s">
        <v>133</v>
      </c>
      <c r="F349" t="s">
        <v>967</v>
      </c>
      <c r="G349" t="str">
        <f>HYPERLINK("https://www.christiantoday.co.kr/news/366384")</f>
        <v>https://www.christiantoday.co.kr/news/366384</v>
      </c>
      <c r="H349">
        <v>0.44400000000000001</v>
      </c>
    </row>
    <row r="350" spans="1:8" x14ac:dyDescent="0.3">
      <c r="A350" t="s">
        <v>913</v>
      </c>
      <c r="B350" t="s">
        <v>26951</v>
      </c>
      <c r="C350" t="s">
        <v>972</v>
      </c>
      <c r="D350" t="s">
        <v>971</v>
      </c>
      <c r="E350" s="2" t="s">
        <v>133</v>
      </c>
      <c r="F350" t="s">
        <v>970</v>
      </c>
      <c r="G350" t="str">
        <f>HYPERLINK("https://www.etoday.co.kr/news/view/2153667")</f>
        <v>https://www.etoday.co.kr/news/view/2153667</v>
      </c>
      <c r="H350">
        <v>0.50700000000000001</v>
      </c>
    </row>
    <row r="351" spans="1:8" x14ac:dyDescent="0.3">
      <c r="A351" t="s">
        <v>913</v>
      </c>
      <c r="B351" t="s">
        <v>26951</v>
      </c>
      <c r="C351" t="s">
        <v>975</v>
      </c>
      <c r="D351" t="s">
        <v>974</v>
      </c>
      <c r="E351" s="2" t="s">
        <v>133</v>
      </c>
      <c r="F351" t="s">
        <v>145</v>
      </c>
      <c r="G351" t="str">
        <f>HYPERLINK("https://n.news.naver.com/mnews/article/008/0003368940?sid=103")</f>
        <v>https://n.news.naver.com/mnews/article/008/0003368940?sid=103</v>
      </c>
      <c r="H351">
        <v>0.35299999999999998</v>
      </c>
    </row>
    <row r="352" spans="1:8" x14ac:dyDescent="0.3">
      <c r="A352" t="s">
        <v>913</v>
      </c>
      <c r="B352" t="s">
        <v>26951</v>
      </c>
      <c r="C352" t="s">
        <v>977</v>
      </c>
      <c r="D352" t="s">
        <v>976</v>
      </c>
      <c r="E352" s="2" t="s">
        <v>133</v>
      </c>
      <c r="F352" t="s">
        <v>145</v>
      </c>
      <c r="G352" t="str">
        <f>HYPERLINK("https://n.news.naver.com/mnews/article/018/0006053386?sid=101")</f>
        <v>https://n.news.naver.com/mnews/article/018/0006053386?sid=101</v>
      </c>
      <c r="H352">
        <v>0.378</v>
      </c>
    </row>
    <row r="353" spans="1:8" x14ac:dyDescent="0.3">
      <c r="A353" t="s">
        <v>913</v>
      </c>
      <c r="B353" t="s">
        <v>26951</v>
      </c>
      <c r="C353" t="s">
        <v>980</v>
      </c>
      <c r="D353" t="s">
        <v>979</v>
      </c>
      <c r="E353" s="2" t="s">
        <v>133</v>
      </c>
      <c r="F353" t="s">
        <v>978</v>
      </c>
      <c r="G353" t="str">
        <f>HYPERLINK("https://www.apnews.kr/news/articleView.html?idxno=3033507")</f>
        <v>https://www.apnews.kr/news/articleView.html?idxno=3033507</v>
      </c>
      <c r="H353">
        <v>0.313</v>
      </c>
    </row>
    <row r="354" spans="1:8" x14ac:dyDescent="0.3">
      <c r="A354" t="s">
        <v>913</v>
      </c>
      <c r="B354" t="s">
        <v>26951</v>
      </c>
      <c r="C354" t="s">
        <v>983</v>
      </c>
      <c r="D354" t="s">
        <v>982</v>
      </c>
      <c r="E354" s="2" t="s">
        <v>133</v>
      </c>
      <c r="F354" t="s">
        <v>981</v>
      </c>
      <c r="G354" t="str">
        <f>HYPERLINK("https://www.womaneconomy.co.kr/news/articleView.html?idxno=232157")</f>
        <v>https://www.womaneconomy.co.kr/news/articleView.html?idxno=232157</v>
      </c>
      <c r="H354">
        <v>0.47599999999999998</v>
      </c>
    </row>
    <row r="355" spans="1:8" x14ac:dyDescent="0.3">
      <c r="A355" t="s">
        <v>913</v>
      </c>
      <c r="B355" t="s">
        <v>26951</v>
      </c>
      <c r="C355" t="s">
        <v>985</v>
      </c>
      <c r="D355" t="s">
        <v>984</v>
      </c>
      <c r="E355" s="2" t="s">
        <v>133</v>
      </c>
      <c r="F355" t="s">
        <v>256</v>
      </c>
      <c r="G355" t="str">
        <f>HYPERLINK("https://www.pennmike.com/news/articleView.html?idxno=103885")</f>
        <v>https://www.pennmike.com/news/articleView.html?idxno=103885</v>
      </c>
      <c r="H355">
        <v>0.121</v>
      </c>
    </row>
    <row r="356" spans="1:8" x14ac:dyDescent="0.3">
      <c r="A356" t="s">
        <v>913</v>
      </c>
      <c r="B356" t="s">
        <v>26951</v>
      </c>
      <c r="C356" t="s">
        <v>988</v>
      </c>
      <c r="D356" t="s">
        <v>987</v>
      </c>
      <c r="E356" s="2" t="s">
        <v>133</v>
      </c>
      <c r="F356" t="s">
        <v>986</v>
      </c>
      <c r="G356" t="str">
        <f>HYPERLINK("https://n.news.naver.com/mnews/article/008/0005212638?sid=101")</f>
        <v>https://n.news.naver.com/mnews/article/008/0005212638?sid=101</v>
      </c>
      <c r="H356">
        <v>8.5999999999999993E-2</v>
      </c>
    </row>
    <row r="357" spans="1:8" x14ac:dyDescent="0.3">
      <c r="A357" t="s">
        <v>913</v>
      </c>
      <c r="B357" t="s">
        <v>26951</v>
      </c>
      <c r="C357" t="s">
        <v>991</v>
      </c>
      <c r="D357" t="s">
        <v>990</v>
      </c>
      <c r="E357" s="2" t="s">
        <v>133</v>
      </c>
      <c r="F357" t="s">
        <v>989</v>
      </c>
      <c r="G357" t="str">
        <f>HYPERLINK("http://www.youthdaily.co.kr/news/article.html?no=75331")</f>
        <v>http://www.youthdaily.co.kr/news/article.html?no=75331</v>
      </c>
      <c r="H357">
        <v>0.16800000000000001</v>
      </c>
    </row>
    <row r="358" spans="1:8" x14ac:dyDescent="0.3">
      <c r="A358" t="s">
        <v>913</v>
      </c>
      <c r="B358" t="s">
        <v>26951</v>
      </c>
      <c r="C358" t="s">
        <v>993</v>
      </c>
      <c r="D358" t="s">
        <v>992</v>
      </c>
      <c r="E358" s="2" t="s">
        <v>133</v>
      </c>
      <c r="F358" t="s">
        <v>190</v>
      </c>
      <c r="G358" t="str">
        <f>HYPERLINK("https://n.news.naver.com/mnews/article/008/0005213972?sid=103")</f>
        <v>https://n.news.naver.com/mnews/article/008/0005213972?sid=103</v>
      </c>
      <c r="H358">
        <v>0.47899999999999998</v>
      </c>
    </row>
    <row r="359" spans="1:8" x14ac:dyDescent="0.3">
      <c r="A359" t="s">
        <v>913</v>
      </c>
      <c r="B359" t="s">
        <v>26951</v>
      </c>
      <c r="C359" t="s">
        <v>998</v>
      </c>
      <c r="D359" t="s">
        <v>997</v>
      </c>
      <c r="E359" s="2" t="s">
        <v>172</v>
      </c>
      <c r="F359" t="s">
        <v>996</v>
      </c>
      <c r="G359" t="str">
        <f>HYPERLINK("https://www.ggilbo.com/news/articleView.html?idxno=1097078")</f>
        <v>https://www.ggilbo.com/news/articleView.html?idxno=1097078</v>
      </c>
      <c r="H359">
        <v>0.22600000000000001</v>
      </c>
    </row>
    <row r="360" spans="1:8" x14ac:dyDescent="0.3">
      <c r="A360" t="s">
        <v>913</v>
      </c>
      <c r="B360" t="s">
        <v>26951</v>
      </c>
      <c r="C360" t="s">
        <v>1002</v>
      </c>
      <c r="D360" t="s">
        <v>1001</v>
      </c>
      <c r="E360" s="2" t="s">
        <v>172</v>
      </c>
      <c r="F360" t="s">
        <v>1000</v>
      </c>
      <c r="G360" t="str">
        <f>HYPERLINK("https://www.greened.kr/news/articleView.html?idxno=327965")</f>
        <v>https://www.greened.kr/news/articleView.html?idxno=327965</v>
      </c>
      <c r="H360">
        <v>0.35699999999999998</v>
      </c>
    </row>
    <row r="361" spans="1:8" x14ac:dyDescent="0.3">
      <c r="A361" t="s">
        <v>913</v>
      </c>
      <c r="B361" t="s">
        <v>26951</v>
      </c>
      <c r="C361" t="s">
        <v>1004</v>
      </c>
      <c r="D361" t="s">
        <v>1003</v>
      </c>
      <c r="E361" s="2" t="s">
        <v>172</v>
      </c>
      <c r="F361" t="s">
        <v>148</v>
      </c>
      <c r="G361" t="str">
        <f>HYPERLINK("https://n.news.naver.com/mnews/article/008/0005029774?sid=101")</f>
        <v>https://n.news.naver.com/mnews/article/008/0005029774?sid=101</v>
      </c>
      <c r="H361">
        <v>0.17</v>
      </c>
    </row>
    <row r="362" spans="1:8" x14ac:dyDescent="0.3">
      <c r="A362" t="s">
        <v>913</v>
      </c>
      <c r="B362" t="s">
        <v>26951</v>
      </c>
      <c r="C362" t="s">
        <v>1007</v>
      </c>
      <c r="D362" t="s">
        <v>1006</v>
      </c>
      <c r="E362" s="2" t="s">
        <v>172</v>
      </c>
      <c r="F362" t="s">
        <v>1005</v>
      </c>
      <c r="G362" t="str">
        <f>HYPERLINK("https://n.news.naver.com/mnews/article/008/0000570429?sid=101")</f>
        <v>https://n.news.naver.com/mnews/article/008/0000570429?sid=101</v>
      </c>
      <c r="H362">
        <v>0.20799999999999999</v>
      </c>
    </row>
    <row r="363" spans="1:8" x14ac:dyDescent="0.3">
      <c r="A363" t="s">
        <v>913</v>
      </c>
      <c r="B363" t="s">
        <v>26951</v>
      </c>
      <c r="C363" t="s">
        <v>1009</v>
      </c>
      <c r="D363" t="s">
        <v>1008</v>
      </c>
      <c r="E363" s="2" t="s">
        <v>172</v>
      </c>
      <c r="F363" t="s">
        <v>82</v>
      </c>
      <c r="G363" t="str">
        <f>HYPERLINK("https://news.mtn.co.kr/news-detail/2024011510515419394")</f>
        <v>https://news.mtn.co.kr/news-detail/2024011510515419394</v>
      </c>
      <c r="H363">
        <v>6.4000000000000001E-2</v>
      </c>
    </row>
    <row r="364" spans="1:8" x14ac:dyDescent="0.3">
      <c r="A364" t="s">
        <v>913</v>
      </c>
      <c r="B364" t="s">
        <v>26951</v>
      </c>
      <c r="C364" t="s">
        <v>1012</v>
      </c>
      <c r="D364" t="s">
        <v>1011</v>
      </c>
      <c r="E364" s="2" t="s">
        <v>172</v>
      </c>
      <c r="F364" t="s">
        <v>1010</v>
      </c>
      <c r="G364" t="str">
        <f>HYPERLINK("http://www.boannews.com/media/view.asp?idx=102912&amp;kind=")</f>
        <v>http://www.boannews.com/media/view.asp?idx=102912&amp;kind=</v>
      </c>
      <c r="H364">
        <v>0.28199999999999997</v>
      </c>
    </row>
    <row r="365" spans="1:8" x14ac:dyDescent="0.3">
      <c r="A365" t="s">
        <v>913</v>
      </c>
      <c r="B365" t="s">
        <v>26951</v>
      </c>
      <c r="C365" t="s">
        <v>1015</v>
      </c>
      <c r="D365" t="s">
        <v>1014</v>
      </c>
      <c r="E365" s="2" t="s">
        <v>172</v>
      </c>
      <c r="F365" t="s">
        <v>1013</v>
      </c>
      <c r="G365" t="str">
        <f>HYPERLINK("https://n.news.naver.com/mnews/article/008/0005212032?sid=101")</f>
        <v>https://n.news.naver.com/mnews/article/008/0005212032?sid=101</v>
      </c>
      <c r="H365">
        <v>0.23899999999999999</v>
      </c>
    </row>
    <row r="366" spans="1:8" x14ac:dyDescent="0.3">
      <c r="A366" t="s">
        <v>913</v>
      </c>
      <c r="B366" t="s">
        <v>26951</v>
      </c>
      <c r="C366" t="s">
        <v>1017</v>
      </c>
      <c r="D366" t="s">
        <v>1016</v>
      </c>
      <c r="E366" s="2" t="s">
        <v>172</v>
      </c>
      <c r="F366" t="s">
        <v>376</v>
      </c>
      <c r="G366" t="str">
        <f>HYPERLINK("https://n.news.naver.com/mnews/article/008/0003194077?sid=102")</f>
        <v>https://n.news.naver.com/mnews/article/008/0003194077?sid=102</v>
      </c>
      <c r="H366">
        <v>0.14799999999999999</v>
      </c>
    </row>
    <row r="367" spans="1:8" x14ac:dyDescent="0.3">
      <c r="A367" t="s">
        <v>913</v>
      </c>
      <c r="B367" t="s">
        <v>26951</v>
      </c>
      <c r="C367" t="s">
        <v>1020</v>
      </c>
      <c r="D367" t="s">
        <v>1019</v>
      </c>
      <c r="E367" s="2" t="s">
        <v>172</v>
      </c>
      <c r="F367" t="s">
        <v>1018</v>
      </c>
      <c r="G367" t="str">
        <f>HYPERLINK("http://www.seoulfn.com/news/articleView.html?idxno=560704")</f>
        <v>http://www.seoulfn.com/news/articleView.html?idxno=560704</v>
      </c>
      <c r="H367">
        <v>0.46100000000000002</v>
      </c>
    </row>
    <row r="368" spans="1:8" x14ac:dyDescent="0.3">
      <c r="A368" t="s">
        <v>913</v>
      </c>
      <c r="B368" t="s">
        <v>26951</v>
      </c>
      <c r="C368" t="s">
        <v>1023</v>
      </c>
      <c r="D368" t="s">
        <v>1022</v>
      </c>
      <c r="E368" s="2" t="s">
        <v>172</v>
      </c>
      <c r="F368" t="s">
        <v>1021</v>
      </c>
      <c r="G368" t="str">
        <f>HYPERLINK("https://n.news.naver.com/mnews/article/032/0003053042?sid=104")</f>
        <v>https://n.news.naver.com/mnews/article/032/0003053042?sid=104</v>
      </c>
      <c r="H368">
        <v>0.39900000000000002</v>
      </c>
    </row>
    <row r="369" spans="1:8" x14ac:dyDescent="0.3">
      <c r="A369" t="s">
        <v>913</v>
      </c>
      <c r="B369" t="s">
        <v>26951</v>
      </c>
      <c r="C369" t="s">
        <v>1025</v>
      </c>
      <c r="D369" t="s">
        <v>1024</v>
      </c>
      <c r="E369" s="2" t="s">
        <v>196</v>
      </c>
      <c r="F369" t="s">
        <v>796</v>
      </c>
      <c r="G369" t="str">
        <f>HYPERLINK("https://n.news.naver.com/mnews/article/008/0005071319?sid=101")</f>
        <v>https://n.news.naver.com/mnews/article/008/0005071319?sid=101</v>
      </c>
      <c r="H369">
        <v>0.223</v>
      </c>
    </row>
    <row r="370" spans="1:8" x14ac:dyDescent="0.3">
      <c r="A370" t="s">
        <v>913</v>
      </c>
      <c r="B370" t="s">
        <v>26951</v>
      </c>
      <c r="C370" t="s">
        <v>1028</v>
      </c>
      <c r="D370" t="s">
        <v>1027</v>
      </c>
      <c r="E370" s="2" t="s">
        <v>196</v>
      </c>
      <c r="F370" t="s">
        <v>1026</v>
      </c>
      <c r="G370" t="str">
        <f>HYPERLINK("https://www.jejusori.net/news/articleView.html?idxno=437384")</f>
        <v>https://www.jejusori.net/news/articleView.html?idxno=437384</v>
      </c>
      <c r="H370">
        <v>0.51400000000000001</v>
      </c>
    </row>
    <row r="371" spans="1:8" x14ac:dyDescent="0.3">
      <c r="A371" t="s">
        <v>913</v>
      </c>
      <c r="B371" t="s">
        <v>26951</v>
      </c>
      <c r="C371" t="s">
        <v>1030</v>
      </c>
      <c r="D371" t="s">
        <v>1029</v>
      </c>
      <c r="E371" s="2" t="s">
        <v>196</v>
      </c>
      <c r="F371" t="s">
        <v>776</v>
      </c>
      <c r="G371" t="str">
        <f>HYPERLINK("http://www.irobotnews.com/news/articleView.html?idxno=26069")</f>
        <v>http://www.irobotnews.com/news/articleView.html?idxno=26069</v>
      </c>
      <c r="H371">
        <v>0.44400000000000001</v>
      </c>
    </row>
    <row r="372" spans="1:8" x14ac:dyDescent="0.3">
      <c r="A372" t="s">
        <v>913</v>
      </c>
      <c r="B372" t="s">
        <v>26951</v>
      </c>
      <c r="C372" t="s">
        <v>1032</v>
      </c>
      <c r="D372" t="s">
        <v>1031</v>
      </c>
      <c r="E372" s="2" t="s">
        <v>196</v>
      </c>
      <c r="F372" t="s">
        <v>866</v>
      </c>
      <c r="G372" t="str">
        <f>HYPERLINK("https://www.tokenpost.kr/news/briefing/261234")</f>
        <v>https://www.tokenpost.kr/news/briefing/261234</v>
      </c>
      <c r="H372">
        <v>0.71199999999999997</v>
      </c>
    </row>
    <row r="373" spans="1:8" x14ac:dyDescent="0.3">
      <c r="A373" t="s">
        <v>913</v>
      </c>
      <c r="B373" t="s">
        <v>26951</v>
      </c>
      <c r="C373" t="s">
        <v>1035</v>
      </c>
      <c r="D373" t="s">
        <v>1034</v>
      </c>
      <c r="E373" s="2" t="s">
        <v>196</v>
      </c>
      <c r="F373" t="s">
        <v>1033</v>
      </c>
      <c r="G373" t="str">
        <f>HYPERLINK("http://www.finomy.com/news/articleView.html?idxno=231265")</f>
        <v>http://www.finomy.com/news/articleView.html?idxno=231265</v>
      </c>
      <c r="H373">
        <v>0.52900000000000003</v>
      </c>
    </row>
    <row r="374" spans="1:8" x14ac:dyDescent="0.3">
      <c r="A374" t="s">
        <v>913</v>
      </c>
      <c r="B374" t="s">
        <v>26951</v>
      </c>
      <c r="C374" t="s">
        <v>1037</v>
      </c>
      <c r="D374" t="s">
        <v>1036</v>
      </c>
      <c r="E374" s="2" t="s">
        <v>196</v>
      </c>
      <c r="F374" t="s">
        <v>51</v>
      </c>
      <c r="G374" t="str">
        <f>HYPERLINK("https://n.news.naver.com/mnews/article/032/0003379700?sid=104")</f>
        <v>https://n.news.naver.com/mnews/article/032/0003379700?sid=104</v>
      </c>
      <c r="H374">
        <v>0.14499999999999999</v>
      </c>
    </row>
    <row r="375" spans="1:8" x14ac:dyDescent="0.3">
      <c r="A375" t="s">
        <v>913</v>
      </c>
      <c r="B375" t="s">
        <v>26951</v>
      </c>
      <c r="C375" t="s">
        <v>1040</v>
      </c>
      <c r="D375" t="s">
        <v>1039</v>
      </c>
      <c r="E375" s="2" t="s">
        <v>196</v>
      </c>
      <c r="F375" t="s">
        <v>1038</v>
      </c>
      <c r="G375" t="str">
        <f>HYPERLINK("https://n.news.naver.com/mnews/article/018/0006053386?sid=101")</f>
        <v>https://n.news.naver.com/mnews/article/018/0006053386?sid=101</v>
      </c>
      <c r="H375">
        <v>0.25900000000000001</v>
      </c>
    </row>
    <row r="376" spans="1:8" x14ac:dyDescent="0.3">
      <c r="A376" t="s">
        <v>913</v>
      </c>
      <c r="B376" t="s">
        <v>26951</v>
      </c>
      <c r="C376" t="s">
        <v>1042</v>
      </c>
      <c r="D376" t="s">
        <v>1041</v>
      </c>
      <c r="E376" s="2" t="s">
        <v>196</v>
      </c>
      <c r="F376" t="s">
        <v>151</v>
      </c>
      <c r="G376" t="str">
        <f>HYPERLINK("https://www.christiantoday.co.kr/news/369168")</f>
        <v>https://www.christiantoday.co.kr/news/369168</v>
      </c>
      <c r="H376">
        <v>0.6</v>
      </c>
    </row>
    <row r="377" spans="1:8" x14ac:dyDescent="0.3">
      <c r="A377" t="s">
        <v>913</v>
      </c>
      <c r="B377" t="s">
        <v>26951</v>
      </c>
      <c r="C377" t="s">
        <v>1044</v>
      </c>
      <c r="D377" t="s">
        <v>1043</v>
      </c>
      <c r="E377" s="2" t="s">
        <v>196</v>
      </c>
      <c r="F377" t="s">
        <v>179</v>
      </c>
      <c r="G377" t="str">
        <f>HYPERLINK("https://n.news.naver.com/mnews/article/057/0001893074?sid=102")</f>
        <v>https://n.news.naver.com/mnews/article/057/0001893074?sid=102</v>
      </c>
      <c r="H377">
        <v>0.377</v>
      </c>
    </row>
    <row r="378" spans="1:8" x14ac:dyDescent="0.3">
      <c r="A378" t="s">
        <v>913</v>
      </c>
      <c r="B378" t="s">
        <v>26951</v>
      </c>
      <c r="C378" t="s">
        <v>1047</v>
      </c>
      <c r="D378" t="s">
        <v>1046</v>
      </c>
      <c r="E378" s="2" t="s">
        <v>196</v>
      </c>
      <c r="F378" t="s">
        <v>1045</v>
      </c>
      <c r="G378" t="str">
        <f>HYPERLINK("https://www.kgnews.co.kr/news/article.html?no=852336")</f>
        <v>https://www.kgnews.co.kr/news/article.html?no=852336</v>
      </c>
      <c r="H378">
        <v>0.13300000000000001</v>
      </c>
    </row>
    <row r="379" spans="1:8" x14ac:dyDescent="0.3">
      <c r="A379" t="s">
        <v>913</v>
      </c>
      <c r="B379" t="s">
        <v>26951</v>
      </c>
      <c r="C379" t="s">
        <v>1049</v>
      </c>
      <c r="D379" t="s">
        <v>1048</v>
      </c>
      <c r="E379" s="2" t="s">
        <v>196</v>
      </c>
      <c r="F379" t="s">
        <v>256</v>
      </c>
      <c r="G379" t="str">
        <f>HYPERLINK("http://www.metroseoul.co.kr/article/20250623500441")</f>
        <v>http://www.metroseoul.co.kr/article/20250623500441</v>
      </c>
      <c r="H379">
        <v>7.3999999999999996E-2</v>
      </c>
    </row>
    <row r="380" spans="1:8" x14ac:dyDescent="0.3">
      <c r="A380" t="s">
        <v>913</v>
      </c>
      <c r="B380" t="s">
        <v>26951</v>
      </c>
      <c r="C380" t="s">
        <v>1053</v>
      </c>
      <c r="D380" t="s">
        <v>1052</v>
      </c>
      <c r="E380" s="2" t="s">
        <v>196</v>
      </c>
      <c r="F380" t="s">
        <v>1051</v>
      </c>
      <c r="G380" t="str">
        <f>HYPERLINK("https://n.news.naver.com/mnews/article/008/0000061876?sid=101")</f>
        <v>https://n.news.naver.com/mnews/article/008/0000061876?sid=101</v>
      </c>
      <c r="H380">
        <v>0.20499999999999999</v>
      </c>
    </row>
    <row r="381" spans="1:8" x14ac:dyDescent="0.3">
      <c r="A381" t="s">
        <v>913</v>
      </c>
      <c r="B381" t="s">
        <v>26951</v>
      </c>
      <c r="C381" t="s">
        <v>223</v>
      </c>
      <c r="D381" t="s">
        <v>222</v>
      </c>
      <c r="E381" s="2" t="s">
        <v>196</v>
      </c>
      <c r="F381" t="s">
        <v>197</v>
      </c>
      <c r="G381" t="str">
        <f>HYPERLINK("https://n.news.naver.com/mnews/article/008/0000516453?sid=101")</f>
        <v>https://n.news.naver.com/mnews/article/008/0000516453?sid=101</v>
      </c>
      <c r="H381">
        <v>0.32800000000000001</v>
      </c>
    </row>
    <row r="382" spans="1:8" x14ac:dyDescent="0.3">
      <c r="A382" t="s">
        <v>913</v>
      </c>
      <c r="B382" t="s">
        <v>26951</v>
      </c>
      <c r="C382" t="s">
        <v>1057</v>
      </c>
      <c r="D382" t="s">
        <v>1056</v>
      </c>
      <c r="E382" s="2" t="s">
        <v>230</v>
      </c>
      <c r="F382" t="s">
        <v>1055</v>
      </c>
      <c r="G382" t="str">
        <f>HYPERLINK("https://www.newstof.com/news/articleView.html?idxno=20880")</f>
        <v>https://www.newstof.com/news/articleView.html?idxno=20880</v>
      </c>
      <c r="H382">
        <v>0.14099999999999999</v>
      </c>
    </row>
    <row r="383" spans="1:8" x14ac:dyDescent="0.3">
      <c r="A383" t="s">
        <v>913</v>
      </c>
      <c r="B383" t="s">
        <v>26951</v>
      </c>
      <c r="C383" t="s">
        <v>1059</v>
      </c>
      <c r="D383" t="s">
        <v>1058</v>
      </c>
      <c r="E383" s="2" t="s">
        <v>230</v>
      </c>
      <c r="F383" t="s">
        <v>914</v>
      </c>
      <c r="G383" t="str">
        <f>HYPERLINK("http://thetracker.co.kr/View.aspx?No=3687117")</f>
        <v>http://thetracker.co.kr/View.aspx?No=3687117</v>
      </c>
      <c r="H383">
        <v>0.54600000000000004</v>
      </c>
    </row>
    <row r="384" spans="1:8" x14ac:dyDescent="0.3">
      <c r="A384" t="s">
        <v>913</v>
      </c>
      <c r="B384" t="s">
        <v>26951</v>
      </c>
      <c r="C384" t="s">
        <v>1062</v>
      </c>
      <c r="D384" t="s">
        <v>1061</v>
      </c>
      <c r="E384" s="2" t="s">
        <v>230</v>
      </c>
      <c r="F384" t="s">
        <v>1060</v>
      </c>
      <c r="G384" t="str">
        <f>HYPERLINK("https://n.news.naver.com/mnews/article/008/0003202389?sid=101")</f>
        <v>https://n.news.naver.com/mnews/article/008/0003202389?sid=101</v>
      </c>
      <c r="H384">
        <v>0.32800000000000001</v>
      </c>
    </row>
    <row r="385" spans="1:8" x14ac:dyDescent="0.3">
      <c r="A385" t="s">
        <v>913</v>
      </c>
      <c r="B385" t="s">
        <v>26951</v>
      </c>
      <c r="C385" t="s">
        <v>1065</v>
      </c>
      <c r="D385" t="s">
        <v>1064</v>
      </c>
      <c r="E385" s="2" t="s">
        <v>230</v>
      </c>
      <c r="F385" t="s">
        <v>1063</v>
      </c>
      <c r="G385" t="str">
        <f>HYPERLINK("https://n.news.naver.com/mnews/article/008/0004112258?sid=101")</f>
        <v>https://n.news.naver.com/mnews/article/008/0004112258?sid=101</v>
      </c>
      <c r="H385">
        <v>0.19400000000000001</v>
      </c>
    </row>
    <row r="386" spans="1:8" x14ac:dyDescent="0.3">
      <c r="A386" t="s">
        <v>913</v>
      </c>
      <c r="B386" t="s">
        <v>26951</v>
      </c>
      <c r="C386" t="s">
        <v>1067</v>
      </c>
      <c r="D386" t="s">
        <v>1066</v>
      </c>
      <c r="E386" s="2" t="s">
        <v>230</v>
      </c>
      <c r="F386" t="s">
        <v>134</v>
      </c>
      <c r="G386" t="str">
        <f>HYPERLINK("https://n.news.naver.com/mnews/article/006/0000120713?sid=110")</f>
        <v>https://n.news.naver.com/mnews/article/006/0000120713?sid=110</v>
      </c>
      <c r="H386">
        <v>0.14799999999999999</v>
      </c>
    </row>
    <row r="387" spans="1:8" x14ac:dyDescent="0.3">
      <c r="A387" t="s">
        <v>913</v>
      </c>
      <c r="B387" t="s">
        <v>26951</v>
      </c>
      <c r="C387" t="s">
        <v>1069</v>
      </c>
      <c r="D387" t="s">
        <v>1068</v>
      </c>
      <c r="E387" s="2" t="s">
        <v>230</v>
      </c>
      <c r="F387" t="s">
        <v>625</v>
      </c>
      <c r="G387" t="str">
        <f>HYPERLINK("https://n.news.naver.com/mnews/article/008/0005208321?sid=103")</f>
        <v>https://n.news.naver.com/mnews/article/008/0005208321?sid=103</v>
      </c>
      <c r="H387">
        <v>0.27200000000000002</v>
      </c>
    </row>
    <row r="388" spans="1:8" x14ac:dyDescent="0.3">
      <c r="A388" t="s">
        <v>913</v>
      </c>
      <c r="B388" t="s">
        <v>26951</v>
      </c>
      <c r="C388" t="s">
        <v>1072</v>
      </c>
      <c r="D388" t="s">
        <v>1071</v>
      </c>
      <c r="E388" s="2" t="s">
        <v>230</v>
      </c>
      <c r="F388" t="s">
        <v>1070</v>
      </c>
      <c r="G388" t="str">
        <f>HYPERLINK("https://www.lecturernews.com/news/articleView.html?idxno=113952")</f>
        <v>https://www.lecturernews.com/news/articleView.html?idxno=113952</v>
      </c>
      <c r="H388">
        <v>0.36399999999999999</v>
      </c>
    </row>
    <row r="389" spans="1:8" x14ac:dyDescent="0.3">
      <c r="A389" t="s">
        <v>913</v>
      </c>
      <c r="B389" t="s">
        <v>26951</v>
      </c>
      <c r="C389" t="s">
        <v>1074</v>
      </c>
      <c r="D389" t="s">
        <v>1073</v>
      </c>
      <c r="E389" s="2" t="s">
        <v>230</v>
      </c>
      <c r="F389" t="s">
        <v>145</v>
      </c>
      <c r="G389" t="str">
        <f>HYPERLINK("https://n.news.naver.com/mnews/article/018/0006053386?sid=101")</f>
        <v>https://n.news.naver.com/mnews/article/018/0006053386?sid=101</v>
      </c>
      <c r="H389">
        <v>0.35599999999999998</v>
      </c>
    </row>
    <row r="390" spans="1:8" x14ac:dyDescent="0.3">
      <c r="A390" t="s">
        <v>913</v>
      </c>
      <c r="B390" t="s">
        <v>26951</v>
      </c>
      <c r="C390" t="s">
        <v>1076</v>
      </c>
      <c r="D390" t="s">
        <v>1075</v>
      </c>
      <c r="E390" s="2" t="s">
        <v>230</v>
      </c>
      <c r="F390" t="s">
        <v>666</v>
      </c>
      <c r="G390" t="str">
        <f>HYPERLINK("https://n.news.naver.com/mnews/article/008/0004000699?sid=101")</f>
        <v>https://n.news.naver.com/mnews/article/008/0004000699?sid=101</v>
      </c>
      <c r="H390">
        <v>0.33700000000000002</v>
      </c>
    </row>
    <row r="391" spans="1:8" x14ac:dyDescent="0.3">
      <c r="A391" t="s">
        <v>913</v>
      </c>
      <c r="B391" t="s">
        <v>26951</v>
      </c>
      <c r="C391" t="s">
        <v>1078</v>
      </c>
      <c r="D391" t="s">
        <v>1077</v>
      </c>
      <c r="E391" s="2" t="s">
        <v>230</v>
      </c>
      <c r="F391" t="s">
        <v>625</v>
      </c>
      <c r="G391" t="str">
        <f>HYPERLINK("https://n.news.naver.com/mnews/article/008/0005208321?sid=103")</f>
        <v>https://n.news.naver.com/mnews/article/008/0005208321?sid=103</v>
      </c>
      <c r="H391">
        <v>0.21</v>
      </c>
    </row>
    <row r="392" spans="1:8" x14ac:dyDescent="0.3">
      <c r="A392" t="s">
        <v>913</v>
      </c>
      <c r="B392" t="s">
        <v>26951</v>
      </c>
      <c r="C392" t="s">
        <v>1080</v>
      </c>
      <c r="D392" t="s">
        <v>1079</v>
      </c>
      <c r="E392" s="2" t="s">
        <v>230</v>
      </c>
      <c r="F392" t="s">
        <v>332</v>
      </c>
      <c r="G392" t="str">
        <f>HYPERLINK("http://www.lkp.news/news/articleView.html?idxno=46459")</f>
        <v>http://www.lkp.news/news/articleView.html?idxno=46459</v>
      </c>
      <c r="H392">
        <v>0.443</v>
      </c>
    </row>
    <row r="393" spans="1:8" x14ac:dyDescent="0.3">
      <c r="A393" t="s">
        <v>913</v>
      </c>
      <c r="B393" t="s">
        <v>26951</v>
      </c>
      <c r="C393" t="s">
        <v>1082</v>
      </c>
      <c r="D393" t="s">
        <v>1081</v>
      </c>
      <c r="E393" s="2" t="s">
        <v>230</v>
      </c>
      <c r="F393" t="s">
        <v>542</v>
      </c>
      <c r="G393" t="str">
        <f>HYPERLINK("https://n.news.naver.com/mnews/article/008/0005172989?sid=101")</f>
        <v>https://n.news.naver.com/mnews/article/008/0005172989?sid=101</v>
      </c>
      <c r="H393">
        <v>0.186</v>
      </c>
    </row>
    <row r="394" spans="1:8" x14ac:dyDescent="0.3">
      <c r="A394" t="s">
        <v>913</v>
      </c>
      <c r="B394" t="s">
        <v>26951</v>
      </c>
      <c r="C394" t="s">
        <v>1086</v>
      </c>
      <c r="D394" t="s">
        <v>1085</v>
      </c>
      <c r="E394" s="2" t="s">
        <v>267</v>
      </c>
      <c r="F394" t="s">
        <v>1084</v>
      </c>
      <c r="G394" t="str">
        <f>HYPERLINK("https://www.catholicnews.co.kr/news/articleView.html?idxno=34329")</f>
        <v>https://www.catholicnews.co.kr/news/articleView.html?idxno=34329</v>
      </c>
      <c r="H394">
        <v>0.45700000000000002</v>
      </c>
    </row>
    <row r="395" spans="1:8" x14ac:dyDescent="0.3">
      <c r="A395" t="s">
        <v>913</v>
      </c>
      <c r="B395" t="s">
        <v>26951</v>
      </c>
      <c r="C395" t="s">
        <v>1089</v>
      </c>
      <c r="D395" t="s">
        <v>1088</v>
      </c>
      <c r="E395" s="2" t="s">
        <v>267</v>
      </c>
      <c r="F395" t="s">
        <v>1087</v>
      </c>
      <c r="G395" t="str">
        <f>HYPERLINK("https://weekly.hankooki.com/news/articleView.html?idxno=7117237")</f>
        <v>https://weekly.hankooki.com/news/articleView.html?idxno=7117237</v>
      </c>
      <c r="H395">
        <v>0.47399999999999998</v>
      </c>
    </row>
    <row r="396" spans="1:8" x14ac:dyDescent="0.3">
      <c r="A396" t="s">
        <v>913</v>
      </c>
      <c r="B396" t="s">
        <v>26951</v>
      </c>
      <c r="C396" t="s">
        <v>1092</v>
      </c>
      <c r="D396" t="s">
        <v>1091</v>
      </c>
      <c r="E396" s="2" t="s">
        <v>267</v>
      </c>
      <c r="F396" t="s">
        <v>1090</v>
      </c>
      <c r="G396" t="str">
        <f>HYPERLINK("http://www.sisaon.co.kr/news/articleView.html?idxno=107509")</f>
        <v>http://www.sisaon.co.kr/news/articleView.html?idxno=107509</v>
      </c>
      <c r="H396">
        <v>0.65</v>
      </c>
    </row>
    <row r="397" spans="1:8" x14ac:dyDescent="0.3">
      <c r="A397" t="s">
        <v>913</v>
      </c>
      <c r="B397" t="s">
        <v>26951</v>
      </c>
      <c r="C397" t="s">
        <v>1096</v>
      </c>
      <c r="D397" t="s">
        <v>1095</v>
      </c>
      <c r="E397" s="2" t="s">
        <v>267</v>
      </c>
      <c r="F397" t="s">
        <v>1094</v>
      </c>
      <c r="G397" t="str">
        <f>HYPERLINK("http://www.kdfnews.com/news/articleView.html?idxno=159505")</f>
        <v>http://www.kdfnews.com/news/articleView.html?idxno=159505</v>
      </c>
      <c r="H397">
        <v>0.45800000000000002</v>
      </c>
    </row>
    <row r="398" spans="1:8" x14ac:dyDescent="0.3">
      <c r="A398" t="s">
        <v>913</v>
      </c>
      <c r="B398" t="s">
        <v>26951</v>
      </c>
      <c r="C398" t="s">
        <v>1100</v>
      </c>
      <c r="D398" t="s">
        <v>1099</v>
      </c>
      <c r="E398" s="2" t="s">
        <v>267</v>
      </c>
      <c r="F398" t="s">
        <v>1098</v>
      </c>
      <c r="G398" t="str">
        <f>HYPERLINK("https://n.news.naver.com/mnews/article/469/0000871835?sid=104")</f>
        <v>https://n.news.naver.com/mnews/article/469/0000871835?sid=104</v>
      </c>
      <c r="H398">
        <v>0.24399999999999999</v>
      </c>
    </row>
    <row r="399" spans="1:8" x14ac:dyDescent="0.3">
      <c r="A399" t="s">
        <v>913</v>
      </c>
      <c r="B399" t="s">
        <v>26951</v>
      </c>
      <c r="C399" t="s">
        <v>1103</v>
      </c>
      <c r="D399" t="s">
        <v>1102</v>
      </c>
      <c r="E399" s="2" t="s">
        <v>280</v>
      </c>
      <c r="F399" t="s">
        <v>1101</v>
      </c>
      <c r="G399" t="str">
        <f>HYPERLINK("https://weekly.hankooki.com/news/articleView.html?idxno=7117606")</f>
        <v>https://weekly.hankooki.com/news/articleView.html?idxno=7117606</v>
      </c>
      <c r="H399">
        <v>0.59499999999999997</v>
      </c>
    </row>
    <row r="400" spans="1:8" x14ac:dyDescent="0.3">
      <c r="A400" t="s">
        <v>913</v>
      </c>
      <c r="B400" t="s">
        <v>26951</v>
      </c>
      <c r="C400" t="s">
        <v>1105</v>
      </c>
      <c r="D400" t="s">
        <v>1104</v>
      </c>
      <c r="E400" s="2" t="s">
        <v>280</v>
      </c>
      <c r="F400" t="s">
        <v>208</v>
      </c>
      <c r="G400" t="str">
        <f>HYPERLINK("https://n.news.naver.com/mnews/article/119/0002973907?sid=101")</f>
        <v>https://n.news.naver.com/mnews/article/119/0002973907?sid=101</v>
      </c>
      <c r="H400">
        <v>0.20599999999999999</v>
      </c>
    </row>
    <row r="401" spans="1:8" x14ac:dyDescent="0.3">
      <c r="A401" t="s">
        <v>913</v>
      </c>
      <c r="B401" t="s">
        <v>26951</v>
      </c>
      <c r="C401" t="s">
        <v>1107</v>
      </c>
      <c r="D401" t="s">
        <v>1106</v>
      </c>
      <c r="E401" s="2" t="s">
        <v>280</v>
      </c>
      <c r="F401" t="s">
        <v>96</v>
      </c>
      <c r="G401" t="str">
        <f>HYPERLINK("https://n.news.naver.com/mnews/article/032/0003377635?sid=104")</f>
        <v>https://n.news.naver.com/mnews/article/032/0003377635?sid=104</v>
      </c>
      <c r="H401">
        <v>0.20899999999999999</v>
      </c>
    </row>
    <row r="402" spans="1:8" x14ac:dyDescent="0.3">
      <c r="A402" t="s">
        <v>913</v>
      </c>
      <c r="B402" t="s">
        <v>26951</v>
      </c>
      <c r="C402" t="s">
        <v>1111</v>
      </c>
      <c r="D402" t="s">
        <v>1110</v>
      </c>
      <c r="E402" s="2" t="s">
        <v>280</v>
      </c>
      <c r="F402" t="s">
        <v>1109</v>
      </c>
      <c r="G402" t="str">
        <f>HYPERLINK("https://n.news.naver.com/mnews/article/005/0001784451?sid=104")</f>
        <v>https://n.news.naver.com/mnews/article/005/0001784451?sid=104</v>
      </c>
      <c r="H402">
        <v>0.21</v>
      </c>
    </row>
    <row r="403" spans="1:8" x14ac:dyDescent="0.3">
      <c r="A403" t="s">
        <v>913</v>
      </c>
      <c r="B403" t="s">
        <v>26951</v>
      </c>
      <c r="C403" t="s">
        <v>1113</v>
      </c>
      <c r="D403" t="s">
        <v>1112</v>
      </c>
      <c r="E403" s="2" t="s">
        <v>280</v>
      </c>
      <c r="F403" t="s">
        <v>943</v>
      </c>
      <c r="G403" t="str">
        <f>HYPERLINK("https://dealsite.co.kr/articles/133246")</f>
        <v>https://dealsite.co.kr/articles/133246</v>
      </c>
      <c r="H403">
        <v>0.66500000000000004</v>
      </c>
    </row>
    <row r="404" spans="1:8" x14ac:dyDescent="0.3">
      <c r="A404" t="s">
        <v>913</v>
      </c>
      <c r="B404" t="s">
        <v>26951</v>
      </c>
      <c r="C404" t="s">
        <v>1115</v>
      </c>
      <c r="D404" t="s">
        <v>1114</v>
      </c>
      <c r="E404" s="2" t="s">
        <v>280</v>
      </c>
      <c r="F404" t="s">
        <v>1038</v>
      </c>
      <c r="G404" t="str">
        <f>HYPERLINK("https://n.news.naver.com/mnews/article/018/0006053386?sid=101")</f>
        <v>https://n.news.naver.com/mnews/article/018/0006053386?sid=101</v>
      </c>
      <c r="H404">
        <v>0.26</v>
      </c>
    </row>
    <row r="405" spans="1:8" x14ac:dyDescent="0.3">
      <c r="A405" t="s">
        <v>913</v>
      </c>
      <c r="B405" t="s">
        <v>26951</v>
      </c>
      <c r="C405" t="s">
        <v>1118</v>
      </c>
      <c r="D405" t="s">
        <v>1117</v>
      </c>
      <c r="E405" s="2" t="s">
        <v>280</v>
      </c>
      <c r="F405" t="s">
        <v>1116</v>
      </c>
      <c r="G405" t="str">
        <f>HYPERLINK("https://n.news.naver.com/mnews/article/008/0005215076?sid=102")</f>
        <v>https://n.news.naver.com/mnews/article/008/0005215076?sid=102</v>
      </c>
      <c r="H405">
        <v>0.11600000000000001</v>
      </c>
    </row>
    <row r="406" spans="1:8" x14ac:dyDescent="0.3">
      <c r="A406" t="s">
        <v>913</v>
      </c>
      <c r="B406" t="s">
        <v>26951</v>
      </c>
      <c r="C406" t="s">
        <v>1120</v>
      </c>
      <c r="D406" t="s">
        <v>1119</v>
      </c>
      <c r="E406" s="2" t="s">
        <v>313</v>
      </c>
      <c r="F406" t="s">
        <v>51</v>
      </c>
      <c r="G406" t="str">
        <f>HYPERLINK("https://n.news.naver.com/mnews/article/022/0004047810?sid=101")</f>
        <v>https://n.news.naver.com/mnews/article/022/0004047810?sid=101</v>
      </c>
      <c r="H406">
        <v>0.35599999999999998</v>
      </c>
    </row>
    <row r="407" spans="1:8" x14ac:dyDescent="0.3">
      <c r="A407" t="s">
        <v>913</v>
      </c>
      <c r="B407" t="s">
        <v>26951</v>
      </c>
      <c r="C407" t="s">
        <v>1122</v>
      </c>
      <c r="D407" t="s">
        <v>1121</v>
      </c>
      <c r="E407" s="2" t="s">
        <v>313</v>
      </c>
      <c r="F407" t="s">
        <v>140</v>
      </c>
      <c r="G407" t="str">
        <f>HYPERLINK("http://www.greened.kr/news/articleView.html?idxno=299779")</f>
        <v>http://www.greened.kr/news/articleView.html?idxno=299779</v>
      </c>
      <c r="H407">
        <v>0.58399999999999996</v>
      </c>
    </row>
    <row r="408" spans="1:8" x14ac:dyDescent="0.3">
      <c r="A408" t="s">
        <v>913</v>
      </c>
      <c r="B408" t="s">
        <v>26951</v>
      </c>
      <c r="C408" t="s">
        <v>1125</v>
      </c>
      <c r="D408" t="s">
        <v>1124</v>
      </c>
      <c r="E408" s="2" t="s">
        <v>313</v>
      </c>
      <c r="F408" t="s">
        <v>1123</v>
      </c>
      <c r="G408" t="str">
        <f>HYPERLINK("http://www.m-economynews.com/news/article.html?no=33952")</f>
        <v>http://www.m-economynews.com/news/article.html?no=33952</v>
      </c>
      <c r="H408">
        <v>0.51700000000000002</v>
      </c>
    </row>
    <row r="409" spans="1:8" x14ac:dyDescent="0.3">
      <c r="A409" t="s">
        <v>913</v>
      </c>
      <c r="B409" t="s">
        <v>26951</v>
      </c>
      <c r="C409" t="s">
        <v>1128</v>
      </c>
      <c r="D409" t="s">
        <v>1127</v>
      </c>
      <c r="E409" s="2" t="s">
        <v>313</v>
      </c>
      <c r="F409" t="s">
        <v>1126</v>
      </c>
      <c r="G409" t="str">
        <f>HYPERLINK("https://n.news.naver.com/mnews/article/008/0005092126?sid=101")</f>
        <v>https://n.news.naver.com/mnews/article/008/0005092126?sid=101</v>
      </c>
      <c r="H409">
        <v>0.153</v>
      </c>
    </row>
    <row r="410" spans="1:8" x14ac:dyDescent="0.3">
      <c r="A410" t="s">
        <v>913</v>
      </c>
      <c r="B410" t="s">
        <v>26951</v>
      </c>
      <c r="C410" t="s">
        <v>1130</v>
      </c>
      <c r="D410" t="s">
        <v>1129</v>
      </c>
      <c r="E410" s="2" t="s">
        <v>313</v>
      </c>
      <c r="F410" t="s">
        <v>407</v>
      </c>
      <c r="G410" t="str">
        <f>HYPERLINK("https://n.news.naver.com/mnews/article/014/0005366022?sid=101")</f>
        <v>https://n.news.naver.com/mnews/article/014/0005366022?sid=101</v>
      </c>
      <c r="H410">
        <v>0.182</v>
      </c>
    </row>
    <row r="411" spans="1:8" x14ac:dyDescent="0.3">
      <c r="A411" t="s">
        <v>913</v>
      </c>
      <c r="B411" t="s">
        <v>26951</v>
      </c>
      <c r="C411" t="s">
        <v>1132</v>
      </c>
      <c r="D411" t="s">
        <v>1131</v>
      </c>
      <c r="E411" s="2" t="s">
        <v>313</v>
      </c>
      <c r="F411" t="s">
        <v>467</v>
      </c>
      <c r="G411" t="str">
        <f>HYPERLINK("https://n.news.naver.com/mnews/article/022/0004047381?sid=103")</f>
        <v>https://n.news.naver.com/mnews/article/022/0004047381?sid=103</v>
      </c>
      <c r="H411">
        <v>0.36699999999999999</v>
      </c>
    </row>
    <row r="412" spans="1:8" x14ac:dyDescent="0.3">
      <c r="A412" t="s">
        <v>913</v>
      </c>
      <c r="B412" t="s">
        <v>26951</v>
      </c>
      <c r="C412" t="s">
        <v>1135</v>
      </c>
      <c r="D412" t="s">
        <v>1134</v>
      </c>
      <c r="E412" s="2" t="s">
        <v>313</v>
      </c>
      <c r="F412" t="s">
        <v>1133</v>
      </c>
      <c r="G412" t="str">
        <f>HYPERLINK("http://www.ttlnews.com/news/articleView.html?idxno=3006343")</f>
        <v>http://www.ttlnews.com/news/articleView.html?idxno=3006343</v>
      </c>
      <c r="H412">
        <v>0.36</v>
      </c>
    </row>
    <row r="413" spans="1:8" x14ac:dyDescent="0.3">
      <c r="A413" t="s">
        <v>913</v>
      </c>
      <c r="B413" t="s">
        <v>26951</v>
      </c>
      <c r="C413" t="s">
        <v>1138</v>
      </c>
      <c r="D413" t="s">
        <v>1137</v>
      </c>
      <c r="E413" s="2" t="s">
        <v>313</v>
      </c>
      <c r="F413" t="s">
        <v>1136</v>
      </c>
      <c r="G413" t="str">
        <f>HYPERLINK("https://www.womaneconomy.co.kr/news/articleView.html?idxno=231207")</f>
        <v>https://www.womaneconomy.co.kr/news/articleView.html?idxno=231207</v>
      </c>
      <c r="H413">
        <v>0.42399999999999999</v>
      </c>
    </row>
    <row r="414" spans="1:8" x14ac:dyDescent="0.3">
      <c r="A414" t="s">
        <v>913</v>
      </c>
      <c r="B414" t="s">
        <v>26951</v>
      </c>
      <c r="C414" t="s">
        <v>1140</v>
      </c>
      <c r="D414" t="s">
        <v>1139</v>
      </c>
      <c r="E414" s="2" t="s">
        <v>313</v>
      </c>
      <c r="F414" t="s">
        <v>712</v>
      </c>
      <c r="G414" t="str">
        <f>HYPERLINK("https://n.news.naver.com/mnews/article/008/0002079837?sid=101")</f>
        <v>https://n.news.naver.com/mnews/article/008/0002079837?sid=101</v>
      </c>
      <c r="H414">
        <v>0.23899999999999999</v>
      </c>
    </row>
    <row r="415" spans="1:8" x14ac:dyDescent="0.3">
      <c r="A415" t="s">
        <v>913</v>
      </c>
      <c r="B415" t="s">
        <v>26951</v>
      </c>
      <c r="C415" t="s">
        <v>1142</v>
      </c>
      <c r="D415" t="s">
        <v>1141</v>
      </c>
      <c r="E415" s="2" t="s">
        <v>313</v>
      </c>
      <c r="F415" t="s">
        <v>256</v>
      </c>
      <c r="G415" t="str">
        <f>HYPERLINK("https://www.pinpointnews.co.kr/news/articleView.html?idxno=352245")</f>
        <v>https://www.pinpointnews.co.kr/news/articleView.html?idxno=352245</v>
      </c>
      <c r="H415">
        <v>8.8999999999999996E-2</v>
      </c>
    </row>
    <row r="416" spans="1:8" x14ac:dyDescent="0.3">
      <c r="A416" t="s">
        <v>913</v>
      </c>
      <c r="B416" t="s">
        <v>26951</v>
      </c>
      <c r="C416" t="s">
        <v>1145</v>
      </c>
      <c r="D416" t="s">
        <v>1144</v>
      </c>
      <c r="E416" s="2" t="s">
        <v>313</v>
      </c>
      <c r="F416" t="s">
        <v>1143</v>
      </c>
      <c r="G416" t="str">
        <f>HYPERLINK("http://www.jbnews.com/news/articleView.html?idxno=1364584")</f>
        <v>http://www.jbnews.com/news/articleView.html?idxno=1364584</v>
      </c>
      <c r="H416">
        <v>0.223</v>
      </c>
    </row>
    <row r="417" spans="1:8" x14ac:dyDescent="0.3">
      <c r="A417" t="s">
        <v>913</v>
      </c>
      <c r="B417" t="s">
        <v>26951</v>
      </c>
      <c r="C417" t="s">
        <v>1147</v>
      </c>
      <c r="D417" t="s">
        <v>1146</v>
      </c>
      <c r="E417" s="2" t="s">
        <v>313</v>
      </c>
      <c r="F417" t="s">
        <v>190</v>
      </c>
      <c r="G417" t="str">
        <f>HYPERLINK("https://n.news.naver.com/mnews/article/008/0005213972?sid=103")</f>
        <v>https://n.news.naver.com/mnews/article/008/0005213972?sid=103</v>
      </c>
      <c r="H417">
        <v>0.41599999999999998</v>
      </c>
    </row>
    <row r="418" spans="1:8" x14ac:dyDescent="0.3">
      <c r="A418" t="s">
        <v>913</v>
      </c>
      <c r="B418" t="s">
        <v>26951</v>
      </c>
      <c r="C418" t="s">
        <v>1149</v>
      </c>
      <c r="D418" t="s">
        <v>1148</v>
      </c>
      <c r="E418" s="2" t="s">
        <v>313</v>
      </c>
      <c r="F418" t="s">
        <v>376</v>
      </c>
      <c r="G418" t="str">
        <f>HYPERLINK("https://n.news.naver.com/mnews/article/028/0002701275?sid=102")</f>
        <v>https://n.news.naver.com/mnews/article/028/0002701275?sid=102</v>
      </c>
      <c r="H418">
        <v>0.13800000000000001</v>
      </c>
    </row>
    <row r="419" spans="1:8" x14ac:dyDescent="0.3">
      <c r="A419" t="s">
        <v>913</v>
      </c>
      <c r="B419" t="s">
        <v>26951</v>
      </c>
      <c r="C419" t="s">
        <v>1153</v>
      </c>
      <c r="D419" t="s">
        <v>1152</v>
      </c>
      <c r="E419" s="2" t="s">
        <v>356</v>
      </c>
      <c r="F419" t="s">
        <v>1151</v>
      </c>
      <c r="G419" t="str">
        <f>HYPERLINK("https://n.news.naver.com/mnews/article/008/0003631397?sid=100")</f>
        <v>https://n.news.naver.com/mnews/article/008/0003631397?sid=100</v>
      </c>
      <c r="H419">
        <v>6.3E-2</v>
      </c>
    </row>
    <row r="420" spans="1:8" x14ac:dyDescent="0.3">
      <c r="A420" t="s">
        <v>913</v>
      </c>
      <c r="B420" t="s">
        <v>26951</v>
      </c>
      <c r="C420" t="s">
        <v>1155</v>
      </c>
      <c r="D420" t="s">
        <v>1154</v>
      </c>
      <c r="E420" s="2" t="s">
        <v>356</v>
      </c>
      <c r="F420" t="s">
        <v>208</v>
      </c>
      <c r="G420" t="str">
        <f>HYPERLINK("https://n.news.naver.com/mnews/article/011/0004502977?sid=101")</f>
        <v>https://n.news.naver.com/mnews/article/011/0004502977?sid=101</v>
      </c>
      <c r="H420">
        <v>0.14499999999999999</v>
      </c>
    </row>
    <row r="421" spans="1:8" x14ac:dyDescent="0.3">
      <c r="A421" t="s">
        <v>913</v>
      </c>
      <c r="B421" t="s">
        <v>26951</v>
      </c>
      <c r="C421" t="s">
        <v>1157</v>
      </c>
      <c r="D421" t="s">
        <v>1156</v>
      </c>
      <c r="E421" s="2" t="s">
        <v>356</v>
      </c>
      <c r="F421" t="s">
        <v>805</v>
      </c>
      <c r="G421" t="str">
        <f>HYPERLINK("https://news.mtn.co.kr/news-detail/2025013112332875305")</f>
        <v>https://news.mtn.co.kr/news-detail/2025013112332875305</v>
      </c>
      <c r="H421">
        <v>0.44800000000000001</v>
      </c>
    </row>
    <row r="422" spans="1:8" x14ac:dyDescent="0.3">
      <c r="A422" t="s">
        <v>913</v>
      </c>
      <c r="B422" t="s">
        <v>26951</v>
      </c>
      <c r="C422" t="s">
        <v>1159</v>
      </c>
      <c r="D422" t="s">
        <v>1158</v>
      </c>
      <c r="E422" s="2" t="s">
        <v>356</v>
      </c>
      <c r="F422" t="s">
        <v>978</v>
      </c>
      <c r="G422" t="str">
        <f>HYPERLINK("https://www.joongangenews.com/news/articleView.html?idxno=426240")</f>
        <v>https://www.joongangenews.com/news/articleView.html?idxno=426240</v>
      </c>
      <c r="H422">
        <v>0.64700000000000002</v>
      </c>
    </row>
    <row r="423" spans="1:8" x14ac:dyDescent="0.3">
      <c r="A423" t="s">
        <v>913</v>
      </c>
      <c r="B423" t="s">
        <v>26951</v>
      </c>
      <c r="C423" t="s">
        <v>1161</v>
      </c>
      <c r="D423" t="s">
        <v>1160</v>
      </c>
      <c r="E423" s="2" t="s">
        <v>356</v>
      </c>
      <c r="F423" t="s">
        <v>625</v>
      </c>
      <c r="G423" t="str">
        <f>HYPERLINK("https://n.news.naver.com/mnews/article/008/0005208321?sid=103")</f>
        <v>https://n.news.naver.com/mnews/article/008/0005208321?sid=103</v>
      </c>
      <c r="H423">
        <v>0.23300000000000001</v>
      </c>
    </row>
    <row r="424" spans="1:8" x14ac:dyDescent="0.3">
      <c r="A424" t="s">
        <v>913</v>
      </c>
      <c r="B424" t="s">
        <v>26951</v>
      </c>
      <c r="C424" t="s">
        <v>1164</v>
      </c>
      <c r="D424" t="s">
        <v>1163</v>
      </c>
      <c r="E424" s="2" t="s">
        <v>356</v>
      </c>
      <c r="F424" t="s">
        <v>1162</v>
      </c>
      <c r="G424" t="str">
        <f>HYPERLINK("http://www.pennmike.com/news/articleView.html?idxno=48704")</f>
        <v>http://www.pennmike.com/news/articleView.html?idxno=48704</v>
      </c>
      <c r="H424">
        <v>0.36799999999999999</v>
      </c>
    </row>
    <row r="425" spans="1:8" x14ac:dyDescent="0.3">
      <c r="A425" t="s">
        <v>913</v>
      </c>
      <c r="B425" t="s">
        <v>26951</v>
      </c>
      <c r="C425" t="s">
        <v>1166</v>
      </c>
      <c r="D425" t="s">
        <v>1165</v>
      </c>
      <c r="E425" s="2" t="s">
        <v>356</v>
      </c>
      <c r="F425" t="s">
        <v>1162</v>
      </c>
      <c r="G425" t="str">
        <f>HYPERLINK("https://n.news.naver.com/mnews/article/119/0002973384?sid=101")</f>
        <v>https://n.news.naver.com/mnews/article/119/0002973384?sid=101</v>
      </c>
      <c r="H425">
        <v>0.23</v>
      </c>
    </row>
    <row r="426" spans="1:8" x14ac:dyDescent="0.3">
      <c r="A426" t="s">
        <v>913</v>
      </c>
      <c r="B426" t="s">
        <v>26951</v>
      </c>
      <c r="C426" t="s">
        <v>1168</v>
      </c>
      <c r="D426" t="s">
        <v>1167</v>
      </c>
      <c r="E426" s="2" t="s">
        <v>356</v>
      </c>
      <c r="F426" t="s">
        <v>190</v>
      </c>
      <c r="G426" t="str">
        <f>HYPERLINK("https://n.news.naver.com/mnews/article/008/0005213972?sid=103")</f>
        <v>https://n.news.naver.com/mnews/article/008/0005213972?sid=103</v>
      </c>
      <c r="H426">
        <v>0.45700000000000002</v>
      </c>
    </row>
    <row r="427" spans="1:8" x14ac:dyDescent="0.3">
      <c r="A427" t="s">
        <v>913</v>
      </c>
      <c r="B427" t="s">
        <v>26951</v>
      </c>
      <c r="C427" t="s">
        <v>1171</v>
      </c>
      <c r="D427" t="s">
        <v>1170</v>
      </c>
      <c r="E427" s="2" t="s">
        <v>356</v>
      </c>
      <c r="F427" t="s">
        <v>1169</v>
      </c>
      <c r="G427" t="str">
        <f>HYPERLINK("http://theviewers.co.kr/View.aspx?No=3692875")</f>
        <v>http://theviewers.co.kr/View.aspx?No=3692875</v>
      </c>
      <c r="H427">
        <v>0.47699999999999998</v>
      </c>
    </row>
    <row r="428" spans="1:8" x14ac:dyDescent="0.3">
      <c r="A428" t="s">
        <v>913</v>
      </c>
      <c r="B428" t="s">
        <v>26951</v>
      </c>
      <c r="C428" t="s">
        <v>1174</v>
      </c>
      <c r="D428" t="s">
        <v>1173</v>
      </c>
      <c r="E428" s="2" t="s">
        <v>394</v>
      </c>
      <c r="F428" t="s">
        <v>1172</v>
      </c>
      <c r="G428" t="str">
        <f>HYPERLINK("http://www.newsmp.com/news/articleView.html?idxno=247420")</f>
        <v>http://www.newsmp.com/news/articleView.html?idxno=247420</v>
      </c>
      <c r="H428">
        <v>0.376</v>
      </c>
    </row>
    <row r="429" spans="1:8" x14ac:dyDescent="0.3">
      <c r="A429" t="s">
        <v>913</v>
      </c>
      <c r="B429" t="s">
        <v>26951</v>
      </c>
      <c r="C429" t="s">
        <v>1176</v>
      </c>
      <c r="D429" t="s">
        <v>1175</v>
      </c>
      <c r="E429" s="2" t="s">
        <v>394</v>
      </c>
      <c r="F429" t="s">
        <v>197</v>
      </c>
      <c r="G429" t="str">
        <f>HYPERLINK("https://n.news.naver.com/mnews/article/008/0005208133?sid=100")</f>
        <v>https://n.news.naver.com/mnews/article/008/0005208133?sid=100</v>
      </c>
      <c r="H429">
        <v>0.28000000000000003</v>
      </c>
    </row>
    <row r="430" spans="1:8" x14ac:dyDescent="0.3">
      <c r="A430" t="s">
        <v>913</v>
      </c>
      <c r="B430" t="s">
        <v>26951</v>
      </c>
      <c r="C430" t="s">
        <v>1178</v>
      </c>
      <c r="D430" t="s">
        <v>1177</v>
      </c>
      <c r="E430" s="2" t="s">
        <v>394</v>
      </c>
      <c r="F430" t="s">
        <v>197</v>
      </c>
      <c r="G430" t="str">
        <f>HYPERLINK("http://www.newspim.com/news/view/20211104000808")</f>
        <v>http://www.newspim.com/news/view/20211104000808</v>
      </c>
      <c r="H430">
        <v>0.48299999999999998</v>
      </c>
    </row>
    <row r="431" spans="1:8" x14ac:dyDescent="0.3">
      <c r="A431" t="s">
        <v>913</v>
      </c>
      <c r="B431" t="s">
        <v>26951</v>
      </c>
      <c r="C431" t="s">
        <v>1181</v>
      </c>
      <c r="D431" t="s">
        <v>1180</v>
      </c>
      <c r="E431" s="2" t="s">
        <v>394</v>
      </c>
      <c r="F431" t="s">
        <v>1179</v>
      </c>
      <c r="G431" t="str">
        <f>HYPERLINK("https://news.mtn.co.kr/news-detail/2022031110114176393")</f>
        <v>https://news.mtn.co.kr/news-detail/2022031110114176393</v>
      </c>
      <c r="H431">
        <v>9.2999999999999999E-2</v>
      </c>
    </row>
    <row r="432" spans="1:8" x14ac:dyDescent="0.3">
      <c r="A432" t="s">
        <v>913</v>
      </c>
      <c r="B432" t="s">
        <v>26951</v>
      </c>
      <c r="C432" t="s">
        <v>1184</v>
      </c>
      <c r="D432" t="s">
        <v>1183</v>
      </c>
      <c r="E432" s="2" t="s">
        <v>394</v>
      </c>
      <c r="F432" t="s">
        <v>1182</v>
      </c>
      <c r="G432" t="str">
        <f>HYPERLINK("https://n.news.naver.com/mnews/article/008/0005176519?sid=101")</f>
        <v>https://n.news.naver.com/mnews/article/008/0005176519?sid=101</v>
      </c>
      <c r="H432">
        <v>0.112</v>
      </c>
    </row>
    <row r="433" spans="1:8" x14ac:dyDescent="0.3">
      <c r="A433" t="s">
        <v>913</v>
      </c>
      <c r="B433" t="s">
        <v>26951</v>
      </c>
      <c r="C433" t="s">
        <v>1187</v>
      </c>
      <c r="D433" t="s">
        <v>1186</v>
      </c>
      <c r="E433" s="2" t="s">
        <v>394</v>
      </c>
      <c r="F433" t="s">
        <v>1185</v>
      </c>
      <c r="G433" t="str">
        <f>HYPERLINK("http://www.viva100.com/main/view.php?key=20201229010007010")</f>
        <v>http://www.viva100.com/main/view.php?key=20201229010007010</v>
      </c>
      <c r="H433">
        <v>0.56599999999999995</v>
      </c>
    </row>
    <row r="434" spans="1:8" x14ac:dyDescent="0.3">
      <c r="A434" t="s">
        <v>913</v>
      </c>
      <c r="B434" t="s">
        <v>26951</v>
      </c>
      <c r="C434" t="s">
        <v>1191</v>
      </c>
      <c r="D434" t="s">
        <v>1190</v>
      </c>
      <c r="E434" s="2" t="s">
        <v>394</v>
      </c>
      <c r="F434" t="s">
        <v>1189</v>
      </c>
      <c r="G434" t="str">
        <f>HYPERLINK("http://www.youthdaily.co.kr/news/article.html?no=73059")</f>
        <v>http://www.youthdaily.co.kr/news/article.html?no=73059</v>
      </c>
      <c r="H434">
        <v>0.42899999999999999</v>
      </c>
    </row>
    <row r="435" spans="1:8" x14ac:dyDescent="0.3">
      <c r="A435" t="s">
        <v>913</v>
      </c>
      <c r="B435" t="s">
        <v>26951</v>
      </c>
      <c r="C435" t="s">
        <v>1194</v>
      </c>
      <c r="D435" t="s">
        <v>1193</v>
      </c>
      <c r="E435" s="2" t="s">
        <v>394</v>
      </c>
      <c r="F435" t="s">
        <v>1192</v>
      </c>
      <c r="G435" t="str">
        <f>HYPERLINK("https://n.news.naver.com/mnews/article/008/0005208813?sid=101")</f>
        <v>https://n.news.naver.com/mnews/article/008/0005208813?sid=101</v>
      </c>
      <c r="H435">
        <v>0.21099999999999999</v>
      </c>
    </row>
    <row r="436" spans="1:8" x14ac:dyDescent="0.3">
      <c r="A436" t="s">
        <v>913</v>
      </c>
      <c r="B436" t="s">
        <v>26951</v>
      </c>
      <c r="C436" t="s">
        <v>1197</v>
      </c>
      <c r="D436" t="s">
        <v>1196</v>
      </c>
      <c r="E436" s="2" t="s">
        <v>394</v>
      </c>
      <c r="F436" t="s">
        <v>1195</v>
      </c>
      <c r="G436" t="str">
        <f>HYPERLINK("https://n.news.naver.com/mnews/article/008/0005019218?sid=102")</f>
        <v>https://n.news.naver.com/mnews/article/008/0005019218?sid=102</v>
      </c>
      <c r="H436">
        <v>0.25900000000000001</v>
      </c>
    </row>
    <row r="437" spans="1:8" x14ac:dyDescent="0.3">
      <c r="A437" t="s">
        <v>913</v>
      </c>
      <c r="B437" t="s">
        <v>26951</v>
      </c>
      <c r="C437" t="s">
        <v>1199</v>
      </c>
      <c r="D437" t="s">
        <v>1198</v>
      </c>
      <c r="E437" s="2" t="s">
        <v>394</v>
      </c>
      <c r="F437" t="s">
        <v>305</v>
      </c>
      <c r="G437" t="str">
        <f>HYPERLINK("https://n.news.naver.com/mnews/article/008/0005210850?sid=101")</f>
        <v>https://n.news.naver.com/mnews/article/008/0005210850?sid=101</v>
      </c>
      <c r="H437">
        <v>0.247</v>
      </c>
    </row>
    <row r="438" spans="1:8" x14ac:dyDescent="0.3">
      <c r="A438" t="s">
        <v>913</v>
      </c>
      <c r="B438" t="s">
        <v>26951</v>
      </c>
      <c r="C438" t="s">
        <v>1201</v>
      </c>
      <c r="D438" t="s">
        <v>1200</v>
      </c>
      <c r="E438" s="2" t="s">
        <v>394</v>
      </c>
      <c r="F438" t="s">
        <v>376</v>
      </c>
      <c r="G438" t="str">
        <f>HYPERLINK("http://www.the-pr.co.kr/news/articleView.html?idxno=32536")</f>
        <v>http://www.the-pr.co.kr/news/articleView.html?idxno=32536</v>
      </c>
      <c r="H438">
        <v>0.11899999999999999</v>
      </c>
    </row>
    <row r="439" spans="1:8" x14ac:dyDescent="0.3">
      <c r="A439" t="s">
        <v>913</v>
      </c>
      <c r="B439" t="s">
        <v>26951</v>
      </c>
      <c r="C439" t="s">
        <v>1205</v>
      </c>
      <c r="D439" t="s">
        <v>1204</v>
      </c>
      <c r="E439" s="2" t="s">
        <v>418</v>
      </c>
      <c r="F439" t="s">
        <v>1203</v>
      </c>
      <c r="G439" t="str">
        <f>HYPERLINK("http://www.paxetv.com/news/articleView.html?idxno=235926")</f>
        <v>http://www.paxetv.com/news/articleView.html?idxno=235926</v>
      </c>
      <c r="H439">
        <v>0.621</v>
      </c>
    </row>
    <row r="440" spans="1:8" x14ac:dyDescent="0.3">
      <c r="A440" t="s">
        <v>913</v>
      </c>
      <c r="B440" t="s">
        <v>26951</v>
      </c>
      <c r="C440" t="s">
        <v>1209</v>
      </c>
      <c r="D440" t="s">
        <v>1208</v>
      </c>
      <c r="E440" s="2" t="s">
        <v>418</v>
      </c>
      <c r="F440" t="s">
        <v>1207</v>
      </c>
      <c r="G440" t="str">
        <f>HYPERLINK("https://www.newspim.com/news/view/20250617000138")</f>
        <v>https://www.newspim.com/news/view/20250617000138</v>
      </c>
      <c r="H440">
        <v>0.124</v>
      </c>
    </row>
    <row r="441" spans="1:8" x14ac:dyDescent="0.3">
      <c r="A441" t="s">
        <v>913</v>
      </c>
      <c r="B441" t="s">
        <v>26951</v>
      </c>
      <c r="C441" t="s">
        <v>1212</v>
      </c>
      <c r="D441" t="s">
        <v>1211</v>
      </c>
      <c r="E441" s="2" t="s">
        <v>418</v>
      </c>
      <c r="F441" t="s">
        <v>1005</v>
      </c>
      <c r="G441" t="str">
        <f>HYPERLINK("https://n.news.naver.com/mnews/article/022/0004044221?sid=101")</f>
        <v>https://n.news.naver.com/mnews/article/022/0004044221?sid=101</v>
      </c>
      <c r="H441">
        <v>0.23499999999999999</v>
      </c>
    </row>
    <row r="442" spans="1:8" x14ac:dyDescent="0.3">
      <c r="A442" t="s">
        <v>913</v>
      </c>
      <c r="B442" t="s">
        <v>26951</v>
      </c>
      <c r="C442" t="s">
        <v>1214</v>
      </c>
      <c r="D442" t="s">
        <v>1213</v>
      </c>
      <c r="E442" s="2" t="s">
        <v>418</v>
      </c>
      <c r="F442" t="s">
        <v>1109</v>
      </c>
      <c r="G442" t="str">
        <f>HYPERLINK("https://www.newspim.com/news/view/20250617000512")</f>
        <v>https://www.newspim.com/news/view/20250617000512</v>
      </c>
      <c r="H442">
        <v>0.79</v>
      </c>
    </row>
    <row r="443" spans="1:8" x14ac:dyDescent="0.3">
      <c r="A443" t="s">
        <v>913</v>
      </c>
      <c r="B443" t="s">
        <v>26951</v>
      </c>
      <c r="C443" t="s">
        <v>1216</v>
      </c>
      <c r="D443" t="s">
        <v>1215</v>
      </c>
      <c r="E443" s="2" t="s">
        <v>418</v>
      </c>
      <c r="F443" t="s">
        <v>625</v>
      </c>
      <c r="G443" t="str">
        <f>HYPERLINK("https://www.newscj.com/news/articleView.html?idxno=3281837")</f>
        <v>https://www.newscj.com/news/articleView.html?idxno=3281837</v>
      </c>
      <c r="H443">
        <v>0.29499999999999998</v>
      </c>
    </row>
    <row r="444" spans="1:8" x14ac:dyDescent="0.3">
      <c r="A444" t="s">
        <v>913</v>
      </c>
      <c r="B444" t="s">
        <v>26951</v>
      </c>
      <c r="C444" t="s">
        <v>1218</v>
      </c>
      <c r="D444" t="s">
        <v>1217</v>
      </c>
      <c r="E444" s="2" t="s">
        <v>418</v>
      </c>
      <c r="F444" t="s">
        <v>179</v>
      </c>
      <c r="G444" t="str">
        <f>HYPERLINK("http://www.segyebiz.com/newsView/20250418513178?OutUrl=naver")</f>
        <v>http://www.segyebiz.com/newsView/20250418513178?OutUrl=naver</v>
      </c>
      <c r="H444">
        <v>0.43099999999999999</v>
      </c>
    </row>
    <row r="445" spans="1:8" x14ac:dyDescent="0.3">
      <c r="A445" t="s">
        <v>913</v>
      </c>
      <c r="B445" t="s">
        <v>26951</v>
      </c>
      <c r="C445" t="s">
        <v>1221</v>
      </c>
      <c r="D445" t="s">
        <v>1220</v>
      </c>
      <c r="E445" s="2" t="s">
        <v>418</v>
      </c>
      <c r="F445" t="s">
        <v>1219</v>
      </c>
      <c r="G445" t="str">
        <f>HYPERLINK("http://www.mjmedi.com/news/articleView.html?idxno=60707")</f>
        <v>http://www.mjmedi.com/news/articleView.html?idxno=60707</v>
      </c>
      <c r="H445">
        <v>0.83599999999999997</v>
      </c>
    </row>
    <row r="446" spans="1:8" x14ac:dyDescent="0.3">
      <c r="A446" t="s">
        <v>913</v>
      </c>
      <c r="B446" t="s">
        <v>26951</v>
      </c>
      <c r="C446" t="s">
        <v>1224</v>
      </c>
      <c r="D446" t="s">
        <v>1223</v>
      </c>
      <c r="E446" s="2" t="s">
        <v>452</v>
      </c>
      <c r="F446" t="s">
        <v>1222</v>
      </c>
      <c r="G446" t="str">
        <f>HYPERLINK("http://news.mtn.co.kr/newscenter/news_viewer.mtn?gidx=2019100815231144968")</f>
        <v>http://news.mtn.co.kr/newscenter/news_viewer.mtn?gidx=2019100815231144968</v>
      </c>
      <c r="H446">
        <v>0.34300000000000003</v>
      </c>
    </row>
    <row r="447" spans="1:8" x14ac:dyDescent="0.3">
      <c r="A447" t="s">
        <v>913</v>
      </c>
      <c r="B447" t="s">
        <v>26951</v>
      </c>
      <c r="C447" t="s">
        <v>1226</v>
      </c>
      <c r="D447" t="s">
        <v>1225</v>
      </c>
      <c r="E447" s="2" t="s">
        <v>452</v>
      </c>
      <c r="F447" t="s">
        <v>1203</v>
      </c>
      <c r="G447" t="str">
        <f>HYPERLINK("https://www.cstimes.com/news/articleView.html?idxno=651919")</f>
        <v>https://www.cstimes.com/news/articleView.html?idxno=651919</v>
      </c>
      <c r="H447">
        <v>0.502</v>
      </c>
    </row>
    <row r="448" spans="1:8" x14ac:dyDescent="0.3">
      <c r="A448" t="s">
        <v>913</v>
      </c>
      <c r="B448" t="s">
        <v>26951</v>
      </c>
      <c r="C448" t="s">
        <v>1229</v>
      </c>
      <c r="D448" t="s">
        <v>1228</v>
      </c>
      <c r="E448" s="2" t="s">
        <v>452</v>
      </c>
      <c r="F448" t="s">
        <v>1227</v>
      </c>
      <c r="G448" t="str">
        <f>HYPERLINK("https://www.1conomynews.co.kr/news/articleView.html?idxno=41656")</f>
        <v>https://www.1conomynews.co.kr/news/articleView.html?idxno=41656</v>
      </c>
      <c r="H448">
        <v>0.26100000000000001</v>
      </c>
    </row>
    <row r="449" spans="1:8" x14ac:dyDescent="0.3">
      <c r="A449" t="s">
        <v>913</v>
      </c>
      <c r="B449" t="s">
        <v>26951</v>
      </c>
      <c r="C449" t="s">
        <v>1232</v>
      </c>
      <c r="D449" t="s">
        <v>1231</v>
      </c>
      <c r="E449" s="2" t="s">
        <v>452</v>
      </c>
      <c r="F449" t="s">
        <v>1230</v>
      </c>
      <c r="G449" t="str">
        <f>HYPERLINK("https://n.news.naver.com/mnews/article/016/0002480840?sid=101")</f>
        <v>https://n.news.naver.com/mnews/article/016/0002480840?sid=101</v>
      </c>
      <c r="H449">
        <v>0.221</v>
      </c>
    </row>
    <row r="450" spans="1:8" x14ac:dyDescent="0.3">
      <c r="A450" t="s">
        <v>913</v>
      </c>
      <c r="B450" t="s">
        <v>26951</v>
      </c>
      <c r="C450" t="s">
        <v>1236</v>
      </c>
      <c r="D450" t="s">
        <v>1235</v>
      </c>
      <c r="E450" s="2" t="s">
        <v>452</v>
      </c>
      <c r="F450" t="s">
        <v>1234</v>
      </c>
      <c r="G450" t="str">
        <f>HYPERLINK("https://n.news.naver.com/mnews/article/008/0005209520?sid=100")</f>
        <v>https://n.news.naver.com/mnews/article/008/0005209520?sid=100</v>
      </c>
      <c r="H450">
        <v>0.25600000000000001</v>
      </c>
    </row>
    <row r="451" spans="1:8" x14ac:dyDescent="0.3">
      <c r="A451" t="s">
        <v>913</v>
      </c>
      <c r="B451" t="s">
        <v>26951</v>
      </c>
      <c r="C451" t="s">
        <v>1239</v>
      </c>
      <c r="D451" t="s">
        <v>1238</v>
      </c>
      <c r="E451" s="2" t="s">
        <v>452</v>
      </c>
      <c r="F451" t="s">
        <v>1237</v>
      </c>
      <c r="G451" t="str">
        <f>HYPERLINK("https://www.etoday.co.kr/news/view/2411159")</f>
        <v>https://www.etoday.co.kr/news/view/2411159</v>
      </c>
      <c r="H451">
        <v>0.60699999999999998</v>
      </c>
    </row>
    <row r="452" spans="1:8" x14ac:dyDescent="0.3">
      <c r="A452" t="s">
        <v>913</v>
      </c>
      <c r="B452" t="s">
        <v>26951</v>
      </c>
      <c r="C452" t="s">
        <v>1241</v>
      </c>
      <c r="D452" t="s">
        <v>1240</v>
      </c>
      <c r="E452" s="2" t="s">
        <v>452</v>
      </c>
      <c r="F452" t="s">
        <v>978</v>
      </c>
      <c r="G452" t="str">
        <f>HYPERLINK("http://www.newsroad.co.kr/news/articleView.html?idxno=40880")</f>
        <v>http://www.newsroad.co.kr/news/articleView.html?idxno=40880</v>
      </c>
      <c r="H452">
        <v>0.96399999999999997</v>
      </c>
    </row>
    <row r="453" spans="1:8" x14ac:dyDescent="0.3">
      <c r="A453" t="s">
        <v>913</v>
      </c>
      <c r="B453" t="s">
        <v>26951</v>
      </c>
      <c r="C453" t="s">
        <v>1244</v>
      </c>
      <c r="D453" t="s">
        <v>1243</v>
      </c>
      <c r="E453" s="2" t="s">
        <v>452</v>
      </c>
      <c r="F453" t="s">
        <v>235</v>
      </c>
      <c r="G453" t="str">
        <f>HYPERLINK("https://n.news.naver.com/mnews/article/008/0005207527?sid=101")</f>
        <v>https://n.news.naver.com/mnews/article/008/0005207527?sid=101</v>
      </c>
      <c r="H453">
        <v>0.29599999999999999</v>
      </c>
    </row>
    <row r="454" spans="1:8" x14ac:dyDescent="0.3">
      <c r="A454" t="s">
        <v>913</v>
      </c>
      <c r="B454" t="s">
        <v>26951</v>
      </c>
      <c r="C454" t="s">
        <v>1246</v>
      </c>
      <c r="D454" t="s">
        <v>1245</v>
      </c>
      <c r="E454" s="2" t="s">
        <v>452</v>
      </c>
      <c r="F454" t="s">
        <v>179</v>
      </c>
      <c r="G454" t="str">
        <f>HYPERLINK("http://www.voakorea.com/content/article/1964552.html")</f>
        <v>http://www.voakorea.com/content/article/1964552.html</v>
      </c>
      <c r="H454">
        <v>0.64900000000000002</v>
      </c>
    </row>
    <row r="455" spans="1:8" x14ac:dyDescent="0.3">
      <c r="A455" t="s">
        <v>913</v>
      </c>
      <c r="B455" t="s">
        <v>26951</v>
      </c>
      <c r="C455" t="s">
        <v>1249</v>
      </c>
      <c r="D455" t="s">
        <v>1248</v>
      </c>
      <c r="E455" s="2" t="s">
        <v>452</v>
      </c>
      <c r="F455" t="s">
        <v>1247</v>
      </c>
      <c r="G455" t="str">
        <f>HYPERLINK("https://n.news.naver.com/mnews/article/008/0004066386?sid=102")</f>
        <v>https://n.news.naver.com/mnews/article/008/0004066386?sid=102</v>
      </c>
      <c r="H455">
        <v>0.32100000000000001</v>
      </c>
    </row>
    <row r="456" spans="1:8" x14ac:dyDescent="0.3">
      <c r="A456" t="s">
        <v>913</v>
      </c>
      <c r="B456" t="s">
        <v>26951</v>
      </c>
      <c r="C456" t="s">
        <v>1251</v>
      </c>
      <c r="D456" t="s">
        <v>1250</v>
      </c>
      <c r="E456" s="2" t="s">
        <v>452</v>
      </c>
      <c r="F456" t="s">
        <v>376</v>
      </c>
      <c r="G456" t="str">
        <f>HYPERLINK("http://www.the-pr.co.kr/news/articleView.html?idxno=32536")</f>
        <v>http://www.the-pr.co.kr/news/articleView.html?idxno=32536</v>
      </c>
      <c r="H456">
        <v>0.18</v>
      </c>
    </row>
    <row r="457" spans="1:8" x14ac:dyDescent="0.3">
      <c r="A457" t="s">
        <v>913</v>
      </c>
      <c r="B457" t="s">
        <v>26951</v>
      </c>
      <c r="C457" t="s">
        <v>1256</v>
      </c>
      <c r="D457" t="s">
        <v>1255</v>
      </c>
      <c r="E457" s="2" t="s">
        <v>481</v>
      </c>
      <c r="F457" t="s">
        <v>332</v>
      </c>
      <c r="G457" t="str">
        <f>HYPERLINK("https://daily.hankooki.com/news/articleView.html?idxno=1231566")</f>
        <v>https://daily.hankooki.com/news/articleView.html?idxno=1231566</v>
      </c>
      <c r="H457">
        <v>0.52500000000000002</v>
      </c>
    </row>
    <row r="458" spans="1:8" x14ac:dyDescent="0.3">
      <c r="A458" t="s">
        <v>913</v>
      </c>
      <c r="B458" t="s">
        <v>26951</v>
      </c>
      <c r="C458" t="s">
        <v>1259</v>
      </c>
      <c r="D458" t="s">
        <v>1258</v>
      </c>
      <c r="E458" s="2" t="s">
        <v>502</v>
      </c>
      <c r="F458" t="s">
        <v>1257</v>
      </c>
      <c r="G458" t="str">
        <f>HYPERLINK("https://www.korea.kr/news/reporterView.do?newsId=148918309&amp;call_from=naver_news")</f>
        <v>https://www.korea.kr/news/reporterView.do?newsId=148918309&amp;call_from=naver_news</v>
      </c>
      <c r="H458">
        <v>0.61399999999999999</v>
      </c>
    </row>
    <row r="459" spans="1:8" x14ac:dyDescent="0.3">
      <c r="A459" t="s">
        <v>913</v>
      </c>
      <c r="B459" t="s">
        <v>26951</v>
      </c>
      <c r="C459" t="s">
        <v>1262</v>
      </c>
      <c r="D459" t="s">
        <v>1261</v>
      </c>
      <c r="E459" s="2" t="s">
        <v>502</v>
      </c>
      <c r="F459" t="s">
        <v>1260</v>
      </c>
      <c r="G459" t="str">
        <f>HYPERLINK("https://n.news.naver.com/mnews/article/008/0000751258?sid=101")</f>
        <v>https://n.news.naver.com/mnews/article/008/0000751258?sid=101</v>
      </c>
      <c r="H459">
        <v>0.46800000000000003</v>
      </c>
    </row>
    <row r="460" spans="1:8" x14ac:dyDescent="0.3">
      <c r="A460" t="s">
        <v>913</v>
      </c>
      <c r="B460" t="s">
        <v>26951</v>
      </c>
      <c r="C460" t="s">
        <v>1265</v>
      </c>
      <c r="D460" t="s">
        <v>1264</v>
      </c>
      <c r="E460" s="2" t="s">
        <v>502</v>
      </c>
      <c r="F460" t="s">
        <v>1263</v>
      </c>
      <c r="G460" t="str">
        <f>HYPERLINK("http://www.iusm.co.kr/news/articleView.html?idxno=572219")</f>
        <v>http://www.iusm.co.kr/news/articleView.html?idxno=572219</v>
      </c>
      <c r="H460">
        <v>0.27400000000000002</v>
      </c>
    </row>
    <row r="461" spans="1:8" x14ac:dyDescent="0.3">
      <c r="A461" t="s">
        <v>913</v>
      </c>
      <c r="B461" t="s">
        <v>26951</v>
      </c>
      <c r="C461" t="s">
        <v>1269</v>
      </c>
      <c r="D461" t="s">
        <v>1268</v>
      </c>
      <c r="E461" s="2" t="s">
        <v>502</v>
      </c>
      <c r="F461" t="s">
        <v>1267</v>
      </c>
      <c r="G461" t="str">
        <f>HYPERLINK("https://n.news.naver.com/mnews/article/081/0003535559?sid=102")</f>
        <v>https://n.news.naver.com/mnews/article/081/0003535559?sid=102</v>
      </c>
      <c r="H461">
        <v>0.11600000000000001</v>
      </c>
    </row>
    <row r="462" spans="1:8" x14ac:dyDescent="0.3">
      <c r="A462" t="s">
        <v>913</v>
      </c>
      <c r="B462" t="s">
        <v>26951</v>
      </c>
      <c r="C462" t="s">
        <v>1271</v>
      </c>
      <c r="D462" t="s">
        <v>1270</v>
      </c>
      <c r="E462" s="2" t="s">
        <v>502</v>
      </c>
      <c r="F462" t="s">
        <v>625</v>
      </c>
      <c r="G462" t="str">
        <f>HYPERLINK("http://www.smedaily.co.kr/news/articleView.html?idxno=328827")</f>
        <v>http://www.smedaily.co.kr/news/articleView.html?idxno=328827</v>
      </c>
      <c r="H462">
        <v>0.39</v>
      </c>
    </row>
    <row r="463" spans="1:8" x14ac:dyDescent="0.3">
      <c r="A463" t="s">
        <v>913</v>
      </c>
      <c r="B463" t="s">
        <v>26951</v>
      </c>
      <c r="C463" t="s">
        <v>1273</v>
      </c>
      <c r="D463" t="s">
        <v>1272</v>
      </c>
      <c r="E463" s="2" t="s">
        <v>517</v>
      </c>
      <c r="F463" t="s">
        <v>1054</v>
      </c>
      <c r="G463" t="str">
        <f>HYPERLINK("https://n.news.naver.com/mnews/article/008/0002074941?sid=101")</f>
        <v>https://n.news.naver.com/mnews/article/008/0002074941?sid=101</v>
      </c>
      <c r="H463">
        <v>0.48899999999999999</v>
      </c>
    </row>
    <row r="464" spans="1:8" x14ac:dyDescent="0.3">
      <c r="A464" t="s">
        <v>913</v>
      </c>
      <c r="B464" t="s">
        <v>26951</v>
      </c>
      <c r="C464" t="s">
        <v>1276</v>
      </c>
      <c r="D464" t="s">
        <v>1275</v>
      </c>
      <c r="E464" s="2" t="s">
        <v>517</v>
      </c>
      <c r="F464" t="s">
        <v>1274</v>
      </c>
      <c r="G464" t="str">
        <f>HYPERLINK("https://n.news.naver.com/mnews/article/008/0005162350?sid=102")</f>
        <v>https://n.news.naver.com/mnews/article/008/0005162350?sid=102</v>
      </c>
      <c r="H464">
        <v>0.38700000000000001</v>
      </c>
    </row>
    <row r="465" spans="1:8" x14ac:dyDescent="0.3">
      <c r="A465" t="s">
        <v>913</v>
      </c>
      <c r="B465" t="s">
        <v>26951</v>
      </c>
      <c r="C465" t="s">
        <v>1279</v>
      </c>
      <c r="D465" t="s">
        <v>1278</v>
      </c>
      <c r="E465" s="2" t="s">
        <v>517</v>
      </c>
      <c r="F465" t="s">
        <v>1277</v>
      </c>
      <c r="G465" t="str">
        <f>HYPERLINK("http://www.headlinejeju.co.kr/news/articleView.html?idxno=490098")</f>
        <v>http://www.headlinejeju.co.kr/news/articleView.html?idxno=490098</v>
      </c>
      <c r="H465">
        <v>0.72099999999999997</v>
      </c>
    </row>
    <row r="466" spans="1:8" x14ac:dyDescent="0.3">
      <c r="A466" t="s">
        <v>913</v>
      </c>
      <c r="B466" t="s">
        <v>26951</v>
      </c>
      <c r="C466" t="s">
        <v>1281</v>
      </c>
      <c r="D466" t="s">
        <v>1280</v>
      </c>
      <c r="E466" s="2" t="s">
        <v>517</v>
      </c>
      <c r="F466" t="s">
        <v>208</v>
      </c>
      <c r="G466" t="str">
        <f>HYPERLINK("https://n.news.naver.com/mnews/article/119/0002973907?sid=101")</f>
        <v>https://n.news.naver.com/mnews/article/119/0002973907?sid=101</v>
      </c>
      <c r="H466">
        <v>0.20499999999999999</v>
      </c>
    </row>
    <row r="467" spans="1:8" x14ac:dyDescent="0.3">
      <c r="A467" t="s">
        <v>913</v>
      </c>
      <c r="B467" t="s">
        <v>26951</v>
      </c>
      <c r="C467" t="s">
        <v>1283</v>
      </c>
      <c r="D467" t="s">
        <v>1282</v>
      </c>
      <c r="E467" s="2" t="s">
        <v>517</v>
      </c>
      <c r="F467" t="s">
        <v>978</v>
      </c>
      <c r="G467" t="str">
        <f>HYPERLINK("https://www.joongangenews.com/news/articleView.html?idxno=426240")</f>
        <v>https://www.joongangenews.com/news/articleView.html?idxno=426240</v>
      </c>
      <c r="H467">
        <v>0.91900000000000004</v>
      </c>
    </row>
    <row r="468" spans="1:8" x14ac:dyDescent="0.3">
      <c r="A468" t="s">
        <v>913</v>
      </c>
      <c r="B468" t="s">
        <v>26951</v>
      </c>
      <c r="C468" t="s">
        <v>1285</v>
      </c>
      <c r="D468" t="s">
        <v>1284</v>
      </c>
      <c r="E468" s="2" t="s">
        <v>517</v>
      </c>
      <c r="F468" t="s">
        <v>496</v>
      </c>
      <c r="G468" t="str">
        <f>HYPERLINK("https://n.news.naver.com/mnews/article/079/0004039363?sid=101")</f>
        <v>https://n.news.naver.com/mnews/article/079/0004039363?sid=101</v>
      </c>
      <c r="H468">
        <v>0.33600000000000002</v>
      </c>
    </row>
    <row r="469" spans="1:8" x14ac:dyDescent="0.3">
      <c r="A469" t="s">
        <v>913</v>
      </c>
      <c r="B469" t="s">
        <v>26951</v>
      </c>
      <c r="C469" t="s">
        <v>1288</v>
      </c>
      <c r="D469" t="s">
        <v>1287</v>
      </c>
      <c r="E469" s="2" t="s">
        <v>517</v>
      </c>
      <c r="F469" t="s">
        <v>487</v>
      </c>
      <c r="G469" t="str">
        <f>HYPERLINK("https://n.news.naver.com/mnews/article/018/0006039290?sid=102")</f>
        <v>https://n.news.naver.com/mnews/article/018/0006039290?sid=102</v>
      </c>
      <c r="H469">
        <v>0.221</v>
      </c>
    </row>
    <row r="470" spans="1:8" x14ac:dyDescent="0.3">
      <c r="A470" t="s">
        <v>913</v>
      </c>
      <c r="B470" t="s">
        <v>26951</v>
      </c>
      <c r="C470" t="s">
        <v>1291</v>
      </c>
      <c r="D470" t="s">
        <v>1290</v>
      </c>
      <c r="E470" s="2" t="s">
        <v>517</v>
      </c>
      <c r="F470" t="s">
        <v>1289</v>
      </c>
      <c r="G470" t="str">
        <f>HYPERLINK("https://n.news.naver.com/mnews/article/277/0005606286?sid=102")</f>
        <v>https://n.news.naver.com/mnews/article/277/0005606286?sid=102</v>
      </c>
      <c r="H470">
        <v>0.36699999999999999</v>
      </c>
    </row>
    <row r="471" spans="1:8" x14ac:dyDescent="0.3">
      <c r="A471" t="s">
        <v>913</v>
      </c>
      <c r="B471" t="s">
        <v>26951</v>
      </c>
      <c r="C471" t="s">
        <v>1293</v>
      </c>
      <c r="D471" t="s">
        <v>1292</v>
      </c>
      <c r="E471" s="2" t="s">
        <v>517</v>
      </c>
      <c r="F471" t="s">
        <v>999</v>
      </c>
      <c r="G471" t="str">
        <f>HYPERLINK("https://n.news.naver.com/mnews/article/008/0005162350?sid=102")</f>
        <v>https://n.news.naver.com/mnews/article/008/0005162350?sid=102</v>
      </c>
      <c r="H471">
        <v>0.223</v>
      </c>
    </row>
    <row r="472" spans="1:8" x14ac:dyDescent="0.3">
      <c r="A472" t="s">
        <v>913</v>
      </c>
      <c r="B472" t="s">
        <v>26951</v>
      </c>
      <c r="C472" t="s">
        <v>1295</v>
      </c>
      <c r="D472" t="s">
        <v>1294</v>
      </c>
      <c r="E472" s="2" t="s">
        <v>517</v>
      </c>
      <c r="F472" t="s">
        <v>73</v>
      </c>
      <c r="G472" t="str">
        <f>HYPERLINK("https://n.news.naver.com/mnews/article/011/0004496536?sid=105")</f>
        <v>https://n.news.naver.com/mnews/article/011/0004496536?sid=105</v>
      </c>
      <c r="H472">
        <v>0.25800000000000001</v>
      </c>
    </row>
    <row r="473" spans="1:8" x14ac:dyDescent="0.3">
      <c r="A473" t="s">
        <v>913</v>
      </c>
      <c r="B473" t="s">
        <v>26951</v>
      </c>
      <c r="C473" t="s">
        <v>1297</v>
      </c>
      <c r="D473" t="s">
        <v>1296</v>
      </c>
      <c r="E473" s="2" t="s">
        <v>517</v>
      </c>
      <c r="F473" t="s">
        <v>989</v>
      </c>
      <c r="G473" t="str">
        <f>HYPERLINK("http://www.boannews.com/media/view.asp?idx=47305&amp;kind=3")</f>
        <v>http://www.boannews.com/media/view.asp?idx=47305&amp;kind=3</v>
      </c>
      <c r="H473">
        <v>0.19800000000000001</v>
      </c>
    </row>
    <row r="474" spans="1:8" x14ac:dyDescent="0.3">
      <c r="A474" t="s">
        <v>913</v>
      </c>
      <c r="B474" t="s">
        <v>26951</v>
      </c>
      <c r="C474" t="s">
        <v>1300</v>
      </c>
      <c r="D474" t="s">
        <v>1299</v>
      </c>
      <c r="E474" s="2" t="s">
        <v>517</v>
      </c>
      <c r="F474" t="s">
        <v>1298</v>
      </c>
      <c r="G474" t="str">
        <f>HYPERLINK("https://n.news.naver.com/mnews/article/008/0005214534?sid=105")</f>
        <v>https://n.news.naver.com/mnews/article/008/0005214534?sid=105</v>
      </c>
      <c r="H474">
        <v>0.13700000000000001</v>
      </c>
    </row>
    <row r="475" spans="1:8" x14ac:dyDescent="0.3">
      <c r="A475" t="s">
        <v>913</v>
      </c>
      <c r="B475" t="s">
        <v>26951</v>
      </c>
      <c r="C475" t="s">
        <v>1302</v>
      </c>
      <c r="D475" t="s">
        <v>1301</v>
      </c>
      <c r="E475" s="2" t="s">
        <v>517</v>
      </c>
      <c r="F475" t="s">
        <v>90</v>
      </c>
      <c r="G475" t="str">
        <f>HYPERLINK("https://dealsite.co.kr/articles/117325")</f>
        <v>https://dealsite.co.kr/articles/117325</v>
      </c>
      <c r="H475">
        <v>0.104</v>
      </c>
    </row>
    <row r="476" spans="1:8" x14ac:dyDescent="0.3">
      <c r="A476" t="s">
        <v>913</v>
      </c>
      <c r="B476" t="s">
        <v>26951</v>
      </c>
      <c r="C476" t="s">
        <v>1305</v>
      </c>
      <c r="D476" t="s">
        <v>1304</v>
      </c>
      <c r="E476" s="2" t="s">
        <v>517</v>
      </c>
      <c r="F476" t="s">
        <v>1303</v>
      </c>
      <c r="G476" t="str">
        <f>HYPERLINK("http://www.laborplus.co.kr/news/articleView.html?idxno=23836")</f>
        <v>http://www.laborplus.co.kr/news/articleView.html?idxno=23836</v>
      </c>
      <c r="H476">
        <v>0.55400000000000005</v>
      </c>
    </row>
    <row r="477" spans="1:8" x14ac:dyDescent="0.3">
      <c r="A477" t="s">
        <v>913</v>
      </c>
      <c r="B477" t="s">
        <v>26951</v>
      </c>
      <c r="C477" t="s">
        <v>1307</v>
      </c>
      <c r="D477" t="s">
        <v>1306</v>
      </c>
      <c r="E477" s="2" t="s">
        <v>517</v>
      </c>
      <c r="F477" t="s">
        <v>1277</v>
      </c>
      <c r="G477" t="str">
        <f>HYPERLINK("http://www.mediawatch.kr/news/article.html?no=236427")</f>
        <v>http://www.mediawatch.kr/news/article.html?no=236427</v>
      </c>
      <c r="H477">
        <v>0.63300000000000001</v>
      </c>
    </row>
    <row r="478" spans="1:8" x14ac:dyDescent="0.3">
      <c r="A478" t="s">
        <v>913</v>
      </c>
      <c r="B478" t="s">
        <v>26951</v>
      </c>
      <c r="C478" t="s">
        <v>1310</v>
      </c>
      <c r="D478" t="s">
        <v>1309</v>
      </c>
      <c r="E478" s="2" t="s">
        <v>538</v>
      </c>
      <c r="F478" t="s">
        <v>1308</v>
      </c>
      <c r="G478" t="str">
        <f>HYPERLINK("https://n.news.naver.com/mnews/article/008/0004542690?sid=102")</f>
        <v>https://n.news.naver.com/mnews/article/008/0004542690?sid=102</v>
      </c>
      <c r="H478">
        <v>0.35</v>
      </c>
    </row>
    <row r="479" spans="1:8" x14ac:dyDescent="0.3">
      <c r="A479" t="s">
        <v>913</v>
      </c>
      <c r="B479" t="s">
        <v>26951</v>
      </c>
      <c r="C479" t="s">
        <v>1312</v>
      </c>
      <c r="D479" t="s">
        <v>1311</v>
      </c>
      <c r="E479" s="2" t="s">
        <v>538</v>
      </c>
      <c r="F479" t="s">
        <v>1274</v>
      </c>
      <c r="G479" t="str">
        <f>HYPERLINK("https://www.widedaily.com/news/articleView.html?idxno=269764")</f>
        <v>https://www.widedaily.com/news/articleView.html?idxno=269764</v>
      </c>
      <c r="H479">
        <v>0.55200000000000005</v>
      </c>
    </row>
    <row r="480" spans="1:8" x14ac:dyDescent="0.3">
      <c r="A480" t="s">
        <v>913</v>
      </c>
      <c r="B480" t="s">
        <v>26951</v>
      </c>
      <c r="C480" t="s">
        <v>1314</v>
      </c>
      <c r="D480" t="s">
        <v>1313</v>
      </c>
      <c r="E480" s="2" t="s">
        <v>538</v>
      </c>
      <c r="F480" t="s">
        <v>137</v>
      </c>
      <c r="G480" t="str">
        <f>HYPERLINK("http://www.readersnews.com/news/articleView.html?idxno=93176")</f>
        <v>http://www.readersnews.com/news/articleView.html?idxno=93176</v>
      </c>
      <c r="H480">
        <v>0.28100000000000003</v>
      </c>
    </row>
    <row r="481" spans="1:8" x14ac:dyDescent="0.3">
      <c r="A481" t="s">
        <v>913</v>
      </c>
      <c r="B481" t="s">
        <v>26951</v>
      </c>
      <c r="C481" t="s">
        <v>1316</v>
      </c>
      <c r="D481" t="s">
        <v>1315</v>
      </c>
      <c r="E481" s="2" t="s">
        <v>538</v>
      </c>
      <c r="F481" t="s">
        <v>1203</v>
      </c>
      <c r="G481" t="str">
        <f>HYPERLINK("https://www.smartfn.co.kr/news/articleView.html?idxno=111784")</f>
        <v>https://www.smartfn.co.kr/news/articleView.html?idxno=111784</v>
      </c>
      <c r="H481">
        <v>0.51500000000000001</v>
      </c>
    </row>
    <row r="482" spans="1:8" x14ac:dyDescent="0.3">
      <c r="A482" t="s">
        <v>913</v>
      </c>
      <c r="B482" t="s">
        <v>26951</v>
      </c>
      <c r="C482" t="s">
        <v>1321</v>
      </c>
      <c r="D482" t="s">
        <v>1320</v>
      </c>
      <c r="E482" s="2" t="s">
        <v>538</v>
      </c>
      <c r="F482" t="s">
        <v>1319</v>
      </c>
      <c r="G482" t="str">
        <f>HYPERLINK("https://n.news.naver.com/mnews/article/008/0002213265?sid=101")</f>
        <v>https://n.news.naver.com/mnews/article/008/0002213265?sid=101</v>
      </c>
      <c r="H482">
        <v>0.47899999999999998</v>
      </c>
    </row>
    <row r="483" spans="1:8" x14ac:dyDescent="0.3">
      <c r="A483" t="s">
        <v>913</v>
      </c>
      <c r="B483" t="s">
        <v>26951</v>
      </c>
      <c r="C483" t="s">
        <v>1324</v>
      </c>
      <c r="D483" t="s">
        <v>1323</v>
      </c>
      <c r="E483" s="2" t="s">
        <v>538</v>
      </c>
      <c r="F483" t="s">
        <v>1322</v>
      </c>
      <c r="G483" t="str">
        <f>HYPERLINK("https://n.news.naver.com/mnews/article/008/0004889846?sid=101")</f>
        <v>https://n.news.naver.com/mnews/article/008/0004889846?sid=101</v>
      </c>
      <c r="H483">
        <v>0.14199999999999999</v>
      </c>
    </row>
    <row r="484" spans="1:8" x14ac:dyDescent="0.3">
      <c r="A484" t="s">
        <v>913</v>
      </c>
      <c r="B484" t="s">
        <v>26951</v>
      </c>
      <c r="C484" t="s">
        <v>1326</v>
      </c>
      <c r="D484" t="s">
        <v>1325</v>
      </c>
      <c r="E484" s="2" t="s">
        <v>538</v>
      </c>
      <c r="F484" t="s">
        <v>89</v>
      </c>
      <c r="G484" t="str">
        <f>HYPERLINK("https://news.mtn.co.kr/news-detail/2025053011001943307")</f>
        <v>https://news.mtn.co.kr/news-detail/2025053011001943307</v>
      </c>
      <c r="H484">
        <v>0.13900000000000001</v>
      </c>
    </row>
    <row r="485" spans="1:8" x14ac:dyDescent="0.3">
      <c r="A485" t="s">
        <v>913</v>
      </c>
      <c r="B485" t="s">
        <v>26951</v>
      </c>
      <c r="C485" t="s">
        <v>1330</v>
      </c>
      <c r="D485" t="s">
        <v>1329</v>
      </c>
      <c r="E485" s="2" t="s">
        <v>538</v>
      </c>
      <c r="F485" t="s">
        <v>1328</v>
      </c>
      <c r="G485" t="str">
        <f>HYPERLINK("http://news.lghellovision.net/news/articleView.html?idxno=509269")</f>
        <v>http://news.lghellovision.net/news/articleView.html?idxno=509269</v>
      </c>
      <c r="H485">
        <v>7.0000000000000007E-2</v>
      </c>
    </row>
    <row r="486" spans="1:8" x14ac:dyDescent="0.3">
      <c r="A486" t="s">
        <v>913</v>
      </c>
      <c r="B486" t="s">
        <v>26951</v>
      </c>
      <c r="C486" t="s">
        <v>1332</v>
      </c>
      <c r="D486" t="s">
        <v>1331</v>
      </c>
      <c r="E486" s="2" t="s">
        <v>538</v>
      </c>
      <c r="F486" t="s">
        <v>256</v>
      </c>
      <c r="G486" t="str">
        <f>HYPERLINK("https://news.einfomax.co.kr/news/articleView.html?idxno=4362185")</f>
        <v>https://news.einfomax.co.kr/news/articleView.html?idxno=4362185</v>
      </c>
      <c r="H486">
        <v>0.10100000000000001</v>
      </c>
    </row>
    <row r="487" spans="1:8" x14ac:dyDescent="0.3">
      <c r="A487" t="s">
        <v>913</v>
      </c>
      <c r="B487" t="s">
        <v>26951</v>
      </c>
      <c r="C487" t="s">
        <v>1335</v>
      </c>
      <c r="D487" t="s">
        <v>1334</v>
      </c>
      <c r="E487" s="2" t="s">
        <v>538</v>
      </c>
      <c r="F487" t="s">
        <v>1333</v>
      </c>
      <c r="G487" t="str">
        <f>HYPERLINK("https://n.news.naver.com/mnews/article/008/0005214330?sid=101")</f>
        <v>https://n.news.naver.com/mnews/article/008/0005214330?sid=101</v>
      </c>
      <c r="H487">
        <v>0.28399999999999997</v>
      </c>
    </row>
    <row r="488" spans="1:8" x14ac:dyDescent="0.3">
      <c r="A488" t="s">
        <v>913</v>
      </c>
      <c r="B488" t="s">
        <v>26951</v>
      </c>
      <c r="C488" t="s">
        <v>1338</v>
      </c>
      <c r="D488" t="s">
        <v>1337</v>
      </c>
      <c r="E488" s="2" t="s">
        <v>538</v>
      </c>
      <c r="F488" t="s">
        <v>893</v>
      </c>
      <c r="G488" t="str">
        <f>HYPERLINK("https://www.apnews.kr/news/articleView.html?idxno=3027808")</f>
        <v>https://www.apnews.kr/news/articleView.html?idxno=3027808</v>
      </c>
      <c r="H488">
        <v>0.4</v>
      </c>
    </row>
    <row r="489" spans="1:8" x14ac:dyDescent="0.3">
      <c r="A489" t="s">
        <v>913</v>
      </c>
      <c r="B489" t="s">
        <v>26951</v>
      </c>
      <c r="C489" t="s">
        <v>1343</v>
      </c>
      <c r="D489" t="s">
        <v>1342</v>
      </c>
      <c r="E489" s="2" t="s">
        <v>538</v>
      </c>
      <c r="F489" t="s">
        <v>1341</v>
      </c>
      <c r="G489" t="str">
        <f>HYPERLINK("http://www.industrynews.co.kr/news/articleView.html?idxno=63777")</f>
        <v>http://www.industrynews.co.kr/news/articleView.html?idxno=63777</v>
      </c>
      <c r="H489">
        <v>0.47499999999999998</v>
      </c>
    </row>
    <row r="490" spans="1:8" x14ac:dyDescent="0.3">
      <c r="A490" t="s">
        <v>913</v>
      </c>
      <c r="B490" t="s">
        <v>26951</v>
      </c>
      <c r="C490" t="s">
        <v>1345</v>
      </c>
      <c r="D490" t="s">
        <v>1344</v>
      </c>
      <c r="E490" s="2" t="s">
        <v>572</v>
      </c>
      <c r="F490" t="s">
        <v>197</v>
      </c>
      <c r="G490" t="str">
        <f>HYPERLINK("http://www.wolyo.co.kr/news/articleView.html?idxno=251441")</f>
        <v>http://www.wolyo.co.kr/news/articleView.html?idxno=251441</v>
      </c>
      <c r="H490">
        <v>0.51900000000000002</v>
      </c>
    </row>
    <row r="491" spans="1:8" x14ac:dyDescent="0.3">
      <c r="A491" t="s">
        <v>913</v>
      </c>
      <c r="B491" t="s">
        <v>26951</v>
      </c>
      <c r="C491" t="s">
        <v>1347</v>
      </c>
      <c r="D491" t="s">
        <v>1346</v>
      </c>
      <c r="E491" s="2" t="s">
        <v>572</v>
      </c>
      <c r="F491" t="s">
        <v>625</v>
      </c>
      <c r="G491" t="str">
        <f>HYPERLINK("https://n.news.naver.com/mnews/article/008/0005208321?sid=103")</f>
        <v>https://n.news.naver.com/mnews/article/008/0005208321?sid=103</v>
      </c>
      <c r="H491">
        <v>0.219</v>
      </c>
    </row>
    <row r="492" spans="1:8" x14ac:dyDescent="0.3">
      <c r="A492" t="s">
        <v>913</v>
      </c>
      <c r="B492" t="s">
        <v>26951</v>
      </c>
      <c r="C492" t="s">
        <v>1349</v>
      </c>
      <c r="D492" t="s">
        <v>1348</v>
      </c>
      <c r="E492" s="2" t="s">
        <v>572</v>
      </c>
      <c r="F492" t="s">
        <v>1203</v>
      </c>
      <c r="G492" t="str">
        <f>HYPERLINK("https://news.mtn.co.kr/news-detail/2023060509151362136")</f>
        <v>https://news.mtn.co.kr/news-detail/2023060509151362136</v>
      </c>
      <c r="H492">
        <v>0.221</v>
      </c>
    </row>
    <row r="493" spans="1:8" x14ac:dyDescent="0.3">
      <c r="A493" t="s">
        <v>913</v>
      </c>
      <c r="B493" t="s">
        <v>26951</v>
      </c>
      <c r="C493" t="s">
        <v>1351</v>
      </c>
      <c r="D493" t="s">
        <v>1350</v>
      </c>
      <c r="E493" s="2" t="s">
        <v>572</v>
      </c>
      <c r="F493" t="s">
        <v>1060</v>
      </c>
      <c r="G493" t="str">
        <f>HYPERLINK("https://n.news.naver.com/mnews/article/022/0004042768?sid=101")</f>
        <v>https://n.news.naver.com/mnews/article/022/0004042768?sid=101</v>
      </c>
      <c r="H493">
        <v>0.38900000000000001</v>
      </c>
    </row>
    <row r="494" spans="1:8" x14ac:dyDescent="0.3">
      <c r="A494" t="s">
        <v>913</v>
      </c>
      <c r="B494" t="s">
        <v>26951</v>
      </c>
      <c r="C494" t="s">
        <v>1353</v>
      </c>
      <c r="D494" t="s">
        <v>1352</v>
      </c>
      <c r="E494" s="2" t="s">
        <v>572</v>
      </c>
      <c r="F494" t="s">
        <v>1274</v>
      </c>
      <c r="G494" t="str">
        <f>HYPERLINK("https://n.news.naver.com/mnews/article/008/0005115544?sid=105")</f>
        <v>https://n.news.naver.com/mnews/article/008/0005115544?sid=105</v>
      </c>
      <c r="H494">
        <v>0.38200000000000001</v>
      </c>
    </row>
    <row r="495" spans="1:8" x14ac:dyDescent="0.3">
      <c r="A495" t="s">
        <v>913</v>
      </c>
      <c r="B495" t="s">
        <v>26951</v>
      </c>
      <c r="C495" t="s">
        <v>1355</v>
      </c>
      <c r="D495" t="s">
        <v>1354</v>
      </c>
      <c r="E495" s="2" t="s">
        <v>572</v>
      </c>
      <c r="F495" t="s">
        <v>148</v>
      </c>
      <c r="G495" t="str">
        <f>HYPERLINK("https://n.news.naver.com/mnews/article/008/0005029774?sid=101")</f>
        <v>https://n.news.naver.com/mnews/article/008/0005029774?sid=101</v>
      </c>
      <c r="H495">
        <v>0.25700000000000001</v>
      </c>
    </row>
    <row r="496" spans="1:8" x14ac:dyDescent="0.3">
      <c r="A496" t="s">
        <v>913</v>
      </c>
      <c r="B496" t="s">
        <v>26951</v>
      </c>
      <c r="C496" t="s">
        <v>1357</v>
      </c>
      <c r="D496" t="s">
        <v>1356</v>
      </c>
      <c r="E496" s="2" t="s">
        <v>572</v>
      </c>
      <c r="F496" t="s">
        <v>661</v>
      </c>
      <c r="G496" t="str">
        <f>HYPERLINK("https://n.news.naver.com/mnews/article/008/0005206120?sid=102")</f>
        <v>https://n.news.naver.com/mnews/article/008/0005206120?sid=102</v>
      </c>
      <c r="H496">
        <v>0.29299999999999998</v>
      </c>
    </row>
    <row r="497" spans="1:8" x14ac:dyDescent="0.3">
      <c r="A497" t="s">
        <v>913</v>
      </c>
      <c r="B497" t="s">
        <v>26951</v>
      </c>
      <c r="C497" t="s">
        <v>1359</v>
      </c>
      <c r="D497" t="s">
        <v>1358</v>
      </c>
      <c r="E497" s="2" t="s">
        <v>572</v>
      </c>
      <c r="F497" t="s">
        <v>805</v>
      </c>
      <c r="G497" t="str">
        <f>HYPERLINK("http://www.econovill.com/news/articleView.html?idxno=225628")</f>
        <v>http://www.econovill.com/news/articleView.html?idxno=225628</v>
      </c>
      <c r="H497">
        <v>0.53400000000000003</v>
      </c>
    </row>
    <row r="498" spans="1:8" x14ac:dyDescent="0.3">
      <c r="A498" t="s">
        <v>913</v>
      </c>
      <c r="B498" t="s">
        <v>26951</v>
      </c>
      <c r="C498" t="s">
        <v>1361</v>
      </c>
      <c r="D498" t="s">
        <v>1360</v>
      </c>
      <c r="E498" s="2" t="s">
        <v>572</v>
      </c>
      <c r="F498" t="s">
        <v>419</v>
      </c>
      <c r="G498" t="str">
        <f>HYPERLINK("https://www.ggilbo.com/news/articleView.html?idxno=1097238")</f>
        <v>https://www.ggilbo.com/news/articleView.html?idxno=1097238</v>
      </c>
      <c r="H498">
        <v>0.51200000000000001</v>
      </c>
    </row>
    <row r="499" spans="1:8" x14ac:dyDescent="0.3">
      <c r="A499" t="s">
        <v>913</v>
      </c>
      <c r="B499" t="s">
        <v>26951</v>
      </c>
      <c r="C499" t="s">
        <v>1364</v>
      </c>
      <c r="D499" t="s">
        <v>1363</v>
      </c>
      <c r="E499" s="2" t="s">
        <v>572</v>
      </c>
      <c r="F499" t="s">
        <v>1362</v>
      </c>
      <c r="G499" t="str">
        <f>HYPERLINK("https://www.ablenews.co.kr/news/articleView.html?idxno=222192")</f>
        <v>https://www.ablenews.co.kr/news/articleView.html?idxno=222192</v>
      </c>
      <c r="H499">
        <v>0.92800000000000005</v>
      </c>
    </row>
    <row r="500" spans="1:8" x14ac:dyDescent="0.3">
      <c r="A500" t="s">
        <v>913</v>
      </c>
      <c r="B500" t="s">
        <v>26951</v>
      </c>
      <c r="C500" t="s">
        <v>1367</v>
      </c>
      <c r="D500" t="s">
        <v>1366</v>
      </c>
      <c r="E500" s="2" t="s">
        <v>572</v>
      </c>
      <c r="F500" t="s">
        <v>1365</v>
      </c>
      <c r="G500" t="str">
        <f>HYPERLINK("https://n.news.naver.com/mnews/article/008/0005201566?sid=101")</f>
        <v>https://n.news.naver.com/mnews/article/008/0005201566?sid=101</v>
      </c>
      <c r="H500">
        <v>0.27700000000000002</v>
      </c>
    </row>
    <row r="501" spans="1:8" x14ac:dyDescent="0.3">
      <c r="A501" t="s">
        <v>913</v>
      </c>
      <c r="B501" t="s">
        <v>26951</v>
      </c>
      <c r="C501" t="s">
        <v>1370</v>
      </c>
      <c r="D501" t="s">
        <v>1369</v>
      </c>
      <c r="E501" s="2" t="s">
        <v>572</v>
      </c>
      <c r="F501" t="s">
        <v>1368</v>
      </c>
      <c r="G501" t="str">
        <f>HYPERLINK("https://n.news.naver.com/mnews/article/008/0005214330?sid=101")</f>
        <v>https://n.news.naver.com/mnews/article/008/0005214330?sid=101</v>
      </c>
      <c r="H501">
        <v>0.18</v>
      </c>
    </row>
    <row r="502" spans="1:8" x14ac:dyDescent="0.3">
      <c r="A502" t="s">
        <v>913</v>
      </c>
      <c r="B502" t="s">
        <v>26951</v>
      </c>
      <c r="C502" t="s">
        <v>1373</v>
      </c>
      <c r="D502" t="s">
        <v>1372</v>
      </c>
      <c r="E502" s="2" t="s">
        <v>572</v>
      </c>
      <c r="F502" t="s">
        <v>1371</v>
      </c>
      <c r="G502" t="str">
        <f>HYPERLINK("http://www.apnews.kr/news/articleView.html?idxno=3003876")</f>
        <v>http://www.apnews.kr/news/articleView.html?idxno=3003876</v>
      </c>
      <c r="H502">
        <v>0.44600000000000001</v>
      </c>
    </row>
    <row r="503" spans="1:8" x14ac:dyDescent="0.3">
      <c r="A503" t="s">
        <v>913</v>
      </c>
      <c r="B503" t="s">
        <v>26951</v>
      </c>
      <c r="C503" t="s">
        <v>1376</v>
      </c>
      <c r="D503" t="s">
        <v>1375</v>
      </c>
      <c r="E503" s="2" t="s">
        <v>572</v>
      </c>
      <c r="F503" t="s">
        <v>1374</v>
      </c>
      <c r="G503" t="str">
        <f>HYPERLINK("https://n.news.naver.com/mnews/article/018/0006053386?sid=101")</f>
        <v>https://n.news.naver.com/mnews/article/018/0006053386?sid=101</v>
      </c>
      <c r="H503">
        <v>0.443</v>
      </c>
    </row>
    <row r="504" spans="1:8" x14ac:dyDescent="0.3">
      <c r="A504" t="s">
        <v>913</v>
      </c>
      <c r="B504" t="s">
        <v>26951</v>
      </c>
      <c r="C504" t="s">
        <v>1381</v>
      </c>
      <c r="D504" t="s">
        <v>1380</v>
      </c>
      <c r="E504" s="2" t="s">
        <v>572</v>
      </c>
      <c r="F504" t="s">
        <v>1379</v>
      </c>
      <c r="G504" t="str">
        <f>HYPERLINK("http://www.doctorstimes.com/news/articleView.html?idxno=233177")</f>
        <v>http://www.doctorstimes.com/news/articleView.html?idxno=233177</v>
      </c>
      <c r="H504">
        <v>0.52600000000000002</v>
      </c>
    </row>
    <row r="505" spans="1:8" x14ac:dyDescent="0.3">
      <c r="A505" t="s">
        <v>913</v>
      </c>
      <c r="B505" t="s">
        <v>26951</v>
      </c>
      <c r="C505" t="s">
        <v>1383</v>
      </c>
      <c r="D505" t="s">
        <v>1382</v>
      </c>
      <c r="E505" s="2" t="s">
        <v>572</v>
      </c>
      <c r="F505" t="s">
        <v>898</v>
      </c>
      <c r="G505" t="str">
        <f>HYPERLINK("https://www.apnews.kr/news/articleView.html?idxno=3029666")</f>
        <v>https://www.apnews.kr/news/articleView.html?idxno=3029666</v>
      </c>
      <c r="H505">
        <v>0.68899999999999995</v>
      </c>
    </row>
    <row r="506" spans="1:8" x14ac:dyDescent="0.3">
      <c r="A506" t="s">
        <v>913</v>
      </c>
      <c r="B506" t="s">
        <v>26951</v>
      </c>
      <c r="C506" t="s">
        <v>1385</v>
      </c>
      <c r="D506" t="s">
        <v>1384</v>
      </c>
      <c r="E506" s="2" t="s">
        <v>609</v>
      </c>
      <c r="F506" t="s">
        <v>970</v>
      </c>
      <c r="G506" t="str">
        <f>HYPERLINK("http://dream.kotra.or.kr/kotranews/cms/news/actionKotraBoardDetail.do?SITE_NO=3&amp;MENU_ID=190&amp;CONTENTS_NO=2&amp;bbsGbn=254&amp;bbsSn=254&amp;pNttSn=230624")</f>
        <v>http://dream.kotra.or.kr/kotranews/cms/news/actionKotraBoardDetail.do?SITE_NO=3&amp;MENU_ID=190&amp;CONTENTS_NO=2&amp;bbsGbn=254&amp;bbsSn=254&amp;pNttSn=230624</v>
      </c>
      <c r="H506">
        <v>0.44700000000000001</v>
      </c>
    </row>
    <row r="507" spans="1:8" x14ac:dyDescent="0.3">
      <c r="A507" t="s">
        <v>913</v>
      </c>
      <c r="B507" t="s">
        <v>26951</v>
      </c>
      <c r="C507" t="s">
        <v>1388</v>
      </c>
      <c r="D507" t="s">
        <v>1387</v>
      </c>
      <c r="E507" s="2" t="s">
        <v>609</v>
      </c>
      <c r="F507" t="s">
        <v>1386</v>
      </c>
      <c r="G507" t="str">
        <f>HYPERLINK("https://daily.hankooki.com/news/articleView.html?idxno=1227023")</f>
        <v>https://daily.hankooki.com/news/articleView.html?idxno=1227023</v>
      </c>
      <c r="H507">
        <v>0.871</v>
      </c>
    </row>
    <row r="508" spans="1:8" x14ac:dyDescent="0.3">
      <c r="A508" t="s">
        <v>913</v>
      </c>
      <c r="B508" t="s">
        <v>26951</v>
      </c>
      <c r="C508" t="s">
        <v>1390</v>
      </c>
      <c r="D508" t="s">
        <v>1389</v>
      </c>
      <c r="E508" s="2" t="s">
        <v>609</v>
      </c>
      <c r="F508" t="s">
        <v>208</v>
      </c>
      <c r="G508" t="str">
        <f>HYPERLINK("https://n.news.naver.com/mnews/article/119/0002973907?sid=101")</f>
        <v>https://n.news.naver.com/mnews/article/119/0002973907?sid=101</v>
      </c>
      <c r="H508">
        <v>0.17399999999999999</v>
      </c>
    </row>
    <row r="509" spans="1:8" x14ac:dyDescent="0.3">
      <c r="A509" t="s">
        <v>913</v>
      </c>
      <c r="B509" t="s">
        <v>26951</v>
      </c>
      <c r="C509" t="s">
        <v>1393</v>
      </c>
      <c r="D509" t="s">
        <v>1392</v>
      </c>
      <c r="E509" s="2" t="s">
        <v>609</v>
      </c>
      <c r="F509" t="s">
        <v>1391</v>
      </c>
      <c r="G509" t="str">
        <f>HYPERLINK("https://www.apnews.kr/news/articleView.html?idxno=3023482")</f>
        <v>https://www.apnews.kr/news/articleView.html?idxno=3023482</v>
      </c>
      <c r="H509">
        <v>0.28399999999999997</v>
      </c>
    </row>
    <row r="510" spans="1:8" x14ac:dyDescent="0.3">
      <c r="A510" t="s">
        <v>913</v>
      </c>
      <c r="B510" t="s">
        <v>26951</v>
      </c>
      <c r="C510" t="s">
        <v>1396</v>
      </c>
      <c r="D510" t="s">
        <v>1395</v>
      </c>
      <c r="E510" s="2" t="s">
        <v>609</v>
      </c>
      <c r="F510" t="s">
        <v>1394</v>
      </c>
      <c r="G510" t="str">
        <f>HYPERLINK("https://n.news.naver.com/mnews/article/008/0005204795?sid=101")</f>
        <v>https://n.news.naver.com/mnews/article/008/0005204795?sid=101</v>
      </c>
      <c r="H510">
        <v>0.27900000000000003</v>
      </c>
    </row>
    <row r="511" spans="1:8" x14ac:dyDescent="0.3">
      <c r="A511" t="s">
        <v>913</v>
      </c>
      <c r="B511" t="s">
        <v>26951</v>
      </c>
      <c r="C511" t="s">
        <v>1398</v>
      </c>
      <c r="D511" t="s">
        <v>1397</v>
      </c>
      <c r="E511" s="2" t="s">
        <v>609</v>
      </c>
      <c r="F511" t="s">
        <v>1242</v>
      </c>
      <c r="G511" t="str">
        <f>HYPERLINK("https://n.news.naver.com/mnews/article/081/0003551987?sid=101")</f>
        <v>https://n.news.naver.com/mnews/article/081/0003551987?sid=101</v>
      </c>
      <c r="H511">
        <v>0.14899999999999999</v>
      </c>
    </row>
    <row r="512" spans="1:8" x14ac:dyDescent="0.3">
      <c r="A512" t="s">
        <v>913</v>
      </c>
      <c r="B512" t="s">
        <v>26951</v>
      </c>
      <c r="C512" t="s">
        <v>1401</v>
      </c>
      <c r="D512" t="s">
        <v>1400</v>
      </c>
      <c r="E512" s="2" t="s">
        <v>609</v>
      </c>
      <c r="F512" t="s">
        <v>1399</v>
      </c>
      <c r="G512" t="str">
        <f>HYPERLINK("http://www.newsmp.com/news/articleView.html?idxno=245982")</f>
        <v>http://www.newsmp.com/news/articleView.html?idxno=245982</v>
      </c>
      <c r="H512">
        <v>0.58299999999999996</v>
      </c>
    </row>
    <row r="513" spans="1:8" x14ac:dyDescent="0.3">
      <c r="A513" t="s">
        <v>913</v>
      </c>
      <c r="B513" t="s">
        <v>26951</v>
      </c>
      <c r="C513" t="s">
        <v>1404</v>
      </c>
      <c r="D513" t="s">
        <v>1403</v>
      </c>
      <c r="E513" s="2" t="s">
        <v>609</v>
      </c>
      <c r="F513" t="s">
        <v>1402</v>
      </c>
      <c r="G513" t="str">
        <f>HYPERLINK("http://www.kukinews.com/news/article.html?no=510562")</f>
        <v>http://www.kukinews.com/news/article.html?no=510562</v>
      </c>
      <c r="H513">
        <v>0.224</v>
      </c>
    </row>
    <row r="514" spans="1:8" x14ac:dyDescent="0.3">
      <c r="A514" t="s">
        <v>913</v>
      </c>
      <c r="B514" t="s">
        <v>26951</v>
      </c>
      <c r="C514" t="s">
        <v>1407</v>
      </c>
      <c r="D514" t="s">
        <v>1406</v>
      </c>
      <c r="E514" s="2" t="s">
        <v>653</v>
      </c>
      <c r="F514" t="s">
        <v>1336</v>
      </c>
      <c r="G514" t="str">
        <f>HYPERLINK("https://news.mtn.co.kr/news-detail/2022072712421650139")</f>
        <v>https://news.mtn.co.kr/news-detail/2022072712421650139</v>
      </c>
      <c r="H514">
        <v>5.0999999999999997E-2</v>
      </c>
    </row>
    <row r="515" spans="1:8" x14ac:dyDescent="0.3">
      <c r="A515" t="s">
        <v>913</v>
      </c>
      <c r="B515" t="s">
        <v>26951</v>
      </c>
      <c r="C515" t="s">
        <v>1410</v>
      </c>
      <c r="D515" t="s">
        <v>1409</v>
      </c>
      <c r="E515" s="2" t="s">
        <v>653</v>
      </c>
      <c r="F515" t="s">
        <v>1408</v>
      </c>
      <c r="G515" t="str">
        <f>HYPERLINK("http://www.breaknews.com/1123092")</f>
        <v>http://www.breaknews.com/1123092</v>
      </c>
      <c r="H515">
        <v>0.248</v>
      </c>
    </row>
    <row r="516" spans="1:8" x14ac:dyDescent="0.3">
      <c r="A516" t="s">
        <v>913</v>
      </c>
      <c r="B516" t="s">
        <v>26951</v>
      </c>
      <c r="C516" t="s">
        <v>1412</v>
      </c>
      <c r="D516" t="s">
        <v>1411</v>
      </c>
      <c r="E516" s="2" t="s">
        <v>653</v>
      </c>
      <c r="F516" t="s">
        <v>467</v>
      </c>
      <c r="G516" t="str">
        <f>HYPERLINK("http://www.nongaek.com/news/articleView.html?idxno=91240")</f>
        <v>http://www.nongaek.com/news/articleView.html?idxno=91240</v>
      </c>
      <c r="H516">
        <v>0.64300000000000002</v>
      </c>
    </row>
    <row r="517" spans="1:8" x14ac:dyDescent="0.3">
      <c r="A517" t="s">
        <v>913</v>
      </c>
      <c r="B517" t="s">
        <v>26951</v>
      </c>
      <c r="C517" t="s">
        <v>1414</v>
      </c>
      <c r="D517" t="s">
        <v>1413</v>
      </c>
      <c r="E517" s="2" t="s">
        <v>653</v>
      </c>
      <c r="F517" t="s">
        <v>145</v>
      </c>
      <c r="G517" t="str">
        <f>HYPERLINK("https://n.news.naver.com/mnews/article/018/0006053386?sid=101")</f>
        <v>https://n.news.naver.com/mnews/article/018/0006053386?sid=101</v>
      </c>
      <c r="H517">
        <v>0.35299999999999998</v>
      </c>
    </row>
    <row r="518" spans="1:8" x14ac:dyDescent="0.3">
      <c r="A518" t="s">
        <v>913</v>
      </c>
      <c r="B518" t="s">
        <v>26951</v>
      </c>
      <c r="C518" t="s">
        <v>1416</v>
      </c>
      <c r="D518" t="s">
        <v>1415</v>
      </c>
      <c r="E518" s="2" t="s">
        <v>653</v>
      </c>
      <c r="F518" t="s">
        <v>542</v>
      </c>
      <c r="G518" t="str">
        <f>HYPERLINK("https://n.news.naver.com/mnews/article/022/0004047745?sid=102")</f>
        <v>https://n.news.naver.com/mnews/article/022/0004047745?sid=102</v>
      </c>
      <c r="H518">
        <v>0.22500000000000001</v>
      </c>
    </row>
    <row r="519" spans="1:8" x14ac:dyDescent="0.3">
      <c r="A519" t="s">
        <v>913</v>
      </c>
      <c r="B519" t="s">
        <v>26951</v>
      </c>
      <c r="C519" t="s">
        <v>1419</v>
      </c>
      <c r="D519" t="s">
        <v>1418</v>
      </c>
      <c r="E519" s="2" t="s">
        <v>653</v>
      </c>
      <c r="F519" t="s">
        <v>1417</v>
      </c>
      <c r="G519" t="str">
        <f>HYPERLINK("https://www.m-economynews.com/news/article.html?no=55508")</f>
        <v>https://www.m-economynews.com/news/article.html?no=55508</v>
      </c>
      <c r="H519">
        <v>0.44600000000000001</v>
      </c>
    </row>
    <row r="520" spans="1:8" x14ac:dyDescent="0.3">
      <c r="A520" t="s">
        <v>913</v>
      </c>
      <c r="B520" t="s">
        <v>26951</v>
      </c>
      <c r="C520" t="s">
        <v>1422</v>
      </c>
      <c r="D520" t="s">
        <v>1421</v>
      </c>
      <c r="E520" s="2" t="s">
        <v>653</v>
      </c>
      <c r="F520" t="s">
        <v>1420</v>
      </c>
      <c r="G520" t="str">
        <f>HYPERLINK("https://www.tokenpost.kr/news/briefing/253328")</f>
        <v>https://www.tokenpost.kr/news/briefing/253328</v>
      </c>
      <c r="H520">
        <v>0.55500000000000005</v>
      </c>
    </row>
    <row r="521" spans="1:8" x14ac:dyDescent="0.3">
      <c r="A521" t="s">
        <v>913</v>
      </c>
      <c r="B521" t="s">
        <v>26951</v>
      </c>
      <c r="C521" t="s">
        <v>1425</v>
      </c>
      <c r="D521" t="s">
        <v>1424</v>
      </c>
      <c r="E521" s="2" t="s">
        <v>692</v>
      </c>
      <c r="F521" t="s">
        <v>425</v>
      </c>
      <c r="G521" t="str">
        <f>HYPERLINK("https://n.news.naver.com/mnews/article/008/0005206912?sid=101")</f>
        <v>https://n.news.naver.com/mnews/article/008/0005206912?sid=101</v>
      </c>
      <c r="H521">
        <v>0.29399999999999998</v>
      </c>
    </row>
    <row r="522" spans="1:8" x14ac:dyDescent="0.3">
      <c r="A522" t="s">
        <v>913</v>
      </c>
      <c r="B522" t="s">
        <v>26951</v>
      </c>
      <c r="C522" t="s">
        <v>1428</v>
      </c>
      <c r="D522" t="s">
        <v>1427</v>
      </c>
      <c r="E522" s="2" t="s">
        <v>692</v>
      </c>
      <c r="F522" t="s">
        <v>1426</v>
      </c>
      <c r="G522" t="str">
        <f>HYPERLINK("http://www.fntoday.co.kr/news/articleView.html?idxno=351017")</f>
        <v>http://www.fntoday.co.kr/news/articleView.html?idxno=351017</v>
      </c>
      <c r="H522">
        <v>0.39600000000000002</v>
      </c>
    </row>
    <row r="523" spans="1:8" x14ac:dyDescent="0.3">
      <c r="A523" t="s">
        <v>913</v>
      </c>
      <c r="B523" t="s">
        <v>26951</v>
      </c>
      <c r="C523" t="s">
        <v>1431</v>
      </c>
      <c r="D523" t="s">
        <v>1430</v>
      </c>
      <c r="E523" s="2" t="s">
        <v>692</v>
      </c>
      <c r="F523" t="s">
        <v>1429</v>
      </c>
      <c r="G523" t="str">
        <f>HYPERLINK("https://news.einfomax.co.kr/news/articleView.html?idxno=4362185")</f>
        <v>https://news.einfomax.co.kr/news/articleView.html?idxno=4362185</v>
      </c>
      <c r="H523">
        <v>0.57399999999999995</v>
      </c>
    </row>
    <row r="524" spans="1:8" x14ac:dyDescent="0.3">
      <c r="A524" t="s">
        <v>913</v>
      </c>
      <c r="B524" t="s">
        <v>26951</v>
      </c>
      <c r="C524" t="s">
        <v>1435</v>
      </c>
      <c r="D524" t="s">
        <v>1434</v>
      </c>
      <c r="E524" s="2" t="s">
        <v>692</v>
      </c>
      <c r="F524" t="s">
        <v>1433</v>
      </c>
      <c r="G524" t="str">
        <f>HYPERLINK("https://n.news.naver.com/mnews/article/008/0004851673?sid=105")</f>
        <v>https://n.news.naver.com/mnews/article/008/0004851673?sid=105</v>
      </c>
      <c r="H524">
        <v>0.20100000000000001</v>
      </c>
    </row>
    <row r="525" spans="1:8" x14ac:dyDescent="0.3">
      <c r="A525" t="s">
        <v>913</v>
      </c>
      <c r="B525" t="s">
        <v>26951</v>
      </c>
      <c r="C525" t="s">
        <v>1438</v>
      </c>
      <c r="D525" t="s">
        <v>1437</v>
      </c>
      <c r="E525" s="2" t="s">
        <v>692</v>
      </c>
      <c r="F525" t="s">
        <v>1436</v>
      </c>
      <c r="G525" t="str">
        <f>HYPERLINK("https://n.news.naver.com/mnews/article/008/0005203157?sid=100")</f>
        <v>https://n.news.naver.com/mnews/article/008/0005203157?sid=100</v>
      </c>
      <c r="H525">
        <v>0.19600000000000001</v>
      </c>
    </row>
    <row r="526" spans="1:8" x14ac:dyDescent="0.3">
      <c r="A526" t="s">
        <v>913</v>
      </c>
      <c r="B526" t="s">
        <v>26951</v>
      </c>
      <c r="C526" t="s">
        <v>1441</v>
      </c>
      <c r="D526" t="s">
        <v>1440</v>
      </c>
      <c r="E526" s="2" t="s">
        <v>692</v>
      </c>
      <c r="F526" t="s">
        <v>1439</v>
      </c>
      <c r="G526" t="str">
        <f>HYPERLINK("http://www.seouleconews.com/news/articleView.html?idxno=75765")</f>
        <v>http://www.seouleconews.com/news/articleView.html?idxno=75765</v>
      </c>
      <c r="H526">
        <v>0.14199999999999999</v>
      </c>
    </row>
    <row r="527" spans="1:8" x14ac:dyDescent="0.3">
      <c r="A527" t="s">
        <v>913</v>
      </c>
      <c r="B527" t="s">
        <v>26951</v>
      </c>
      <c r="C527" t="s">
        <v>1444</v>
      </c>
      <c r="D527" t="s">
        <v>1443</v>
      </c>
      <c r="E527" s="2" t="s">
        <v>711</v>
      </c>
      <c r="F527" t="s">
        <v>1442</v>
      </c>
      <c r="G527" t="str">
        <f>HYPERLINK("https://n.news.naver.com/mnews/article/008/0002441334?sid=101")</f>
        <v>https://n.news.naver.com/mnews/article/008/0002441334?sid=101</v>
      </c>
      <c r="H527">
        <v>0.29499999999999998</v>
      </c>
    </row>
    <row r="528" spans="1:8" x14ac:dyDescent="0.3">
      <c r="A528" t="s">
        <v>913</v>
      </c>
      <c r="B528" t="s">
        <v>26951</v>
      </c>
      <c r="C528" t="s">
        <v>1446</v>
      </c>
      <c r="D528" t="s">
        <v>1445</v>
      </c>
      <c r="E528" s="2" t="s">
        <v>711</v>
      </c>
      <c r="F528" t="s">
        <v>151</v>
      </c>
      <c r="G528" t="str">
        <f>HYPERLINK("https://www.christiantoday.co.kr/news/369168")</f>
        <v>https://www.christiantoday.co.kr/news/369168</v>
      </c>
      <c r="H528">
        <v>0.63900000000000001</v>
      </c>
    </row>
    <row r="529" spans="1:8" x14ac:dyDescent="0.3">
      <c r="A529" t="s">
        <v>913</v>
      </c>
      <c r="B529" t="s">
        <v>26951</v>
      </c>
      <c r="C529" t="s">
        <v>1449</v>
      </c>
      <c r="D529" t="s">
        <v>1448</v>
      </c>
      <c r="E529" s="2" t="s">
        <v>711</v>
      </c>
      <c r="F529" t="s">
        <v>1447</v>
      </c>
      <c r="G529" t="str">
        <f>HYPERLINK("http://www.ablenews.co.kr/News/NewsContent.aspx?CategoryCode=0030&amp;NewsCode=003020210413145714073351")</f>
        <v>http://www.ablenews.co.kr/News/NewsContent.aspx?CategoryCode=0030&amp;NewsCode=003020210413145714073351</v>
      </c>
      <c r="H529">
        <v>0.223</v>
      </c>
    </row>
    <row r="530" spans="1:8" x14ac:dyDescent="0.3">
      <c r="A530" t="s">
        <v>913</v>
      </c>
      <c r="B530" t="s">
        <v>26951</v>
      </c>
      <c r="C530" t="s">
        <v>1452</v>
      </c>
      <c r="D530" t="s">
        <v>1451</v>
      </c>
      <c r="E530" s="2" t="s">
        <v>725</v>
      </c>
      <c r="F530" t="s">
        <v>1450</v>
      </c>
      <c r="G530" t="str">
        <f>HYPERLINK("http://www.psychiatricnews.net/news/articleView.html?idxno=35120")</f>
        <v>http://www.psychiatricnews.net/news/articleView.html?idxno=35120</v>
      </c>
      <c r="H530">
        <v>0.67600000000000005</v>
      </c>
    </row>
    <row r="531" spans="1:8" x14ac:dyDescent="0.3">
      <c r="A531" t="s">
        <v>913</v>
      </c>
      <c r="B531" t="s">
        <v>26951</v>
      </c>
      <c r="C531" t="s">
        <v>1454</v>
      </c>
      <c r="D531" t="s">
        <v>1453</v>
      </c>
      <c r="E531" s="2" t="s">
        <v>725</v>
      </c>
      <c r="F531" t="s">
        <v>264</v>
      </c>
      <c r="G531" t="str">
        <f>HYPERLINK("https://n.news.naver.com/mnews/article/005/0000710438?sid=103")</f>
        <v>https://n.news.naver.com/mnews/article/005/0000710438?sid=103</v>
      </c>
      <c r="H531">
        <v>0.35299999999999998</v>
      </c>
    </row>
    <row r="532" spans="1:8" x14ac:dyDescent="0.3">
      <c r="A532" t="s">
        <v>913</v>
      </c>
      <c r="B532" t="s">
        <v>26951</v>
      </c>
      <c r="C532" t="s">
        <v>1457</v>
      </c>
      <c r="D532" t="s">
        <v>1456</v>
      </c>
      <c r="E532" s="2" t="s">
        <v>725</v>
      </c>
      <c r="F532" t="s">
        <v>1455</v>
      </c>
      <c r="G532" t="str">
        <f>HYPERLINK("https://n.news.naver.com/mnews/article/057/0001876244?sid=102")</f>
        <v>https://n.news.naver.com/mnews/article/057/0001876244?sid=102</v>
      </c>
      <c r="H532">
        <v>0.184</v>
      </c>
    </row>
    <row r="533" spans="1:8" x14ac:dyDescent="0.3">
      <c r="A533" t="s">
        <v>913</v>
      </c>
      <c r="B533" t="s">
        <v>26951</v>
      </c>
      <c r="C533" t="s">
        <v>1460</v>
      </c>
      <c r="D533" t="s">
        <v>1459</v>
      </c>
      <c r="E533" s="2" t="s">
        <v>725</v>
      </c>
      <c r="F533" t="s">
        <v>1458</v>
      </c>
      <c r="G533" t="str">
        <f>HYPERLINK("https://n.news.naver.com/mnews/article/079/0003600983?sid=100")</f>
        <v>https://n.news.naver.com/mnews/article/079/0003600983?sid=100</v>
      </c>
      <c r="H533">
        <v>0.25900000000000001</v>
      </c>
    </row>
    <row r="534" spans="1:8" x14ac:dyDescent="0.3">
      <c r="A534" t="s">
        <v>913</v>
      </c>
      <c r="B534" t="s">
        <v>26951</v>
      </c>
      <c r="C534" t="s">
        <v>1462</v>
      </c>
      <c r="D534" t="s">
        <v>1461</v>
      </c>
      <c r="E534" s="2" t="s">
        <v>725</v>
      </c>
      <c r="F534" t="s">
        <v>487</v>
      </c>
      <c r="G534" t="str">
        <f>HYPERLINK("https://n.news.naver.com/mnews/article/022/0004041297?sid=100")</f>
        <v>https://n.news.naver.com/mnews/article/022/0004041297?sid=100</v>
      </c>
      <c r="H534">
        <v>0.105</v>
      </c>
    </row>
    <row r="535" spans="1:8" x14ac:dyDescent="0.3">
      <c r="A535" t="s">
        <v>913</v>
      </c>
      <c r="B535" t="s">
        <v>26951</v>
      </c>
      <c r="C535" t="s">
        <v>1464</v>
      </c>
      <c r="D535" t="s">
        <v>1463</v>
      </c>
      <c r="E535" s="2" t="s">
        <v>725</v>
      </c>
      <c r="F535" t="s">
        <v>1093</v>
      </c>
      <c r="G535" t="str">
        <f>HYPERLINK("http://www.newspim.com/news/view/20200907000020")</f>
        <v>http://www.newspim.com/news/view/20200907000020</v>
      </c>
      <c r="H535">
        <v>0.54700000000000004</v>
      </c>
    </row>
    <row r="536" spans="1:8" x14ac:dyDescent="0.3">
      <c r="A536" t="s">
        <v>913</v>
      </c>
      <c r="B536" t="s">
        <v>26951</v>
      </c>
      <c r="C536" t="s">
        <v>1467</v>
      </c>
      <c r="D536" t="s">
        <v>1466</v>
      </c>
      <c r="E536" s="2" t="s">
        <v>725</v>
      </c>
      <c r="F536" t="s">
        <v>1465</v>
      </c>
      <c r="G536" t="str">
        <f>HYPERLINK("https://news.einfomax.co.kr/news/articleView.html?idxno=4359150")</f>
        <v>https://news.einfomax.co.kr/news/articleView.html?idxno=4359150</v>
      </c>
      <c r="H536">
        <v>0.69299999999999995</v>
      </c>
    </row>
    <row r="537" spans="1:8" x14ac:dyDescent="0.3">
      <c r="A537" t="s">
        <v>913</v>
      </c>
      <c r="B537" t="s">
        <v>26951</v>
      </c>
      <c r="C537" t="s">
        <v>1470</v>
      </c>
      <c r="D537" t="s">
        <v>1469</v>
      </c>
      <c r="E537" s="2" t="s">
        <v>725</v>
      </c>
      <c r="F537" t="s">
        <v>1468</v>
      </c>
      <c r="G537" t="str">
        <f>HYPERLINK("https://n.news.naver.com/mnews/article/008/0004096438?sid=104")</f>
        <v>https://n.news.naver.com/mnews/article/008/0004096438?sid=104</v>
      </c>
      <c r="H537">
        <v>0.24299999999999999</v>
      </c>
    </row>
    <row r="538" spans="1:8" x14ac:dyDescent="0.3">
      <c r="A538" t="s">
        <v>913</v>
      </c>
      <c r="B538" t="s">
        <v>26951</v>
      </c>
      <c r="C538" t="s">
        <v>1473</v>
      </c>
      <c r="D538" t="s">
        <v>1472</v>
      </c>
      <c r="E538" s="2" t="s">
        <v>742</v>
      </c>
      <c r="F538" t="s">
        <v>1471</v>
      </c>
      <c r="G538" t="str">
        <f>HYPERLINK("https://www.apnews.kr/news/articleView.html?idxno=3022008")</f>
        <v>https://www.apnews.kr/news/articleView.html?idxno=3022008</v>
      </c>
      <c r="H538">
        <v>0.309</v>
      </c>
    </row>
    <row r="539" spans="1:8" x14ac:dyDescent="0.3">
      <c r="A539" t="s">
        <v>913</v>
      </c>
      <c r="B539" t="s">
        <v>26951</v>
      </c>
      <c r="C539" t="s">
        <v>1475</v>
      </c>
      <c r="D539" t="s">
        <v>1474</v>
      </c>
      <c r="E539" s="2" t="s">
        <v>742</v>
      </c>
      <c r="F539" t="s">
        <v>1060</v>
      </c>
      <c r="G539" t="str">
        <f>HYPERLINK("http://www.seoulwire.com/news/articleView.html?idxno=463558")</f>
        <v>http://www.seoulwire.com/news/articleView.html?idxno=463558</v>
      </c>
      <c r="H539">
        <v>0.371</v>
      </c>
    </row>
    <row r="540" spans="1:8" x14ac:dyDescent="0.3">
      <c r="A540" t="s">
        <v>913</v>
      </c>
      <c r="B540" t="s">
        <v>26951</v>
      </c>
      <c r="C540" t="s">
        <v>1478</v>
      </c>
      <c r="D540" t="s">
        <v>1477</v>
      </c>
      <c r="E540" s="2" t="s">
        <v>742</v>
      </c>
      <c r="F540" t="s">
        <v>1476</v>
      </c>
      <c r="G540" t="str">
        <f>HYPERLINK("http://www.greened.kr/news/articleView.html?idxno=300375")</f>
        <v>http://www.greened.kr/news/articleView.html?idxno=300375</v>
      </c>
      <c r="H540">
        <v>0.40100000000000002</v>
      </c>
    </row>
    <row r="541" spans="1:8" x14ac:dyDescent="0.3">
      <c r="A541" t="s">
        <v>913</v>
      </c>
      <c r="B541" t="s">
        <v>26951</v>
      </c>
      <c r="C541" t="s">
        <v>1480</v>
      </c>
      <c r="D541" t="s">
        <v>1479</v>
      </c>
      <c r="E541" s="2" t="s">
        <v>742</v>
      </c>
      <c r="F541" t="s">
        <v>556</v>
      </c>
      <c r="G541" t="str">
        <f>HYPERLINK("https://n.news.naver.com/mnews/article/018/0006024304?sid=100")</f>
        <v>https://n.news.naver.com/mnews/article/018/0006024304?sid=100</v>
      </c>
      <c r="H541">
        <v>0.15</v>
      </c>
    </row>
    <row r="542" spans="1:8" x14ac:dyDescent="0.3">
      <c r="A542" t="s">
        <v>913</v>
      </c>
      <c r="B542" t="s">
        <v>26951</v>
      </c>
      <c r="C542" t="s">
        <v>1483</v>
      </c>
      <c r="D542" t="s">
        <v>1482</v>
      </c>
      <c r="E542" s="2" t="s">
        <v>742</v>
      </c>
      <c r="F542" t="s">
        <v>1481</v>
      </c>
      <c r="G542" t="str">
        <f>HYPERLINK("https://n.news.naver.com/mnews/article/008/0004556640?sid=104")</f>
        <v>https://n.news.naver.com/mnews/article/008/0004556640?sid=104</v>
      </c>
      <c r="H542">
        <v>0.122</v>
      </c>
    </row>
    <row r="543" spans="1:8" x14ac:dyDescent="0.3">
      <c r="A543" t="s">
        <v>913</v>
      </c>
      <c r="B543" t="s">
        <v>26951</v>
      </c>
      <c r="C543" t="s">
        <v>1485</v>
      </c>
      <c r="D543" t="s">
        <v>1484</v>
      </c>
      <c r="E543" s="2" t="s">
        <v>742</v>
      </c>
      <c r="F543" t="s">
        <v>205</v>
      </c>
      <c r="G543" t="str">
        <f>HYPERLINK("https://n.news.naver.com/mnews/article/469/0000868785?sid=100")</f>
        <v>https://n.news.naver.com/mnews/article/469/0000868785?sid=100</v>
      </c>
      <c r="H543">
        <v>0.20200000000000001</v>
      </c>
    </row>
    <row r="544" spans="1:8" x14ac:dyDescent="0.3">
      <c r="A544" t="s">
        <v>913</v>
      </c>
      <c r="B544" t="s">
        <v>26951</v>
      </c>
      <c r="C544" t="s">
        <v>1489</v>
      </c>
      <c r="D544" t="s">
        <v>1488</v>
      </c>
      <c r="E544" s="2" t="s">
        <v>742</v>
      </c>
      <c r="F544" t="s">
        <v>785</v>
      </c>
      <c r="G544" t="str">
        <f>HYPERLINK("https://n.news.naver.com/mnews/article/008/0005213113?sid=101")</f>
        <v>https://n.news.naver.com/mnews/article/008/0005213113?sid=101</v>
      </c>
      <c r="H544">
        <v>0.19700000000000001</v>
      </c>
    </row>
    <row r="545" spans="1:8" x14ac:dyDescent="0.3">
      <c r="A545" t="s">
        <v>913</v>
      </c>
      <c r="B545" t="s">
        <v>26951</v>
      </c>
      <c r="C545" t="s">
        <v>1491</v>
      </c>
      <c r="D545" t="s">
        <v>1490</v>
      </c>
      <c r="E545" s="2" t="s">
        <v>742</v>
      </c>
      <c r="F545" t="s">
        <v>785</v>
      </c>
      <c r="G545" t="str">
        <f>HYPERLINK("http://www.smarttimes.co.kr/news/articleView.html?idxno=31633")</f>
        <v>http://www.smarttimes.co.kr/news/articleView.html?idxno=31633</v>
      </c>
      <c r="H545">
        <v>0.27400000000000002</v>
      </c>
    </row>
    <row r="546" spans="1:8" x14ac:dyDescent="0.3">
      <c r="A546" t="s">
        <v>913</v>
      </c>
      <c r="B546" t="s">
        <v>26951</v>
      </c>
      <c r="C546" t="s">
        <v>1493</v>
      </c>
      <c r="D546" t="s">
        <v>1492</v>
      </c>
      <c r="E546" s="2" t="s">
        <v>742</v>
      </c>
      <c r="F546" t="s">
        <v>453</v>
      </c>
      <c r="G546" t="str">
        <f>HYPERLINK("http://www.doctorstimes.com/news/articleView.html?idxno=233132")</f>
        <v>http://www.doctorstimes.com/news/articleView.html?idxno=233132</v>
      </c>
      <c r="H546">
        <v>0.25800000000000001</v>
      </c>
    </row>
    <row r="547" spans="1:8" x14ac:dyDescent="0.3">
      <c r="A547" t="s">
        <v>913</v>
      </c>
      <c r="B547" t="s">
        <v>26951</v>
      </c>
      <c r="C547" t="s">
        <v>1495</v>
      </c>
      <c r="D547" t="s">
        <v>1494</v>
      </c>
      <c r="E547" s="2" t="s">
        <v>799</v>
      </c>
      <c r="F547" t="s">
        <v>914</v>
      </c>
      <c r="G547" t="str">
        <f>HYPERLINK("https://news.mtn.co.kr/news-detail/2025063016380095233")</f>
        <v>https://news.mtn.co.kr/news-detail/2025063016380095233</v>
      </c>
      <c r="H547">
        <v>0.187</v>
      </c>
    </row>
    <row r="548" spans="1:8" x14ac:dyDescent="0.3">
      <c r="A548" t="s">
        <v>913</v>
      </c>
      <c r="B548" t="s">
        <v>26951</v>
      </c>
      <c r="C548" t="s">
        <v>1498</v>
      </c>
      <c r="D548" t="s">
        <v>1497</v>
      </c>
      <c r="E548" s="2" t="s">
        <v>799</v>
      </c>
      <c r="F548" t="s">
        <v>1496</v>
      </c>
      <c r="G548" t="str">
        <f>HYPERLINK("https://n.news.naver.com/mnews/article/008/0005203557?sid=154")</f>
        <v>https://n.news.naver.com/mnews/article/008/0005203557?sid=154</v>
      </c>
      <c r="H548">
        <v>0.21299999999999999</v>
      </c>
    </row>
    <row r="549" spans="1:8" x14ac:dyDescent="0.3">
      <c r="A549" t="s">
        <v>913</v>
      </c>
      <c r="B549" t="s">
        <v>26951</v>
      </c>
      <c r="C549" t="s">
        <v>1501</v>
      </c>
      <c r="D549" t="s">
        <v>1500</v>
      </c>
      <c r="E549" s="2" t="s">
        <v>799</v>
      </c>
      <c r="F549" t="s">
        <v>1499</v>
      </c>
      <c r="G549" t="str">
        <f>HYPERLINK("https://n.news.naver.com/mnews/article/008/0005204496?sid=100")</f>
        <v>https://n.news.naver.com/mnews/article/008/0005204496?sid=100</v>
      </c>
      <c r="H549">
        <v>0.22900000000000001</v>
      </c>
    </row>
    <row r="550" spans="1:8" x14ac:dyDescent="0.3">
      <c r="A550" t="s">
        <v>913</v>
      </c>
      <c r="B550" t="s">
        <v>26951</v>
      </c>
      <c r="C550" t="s">
        <v>1503</v>
      </c>
      <c r="D550" t="s">
        <v>1502</v>
      </c>
      <c r="E550" s="2" t="s">
        <v>799</v>
      </c>
      <c r="F550" t="s">
        <v>625</v>
      </c>
      <c r="G550" t="str">
        <f>HYPERLINK("https://news.einfomax.co.kr/news/articleView.html?idxno=4324027")</f>
        <v>https://news.einfomax.co.kr/news/articleView.html?idxno=4324027</v>
      </c>
      <c r="H550">
        <v>0.36799999999999999</v>
      </c>
    </row>
    <row r="551" spans="1:8" x14ac:dyDescent="0.3">
      <c r="A551" t="s">
        <v>913</v>
      </c>
      <c r="B551" t="s">
        <v>26951</v>
      </c>
      <c r="C551" t="s">
        <v>1505</v>
      </c>
      <c r="D551" t="s">
        <v>1504</v>
      </c>
      <c r="E551" s="2" t="s">
        <v>799</v>
      </c>
      <c r="F551" t="s">
        <v>1263</v>
      </c>
      <c r="G551" t="str">
        <f>HYPERLINK("https://n.news.naver.com/mnews/article/008/0004724991?sid=101")</f>
        <v>https://n.news.naver.com/mnews/article/008/0004724991?sid=101</v>
      </c>
      <c r="H551">
        <v>0.29599999999999999</v>
      </c>
    </row>
    <row r="552" spans="1:8" x14ac:dyDescent="0.3">
      <c r="A552" t="s">
        <v>913</v>
      </c>
      <c r="B552" t="s">
        <v>26951</v>
      </c>
      <c r="C552" t="s">
        <v>1507</v>
      </c>
      <c r="D552" t="s">
        <v>1506</v>
      </c>
      <c r="E552" s="2" t="s">
        <v>799</v>
      </c>
      <c r="F552" t="s">
        <v>298</v>
      </c>
      <c r="G552" t="str">
        <f>HYPERLINK("https://www.mediafine.co.kr/news/articleView.html?idxno=68151")</f>
        <v>https://www.mediafine.co.kr/news/articleView.html?idxno=68151</v>
      </c>
      <c r="H552">
        <v>0.45900000000000002</v>
      </c>
    </row>
    <row r="553" spans="1:8" x14ac:dyDescent="0.3">
      <c r="A553" t="s">
        <v>913</v>
      </c>
      <c r="B553" t="s">
        <v>26951</v>
      </c>
      <c r="C553" t="s">
        <v>1509</v>
      </c>
      <c r="D553" t="s">
        <v>1508</v>
      </c>
      <c r="E553" s="2" t="s">
        <v>799</v>
      </c>
      <c r="F553" t="s">
        <v>332</v>
      </c>
      <c r="G553" t="str">
        <f>HYPERLINK("https://www.s-journal.co.kr/news/articleView.html?idxno=30059")</f>
        <v>https://www.s-journal.co.kr/news/articleView.html?idxno=30059</v>
      </c>
      <c r="H553">
        <v>0.74199999999999999</v>
      </c>
    </row>
    <row r="554" spans="1:8" x14ac:dyDescent="0.3">
      <c r="A554" t="s">
        <v>913</v>
      </c>
      <c r="B554" t="s">
        <v>26951</v>
      </c>
      <c r="C554" t="s">
        <v>1512</v>
      </c>
      <c r="D554" t="s">
        <v>1511</v>
      </c>
      <c r="E554" s="2" t="s">
        <v>799</v>
      </c>
      <c r="F554" t="s">
        <v>1510</v>
      </c>
      <c r="G554" t="str">
        <f>HYPERLINK("http://www.opinionnews.co.kr/news/articleView.html?idxno=118467")</f>
        <v>http://www.opinionnews.co.kr/news/articleView.html?idxno=118467</v>
      </c>
      <c r="H554">
        <v>0.39400000000000002</v>
      </c>
    </row>
    <row r="555" spans="1:8" x14ac:dyDescent="0.3">
      <c r="A555" t="s">
        <v>913</v>
      </c>
      <c r="B555" t="s">
        <v>26951</v>
      </c>
      <c r="C555" t="s">
        <v>1514</v>
      </c>
      <c r="D555" t="s">
        <v>1513</v>
      </c>
      <c r="E555" s="2" t="s">
        <v>799</v>
      </c>
      <c r="F555" t="s">
        <v>785</v>
      </c>
      <c r="G555" t="str">
        <f>HYPERLINK("https://news.bbsi.co.kr/news/articleView.html?idxno=4036840")</f>
        <v>https://news.bbsi.co.kr/news/articleView.html?idxno=4036840</v>
      </c>
      <c r="H555">
        <v>0.23699999999999999</v>
      </c>
    </row>
    <row r="556" spans="1:8" x14ac:dyDescent="0.3">
      <c r="A556" t="s">
        <v>913</v>
      </c>
      <c r="B556" t="s">
        <v>26951</v>
      </c>
      <c r="C556" t="s">
        <v>1516</v>
      </c>
      <c r="D556" t="s">
        <v>1515</v>
      </c>
      <c r="E556" s="2" t="s">
        <v>799</v>
      </c>
      <c r="F556" t="s">
        <v>453</v>
      </c>
      <c r="G556" t="str">
        <f>HYPERLINK("https://dealsite.co.kr/articles/143824")</f>
        <v>https://dealsite.co.kr/articles/143824</v>
      </c>
      <c r="H556">
        <v>0.28899999999999998</v>
      </c>
    </row>
    <row r="557" spans="1:8" x14ac:dyDescent="0.3">
      <c r="A557" t="s">
        <v>913</v>
      </c>
      <c r="B557" t="s">
        <v>26951</v>
      </c>
      <c r="C557" t="s">
        <v>1519</v>
      </c>
      <c r="D557" t="s">
        <v>1518</v>
      </c>
      <c r="E557" s="2" t="s">
        <v>799</v>
      </c>
      <c r="F557" t="s">
        <v>1517</v>
      </c>
      <c r="G557" t="str">
        <f>HYPERLINK("https://n.news.naver.com/mnews/article/008/0002152151?sid=101")</f>
        <v>https://n.news.naver.com/mnews/article/008/0002152151?sid=101</v>
      </c>
      <c r="H557">
        <v>0.45600000000000002</v>
      </c>
    </row>
    <row r="558" spans="1:8" x14ac:dyDescent="0.3">
      <c r="A558" t="s">
        <v>913</v>
      </c>
      <c r="B558" t="s">
        <v>26951</v>
      </c>
      <c r="C558" t="s">
        <v>1522</v>
      </c>
      <c r="D558" t="s">
        <v>1521</v>
      </c>
      <c r="E558" s="2" t="s">
        <v>799</v>
      </c>
      <c r="F558" t="s">
        <v>1520</v>
      </c>
      <c r="G558" t="str">
        <f>HYPERLINK("https://n.news.naver.com/mnews/article/008/0000280190?sid=101")</f>
        <v>https://n.news.naver.com/mnews/article/008/0000280190?sid=101</v>
      </c>
      <c r="H558">
        <v>9.8000000000000004E-2</v>
      </c>
    </row>
    <row r="559" spans="1:8" x14ac:dyDescent="0.3">
      <c r="A559" t="s">
        <v>913</v>
      </c>
      <c r="B559" t="s">
        <v>26951</v>
      </c>
      <c r="C559" t="s">
        <v>1524</v>
      </c>
      <c r="D559" t="s">
        <v>1523</v>
      </c>
      <c r="E559" s="2" t="s">
        <v>840</v>
      </c>
      <c r="F559" t="s">
        <v>453</v>
      </c>
      <c r="G559" t="str">
        <f>HYPERLINK("https://www.apnews.kr/news/articleView.html?idxno=3036114")</f>
        <v>https://www.apnews.kr/news/articleView.html?idxno=3036114</v>
      </c>
      <c r="H559">
        <v>0.26100000000000001</v>
      </c>
    </row>
    <row r="560" spans="1:8" x14ac:dyDescent="0.3">
      <c r="A560" t="s">
        <v>913</v>
      </c>
      <c r="B560" t="s">
        <v>26951</v>
      </c>
      <c r="C560" t="s">
        <v>1526</v>
      </c>
      <c r="D560" t="s">
        <v>1525</v>
      </c>
      <c r="E560" s="2" t="s">
        <v>840</v>
      </c>
      <c r="F560" t="s">
        <v>785</v>
      </c>
      <c r="G560" t="str">
        <f>HYPERLINK("https://n.news.naver.com/mnews/article/008/0005213965?sid=101")</f>
        <v>https://n.news.naver.com/mnews/article/008/0005213965?sid=101</v>
      </c>
      <c r="H560">
        <v>0.26200000000000001</v>
      </c>
    </row>
    <row r="561" spans="1:8" x14ac:dyDescent="0.3">
      <c r="A561" t="s">
        <v>913</v>
      </c>
      <c r="B561" t="s">
        <v>26951</v>
      </c>
      <c r="C561" t="s">
        <v>1529</v>
      </c>
      <c r="D561" t="s">
        <v>1528</v>
      </c>
      <c r="E561" s="2" t="s">
        <v>840</v>
      </c>
      <c r="F561" t="s">
        <v>1527</v>
      </c>
      <c r="G561" t="str">
        <f>HYPERLINK("http://www.econotalking.kr/news/articleView.html?idxno=152492")</f>
        <v>http://www.econotalking.kr/news/articleView.html?idxno=152492</v>
      </c>
      <c r="H561">
        <v>0.22700000000000001</v>
      </c>
    </row>
    <row r="562" spans="1:8" x14ac:dyDescent="0.3">
      <c r="A562" t="s">
        <v>913</v>
      </c>
      <c r="B562" t="s">
        <v>26951</v>
      </c>
      <c r="C562" t="s">
        <v>1530</v>
      </c>
      <c r="D562" t="s">
        <v>851</v>
      </c>
      <c r="E562" s="2" t="s">
        <v>840</v>
      </c>
      <c r="F562" t="s">
        <v>785</v>
      </c>
      <c r="G562" t="str">
        <f>HYPERLINK("https://n.news.naver.com/mnews/article/008/0005213113?sid=101")</f>
        <v>https://n.news.naver.com/mnews/article/008/0005213113?sid=101</v>
      </c>
      <c r="H562">
        <v>0.26600000000000001</v>
      </c>
    </row>
    <row r="563" spans="1:8" x14ac:dyDescent="0.3">
      <c r="A563" t="s">
        <v>913</v>
      </c>
      <c r="B563" t="s">
        <v>26951</v>
      </c>
      <c r="C563" t="s">
        <v>1533</v>
      </c>
      <c r="D563" t="s">
        <v>1532</v>
      </c>
      <c r="E563" s="2" t="s">
        <v>840</v>
      </c>
      <c r="F563" t="s">
        <v>1531</v>
      </c>
      <c r="G563" t="str">
        <f>HYPERLINK("https://www.viva100.com/article/20250518500396")</f>
        <v>https://www.viva100.com/article/20250518500396</v>
      </c>
      <c r="H563">
        <v>0.77</v>
      </c>
    </row>
    <row r="564" spans="1:8" x14ac:dyDescent="0.3">
      <c r="A564" t="s">
        <v>913</v>
      </c>
      <c r="B564" t="s">
        <v>26951</v>
      </c>
      <c r="C564" t="s">
        <v>1535</v>
      </c>
      <c r="D564" t="s">
        <v>1534</v>
      </c>
      <c r="E564" s="2" t="s">
        <v>840</v>
      </c>
      <c r="F564" t="s">
        <v>1018</v>
      </c>
      <c r="G564" t="str">
        <f>HYPERLINK("https://www.ggilbo.com/news/articleView.html?idxno=1098107")</f>
        <v>https://www.ggilbo.com/news/articleView.html?idxno=1098107</v>
      </c>
      <c r="H564">
        <v>0.46500000000000002</v>
      </c>
    </row>
    <row r="565" spans="1:8" x14ac:dyDescent="0.3">
      <c r="A565" t="s">
        <v>913</v>
      </c>
      <c r="B565" t="s">
        <v>26951</v>
      </c>
      <c r="C565" t="s">
        <v>1538</v>
      </c>
      <c r="D565" t="s">
        <v>1537</v>
      </c>
      <c r="E565" s="2" t="s">
        <v>860</v>
      </c>
      <c r="F565" t="s">
        <v>1536</v>
      </c>
      <c r="G565" t="str">
        <f>HYPERLINK("http://www.redian.org/archive/111269")</f>
        <v>http://www.redian.org/archive/111269</v>
      </c>
      <c r="H565">
        <v>0.35399999999999998</v>
      </c>
    </row>
    <row r="566" spans="1:8" x14ac:dyDescent="0.3">
      <c r="A566" t="s">
        <v>913</v>
      </c>
      <c r="B566" t="s">
        <v>26951</v>
      </c>
      <c r="C566" t="s">
        <v>1540</v>
      </c>
      <c r="D566" t="s">
        <v>1539</v>
      </c>
      <c r="E566" s="2" t="s">
        <v>860</v>
      </c>
      <c r="F566" t="s">
        <v>914</v>
      </c>
      <c r="G566" t="str">
        <f>HYPERLINK("https://news.einfomax.co.kr/news/articleView.html?idxno=4359715")</f>
        <v>https://news.einfomax.co.kr/news/articleView.html?idxno=4359715</v>
      </c>
      <c r="H566">
        <v>0.57599999999999996</v>
      </c>
    </row>
    <row r="567" spans="1:8" x14ac:dyDescent="0.3">
      <c r="A567" t="s">
        <v>913</v>
      </c>
      <c r="B567" t="s">
        <v>26951</v>
      </c>
      <c r="C567" t="s">
        <v>1542</v>
      </c>
      <c r="D567" t="s">
        <v>1541</v>
      </c>
      <c r="E567" s="2" t="s">
        <v>860</v>
      </c>
      <c r="F567" t="s">
        <v>1277</v>
      </c>
      <c r="G567" t="str">
        <f>HYPERLINK("https://n.news.naver.com/mnews/article/008/0004301574?sid=101")</f>
        <v>https://n.news.naver.com/mnews/article/008/0004301574?sid=101</v>
      </c>
      <c r="H567">
        <v>0.27600000000000002</v>
      </c>
    </row>
    <row r="568" spans="1:8" x14ac:dyDescent="0.3">
      <c r="A568" t="s">
        <v>913</v>
      </c>
      <c r="B568" t="s">
        <v>26951</v>
      </c>
      <c r="C568" t="s">
        <v>1545</v>
      </c>
      <c r="D568" t="s">
        <v>1544</v>
      </c>
      <c r="E568" s="2" t="s">
        <v>860</v>
      </c>
      <c r="F568" t="s">
        <v>1109</v>
      </c>
      <c r="G568" t="str">
        <f>HYPERLINK("https://www.lecturernews.com/news/articleView.html?idxno=179596")</f>
        <v>https://www.lecturernews.com/news/articleView.html?idxno=179596</v>
      </c>
      <c r="H568">
        <v>0.59199999999999997</v>
      </c>
    </row>
    <row r="569" spans="1:8" x14ac:dyDescent="0.3">
      <c r="A569" t="s">
        <v>913</v>
      </c>
      <c r="B569" t="s">
        <v>26951</v>
      </c>
      <c r="C569" t="s">
        <v>1548</v>
      </c>
      <c r="D569" t="s">
        <v>1547</v>
      </c>
      <c r="E569" s="2" t="s">
        <v>860</v>
      </c>
      <c r="F569" t="s">
        <v>1546</v>
      </c>
      <c r="G569" t="str">
        <f>HYPERLINK("https://n.news.naver.com/mnews/article/008/0005212182?sid=101")</f>
        <v>https://n.news.naver.com/mnews/article/008/0005212182?sid=101</v>
      </c>
      <c r="H569">
        <v>0.32600000000000001</v>
      </c>
    </row>
    <row r="570" spans="1:8" x14ac:dyDescent="0.3">
      <c r="A570" t="s">
        <v>913</v>
      </c>
      <c r="B570" t="s">
        <v>26951</v>
      </c>
      <c r="C570" t="s">
        <v>1550</v>
      </c>
      <c r="D570" t="s">
        <v>1549</v>
      </c>
      <c r="E570" s="2" t="s">
        <v>860</v>
      </c>
      <c r="F570" t="s">
        <v>970</v>
      </c>
      <c r="G570" t="str">
        <f>HYPERLINK("https://www.widedaily.com/news/articleView.html?idxno=268975")</f>
        <v>https://www.widedaily.com/news/articleView.html?idxno=268975</v>
      </c>
      <c r="H570">
        <v>0.59799999999999998</v>
      </c>
    </row>
    <row r="571" spans="1:8" x14ac:dyDescent="0.3">
      <c r="A571" t="s">
        <v>913</v>
      </c>
      <c r="B571" t="s">
        <v>26951</v>
      </c>
      <c r="C571" t="s">
        <v>1552</v>
      </c>
      <c r="D571" t="s">
        <v>1551</v>
      </c>
      <c r="E571" s="2" t="s">
        <v>860</v>
      </c>
      <c r="F571" t="s">
        <v>661</v>
      </c>
      <c r="G571" t="str">
        <f>HYPERLINK("http://www.newspim.com/news/view/20190802000054")</f>
        <v>http://www.newspim.com/news/view/20190802000054</v>
      </c>
      <c r="H571">
        <v>0.29699999999999999</v>
      </c>
    </row>
    <row r="572" spans="1:8" x14ac:dyDescent="0.3">
      <c r="A572" t="s">
        <v>913</v>
      </c>
      <c r="B572" t="s">
        <v>26951</v>
      </c>
      <c r="C572" t="s">
        <v>1554</v>
      </c>
      <c r="D572" t="s">
        <v>1553</v>
      </c>
      <c r="E572" s="2" t="s">
        <v>860</v>
      </c>
      <c r="F572" t="s">
        <v>1242</v>
      </c>
      <c r="G572" t="str">
        <f>HYPERLINK("http://www.ftoday.co.kr/news/articleView.html?idxno=339761")</f>
        <v>http://www.ftoday.co.kr/news/articleView.html?idxno=339761</v>
      </c>
      <c r="H572">
        <v>0.58199999999999996</v>
      </c>
    </row>
    <row r="573" spans="1:8" x14ac:dyDescent="0.3">
      <c r="A573" t="s">
        <v>913</v>
      </c>
      <c r="B573" t="s">
        <v>26951</v>
      </c>
      <c r="C573" t="s">
        <v>1557</v>
      </c>
      <c r="D573" t="s">
        <v>1556</v>
      </c>
      <c r="E573" s="2" t="s">
        <v>860</v>
      </c>
      <c r="F573" t="s">
        <v>1555</v>
      </c>
      <c r="G573" t="str">
        <f>HYPERLINK("https://n.news.naver.com/mnews/article/008/0005136462?sid=102")</f>
        <v>https://n.news.naver.com/mnews/article/008/0005136462?sid=102</v>
      </c>
      <c r="H573">
        <v>0.29499999999999998</v>
      </c>
    </row>
    <row r="574" spans="1:8" x14ac:dyDescent="0.3">
      <c r="A574" t="s">
        <v>913</v>
      </c>
      <c r="B574" t="s">
        <v>26951</v>
      </c>
      <c r="C574" t="s">
        <v>1560</v>
      </c>
      <c r="D574" t="s">
        <v>1559</v>
      </c>
      <c r="E574" s="2" t="s">
        <v>860</v>
      </c>
      <c r="F574" t="s">
        <v>1558</v>
      </c>
      <c r="G574" t="str">
        <f>HYPERLINK("http://www.econovill.com/news/articleView.html?idxno=379881")</f>
        <v>http://www.econovill.com/news/articleView.html?idxno=379881</v>
      </c>
      <c r="H574">
        <v>0.53400000000000003</v>
      </c>
    </row>
    <row r="575" spans="1:8" x14ac:dyDescent="0.3">
      <c r="A575" t="s">
        <v>913</v>
      </c>
      <c r="B575" t="s">
        <v>26951</v>
      </c>
      <c r="C575" t="s">
        <v>1563</v>
      </c>
      <c r="D575" t="s">
        <v>1562</v>
      </c>
      <c r="E575" s="2" t="s">
        <v>860</v>
      </c>
      <c r="F575" t="s">
        <v>1561</v>
      </c>
      <c r="G575" t="str">
        <f>HYPERLINK("http://www.newstof.com/news/articleView.html?idxno=11960")</f>
        <v>http://www.newstof.com/news/articleView.html?idxno=11960</v>
      </c>
      <c r="H575">
        <v>0.33700000000000002</v>
      </c>
    </row>
    <row r="576" spans="1:8" x14ac:dyDescent="0.3">
      <c r="A576" t="s">
        <v>913</v>
      </c>
      <c r="B576" t="s">
        <v>26951</v>
      </c>
      <c r="C576" t="s">
        <v>1565</v>
      </c>
      <c r="D576" t="s">
        <v>1564</v>
      </c>
      <c r="E576" s="2" t="s">
        <v>903</v>
      </c>
      <c r="F576" t="s">
        <v>453</v>
      </c>
      <c r="G576" t="str">
        <f>HYPERLINK("http://www.issuenbiz.com/news/articleView.html?idxno=62924")</f>
        <v>http://www.issuenbiz.com/news/articleView.html?idxno=62924</v>
      </c>
      <c r="H576">
        <v>0.29299999999999998</v>
      </c>
    </row>
    <row r="577" spans="1:8" x14ac:dyDescent="0.3">
      <c r="A577" t="s">
        <v>913</v>
      </c>
      <c r="B577" t="s">
        <v>26951</v>
      </c>
      <c r="C577" t="s">
        <v>1568</v>
      </c>
      <c r="D577" t="s">
        <v>1567</v>
      </c>
      <c r="E577" s="2" t="s">
        <v>903</v>
      </c>
      <c r="F577" t="s">
        <v>1566</v>
      </c>
      <c r="G577" t="str">
        <f>HYPERLINK("https://news.mtn.co.kr/news-detail/2025032716382073645")</f>
        <v>https://news.mtn.co.kr/news-detail/2025032716382073645</v>
      </c>
      <c r="H577">
        <v>6.4000000000000001E-2</v>
      </c>
    </row>
    <row r="578" spans="1:8" x14ac:dyDescent="0.3">
      <c r="A578" t="s">
        <v>913</v>
      </c>
      <c r="B578" t="s">
        <v>26951</v>
      </c>
      <c r="C578" t="s">
        <v>1570</v>
      </c>
      <c r="D578" t="s">
        <v>1569</v>
      </c>
      <c r="E578" s="2" t="s">
        <v>903</v>
      </c>
      <c r="F578" t="s">
        <v>264</v>
      </c>
      <c r="G578" t="str">
        <f>HYPERLINK("https://n.news.naver.com/mnews/article/008/0000013097?sid=101")</f>
        <v>https://n.news.naver.com/mnews/article/008/0000013097?sid=101</v>
      </c>
      <c r="H578">
        <v>0.38400000000000001</v>
      </c>
    </row>
    <row r="579" spans="1:8" x14ac:dyDescent="0.3">
      <c r="A579" t="s">
        <v>913</v>
      </c>
      <c r="B579" t="s">
        <v>26951</v>
      </c>
      <c r="C579" t="s">
        <v>1572</v>
      </c>
      <c r="D579" t="s">
        <v>1571</v>
      </c>
      <c r="E579" s="2" t="s">
        <v>903</v>
      </c>
      <c r="F579" t="s">
        <v>1005</v>
      </c>
      <c r="G579" t="str">
        <f>HYPERLINK("https://www.kukinews.com/article/view/kuk202506260209")</f>
        <v>https://www.kukinews.com/article/view/kuk202506260209</v>
      </c>
      <c r="H579">
        <v>0.71399999999999997</v>
      </c>
    </row>
    <row r="580" spans="1:8" x14ac:dyDescent="0.3">
      <c r="A580" t="s">
        <v>913</v>
      </c>
      <c r="B580" t="s">
        <v>26951</v>
      </c>
      <c r="C580" t="s">
        <v>1574</v>
      </c>
      <c r="D580" t="s">
        <v>1573</v>
      </c>
      <c r="E580" s="2" t="s">
        <v>903</v>
      </c>
      <c r="F580" t="s">
        <v>240</v>
      </c>
      <c r="G580" t="str">
        <f>HYPERLINK("https://n.news.naver.com/mnews/article/008/0005201575?sid=101")</f>
        <v>https://n.news.naver.com/mnews/article/008/0005201575?sid=101</v>
      </c>
      <c r="H580">
        <v>0.35299999999999998</v>
      </c>
    </row>
    <row r="581" spans="1:8" x14ac:dyDescent="0.3">
      <c r="A581" t="s">
        <v>1575</v>
      </c>
      <c r="B581" t="s">
        <v>26951</v>
      </c>
      <c r="C581" t="s">
        <v>1578</v>
      </c>
      <c r="D581" t="s">
        <v>1577</v>
      </c>
      <c r="E581" s="2" t="s">
        <v>7</v>
      </c>
      <c r="F581" t="s">
        <v>1576</v>
      </c>
      <c r="G581" t="str">
        <f>HYPERLINK("https://www.dnews.co.kr/uhtml/view.jsp?idxno=202102180912266470947")</f>
        <v>https://www.dnews.co.kr/uhtml/view.jsp?idxno=202102180912266470947</v>
      </c>
      <c r="H581">
        <v>0.28100000000000003</v>
      </c>
    </row>
    <row r="582" spans="1:8" x14ac:dyDescent="0.3">
      <c r="A582" t="s">
        <v>1575</v>
      </c>
      <c r="B582" t="s">
        <v>26951</v>
      </c>
      <c r="C582" t="s">
        <v>1581</v>
      </c>
      <c r="D582" t="s">
        <v>1580</v>
      </c>
      <c r="E582" s="2" t="s">
        <v>7</v>
      </c>
      <c r="F582" t="s">
        <v>1579</v>
      </c>
      <c r="G582" t="str">
        <f>HYPERLINK("https://n.news.naver.com/mnews/article/014/0005370411?sid=103")</f>
        <v>https://n.news.naver.com/mnews/article/014/0005370411?sid=103</v>
      </c>
      <c r="H582">
        <v>0.16</v>
      </c>
    </row>
    <row r="583" spans="1:8" x14ac:dyDescent="0.3">
      <c r="A583" t="s">
        <v>1575</v>
      </c>
      <c r="B583" t="s">
        <v>26951</v>
      </c>
      <c r="C583" t="s">
        <v>1583</v>
      </c>
      <c r="D583" t="s">
        <v>1582</v>
      </c>
      <c r="E583" s="2" t="s">
        <v>7</v>
      </c>
      <c r="F583" t="s">
        <v>1203</v>
      </c>
      <c r="G583" t="str">
        <f>HYPERLINK("https://n.news.naver.com/mnews/article/014/0004046240?sid=100")</f>
        <v>https://n.news.naver.com/mnews/article/014/0004046240?sid=100</v>
      </c>
      <c r="H583">
        <v>0.29399999999999998</v>
      </c>
    </row>
    <row r="584" spans="1:8" x14ac:dyDescent="0.3">
      <c r="A584" t="s">
        <v>1575</v>
      </c>
      <c r="B584" t="s">
        <v>26951</v>
      </c>
      <c r="C584" t="s">
        <v>1586</v>
      </c>
      <c r="D584" t="s">
        <v>1585</v>
      </c>
      <c r="E584" s="2" t="s">
        <v>7</v>
      </c>
      <c r="F584" t="s">
        <v>1584</v>
      </c>
      <c r="G584" t="str">
        <f>HYPERLINK("http://www.iminju.net/news/articleView.html?idxno=121532")</f>
        <v>http://www.iminju.net/news/articleView.html?idxno=121532</v>
      </c>
      <c r="H584">
        <v>0.53300000000000003</v>
      </c>
    </row>
    <row r="585" spans="1:8" x14ac:dyDescent="0.3">
      <c r="A585" t="s">
        <v>1575</v>
      </c>
      <c r="B585" t="s">
        <v>26951</v>
      </c>
      <c r="C585" t="s">
        <v>1589</v>
      </c>
      <c r="D585" t="s">
        <v>1588</v>
      </c>
      <c r="E585" s="2" t="s">
        <v>7</v>
      </c>
      <c r="F585" t="s">
        <v>1587</v>
      </c>
      <c r="G585" t="str">
        <f>HYPERLINK("http://www.breaknews.com/1126356")</f>
        <v>http://www.breaknews.com/1126356</v>
      </c>
      <c r="H585">
        <v>0.38300000000000001</v>
      </c>
    </row>
    <row r="586" spans="1:8" x14ac:dyDescent="0.3">
      <c r="A586" t="s">
        <v>1575</v>
      </c>
      <c r="B586" t="s">
        <v>26951</v>
      </c>
      <c r="C586" t="s">
        <v>1591</v>
      </c>
      <c r="D586" t="s">
        <v>1590</v>
      </c>
      <c r="E586" s="2" t="s">
        <v>7</v>
      </c>
      <c r="F586" t="s">
        <v>957</v>
      </c>
      <c r="G586" t="str">
        <f>HYPERLINK("http://www.ccreview.co.kr/news/articleView.html?idxno=282180")</f>
        <v>http://www.ccreview.co.kr/news/articleView.html?idxno=282180</v>
      </c>
      <c r="H586">
        <v>0.59799999999999998</v>
      </c>
    </row>
    <row r="587" spans="1:8" x14ac:dyDescent="0.3">
      <c r="A587" t="s">
        <v>1575</v>
      </c>
      <c r="B587" t="s">
        <v>26951</v>
      </c>
      <c r="C587" t="s">
        <v>1593</v>
      </c>
      <c r="D587" t="s">
        <v>1592</v>
      </c>
      <c r="E587" s="2" t="s">
        <v>7</v>
      </c>
      <c r="F587" t="s">
        <v>332</v>
      </c>
      <c r="G587" t="str">
        <f>HYPERLINK("https://n.news.naver.com/mnews/article/018/0006053386?sid=101")</f>
        <v>https://n.news.naver.com/mnews/article/018/0006053386?sid=101</v>
      </c>
      <c r="H587">
        <v>0.24399999999999999</v>
      </c>
    </row>
    <row r="588" spans="1:8" x14ac:dyDescent="0.3">
      <c r="A588" t="s">
        <v>1575</v>
      </c>
      <c r="B588" t="s">
        <v>26951</v>
      </c>
      <c r="C588" t="s">
        <v>1596</v>
      </c>
      <c r="D588" t="s">
        <v>1595</v>
      </c>
      <c r="E588" s="2" t="s">
        <v>7</v>
      </c>
      <c r="F588" t="s">
        <v>1594</v>
      </c>
      <c r="G588" t="str">
        <f>HYPERLINK("https://n.news.naver.com/mnews/article/014/0005369589?sid=101")</f>
        <v>https://n.news.naver.com/mnews/article/014/0005369589?sid=101</v>
      </c>
      <c r="H588">
        <v>0.13</v>
      </c>
    </row>
    <row r="589" spans="1:8" x14ac:dyDescent="0.3">
      <c r="A589" t="s">
        <v>1575</v>
      </c>
      <c r="B589" t="s">
        <v>26951</v>
      </c>
      <c r="C589" t="s">
        <v>1598</v>
      </c>
      <c r="D589" t="s">
        <v>1597</v>
      </c>
      <c r="E589" s="2" t="s">
        <v>66</v>
      </c>
      <c r="F589" t="s">
        <v>197</v>
      </c>
      <c r="G589" t="str">
        <f>HYPERLINK("http://www.sisaon.co.kr/news/articleView.html?idxno=138579")</f>
        <v>http://www.sisaon.co.kr/news/articleView.html?idxno=138579</v>
      </c>
      <c r="H589">
        <v>0.63300000000000001</v>
      </c>
    </row>
    <row r="590" spans="1:8" x14ac:dyDescent="0.3">
      <c r="A590" t="s">
        <v>1575</v>
      </c>
      <c r="B590" t="s">
        <v>26951</v>
      </c>
      <c r="C590" t="s">
        <v>1600</v>
      </c>
      <c r="D590" t="s">
        <v>1599</v>
      </c>
      <c r="E590" s="2" t="s">
        <v>66</v>
      </c>
      <c r="F590" t="s">
        <v>776</v>
      </c>
      <c r="G590" t="str">
        <f>HYPERLINK("https://www.apnews.kr/news/articleView.html?idxno=3036701")</f>
        <v>https://www.apnews.kr/news/articleView.html?idxno=3036701</v>
      </c>
      <c r="H590">
        <v>0.38500000000000001</v>
      </c>
    </row>
    <row r="591" spans="1:8" x14ac:dyDescent="0.3">
      <c r="A591" t="s">
        <v>1575</v>
      </c>
      <c r="B591" t="s">
        <v>26951</v>
      </c>
      <c r="C591" t="s">
        <v>1602</v>
      </c>
      <c r="D591" t="s">
        <v>1601</v>
      </c>
      <c r="E591" s="2" t="s">
        <v>66</v>
      </c>
      <c r="F591" t="s">
        <v>625</v>
      </c>
      <c r="G591" t="str">
        <f>HYPERLINK("https://n.news.naver.com/mnews/article/014/0005366297?sid=101")</f>
        <v>https://n.news.naver.com/mnews/article/014/0005366297?sid=101</v>
      </c>
      <c r="H591">
        <v>0.13600000000000001</v>
      </c>
    </row>
    <row r="592" spans="1:8" x14ac:dyDescent="0.3">
      <c r="A592" t="s">
        <v>1575</v>
      </c>
      <c r="B592" t="s">
        <v>26951</v>
      </c>
      <c r="C592" t="s">
        <v>1608</v>
      </c>
      <c r="D592" t="s">
        <v>1607</v>
      </c>
      <c r="E592" s="2" t="s">
        <v>74</v>
      </c>
      <c r="F592" t="s">
        <v>1606</v>
      </c>
      <c r="G592" t="str">
        <f>HYPERLINK("https://n.news.naver.com/mnews/article/082/0001333087?sid=102")</f>
        <v>https://n.news.naver.com/mnews/article/082/0001333087?sid=102</v>
      </c>
      <c r="H592">
        <v>0.30599999999999999</v>
      </c>
    </row>
    <row r="593" spans="1:8" x14ac:dyDescent="0.3">
      <c r="A593" t="s">
        <v>1575</v>
      </c>
      <c r="B593" t="s">
        <v>26951</v>
      </c>
      <c r="C593" t="s">
        <v>1610</v>
      </c>
      <c r="D593" t="s">
        <v>1609</v>
      </c>
      <c r="E593" s="2" t="s">
        <v>74</v>
      </c>
      <c r="F593" t="s">
        <v>148</v>
      </c>
      <c r="G593" t="str">
        <f>HYPERLINK("https://www.siminilbo.co.kr/news/newsview.php?ncode=1160266697314680")</f>
        <v>https://www.siminilbo.co.kr/news/newsview.php?ncode=1160266697314680</v>
      </c>
      <c r="H593">
        <v>0.29299999999999998</v>
      </c>
    </row>
    <row r="594" spans="1:8" x14ac:dyDescent="0.3">
      <c r="A594" t="s">
        <v>1575</v>
      </c>
      <c r="B594" t="s">
        <v>26951</v>
      </c>
      <c r="C594" t="s">
        <v>1614</v>
      </c>
      <c r="D594" t="s">
        <v>1613</v>
      </c>
      <c r="E594" s="2" t="s">
        <v>74</v>
      </c>
      <c r="F594" t="s">
        <v>1612</v>
      </c>
      <c r="G594" t="str">
        <f>HYPERLINK("http://www.headlinejeju.co.kr/news/articleView.html?idxno=467368")</f>
        <v>http://www.headlinejeju.co.kr/news/articleView.html?idxno=467368</v>
      </c>
      <c r="H594">
        <v>0.41199999999999998</v>
      </c>
    </row>
    <row r="595" spans="1:8" x14ac:dyDescent="0.3">
      <c r="A595" t="s">
        <v>1575</v>
      </c>
      <c r="B595" t="s">
        <v>26951</v>
      </c>
      <c r="C595" t="s">
        <v>98</v>
      </c>
      <c r="D595" t="s">
        <v>97</v>
      </c>
      <c r="E595" s="2" t="s">
        <v>74</v>
      </c>
      <c r="F595" t="s">
        <v>96</v>
      </c>
      <c r="G595" t="str">
        <f>HYPERLINK("https://n.news.naver.com/mnews/article/014/0003960083?sid=102")</f>
        <v>https://n.news.naver.com/mnews/article/014/0003960083?sid=102</v>
      </c>
      <c r="H595">
        <v>0.22900000000000001</v>
      </c>
    </row>
    <row r="596" spans="1:8" x14ac:dyDescent="0.3">
      <c r="A596" t="s">
        <v>1575</v>
      </c>
      <c r="B596" t="s">
        <v>26951</v>
      </c>
      <c r="C596" t="s">
        <v>1617</v>
      </c>
      <c r="D596" t="s">
        <v>1616</v>
      </c>
      <c r="E596" s="2" t="s">
        <v>105</v>
      </c>
      <c r="F596" t="s">
        <v>184</v>
      </c>
      <c r="G596" t="str">
        <f>HYPERLINK("https://n.news.naver.com/mnews/article/028/0002743636?sid=102")</f>
        <v>https://n.news.naver.com/mnews/article/028/0002743636?sid=102</v>
      </c>
      <c r="H596">
        <v>0.14199999999999999</v>
      </c>
    </row>
    <row r="597" spans="1:8" x14ac:dyDescent="0.3">
      <c r="A597" t="s">
        <v>1575</v>
      </c>
      <c r="B597" t="s">
        <v>26951</v>
      </c>
      <c r="C597" t="s">
        <v>1619</v>
      </c>
      <c r="D597" t="s">
        <v>1618</v>
      </c>
      <c r="E597" s="2" t="s">
        <v>105</v>
      </c>
      <c r="F597" t="s">
        <v>521</v>
      </c>
      <c r="G597" t="str">
        <f>HYPERLINK("https://www.newstree.kr/newsView/ntr202506270025")</f>
        <v>https://www.newstree.kr/newsView/ntr202506270025</v>
      </c>
      <c r="H597">
        <v>0.21</v>
      </c>
    </row>
    <row r="598" spans="1:8" x14ac:dyDescent="0.3">
      <c r="A598" t="s">
        <v>1575</v>
      </c>
      <c r="B598" t="s">
        <v>26951</v>
      </c>
      <c r="C598" t="s">
        <v>1621</v>
      </c>
      <c r="D598" t="s">
        <v>1620</v>
      </c>
      <c r="E598" s="2" t="s">
        <v>105</v>
      </c>
      <c r="F598" t="s">
        <v>857</v>
      </c>
      <c r="G598" t="str">
        <f>HYPERLINK("https://www.apnews.kr/news/articleView.html?idxno=3036701")</f>
        <v>https://www.apnews.kr/news/articleView.html?idxno=3036701</v>
      </c>
      <c r="H598">
        <v>0.14599999999999999</v>
      </c>
    </row>
    <row r="599" spans="1:8" x14ac:dyDescent="0.3">
      <c r="A599" t="s">
        <v>1575</v>
      </c>
      <c r="B599" t="s">
        <v>26951</v>
      </c>
      <c r="C599" t="s">
        <v>1624</v>
      </c>
      <c r="D599" t="s">
        <v>1623</v>
      </c>
      <c r="E599" s="2" t="s">
        <v>105</v>
      </c>
      <c r="F599" t="s">
        <v>1622</v>
      </c>
      <c r="G599" t="str">
        <f>HYPERLINK("https://n.news.naver.com/mnews/article/469/0000873047?sid=104")</f>
        <v>https://n.news.naver.com/mnews/article/469/0000873047?sid=104</v>
      </c>
      <c r="H599">
        <v>0.26400000000000001</v>
      </c>
    </row>
    <row r="600" spans="1:8" x14ac:dyDescent="0.3">
      <c r="A600" t="s">
        <v>1575</v>
      </c>
      <c r="B600" t="s">
        <v>26951</v>
      </c>
      <c r="C600" t="s">
        <v>1627</v>
      </c>
      <c r="D600" t="s">
        <v>1626</v>
      </c>
      <c r="E600" s="2" t="s">
        <v>105</v>
      </c>
      <c r="F600" t="s">
        <v>1625</v>
      </c>
      <c r="G600" t="str">
        <f>HYPERLINK("https://www.jjan.kr/article/20250629580012")</f>
        <v>https://www.jjan.kr/article/20250629580012</v>
      </c>
      <c r="H600">
        <v>0.32800000000000001</v>
      </c>
    </row>
    <row r="601" spans="1:8" x14ac:dyDescent="0.3">
      <c r="A601" t="s">
        <v>1575</v>
      </c>
      <c r="B601" t="s">
        <v>26951</v>
      </c>
      <c r="C601" t="s">
        <v>1630</v>
      </c>
      <c r="D601" t="s">
        <v>1629</v>
      </c>
      <c r="E601" s="2" t="s">
        <v>133</v>
      </c>
      <c r="F601" t="s">
        <v>1628</v>
      </c>
      <c r="G601" t="str">
        <f>HYPERLINK("https://www.joongangenews.com/news/articleView.html?idxno=429121")</f>
        <v>https://www.joongangenews.com/news/articleView.html?idxno=429121</v>
      </c>
      <c r="H601">
        <v>0.60499999999999998</v>
      </c>
    </row>
    <row r="602" spans="1:8" x14ac:dyDescent="0.3">
      <c r="A602" t="s">
        <v>1575</v>
      </c>
      <c r="B602" t="s">
        <v>26951</v>
      </c>
      <c r="C602" t="s">
        <v>1632</v>
      </c>
      <c r="D602" t="s">
        <v>1631</v>
      </c>
      <c r="E602" s="2" t="s">
        <v>133</v>
      </c>
      <c r="F602" t="s">
        <v>73</v>
      </c>
      <c r="G602" t="str">
        <f>HYPERLINK("http://www.kyosu.net/news/articleView.html?idxno=138142")</f>
        <v>http://www.kyosu.net/news/articleView.html?idxno=138142</v>
      </c>
      <c r="H602">
        <v>0.36299999999999999</v>
      </c>
    </row>
    <row r="603" spans="1:8" x14ac:dyDescent="0.3">
      <c r="A603" t="s">
        <v>1575</v>
      </c>
      <c r="B603" t="s">
        <v>26951</v>
      </c>
      <c r="C603" t="s">
        <v>1634</v>
      </c>
      <c r="D603" t="s">
        <v>1633</v>
      </c>
      <c r="E603" s="2" t="s">
        <v>133</v>
      </c>
      <c r="F603" t="s">
        <v>73</v>
      </c>
      <c r="G603" t="str">
        <f>HYPERLINK("https://n.news.naver.com/mnews/article/014/0005368680?sid=105")</f>
        <v>https://n.news.naver.com/mnews/article/014/0005368680?sid=105</v>
      </c>
      <c r="H603">
        <v>0.25800000000000001</v>
      </c>
    </row>
    <row r="604" spans="1:8" x14ac:dyDescent="0.3">
      <c r="A604" t="s">
        <v>1575</v>
      </c>
      <c r="B604" t="s">
        <v>26951</v>
      </c>
      <c r="C604" t="s">
        <v>1636</v>
      </c>
      <c r="D604" t="s">
        <v>1635</v>
      </c>
      <c r="E604" s="2" t="s">
        <v>133</v>
      </c>
      <c r="F604" t="s">
        <v>805</v>
      </c>
      <c r="G604" t="str">
        <f>HYPERLINK("https://n.news.naver.com/mnews/article/057/0001893446?sid=102")</f>
        <v>https://n.news.naver.com/mnews/article/057/0001893446?sid=102</v>
      </c>
      <c r="H604">
        <v>0.26400000000000001</v>
      </c>
    </row>
    <row r="605" spans="1:8" x14ac:dyDescent="0.3">
      <c r="A605" t="s">
        <v>1575</v>
      </c>
      <c r="B605" t="s">
        <v>26951</v>
      </c>
      <c r="C605" t="s">
        <v>1638</v>
      </c>
      <c r="D605" t="s">
        <v>1637</v>
      </c>
      <c r="E605" s="2" t="s">
        <v>133</v>
      </c>
      <c r="F605" t="s">
        <v>184</v>
      </c>
      <c r="G605" t="str">
        <f>HYPERLINK("https://n.news.naver.com/mnews/article/014/0004999957?sid=101")</f>
        <v>https://n.news.naver.com/mnews/article/014/0004999957?sid=101</v>
      </c>
      <c r="H605">
        <v>0.14199999999999999</v>
      </c>
    </row>
    <row r="606" spans="1:8" x14ac:dyDescent="0.3">
      <c r="A606" t="s">
        <v>1575</v>
      </c>
      <c r="B606" t="s">
        <v>26951</v>
      </c>
      <c r="C606" t="s">
        <v>1641</v>
      </c>
      <c r="D606" t="s">
        <v>1640</v>
      </c>
      <c r="E606" s="2" t="s">
        <v>133</v>
      </c>
      <c r="F606" t="s">
        <v>1639</v>
      </c>
      <c r="G606" t="str">
        <f>HYPERLINK("https://n.news.naver.com/mnews/article/018/0006053386?sid=101")</f>
        <v>https://n.news.naver.com/mnews/article/018/0006053386?sid=101</v>
      </c>
      <c r="H606">
        <v>0.21199999999999999</v>
      </c>
    </row>
    <row r="607" spans="1:8" x14ac:dyDescent="0.3">
      <c r="A607" t="s">
        <v>1575</v>
      </c>
      <c r="B607" t="s">
        <v>26951</v>
      </c>
      <c r="C607" t="s">
        <v>1644</v>
      </c>
      <c r="D607" t="s">
        <v>1643</v>
      </c>
      <c r="E607" s="2" t="s">
        <v>133</v>
      </c>
      <c r="F607" t="s">
        <v>1465</v>
      </c>
      <c r="G607" t="str">
        <f>HYPERLINK("https://news.einfomax.co.kr/news/articleView.html?idxno=4288482")</f>
        <v>https://news.einfomax.co.kr/news/articleView.html?idxno=4288482</v>
      </c>
      <c r="H607">
        <v>0.29799999999999999</v>
      </c>
    </row>
    <row r="608" spans="1:8" x14ac:dyDescent="0.3">
      <c r="A608" t="s">
        <v>1575</v>
      </c>
      <c r="B608" t="s">
        <v>26951</v>
      </c>
      <c r="C608" t="s">
        <v>995</v>
      </c>
      <c r="D608" t="s">
        <v>994</v>
      </c>
      <c r="E608" s="2" t="s">
        <v>133</v>
      </c>
      <c r="F608" t="s">
        <v>376</v>
      </c>
      <c r="G608" t="str">
        <f>HYPERLINK("https://n.news.naver.com/mnews/article/014/0003865096?sid=100")</f>
        <v>https://n.news.naver.com/mnews/article/014/0003865096?sid=100</v>
      </c>
      <c r="H608">
        <v>0.126</v>
      </c>
    </row>
    <row r="609" spans="1:8" x14ac:dyDescent="0.3">
      <c r="A609" t="s">
        <v>1575</v>
      </c>
      <c r="B609" t="s">
        <v>26951</v>
      </c>
      <c r="C609" t="s">
        <v>1647</v>
      </c>
      <c r="D609" t="s">
        <v>1646</v>
      </c>
      <c r="E609" s="2" t="s">
        <v>133</v>
      </c>
      <c r="F609" t="s">
        <v>1645</v>
      </c>
      <c r="G609" t="str">
        <f>HYPERLINK("https://www.getnews.co.kr/news/articleView.html?idxno=680869")</f>
        <v>https://www.getnews.co.kr/news/articleView.html?idxno=680869</v>
      </c>
      <c r="H609">
        <v>0.59399999999999997</v>
      </c>
    </row>
    <row r="610" spans="1:8" x14ac:dyDescent="0.3">
      <c r="A610" t="s">
        <v>1575</v>
      </c>
      <c r="B610" t="s">
        <v>26951</v>
      </c>
      <c r="C610" t="s">
        <v>1650</v>
      </c>
      <c r="D610" t="s">
        <v>1649</v>
      </c>
      <c r="E610" s="2" t="s">
        <v>172</v>
      </c>
      <c r="F610" t="s">
        <v>1648</v>
      </c>
      <c r="G610" t="str">
        <f>HYPERLINK("https://news.dealsitetv.com/news/articleView.html?idxno=126522")</f>
        <v>https://news.dealsitetv.com/news/articleView.html?idxno=126522</v>
      </c>
      <c r="H610">
        <v>0.245</v>
      </c>
    </row>
    <row r="611" spans="1:8" x14ac:dyDescent="0.3">
      <c r="A611" t="s">
        <v>1575</v>
      </c>
      <c r="B611" t="s">
        <v>26951</v>
      </c>
      <c r="C611" t="s">
        <v>1652</v>
      </c>
      <c r="D611" t="s">
        <v>1651</v>
      </c>
      <c r="E611" s="2" t="s">
        <v>172</v>
      </c>
      <c r="F611" t="s">
        <v>970</v>
      </c>
      <c r="G611" t="str">
        <f>HYPERLINK("https://www.pinpointnews.co.kr/news/articleView.html?idxno=354420")</f>
        <v>https://www.pinpointnews.co.kr/news/articleView.html?idxno=354420</v>
      </c>
      <c r="H611">
        <v>0.59599999999999997</v>
      </c>
    </row>
    <row r="612" spans="1:8" x14ac:dyDescent="0.3">
      <c r="A612" t="s">
        <v>1575</v>
      </c>
      <c r="B612" t="s">
        <v>26951</v>
      </c>
      <c r="C612" t="s">
        <v>1654</v>
      </c>
      <c r="D612" t="s">
        <v>1653</v>
      </c>
      <c r="E612" s="2" t="s">
        <v>172</v>
      </c>
      <c r="F612" t="s">
        <v>1317</v>
      </c>
      <c r="G612" t="str">
        <f>HYPERLINK("http://www.sisaon.co.kr/news/articleView.html?idxno=169610")</f>
        <v>http://www.sisaon.co.kr/news/articleView.html?idxno=169610</v>
      </c>
      <c r="H612">
        <v>0.27500000000000002</v>
      </c>
    </row>
    <row r="613" spans="1:8" x14ac:dyDescent="0.3">
      <c r="A613" t="s">
        <v>1575</v>
      </c>
      <c r="B613" t="s">
        <v>26951</v>
      </c>
      <c r="C613" t="s">
        <v>1656</v>
      </c>
      <c r="D613" t="s">
        <v>1655</v>
      </c>
      <c r="E613" s="2" t="s">
        <v>172</v>
      </c>
      <c r="F613" t="s">
        <v>886</v>
      </c>
      <c r="G613" t="str">
        <f>HYPERLINK("http://www.kbiznews.co.kr/news/articleView.html?idxno=82786")</f>
        <v>http://www.kbiznews.co.kr/news/articleView.html?idxno=82786</v>
      </c>
      <c r="H613">
        <v>0.435</v>
      </c>
    </row>
    <row r="614" spans="1:8" x14ac:dyDescent="0.3">
      <c r="A614" t="s">
        <v>1575</v>
      </c>
      <c r="B614" t="s">
        <v>26951</v>
      </c>
      <c r="C614" t="s">
        <v>1664</v>
      </c>
      <c r="D614" t="s">
        <v>1663</v>
      </c>
      <c r="E614" s="2" t="s">
        <v>196</v>
      </c>
      <c r="F614" t="s">
        <v>140</v>
      </c>
      <c r="G614" t="str">
        <f>HYPERLINK("https://dealsite.co.kr/articles/143606")</f>
        <v>https://dealsite.co.kr/articles/143606</v>
      </c>
      <c r="H614">
        <v>0.69</v>
      </c>
    </row>
    <row r="615" spans="1:8" x14ac:dyDescent="0.3">
      <c r="A615" t="s">
        <v>1575</v>
      </c>
      <c r="B615" t="s">
        <v>26951</v>
      </c>
      <c r="C615" t="s">
        <v>1666</v>
      </c>
      <c r="D615" t="s">
        <v>1665</v>
      </c>
      <c r="E615" s="2" t="s">
        <v>196</v>
      </c>
      <c r="F615" t="s">
        <v>1465</v>
      </c>
      <c r="G615" t="str">
        <f>HYPERLINK("https://n.news.naver.com/mnews/article/014/0004012434?sid=101")</f>
        <v>https://n.news.naver.com/mnews/article/014/0004012434?sid=101</v>
      </c>
      <c r="H615">
        <v>0.112</v>
      </c>
    </row>
    <row r="616" spans="1:8" x14ac:dyDescent="0.3">
      <c r="A616" t="s">
        <v>1575</v>
      </c>
      <c r="B616" t="s">
        <v>26951</v>
      </c>
      <c r="C616" t="s">
        <v>1668</v>
      </c>
      <c r="D616" t="s">
        <v>1667</v>
      </c>
      <c r="E616" s="2" t="s">
        <v>230</v>
      </c>
      <c r="F616" t="s">
        <v>957</v>
      </c>
      <c r="G616" t="str">
        <f>HYPERLINK("http://www.ccreview.co.kr/news/articleView.html?idxno=282180")</f>
        <v>http://www.ccreview.co.kr/news/articleView.html?idxno=282180</v>
      </c>
      <c r="H616">
        <v>0.44600000000000001</v>
      </c>
    </row>
    <row r="617" spans="1:8" x14ac:dyDescent="0.3">
      <c r="A617" t="s">
        <v>1575</v>
      </c>
      <c r="B617" t="s">
        <v>26951</v>
      </c>
      <c r="C617" t="s">
        <v>1671</v>
      </c>
      <c r="D617" t="s">
        <v>1670</v>
      </c>
      <c r="E617" s="2" t="s">
        <v>230</v>
      </c>
      <c r="F617" t="s">
        <v>1669</v>
      </c>
      <c r="G617" t="str">
        <f>HYPERLINK("https://www.getnews.co.kr/news/articleView.html?idxno=817086")</f>
        <v>https://www.getnews.co.kr/news/articleView.html?idxno=817086</v>
      </c>
      <c r="H617">
        <v>0.56299999999999994</v>
      </c>
    </row>
    <row r="618" spans="1:8" x14ac:dyDescent="0.3">
      <c r="A618" t="s">
        <v>1575</v>
      </c>
      <c r="B618" t="s">
        <v>26951</v>
      </c>
      <c r="C618" t="s">
        <v>1673</v>
      </c>
      <c r="D618" t="s">
        <v>1672</v>
      </c>
      <c r="E618" s="2" t="s">
        <v>230</v>
      </c>
      <c r="F618" t="s">
        <v>408</v>
      </c>
      <c r="G618" t="str">
        <f>HYPERLINK("https://www.tokenpost.kr/article-220526")</f>
        <v>https://www.tokenpost.kr/article-220526</v>
      </c>
      <c r="H618">
        <v>0.40300000000000002</v>
      </c>
    </row>
    <row r="619" spans="1:8" x14ac:dyDescent="0.3">
      <c r="A619" t="s">
        <v>1575</v>
      </c>
      <c r="B619" t="s">
        <v>26951</v>
      </c>
      <c r="C619" t="s">
        <v>1675</v>
      </c>
      <c r="D619" t="s">
        <v>1674</v>
      </c>
      <c r="E619" s="2" t="s">
        <v>230</v>
      </c>
      <c r="F619" t="s">
        <v>674</v>
      </c>
      <c r="G619" t="str">
        <f>HYPERLINK("http://www.foodnews.co.kr/news/articleView.html?idxno=113896")</f>
        <v>http://www.foodnews.co.kr/news/articleView.html?idxno=113896</v>
      </c>
      <c r="H619">
        <v>0.41599999999999998</v>
      </c>
    </row>
    <row r="620" spans="1:8" x14ac:dyDescent="0.3">
      <c r="A620" t="s">
        <v>1575</v>
      </c>
      <c r="B620" t="s">
        <v>26951</v>
      </c>
      <c r="C620" t="s">
        <v>1680</v>
      </c>
      <c r="D620" t="s">
        <v>1679</v>
      </c>
      <c r="E620" s="2" t="s">
        <v>230</v>
      </c>
      <c r="F620" t="s">
        <v>96</v>
      </c>
      <c r="G620" t="str">
        <f>HYPERLINK("https://www.getnews.co.kr/news/articleView.html?idxno=827478")</f>
        <v>https://www.getnews.co.kr/news/articleView.html?idxno=827478</v>
      </c>
      <c r="H620">
        <v>0.56499999999999995</v>
      </c>
    </row>
    <row r="621" spans="1:8" x14ac:dyDescent="0.3">
      <c r="A621" t="s">
        <v>1575</v>
      </c>
      <c r="B621" t="s">
        <v>26951</v>
      </c>
      <c r="C621" t="s">
        <v>1682</v>
      </c>
      <c r="D621" t="s">
        <v>1681</v>
      </c>
      <c r="E621" s="2" t="s">
        <v>267</v>
      </c>
      <c r="F621" t="s">
        <v>1051</v>
      </c>
      <c r="G621" t="str">
        <f>HYPERLINK("https://www.paxnetnews.com/articles/50541")</f>
        <v>https://www.paxnetnews.com/articles/50541</v>
      </c>
      <c r="H621">
        <v>0.16900000000000001</v>
      </c>
    </row>
    <row r="622" spans="1:8" x14ac:dyDescent="0.3">
      <c r="A622" t="s">
        <v>1575</v>
      </c>
      <c r="B622" t="s">
        <v>26951</v>
      </c>
      <c r="C622" t="s">
        <v>1684</v>
      </c>
      <c r="D622" t="s">
        <v>1683</v>
      </c>
      <c r="E622" s="2" t="s">
        <v>267</v>
      </c>
      <c r="F622" t="s">
        <v>805</v>
      </c>
      <c r="G622" t="str">
        <f>HYPERLINK("https://n.news.naver.com/mnews/article/243/0000080020?sid=101")</f>
        <v>https://n.news.naver.com/mnews/article/243/0000080020?sid=101</v>
      </c>
      <c r="H622">
        <v>0.25900000000000001</v>
      </c>
    </row>
    <row r="623" spans="1:8" x14ac:dyDescent="0.3">
      <c r="A623" t="s">
        <v>1575</v>
      </c>
      <c r="B623" t="s">
        <v>26951</v>
      </c>
      <c r="C623" t="s">
        <v>1687</v>
      </c>
      <c r="D623" t="s">
        <v>1686</v>
      </c>
      <c r="E623" s="2" t="s">
        <v>267</v>
      </c>
      <c r="F623" t="s">
        <v>1685</v>
      </c>
      <c r="G623" t="str">
        <f>HYPERLINK("https://www.econovill.com/news/articleView.html?idxno=698901")</f>
        <v>https://www.econovill.com/news/articleView.html?idxno=698901</v>
      </c>
      <c r="H623">
        <v>0.57599999999999996</v>
      </c>
    </row>
    <row r="624" spans="1:8" x14ac:dyDescent="0.3">
      <c r="A624" t="s">
        <v>1575</v>
      </c>
      <c r="B624" t="s">
        <v>26951</v>
      </c>
      <c r="C624" t="s">
        <v>1690</v>
      </c>
      <c r="D624" t="s">
        <v>1689</v>
      </c>
      <c r="E624" s="2" t="s">
        <v>280</v>
      </c>
      <c r="F624" t="s">
        <v>1688</v>
      </c>
      <c r="G624" t="str">
        <f>HYPERLINK("https://www.ilyoseoul.co.kr/news/articleView.html?idxno=504009")</f>
        <v>https://www.ilyoseoul.co.kr/news/articleView.html?idxno=504009</v>
      </c>
      <c r="H624">
        <v>0.98599999999999999</v>
      </c>
    </row>
    <row r="625" spans="1:8" x14ac:dyDescent="0.3">
      <c r="A625" t="s">
        <v>1575</v>
      </c>
      <c r="B625" t="s">
        <v>26951</v>
      </c>
      <c r="C625" t="s">
        <v>1692</v>
      </c>
      <c r="D625" t="s">
        <v>1691</v>
      </c>
      <c r="E625" s="2" t="s">
        <v>313</v>
      </c>
      <c r="F625" t="s">
        <v>957</v>
      </c>
      <c r="G625" t="str">
        <f>HYPERLINK("http://www.ccreview.co.kr/news/articleView.html?idxno=282180")</f>
        <v>http://www.ccreview.co.kr/news/articleView.html?idxno=282180</v>
      </c>
      <c r="H625">
        <v>0.46400000000000002</v>
      </c>
    </row>
    <row r="626" spans="1:8" x14ac:dyDescent="0.3">
      <c r="A626" t="s">
        <v>1575</v>
      </c>
      <c r="B626" t="s">
        <v>26951</v>
      </c>
      <c r="C626" t="s">
        <v>1694</v>
      </c>
      <c r="D626" t="s">
        <v>1693</v>
      </c>
      <c r="E626" s="2" t="s">
        <v>313</v>
      </c>
      <c r="F626" t="s">
        <v>205</v>
      </c>
      <c r="G626" t="str">
        <f>HYPERLINK("https://n.news.naver.com/mnews/article/014/0005366130?sid=102")</f>
        <v>https://n.news.naver.com/mnews/article/014/0005366130?sid=102</v>
      </c>
      <c r="H626">
        <v>0.19</v>
      </c>
    </row>
    <row r="627" spans="1:8" x14ac:dyDescent="0.3">
      <c r="A627" t="s">
        <v>1575</v>
      </c>
      <c r="B627" t="s">
        <v>26951</v>
      </c>
      <c r="C627" t="s">
        <v>1697</v>
      </c>
      <c r="D627" t="s">
        <v>1696</v>
      </c>
      <c r="E627" s="2" t="s">
        <v>313</v>
      </c>
      <c r="F627" t="s">
        <v>1695</v>
      </c>
      <c r="G627" t="str">
        <f>HYPERLINK("http://www.newsmp.com/news/articleView.html?idxno=234056")</f>
        <v>http://www.newsmp.com/news/articleView.html?idxno=234056</v>
      </c>
      <c r="H627">
        <v>0.54400000000000004</v>
      </c>
    </row>
    <row r="628" spans="1:8" x14ac:dyDescent="0.3">
      <c r="A628" t="s">
        <v>1575</v>
      </c>
      <c r="B628" t="s">
        <v>26951</v>
      </c>
      <c r="C628" t="s">
        <v>1699</v>
      </c>
      <c r="D628" t="s">
        <v>1698</v>
      </c>
      <c r="E628" s="2" t="s">
        <v>313</v>
      </c>
      <c r="F628" t="s">
        <v>332</v>
      </c>
      <c r="G628" t="str">
        <f>HYPERLINK("https://n.news.naver.com/mnews/article/018/0006053386?sid=101")</f>
        <v>https://n.news.naver.com/mnews/article/018/0006053386?sid=101</v>
      </c>
      <c r="H628">
        <v>0.16400000000000001</v>
      </c>
    </row>
    <row r="629" spans="1:8" x14ac:dyDescent="0.3">
      <c r="A629" t="s">
        <v>1575</v>
      </c>
      <c r="B629" t="s">
        <v>26951</v>
      </c>
      <c r="C629" t="s">
        <v>1702</v>
      </c>
      <c r="D629" t="s">
        <v>1701</v>
      </c>
      <c r="E629" s="2" t="s">
        <v>313</v>
      </c>
      <c r="F629" t="s">
        <v>1700</v>
      </c>
      <c r="G629" t="str">
        <f>HYPERLINK("https://n.news.naver.com/mnews/article/008/0004150751?sid=102")</f>
        <v>https://n.news.naver.com/mnews/article/008/0004150751?sid=102</v>
      </c>
      <c r="H629">
        <v>0.309</v>
      </c>
    </row>
    <row r="630" spans="1:8" x14ac:dyDescent="0.3">
      <c r="A630" t="s">
        <v>1575</v>
      </c>
      <c r="B630" t="s">
        <v>26951</v>
      </c>
      <c r="C630" t="s">
        <v>1704</v>
      </c>
      <c r="D630" t="s">
        <v>1703</v>
      </c>
      <c r="E630" s="2" t="s">
        <v>313</v>
      </c>
      <c r="F630" t="s">
        <v>1018</v>
      </c>
      <c r="G630" t="str">
        <f>HYPERLINK("https://www.newspim.com/news/view/20250625000891")</f>
        <v>https://www.newspim.com/news/view/20250625000891</v>
      </c>
      <c r="H630">
        <v>0.46700000000000003</v>
      </c>
    </row>
    <row r="631" spans="1:8" x14ac:dyDescent="0.3">
      <c r="A631" t="s">
        <v>1575</v>
      </c>
      <c r="B631" t="s">
        <v>26951</v>
      </c>
      <c r="C631" t="s">
        <v>1707</v>
      </c>
      <c r="D631" t="s">
        <v>1706</v>
      </c>
      <c r="E631" s="2" t="s">
        <v>356</v>
      </c>
      <c r="F631" t="s">
        <v>1705</v>
      </c>
      <c r="G631" t="str">
        <f>HYPERLINK("https://www.jjan.kr/article/20250617580120")</f>
        <v>https://www.jjan.kr/article/20250617580120</v>
      </c>
      <c r="H631">
        <v>0.27900000000000003</v>
      </c>
    </row>
    <row r="632" spans="1:8" x14ac:dyDescent="0.3">
      <c r="A632" t="s">
        <v>1575</v>
      </c>
      <c r="B632" t="s">
        <v>26951</v>
      </c>
      <c r="C632" t="s">
        <v>1709</v>
      </c>
      <c r="D632" t="s">
        <v>1708</v>
      </c>
      <c r="E632" s="2" t="s">
        <v>356</v>
      </c>
      <c r="F632" t="s">
        <v>106</v>
      </c>
      <c r="G632" t="str">
        <f>HYPERLINK("https://www.newspim.com/news/view/20250619001019")</f>
        <v>https://www.newspim.com/news/view/20250619001019</v>
      </c>
      <c r="H632">
        <v>0.73899999999999999</v>
      </c>
    </row>
    <row r="633" spans="1:8" x14ac:dyDescent="0.3">
      <c r="A633" t="s">
        <v>1575</v>
      </c>
      <c r="B633" t="s">
        <v>26951</v>
      </c>
      <c r="C633" t="s">
        <v>1712</v>
      </c>
      <c r="D633" t="s">
        <v>1711</v>
      </c>
      <c r="E633" s="2" t="s">
        <v>356</v>
      </c>
      <c r="F633" t="s">
        <v>1710</v>
      </c>
      <c r="G633" t="str">
        <f>HYPERLINK("https://n.news.naver.com/mnews/article/014/0005365400?sid=100")</f>
        <v>https://n.news.naver.com/mnews/article/014/0005365400?sid=100</v>
      </c>
      <c r="H633">
        <v>0.23300000000000001</v>
      </c>
    </row>
    <row r="634" spans="1:8" x14ac:dyDescent="0.3">
      <c r="A634" t="s">
        <v>1575</v>
      </c>
      <c r="B634" t="s">
        <v>26951</v>
      </c>
      <c r="C634" t="s">
        <v>1714</v>
      </c>
      <c r="D634" t="s">
        <v>1713</v>
      </c>
      <c r="E634" s="2" t="s">
        <v>356</v>
      </c>
      <c r="F634" t="s">
        <v>1420</v>
      </c>
      <c r="G634" t="str">
        <f>HYPERLINK("https://www.apnews.kr/news/articleView.html?idxno=3024128")</f>
        <v>https://www.apnews.kr/news/articleView.html?idxno=3024128</v>
      </c>
      <c r="H634">
        <v>0.36599999999999999</v>
      </c>
    </row>
    <row r="635" spans="1:8" x14ac:dyDescent="0.3">
      <c r="A635" t="s">
        <v>1575</v>
      </c>
      <c r="B635" t="s">
        <v>26951</v>
      </c>
      <c r="C635" t="s">
        <v>1716</v>
      </c>
      <c r="D635" t="s">
        <v>1715</v>
      </c>
      <c r="E635" s="2" t="s">
        <v>356</v>
      </c>
      <c r="F635" t="s">
        <v>957</v>
      </c>
      <c r="G635" t="str">
        <f>HYPERLINK("http://www.ccreview.co.kr/news/articleView.html?idxno=282180")</f>
        <v>http://www.ccreview.co.kr/news/articleView.html?idxno=282180</v>
      </c>
      <c r="H635">
        <v>0.50800000000000001</v>
      </c>
    </row>
    <row r="636" spans="1:8" x14ac:dyDescent="0.3">
      <c r="A636" t="s">
        <v>1575</v>
      </c>
      <c r="B636" t="s">
        <v>26951</v>
      </c>
      <c r="C636" t="s">
        <v>1719</v>
      </c>
      <c r="D636" t="s">
        <v>1718</v>
      </c>
      <c r="E636" s="2" t="s">
        <v>356</v>
      </c>
      <c r="F636" t="s">
        <v>1717</v>
      </c>
      <c r="G636" t="str">
        <f>HYPERLINK("http://www.newsfc.co.kr/news/articleView.html?idxno=72177")</f>
        <v>http://www.newsfc.co.kr/news/articleView.html?idxno=72177</v>
      </c>
      <c r="H636">
        <v>0.44800000000000001</v>
      </c>
    </row>
    <row r="637" spans="1:8" x14ac:dyDescent="0.3">
      <c r="A637" t="s">
        <v>1575</v>
      </c>
      <c r="B637" t="s">
        <v>26951</v>
      </c>
      <c r="C637" t="s">
        <v>1721</v>
      </c>
      <c r="D637" t="s">
        <v>1720</v>
      </c>
      <c r="E637" s="2" t="s">
        <v>356</v>
      </c>
      <c r="F637" t="s">
        <v>1005</v>
      </c>
      <c r="G637" t="str">
        <f>HYPERLINK("http://www.sisaon.co.kr/news/articleView.html?idxno=169510")</f>
        <v>http://www.sisaon.co.kr/news/articleView.html?idxno=169510</v>
      </c>
      <c r="H637">
        <v>0.53800000000000003</v>
      </c>
    </row>
    <row r="638" spans="1:8" x14ac:dyDescent="0.3">
      <c r="A638" t="s">
        <v>1575</v>
      </c>
      <c r="B638" t="s">
        <v>26951</v>
      </c>
      <c r="C638" t="s">
        <v>1724</v>
      </c>
      <c r="D638" t="s">
        <v>1723</v>
      </c>
      <c r="E638" s="2" t="s">
        <v>356</v>
      </c>
      <c r="F638" t="s">
        <v>123</v>
      </c>
      <c r="G638" t="str">
        <f>HYPERLINK("https://n.news.naver.com/mnews/article/014/0004587519?sid=102")</f>
        <v>https://n.news.naver.com/mnews/article/014/0004587519?sid=102</v>
      </c>
      <c r="H638">
        <v>0.189</v>
      </c>
    </row>
    <row r="639" spans="1:8" x14ac:dyDescent="0.3">
      <c r="A639" t="s">
        <v>1575</v>
      </c>
      <c r="B639" t="s">
        <v>26951</v>
      </c>
      <c r="C639" t="s">
        <v>1726</v>
      </c>
      <c r="D639" t="s">
        <v>1725</v>
      </c>
      <c r="E639" s="2" t="s">
        <v>356</v>
      </c>
      <c r="F639" t="s">
        <v>460</v>
      </c>
      <c r="G639" t="str">
        <f>HYPERLINK("http://www.brainmedia.co.kr/BrainTraining/24253")</f>
        <v>http://www.brainmedia.co.kr/BrainTraining/24253</v>
      </c>
      <c r="H639">
        <v>0.48499999999999999</v>
      </c>
    </row>
    <row r="640" spans="1:8" x14ac:dyDescent="0.3">
      <c r="A640" t="s">
        <v>1575</v>
      </c>
      <c r="B640" t="s">
        <v>26951</v>
      </c>
      <c r="C640" t="s">
        <v>378</v>
      </c>
      <c r="D640" t="s">
        <v>377</v>
      </c>
      <c r="E640" s="2" t="s">
        <v>356</v>
      </c>
      <c r="F640" t="s">
        <v>376</v>
      </c>
      <c r="G640" t="str">
        <f>HYPERLINK("https://n.news.naver.com/mnews/article/014/0003865096?sid=100")</f>
        <v>https://n.news.naver.com/mnews/article/014/0003865096?sid=100</v>
      </c>
      <c r="H640">
        <v>9.0999999999999998E-2</v>
      </c>
    </row>
    <row r="641" spans="1:8" x14ac:dyDescent="0.3">
      <c r="A641" t="s">
        <v>1575</v>
      </c>
      <c r="B641" t="s">
        <v>26951</v>
      </c>
      <c r="C641" t="s">
        <v>1728</v>
      </c>
      <c r="D641" t="s">
        <v>1727</v>
      </c>
      <c r="E641" s="2" t="s">
        <v>356</v>
      </c>
      <c r="F641" t="s">
        <v>1465</v>
      </c>
      <c r="G641" t="str">
        <f>HYPERLINK("https://n.news.naver.com/mnews/article/014/0004098675?sid=101")</f>
        <v>https://n.news.naver.com/mnews/article/014/0004098675?sid=101</v>
      </c>
      <c r="H641">
        <v>0.15</v>
      </c>
    </row>
    <row r="642" spans="1:8" x14ac:dyDescent="0.3">
      <c r="A642" t="s">
        <v>1575</v>
      </c>
      <c r="B642" t="s">
        <v>26951</v>
      </c>
      <c r="C642" t="s">
        <v>1730</v>
      </c>
      <c r="D642" t="s">
        <v>1729</v>
      </c>
      <c r="E642" s="2" t="s">
        <v>356</v>
      </c>
      <c r="F642" t="s">
        <v>1625</v>
      </c>
      <c r="G642" t="str">
        <f>HYPERLINK("https://www.newspim.com/news/view/20250617000109")</f>
        <v>https://www.newspim.com/news/view/20250617000109</v>
      </c>
      <c r="H642">
        <v>0.45800000000000002</v>
      </c>
    </row>
    <row r="643" spans="1:8" x14ac:dyDescent="0.3">
      <c r="A643" t="s">
        <v>1575</v>
      </c>
      <c r="B643" t="s">
        <v>26951</v>
      </c>
      <c r="C643" t="s">
        <v>1733</v>
      </c>
      <c r="D643" t="s">
        <v>1732</v>
      </c>
      <c r="E643" s="2" t="s">
        <v>356</v>
      </c>
      <c r="F643" t="s">
        <v>1731</v>
      </c>
      <c r="G643" t="str">
        <f>HYPERLINK("https://n.news.naver.com/mnews/article/006/0000130064?sid=102")</f>
        <v>https://n.news.naver.com/mnews/article/006/0000130064?sid=102</v>
      </c>
      <c r="H643">
        <v>0.32500000000000001</v>
      </c>
    </row>
    <row r="644" spans="1:8" x14ac:dyDescent="0.3">
      <c r="A644" t="s">
        <v>1575</v>
      </c>
      <c r="B644" t="s">
        <v>26951</v>
      </c>
      <c r="C644" t="s">
        <v>1736</v>
      </c>
      <c r="D644" t="s">
        <v>1735</v>
      </c>
      <c r="E644" s="2" t="s">
        <v>394</v>
      </c>
      <c r="F644" t="s">
        <v>1734</v>
      </c>
      <c r="G644" t="str">
        <f>HYPERLINK("https://n.news.naver.com/mnews/article/014/0005365192?sid=103")</f>
        <v>https://n.news.naver.com/mnews/article/014/0005365192?sid=103</v>
      </c>
      <c r="H644">
        <v>0.20399999999999999</v>
      </c>
    </row>
    <row r="645" spans="1:8" x14ac:dyDescent="0.3">
      <c r="A645" t="s">
        <v>1575</v>
      </c>
      <c r="B645" t="s">
        <v>26951</v>
      </c>
      <c r="C645" t="s">
        <v>1738</v>
      </c>
      <c r="D645" t="s">
        <v>1737</v>
      </c>
      <c r="E645" s="2" t="s">
        <v>394</v>
      </c>
      <c r="F645" t="s">
        <v>197</v>
      </c>
      <c r="G645" t="str">
        <f>HYPERLINK("https://www.korea.kr/news/policyNewsView.do?newsId=148944693&amp;call_from=naver_news")</f>
        <v>https://www.korea.kr/news/policyNewsView.do?newsId=148944693&amp;call_from=naver_news</v>
      </c>
      <c r="H645">
        <v>0.72299999999999998</v>
      </c>
    </row>
    <row r="646" spans="1:8" x14ac:dyDescent="0.3">
      <c r="A646" t="s">
        <v>1575</v>
      </c>
      <c r="B646" t="s">
        <v>26951</v>
      </c>
      <c r="C646" t="s">
        <v>1741</v>
      </c>
      <c r="D646" t="s">
        <v>1740</v>
      </c>
      <c r="E646" s="2" t="s">
        <v>394</v>
      </c>
      <c r="F646" t="s">
        <v>1739</v>
      </c>
      <c r="G646" t="str">
        <f>HYPERLINK("http://www.newstof.com/news/articleView.html?idxno=11452")</f>
        <v>http://www.newstof.com/news/articleView.html?idxno=11452</v>
      </c>
      <c r="H646">
        <v>0.57799999999999996</v>
      </c>
    </row>
    <row r="647" spans="1:8" x14ac:dyDescent="0.3">
      <c r="A647" t="s">
        <v>1575</v>
      </c>
      <c r="B647" t="s">
        <v>26951</v>
      </c>
      <c r="C647" t="s">
        <v>1743</v>
      </c>
      <c r="D647" t="s">
        <v>1742</v>
      </c>
      <c r="E647" s="2" t="s">
        <v>394</v>
      </c>
      <c r="F647" t="s">
        <v>332</v>
      </c>
      <c r="G647" t="str">
        <f>HYPERLINK("https://n.news.naver.com/mnews/article/018/0006053386?sid=101")</f>
        <v>https://n.news.naver.com/mnews/article/018/0006053386?sid=101</v>
      </c>
      <c r="H647">
        <v>0.25</v>
      </c>
    </row>
    <row r="648" spans="1:8" x14ac:dyDescent="0.3">
      <c r="A648" t="s">
        <v>1575</v>
      </c>
      <c r="B648" t="s">
        <v>26951</v>
      </c>
      <c r="C648" t="s">
        <v>1746</v>
      </c>
      <c r="D648" t="s">
        <v>1745</v>
      </c>
      <c r="E648" s="2" t="s">
        <v>394</v>
      </c>
      <c r="F648" t="s">
        <v>1744</v>
      </c>
      <c r="G648" t="str">
        <f>HYPERLINK("https://n.news.naver.com/mnews/article/022/0004047866?sid=102")</f>
        <v>https://n.news.naver.com/mnews/article/022/0004047866?sid=102</v>
      </c>
      <c r="H648">
        <v>0.36699999999999999</v>
      </c>
    </row>
    <row r="649" spans="1:8" x14ac:dyDescent="0.3">
      <c r="A649" t="s">
        <v>1575</v>
      </c>
      <c r="B649" t="s">
        <v>26951</v>
      </c>
      <c r="C649" t="s">
        <v>1748</v>
      </c>
      <c r="D649" t="s">
        <v>1747</v>
      </c>
      <c r="E649" s="2" t="s">
        <v>394</v>
      </c>
      <c r="F649" t="s">
        <v>805</v>
      </c>
      <c r="G649" t="str">
        <f>HYPERLINK("https://n.news.naver.com/mnews/article/014/0005364794?sid=100")</f>
        <v>https://n.news.naver.com/mnews/article/014/0005364794?sid=100</v>
      </c>
      <c r="H649">
        <v>0.245</v>
      </c>
    </row>
    <row r="650" spans="1:8" x14ac:dyDescent="0.3">
      <c r="A650" t="s">
        <v>1575</v>
      </c>
      <c r="B650" t="s">
        <v>26951</v>
      </c>
      <c r="C650" t="s">
        <v>1751</v>
      </c>
      <c r="D650" t="s">
        <v>1750</v>
      </c>
      <c r="E650" s="2" t="s">
        <v>394</v>
      </c>
      <c r="F650" t="s">
        <v>1749</v>
      </c>
      <c r="G650" t="str">
        <f>HYPERLINK("https://n.news.naver.com/mnews/article/214/0000851543?sid=102")</f>
        <v>https://n.news.naver.com/mnews/article/214/0000851543?sid=102</v>
      </c>
      <c r="H650">
        <v>0.16400000000000001</v>
      </c>
    </row>
    <row r="651" spans="1:8" x14ac:dyDescent="0.3">
      <c r="A651" t="s">
        <v>1575</v>
      </c>
      <c r="B651" t="s">
        <v>26951</v>
      </c>
      <c r="C651" t="s">
        <v>1754</v>
      </c>
      <c r="D651" t="s">
        <v>1753</v>
      </c>
      <c r="E651" s="2" t="s">
        <v>394</v>
      </c>
      <c r="F651" t="s">
        <v>1752</v>
      </c>
      <c r="G651" t="str">
        <f>HYPERLINK("https://n.news.naver.com/mnews/article/014/0003972230?sid=101")</f>
        <v>https://n.news.naver.com/mnews/article/014/0003972230?sid=101</v>
      </c>
      <c r="H651">
        <v>0.26800000000000002</v>
      </c>
    </row>
    <row r="652" spans="1:8" x14ac:dyDescent="0.3">
      <c r="A652" t="s">
        <v>1575</v>
      </c>
      <c r="B652" t="s">
        <v>26951</v>
      </c>
      <c r="C652" t="s">
        <v>1756</v>
      </c>
      <c r="D652" t="s">
        <v>1755</v>
      </c>
      <c r="E652" s="2" t="s">
        <v>394</v>
      </c>
      <c r="F652" t="s">
        <v>205</v>
      </c>
      <c r="G652" t="str">
        <f>HYPERLINK("https://www.ekn.kr/web/view.php?key=20240304027248225")</f>
        <v>https://www.ekn.kr/web/view.php?key=20240304027248225</v>
      </c>
      <c r="H652">
        <v>0.61399999999999999</v>
      </c>
    </row>
    <row r="653" spans="1:8" x14ac:dyDescent="0.3">
      <c r="A653" t="s">
        <v>1575</v>
      </c>
      <c r="B653" t="s">
        <v>26951</v>
      </c>
      <c r="C653" t="s">
        <v>1758</v>
      </c>
      <c r="D653" t="s">
        <v>1757</v>
      </c>
      <c r="E653" s="2" t="s">
        <v>394</v>
      </c>
      <c r="F653" t="s">
        <v>1465</v>
      </c>
      <c r="G653" t="str">
        <f>HYPERLINK("https://n.news.naver.com/mnews/article/014/0002965943?sid=101")</f>
        <v>https://n.news.naver.com/mnews/article/014/0002965943?sid=101</v>
      </c>
      <c r="H653">
        <v>0.16500000000000001</v>
      </c>
    </row>
    <row r="654" spans="1:8" x14ac:dyDescent="0.3">
      <c r="A654" t="s">
        <v>1575</v>
      </c>
      <c r="B654" t="s">
        <v>26951</v>
      </c>
      <c r="C654" t="s">
        <v>1761</v>
      </c>
      <c r="D654" t="s">
        <v>1760</v>
      </c>
      <c r="E654" s="2" t="s">
        <v>394</v>
      </c>
      <c r="F654" t="s">
        <v>1759</v>
      </c>
      <c r="G654" t="str">
        <f>HYPERLINK("https://n.news.naver.com/mnews/article/014/0004069087?sid=101")</f>
        <v>https://n.news.naver.com/mnews/article/014/0004069087?sid=101</v>
      </c>
      <c r="H654">
        <v>0.21</v>
      </c>
    </row>
    <row r="655" spans="1:8" x14ac:dyDescent="0.3">
      <c r="A655" t="s">
        <v>1575</v>
      </c>
      <c r="B655" t="s">
        <v>26951</v>
      </c>
      <c r="C655" t="s">
        <v>1763</v>
      </c>
      <c r="D655" t="s">
        <v>1762</v>
      </c>
      <c r="E655" s="2" t="s">
        <v>394</v>
      </c>
      <c r="F655" t="s">
        <v>493</v>
      </c>
      <c r="G655" t="str">
        <f>HYPERLINK("https://n.news.naver.com/mnews/article/014/0005364595?sid=103")</f>
        <v>https://n.news.naver.com/mnews/article/014/0005364595?sid=103</v>
      </c>
      <c r="H655">
        <v>0.11899999999999999</v>
      </c>
    </row>
    <row r="656" spans="1:8" x14ac:dyDescent="0.3">
      <c r="A656" t="s">
        <v>1575</v>
      </c>
      <c r="B656" t="s">
        <v>26951</v>
      </c>
      <c r="C656" t="s">
        <v>1765</v>
      </c>
      <c r="D656" t="s">
        <v>1764</v>
      </c>
      <c r="E656" s="2" t="s">
        <v>418</v>
      </c>
      <c r="F656" t="s">
        <v>246</v>
      </c>
      <c r="G656" t="str">
        <f>HYPERLINK("https://n.news.naver.com/mnews/article/014/0005362000?sid=101")</f>
        <v>https://n.news.naver.com/mnews/article/014/0005362000?sid=101</v>
      </c>
      <c r="H656">
        <v>0.371</v>
      </c>
    </row>
    <row r="657" spans="1:8" x14ac:dyDescent="0.3">
      <c r="A657" t="s">
        <v>1575</v>
      </c>
      <c r="B657" t="s">
        <v>26951</v>
      </c>
      <c r="C657" t="s">
        <v>1767</v>
      </c>
      <c r="D657" t="s">
        <v>1766</v>
      </c>
      <c r="E657" s="2" t="s">
        <v>418</v>
      </c>
      <c r="F657" t="s">
        <v>246</v>
      </c>
      <c r="G657" t="str">
        <f>HYPERLINK("http://www.intn.co.kr/news/articleView.html?idxno=2016550")</f>
        <v>http://www.intn.co.kr/news/articleView.html?idxno=2016550</v>
      </c>
      <c r="H657">
        <v>0.58099999999999996</v>
      </c>
    </row>
    <row r="658" spans="1:8" x14ac:dyDescent="0.3">
      <c r="A658" t="s">
        <v>1575</v>
      </c>
      <c r="B658" t="s">
        <v>26951</v>
      </c>
      <c r="C658" t="s">
        <v>1769</v>
      </c>
      <c r="D658" t="s">
        <v>1768</v>
      </c>
      <c r="E658" s="2" t="s">
        <v>418</v>
      </c>
      <c r="F658" t="s">
        <v>205</v>
      </c>
      <c r="G658" t="str">
        <f>HYPERLINK("http://www.ttlnews.com/news/articleView.html?idxno=3004528")</f>
        <v>http://www.ttlnews.com/news/articleView.html?idxno=3004528</v>
      </c>
      <c r="H658">
        <v>0.77400000000000002</v>
      </c>
    </row>
    <row r="659" spans="1:8" x14ac:dyDescent="0.3">
      <c r="A659" t="s">
        <v>1575</v>
      </c>
      <c r="B659" t="s">
        <v>26951</v>
      </c>
      <c r="C659" t="s">
        <v>1771</v>
      </c>
      <c r="D659" t="s">
        <v>1770</v>
      </c>
      <c r="E659" s="2" t="s">
        <v>418</v>
      </c>
      <c r="F659" t="s">
        <v>96</v>
      </c>
      <c r="G659" t="str">
        <f>HYPERLINK("http://www.newsfc.co.kr/news/articleView.html?idxno=38433")</f>
        <v>http://www.newsfc.co.kr/news/articleView.html?idxno=38433</v>
      </c>
      <c r="H659">
        <v>0.14199999999999999</v>
      </c>
    </row>
    <row r="660" spans="1:8" x14ac:dyDescent="0.3">
      <c r="A660" t="s">
        <v>1575</v>
      </c>
      <c r="B660" t="s">
        <v>26951</v>
      </c>
      <c r="C660" t="s">
        <v>1774</v>
      </c>
      <c r="D660" t="s">
        <v>1773</v>
      </c>
      <c r="E660" s="2" t="s">
        <v>418</v>
      </c>
      <c r="F660" t="s">
        <v>1772</v>
      </c>
      <c r="G660" t="str">
        <f>HYPERLINK("http://www.christiantoday.co.kr/articles/300204/20170515/오늘의-묵상-선하시도다.htm")</f>
        <v>http://www.christiantoday.co.kr/articles/300204/20170515/오늘의-묵상-선하시도다.htm</v>
      </c>
      <c r="H660">
        <v>0.39500000000000002</v>
      </c>
    </row>
    <row r="661" spans="1:8" x14ac:dyDescent="0.3">
      <c r="A661" t="s">
        <v>1575</v>
      </c>
      <c r="B661" t="s">
        <v>26951</v>
      </c>
      <c r="C661" t="s">
        <v>1776</v>
      </c>
      <c r="D661" t="s">
        <v>1775</v>
      </c>
      <c r="E661" s="2" t="s">
        <v>418</v>
      </c>
      <c r="F661" t="s">
        <v>1465</v>
      </c>
      <c r="G661" t="str">
        <f>HYPERLINK("https://www.epnc.co.kr/news/articleView.html?idxno=302209")</f>
        <v>https://www.epnc.co.kr/news/articleView.html?idxno=302209</v>
      </c>
      <c r="H661">
        <v>0.193</v>
      </c>
    </row>
    <row r="662" spans="1:8" x14ac:dyDescent="0.3">
      <c r="A662" t="s">
        <v>1575</v>
      </c>
      <c r="B662" t="s">
        <v>26951</v>
      </c>
      <c r="C662" t="s">
        <v>1778</v>
      </c>
      <c r="D662" t="s">
        <v>1777</v>
      </c>
      <c r="E662" s="2" t="s">
        <v>418</v>
      </c>
      <c r="F662" t="s">
        <v>1734</v>
      </c>
      <c r="G662" t="str">
        <f>HYPERLINK("https://n.news.naver.com/mnews/article/014/0005363850?sid=102")</f>
        <v>https://n.news.naver.com/mnews/article/014/0005363850?sid=102</v>
      </c>
      <c r="H662">
        <v>0.14399999999999999</v>
      </c>
    </row>
    <row r="663" spans="1:8" x14ac:dyDescent="0.3">
      <c r="A663" t="s">
        <v>1575</v>
      </c>
      <c r="B663" t="s">
        <v>26951</v>
      </c>
      <c r="C663" t="s">
        <v>1782</v>
      </c>
      <c r="D663" t="s">
        <v>1781</v>
      </c>
      <c r="E663" s="2" t="s">
        <v>452</v>
      </c>
      <c r="F663" t="s">
        <v>1420</v>
      </c>
      <c r="G663" t="str">
        <f>HYPERLINK("http://apnews.kr/View.aspx?No=874326")</f>
        <v>http://apnews.kr/View.aspx?No=874326</v>
      </c>
      <c r="H663">
        <v>0.39400000000000002</v>
      </c>
    </row>
    <row r="664" spans="1:8" x14ac:dyDescent="0.3">
      <c r="A664" t="s">
        <v>1575</v>
      </c>
      <c r="B664" t="s">
        <v>26951</v>
      </c>
      <c r="C664" t="s">
        <v>1785</v>
      </c>
      <c r="D664" t="s">
        <v>1784</v>
      </c>
      <c r="E664" s="2" t="s">
        <v>452</v>
      </c>
      <c r="F664" t="s">
        <v>1783</v>
      </c>
      <c r="G664" t="str">
        <f>HYPERLINK("https://www.newsnjoy.or.kr/news/articleView.html?idxno=307495")</f>
        <v>https://www.newsnjoy.or.kr/news/articleView.html?idxno=307495</v>
      </c>
      <c r="H664">
        <v>0.44400000000000001</v>
      </c>
    </row>
    <row r="665" spans="1:8" x14ac:dyDescent="0.3">
      <c r="A665" t="s">
        <v>1575</v>
      </c>
      <c r="B665" t="s">
        <v>26951</v>
      </c>
      <c r="C665" t="s">
        <v>1788</v>
      </c>
      <c r="D665" t="s">
        <v>1787</v>
      </c>
      <c r="E665" s="2" t="s">
        <v>452</v>
      </c>
      <c r="F665" t="s">
        <v>1786</v>
      </c>
      <c r="G665" t="str">
        <f>HYPERLINK("https://n.news.naver.com/mnews/article/014/0005363592?sid=103")</f>
        <v>https://n.news.naver.com/mnews/article/014/0005363592?sid=103</v>
      </c>
      <c r="H665">
        <v>0.19800000000000001</v>
      </c>
    </row>
    <row r="666" spans="1:8" x14ac:dyDescent="0.3">
      <c r="A666" t="s">
        <v>1575</v>
      </c>
      <c r="B666" t="s">
        <v>26951</v>
      </c>
      <c r="C666" t="s">
        <v>1791</v>
      </c>
      <c r="D666" t="s">
        <v>1790</v>
      </c>
      <c r="E666" s="2" t="s">
        <v>452</v>
      </c>
      <c r="F666" t="s">
        <v>1789</v>
      </c>
      <c r="G666" t="str">
        <f>HYPERLINK("http://www.ifs.or.kr/bbs/board.php?bo_table=News&amp;wr_id=966")</f>
        <v>http://www.ifs.or.kr/bbs/board.php?bo_table=News&amp;wr_id=966</v>
      </c>
      <c r="H666">
        <v>0.26200000000000001</v>
      </c>
    </row>
    <row r="667" spans="1:8" x14ac:dyDescent="0.3">
      <c r="A667" t="s">
        <v>1575</v>
      </c>
      <c r="B667" t="s">
        <v>26951</v>
      </c>
      <c r="C667" t="s">
        <v>1794</v>
      </c>
      <c r="D667" t="s">
        <v>1793</v>
      </c>
      <c r="E667" s="2" t="s">
        <v>452</v>
      </c>
      <c r="F667" t="s">
        <v>1792</v>
      </c>
      <c r="G667" t="str">
        <f>HYPERLINK("https://n.news.naver.com/mnews/article/014/0005370411?sid=103")</f>
        <v>https://n.news.naver.com/mnews/article/014/0005370411?sid=103</v>
      </c>
      <c r="H667">
        <v>0.109</v>
      </c>
    </row>
    <row r="668" spans="1:8" x14ac:dyDescent="0.3">
      <c r="A668" t="s">
        <v>1575</v>
      </c>
      <c r="B668" t="s">
        <v>26951</v>
      </c>
      <c r="C668" t="s">
        <v>1798</v>
      </c>
      <c r="D668" t="s">
        <v>1797</v>
      </c>
      <c r="E668" s="2" t="s">
        <v>502</v>
      </c>
      <c r="F668" t="s">
        <v>1796</v>
      </c>
      <c r="G668" t="str">
        <f>HYPERLINK("https://www.hellot.net/news/article.html?no=59318")</f>
        <v>https://www.hellot.net/news/article.html?no=59318</v>
      </c>
      <c r="H668">
        <v>0.68700000000000006</v>
      </c>
    </row>
    <row r="669" spans="1:8" x14ac:dyDescent="0.3">
      <c r="A669" t="s">
        <v>1575</v>
      </c>
      <c r="B669" t="s">
        <v>26951</v>
      </c>
      <c r="C669" t="s">
        <v>1802</v>
      </c>
      <c r="D669" t="s">
        <v>1801</v>
      </c>
      <c r="E669" s="2" t="s">
        <v>502</v>
      </c>
      <c r="F669" t="s">
        <v>1800</v>
      </c>
      <c r="G669" t="str">
        <f>HYPERLINK("http://www.knnews.co.kr/news/articleView.php?idxno=1464105")</f>
        <v>http://www.knnews.co.kr/news/articleView.php?idxno=1464105</v>
      </c>
      <c r="H669">
        <v>0.54400000000000004</v>
      </c>
    </row>
    <row r="670" spans="1:8" x14ac:dyDescent="0.3">
      <c r="A670" t="s">
        <v>1575</v>
      </c>
      <c r="B670" t="s">
        <v>26951</v>
      </c>
      <c r="C670" t="s">
        <v>1804</v>
      </c>
      <c r="D670" t="s">
        <v>1803</v>
      </c>
      <c r="E670" s="2" t="s">
        <v>502</v>
      </c>
      <c r="F670" t="s">
        <v>1465</v>
      </c>
      <c r="G670" t="str">
        <f>HYPERLINK("https://n.news.naver.com/mnews/article/008/0005207403?sid=101")</f>
        <v>https://n.news.naver.com/mnews/article/008/0005207403?sid=101</v>
      </c>
      <c r="H670">
        <v>0.111</v>
      </c>
    </row>
    <row r="671" spans="1:8" x14ac:dyDescent="0.3">
      <c r="A671" t="s">
        <v>1575</v>
      </c>
      <c r="B671" t="s">
        <v>26951</v>
      </c>
      <c r="C671" t="s">
        <v>1809</v>
      </c>
      <c r="D671" t="s">
        <v>1808</v>
      </c>
      <c r="E671" s="2" t="s">
        <v>517</v>
      </c>
      <c r="F671" t="s">
        <v>1807</v>
      </c>
      <c r="G671" t="str">
        <f>HYPERLINK("http://www.sctoday.co.kr/news/articleView.html?idxno=45476")</f>
        <v>http://www.sctoday.co.kr/news/articleView.html?idxno=45476</v>
      </c>
      <c r="H671">
        <v>0.77400000000000002</v>
      </c>
    </row>
    <row r="672" spans="1:8" x14ac:dyDescent="0.3">
      <c r="A672" t="s">
        <v>1575</v>
      </c>
      <c r="B672" t="s">
        <v>26951</v>
      </c>
      <c r="C672" t="s">
        <v>1812</v>
      </c>
      <c r="D672" t="s">
        <v>1811</v>
      </c>
      <c r="E672" s="2" t="s">
        <v>517</v>
      </c>
      <c r="F672" t="s">
        <v>1810</v>
      </c>
      <c r="G672" t="str">
        <f>HYPERLINK("http://www.issuenbiz.com/news/articleView.html?idxno=45468")</f>
        <v>http://www.issuenbiz.com/news/articleView.html?idxno=45468</v>
      </c>
      <c r="H672">
        <v>0.55100000000000005</v>
      </c>
    </row>
    <row r="673" spans="1:8" x14ac:dyDescent="0.3">
      <c r="A673" t="s">
        <v>1575</v>
      </c>
      <c r="B673" t="s">
        <v>26951</v>
      </c>
      <c r="C673" t="s">
        <v>1814</v>
      </c>
      <c r="D673" t="s">
        <v>1813</v>
      </c>
      <c r="E673" s="2" t="s">
        <v>517</v>
      </c>
      <c r="F673" t="s">
        <v>45</v>
      </c>
      <c r="G673" t="str">
        <f>HYPERLINK("https://n.news.naver.com/mnews/article/014/0005362886?sid=101")</f>
        <v>https://n.news.naver.com/mnews/article/014/0005362886?sid=101</v>
      </c>
      <c r="H673">
        <v>0.14399999999999999</v>
      </c>
    </row>
    <row r="674" spans="1:8" x14ac:dyDescent="0.3">
      <c r="A674" t="s">
        <v>1575</v>
      </c>
      <c r="B674" t="s">
        <v>26951</v>
      </c>
      <c r="C674" t="s">
        <v>1817</v>
      </c>
      <c r="D674" t="s">
        <v>1816</v>
      </c>
      <c r="E674" s="2" t="s">
        <v>517</v>
      </c>
      <c r="F674" t="s">
        <v>1815</v>
      </c>
      <c r="G674" t="str">
        <f>HYPERLINK("https://n.news.naver.com/mnews/article/014/0005331804?sid=101")</f>
        <v>https://n.news.naver.com/mnews/article/014/0005331804?sid=101</v>
      </c>
      <c r="H674">
        <v>0.26</v>
      </c>
    </row>
    <row r="675" spans="1:8" x14ac:dyDescent="0.3">
      <c r="A675" t="s">
        <v>1575</v>
      </c>
      <c r="B675" t="s">
        <v>26951</v>
      </c>
      <c r="C675" t="s">
        <v>1819</v>
      </c>
      <c r="D675" t="s">
        <v>1818</v>
      </c>
      <c r="E675" s="2" t="s">
        <v>517</v>
      </c>
      <c r="F675" t="s">
        <v>1587</v>
      </c>
      <c r="G675" t="str">
        <f>HYPERLINK("http://www.metroseoul.co.kr/article/20250629500381")</f>
        <v>http://www.metroseoul.co.kr/article/20250629500381</v>
      </c>
      <c r="H675">
        <v>0.33900000000000002</v>
      </c>
    </row>
    <row r="676" spans="1:8" x14ac:dyDescent="0.3">
      <c r="A676" t="s">
        <v>1575</v>
      </c>
      <c r="B676" t="s">
        <v>26951</v>
      </c>
      <c r="C676" t="s">
        <v>1821</v>
      </c>
      <c r="D676" t="s">
        <v>1820</v>
      </c>
      <c r="E676" s="2" t="s">
        <v>517</v>
      </c>
      <c r="F676" t="s">
        <v>1587</v>
      </c>
      <c r="G676" t="str">
        <f>HYPERLINK("https://www.newsfreezone.co.kr/news/articleView.html?idxno=632935")</f>
        <v>https://www.newsfreezone.co.kr/news/articleView.html?idxno=632935</v>
      </c>
      <c r="H676">
        <v>0.218</v>
      </c>
    </row>
    <row r="677" spans="1:8" x14ac:dyDescent="0.3">
      <c r="A677" t="s">
        <v>1575</v>
      </c>
      <c r="B677" t="s">
        <v>26951</v>
      </c>
      <c r="C677" t="s">
        <v>1824</v>
      </c>
      <c r="D677" t="s">
        <v>1823</v>
      </c>
      <c r="E677" s="2" t="s">
        <v>517</v>
      </c>
      <c r="F677" t="s">
        <v>1822</v>
      </c>
      <c r="G677" t="str">
        <f>HYPERLINK("https://n.news.naver.com/mnews/article/056/0011979444?sid=103")</f>
        <v>https://n.news.naver.com/mnews/article/056/0011979444?sid=103</v>
      </c>
      <c r="H677">
        <v>0.24399999999999999</v>
      </c>
    </row>
    <row r="678" spans="1:8" x14ac:dyDescent="0.3">
      <c r="A678" t="s">
        <v>1575</v>
      </c>
      <c r="B678" t="s">
        <v>26951</v>
      </c>
      <c r="C678" t="s">
        <v>1827</v>
      </c>
      <c r="D678" t="s">
        <v>1826</v>
      </c>
      <c r="E678" s="2" t="s">
        <v>517</v>
      </c>
      <c r="F678" t="s">
        <v>1825</v>
      </c>
      <c r="G678" t="str">
        <f>HYPERLINK("https://n.news.naver.com/mnews/article/014/0002357334?sid=101")</f>
        <v>https://n.news.naver.com/mnews/article/014/0002357334?sid=101</v>
      </c>
      <c r="H678">
        <v>0.33100000000000002</v>
      </c>
    </row>
    <row r="679" spans="1:8" x14ac:dyDescent="0.3">
      <c r="A679" t="s">
        <v>1575</v>
      </c>
      <c r="B679" t="s">
        <v>26951</v>
      </c>
      <c r="C679" t="s">
        <v>1829</v>
      </c>
      <c r="D679" t="s">
        <v>1828</v>
      </c>
      <c r="E679" s="2" t="s">
        <v>517</v>
      </c>
      <c r="F679" t="s">
        <v>205</v>
      </c>
      <c r="G679" t="str">
        <f>HYPERLINK("https://www.ggilbo.com/news/articleView.html?idxno=1095070")</f>
        <v>https://www.ggilbo.com/news/articleView.html?idxno=1095070</v>
      </c>
      <c r="H679">
        <v>0.67200000000000004</v>
      </c>
    </row>
    <row r="680" spans="1:8" x14ac:dyDescent="0.3">
      <c r="A680" t="s">
        <v>1575</v>
      </c>
      <c r="B680" t="s">
        <v>26951</v>
      </c>
      <c r="C680" t="s">
        <v>1831</v>
      </c>
      <c r="D680" t="s">
        <v>1830</v>
      </c>
      <c r="E680" s="2" t="s">
        <v>517</v>
      </c>
      <c r="F680" t="s">
        <v>376</v>
      </c>
      <c r="G680" t="str">
        <f>HYPERLINK("http://apnews.kr/View.aspx?No=2177343")</f>
        <v>http://apnews.kr/View.aspx?No=2177343</v>
      </c>
      <c r="H680">
        <v>0.215</v>
      </c>
    </row>
    <row r="681" spans="1:8" x14ac:dyDescent="0.3">
      <c r="A681" t="s">
        <v>1575</v>
      </c>
      <c r="B681" t="s">
        <v>26951</v>
      </c>
      <c r="C681" t="s">
        <v>1836</v>
      </c>
      <c r="D681" t="s">
        <v>1835</v>
      </c>
      <c r="E681" s="2" t="s">
        <v>538</v>
      </c>
      <c r="F681" t="s">
        <v>1834</v>
      </c>
      <c r="G681" t="str">
        <f>HYPERLINK("http://www.seoulfn.com/news/articleView.html?idxno=561554")</f>
        <v>http://www.seoulfn.com/news/articleView.html?idxno=561554</v>
      </c>
      <c r="H681">
        <v>0.67400000000000004</v>
      </c>
    </row>
    <row r="682" spans="1:8" x14ac:dyDescent="0.3">
      <c r="A682" t="s">
        <v>1575</v>
      </c>
      <c r="B682" t="s">
        <v>26951</v>
      </c>
      <c r="C682" t="s">
        <v>1838</v>
      </c>
      <c r="D682" t="s">
        <v>1837</v>
      </c>
      <c r="E682" s="2" t="s">
        <v>538</v>
      </c>
      <c r="F682" t="s">
        <v>981</v>
      </c>
      <c r="G682" t="str">
        <f>HYPERLINK("https://n.news.naver.com/mnews/article/011/0004503269?sid=104")</f>
        <v>https://n.news.naver.com/mnews/article/011/0004503269?sid=104</v>
      </c>
      <c r="H682">
        <v>0.28499999999999998</v>
      </c>
    </row>
    <row r="683" spans="1:8" x14ac:dyDescent="0.3">
      <c r="A683" t="s">
        <v>1575</v>
      </c>
      <c r="B683" t="s">
        <v>26951</v>
      </c>
      <c r="C683" t="s">
        <v>1841</v>
      </c>
      <c r="D683" t="s">
        <v>1840</v>
      </c>
      <c r="E683" s="2" t="s">
        <v>538</v>
      </c>
      <c r="F683" t="s">
        <v>1839</v>
      </c>
      <c r="G683" t="str">
        <f>HYPERLINK("http://www.thelec.kr/news/articleView.html?idxno=33227")</f>
        <v>http://www.thelec.kr/news/articleView.html?idxno=33227</v>
      </c>
      <c r="H683">
        <v>0.50800000000000001</v>
      </c>
    </row>
    <row r="684" spans="1:8" x14ac:dyDescent="0.3">
      <c r="A684" t="s">
        <v>1575</v>
      </c>
      <c r="B684" t="s">
        <v>26951</v>
      </c>
      <c r="C684" t="s">
        <v>1844</v>
      </c>
      <c r="D684" t="s">
        <v>1843</v>
      </c>
      <c r="E684" s="2" t="s">
        <v>538</v>
      </c>
      <c r="F684" t="s">
        <v>175</v>
      </c>
      <c r="G684" t="str">
        <f>HYPERLINK("http://www.biztribune.co.kr/news/articleView.html?idxno=335487")</f>
        <v>http://www.biztribune.co.kr/news/articleView.html?idxno=335487</v>
      </c>
      <c r="H684">
        <v>0.38800000000000001</v>
      </c>
    </row>
    <row r="685" spans="1:8" x14ac:dyDescent="0.3">
      <c r="A685" t="s">
        <v>1575</v>
      </c>
      <c r="B685" t="s">
        <v>26951</v>
      </c>
      <c r="C685" t="s">
        <v>1846</v>
      </c>
      <c r="D685" t="s">
        <v>1845</v>
      </c>
      <c r="E685" s="2" t="s">
        <v>538</v>
      </c>
      <c r="F685" t="s">
        <v>1319</v>
      </c>
      <c r="G685" t="str">
        <f>HYPERLINK("http://www.gokorea.kr/695898")</f>
        <v>http://www.gokorea.kr/695898</v>
      </c>
      <c r="H685">
        <v>7.0999999999999994E-2</v>
      </c>
    </row>
    <row r="686" spans="1:8" x14ac:dyDescent="0.3">
      <c r="A686" t="s">
        <v>1575</v>
      </c>
      <c r="B686" t="s">
        <v>26951</v>
      </c>
      <c r="C686" t="s">
        <v>1848</v>
      </c>
      <c r="D686" t="s">
        <v>1847</v>
      </c>
      <c r="E686" s="2" t="s">
        <v>538</v>
      </c>
      <c r="F686" t="s">
        <v>460</v>
      </c>
      <c r="G686" t="str">
        <f>HYPERLINK("https://radio.ytn.co.kr/program/?f=2&amp;id=72411&amp;s_mcd=0263&amp;s_hcd=01")</f>
        <v>https://radio.ytn.co.kr/program/?f=2&amp;id=72411&amp;s_mcd=0263&amp;s_hcd=01</v>
      </c>
      <c r="H686">
        <v>0.46400000000000002</v>
      </c>
    </row>
    <row r="687" spans="1:8" x14ac:dyDescent="0.3">
      <c r="A687" t="s">
        <v>1575</v>
      </c>
      <c r="B687" t="s">
        <v>26951</v>
      </c>
      <c r="C687" t="s">
        <v>1852</v>
      </c>
      <c r="D687" t="s">
        <v>1851</v>
      </c>
      <c r="E687" s="2" t="s">
        <v>538</v>
      </c>
      <c r="F687" t="s">
        <v>779</v>
      </c>
      <c r="G687" t="str">
        <f>HYPERLINK("http://www.aptn.co.kr/news/articleView.html?idxno=109603")</f>
        <v>http://www.aptn.co.kr/news/articleView.html?idxno=109603</v>
      </c>
      <c r="H687">
        <v>0.27400000000000002</v>
      </c>
    </row>
    <row r="688" spans="1:8" x14ac:dyDescent="0.3">
      <c r="A688" t="s">
        <v>1575</v>
      </c>
      <c r="B688" t="s">
        <v>26951</v>
      </c>
      <c r="C688" t="s">
        <v>1854</v>
      </c>
      <c r="D688" t="s">
        <v>1853</v>
      </c>
      <c r="E688" s="2" t="s">
        <v>538</v>
      </c>
      <c r="F688" t="s">
        <v>1465</v>
      </c>
      <c r="G688" t="str">
        <f>HYPERLINK("http://www.choicenews.co.kr/news/articleView.html?idxno=102743")</f>
        <v>http://www.choicenews.co.kr/news/articleView.html?idxno=102743</v>
      </c>
      <c r="H688">
        <v>0.19400000000000001</v>
      </c>
    </row>
    <row r="689" spans="1:8" x14ac:dyDescent="0.3">
      <c r="A689" t="s">
        <v>1575</v>
      </c>
      <c r="B689" t="s">
        <v>26951</v>
      </c>
      <c r="C689" t="s">
        <v>1340</v>
      </c>
      <c r="D689" t="s">
        <v>1339</v>
      </c>
      <c r="E689" s="2" t="s">
        <v>538</v>
      </c>
      <c r="F689" t="s">
        <v>376</v>
      </c>
      <c r="G689" t="str">
        <f>HYPERLINK("https://n.news.naver.com/mnews/article/014/0003865096?sid=100")</f>
        <v>https://n.news.naver.com/mnews/article/014/0003865096?sid=100</v>
      </c>
      <c r="H689">
        <v>0.124</v>
      </c>
    </row>
    <row r="690" spans="1:8" x14ac:dyDescent="0.3">
      <c r="A690" t="s">
        <v>1575</v>
      </c>
      <c r="B690" t="s">
        <v>26951</v>
      </c>
      <c r="C690" t="s">
        <v>1858</v>
      </c>
      <c r="D690" t="s">
        <v>1857</v>
      </c>
      <c r="E690" s="2" t="s">
        <v>538</v>
      </c>
      <c r="F690" t="s">
        <v>1734</v>
      </c>
      <c r="G690" t="str">
        <f>HYPERLINK("http://www.enewstoday.co.kr/news/articleView.html?idxno=2139396")</f>
        <v>http://www.enewstoday.co.kr/news/articleView.html?idxno=2139396</v>
      </c>
      <c r="H690">
        <v>0.34499999999999997</v>
      </c>
    </row>
    <row r="691" spans="1:8" x14ac:dyDescent="0.3">
      <c r="A691" t="s">
        <v>1575</v>
      </c>
      <c r="B691" t="s">
        <v>26951</v>
      </c>
      <c r="C691" t="s">
        <v>1860</v>
      </c>
      <c r="D691" t="s">
        <v>1859</v>
      </c>
      <c r="E691" s="2" t="s">
        <v>572</v>
      </c>
      <c r="F691" t="s">
        <v>1179</v>
      </c>
      <c r="G691" t="str">
        <f>HYPERLINK("https://www.rcast.co.kr/news/articleView.html?idxno=28294")</f>
        <v>https://www.rcast.co.kr/news/articleView.html?idxno=28294</v>
      </c>
      <c r="H691">
        <v>0.24</v>
      </c>
    </row>
    <row r="692" spans="1:8" x14ac:dyDescent="0.3">
      <c r="A692" t="s">
        <v>1575</v>
      </c>
      <c r="B692" t="s">
        <v>26951</v>
      </c>
      <c r="C692" t="s">
        <v>1862</v>
      </c>
      <c r="D692" t="s">
        <v>1861</v>
      </c>
      <c r="E692" s="2" t="s">
        <v>572</v>
      </c>
      <c r="F692" t="s">
        <v>658</v>
      </c>
      <c r="G692" t="str">
        <f>HYPERLINK("http://www.efnews.co.kr/news/articleView.html?idxno=81380")</f>
        <v>http://www.efnews.co.kr/news/articleView.html?idxno=81380</v>
      </c>
      <c r="H692">
        <v>0.41899999999999998</v>
      </c>
    </row>
    <row r="693" spans="1:8" x14ac:dyDescent="0.3">
      <c r="A693" t="s">
        <v>1575</v>
      </c>
      <c r="B693" t="s">
        <v>26951</v>
      </c>
      <c r="C693" t="s">
        <v>1863</v>
      </c>
      <c r="D693" t="s">
        <v>1857</v>
      </c>
      <c r="E693" s="2" t="s">
        <v>572</v>
      </c>
      <c r="F693" t="s">
        <v>1786</v>
      </c>
      <c r="G693" t="str">
        <f>HYPERLINK("http://www.enewstoday.co.kr/news/articleView.html?idxno=2139396")</f>
        <v>http://www.enewstoday.co.kr/news/articleView.html?idxno=2139396</v>
      </c>
      <c r="H693">
        <v>0.39400000000000002</v>
      </c>
    </row>
    <row r="694" spans="1:8" x14ac:dyDescent="0.3">
      <c r="A694" t="s">
        <v>1575</v>
      </c>
      <c r="B694" t="s">
        <v>26951</v>
      </c>
      <c r="C694" t="s">
        <v>1865</v>
      </c>
      <c r="D694" t="s">
        <v>1864</v>
      </c>
      <c r="E694" s="2" t="s">
        <v>572</v>
      </c>
      <c r="F694" t="s">
        <v>1786</v>
      </c>
      <c r="G694" t="str">
        <f>HYPERLINK("https://n.news.naver.com/mnews/article/014/0005361594?sid=103")</f>
        <v>https://n.news.naver.com/mnews/article/014/0005361594?sid=103</v>
      </c>
      <c r="H694">
        <v>0.21099999999999999</v>
      </c>
    </row>
    <row r="695" spans="1:8" x14ac:dyDescent="0.3">
      <c r="A695" t="s">
        <v>1575</v>
      </c>
      <c r="B695" t="s">
        <v>26951</v>
      </c>
      <c r="C695" t="s">
        <v>1868</v>
      </c>
      <c r="D695" t="s">
        <v>1867</v>
      </c>
      <c r="E695" s="2" t="s">
        <v>572</v>
      </c>
      <c r="F695" t="s">
        <v>1866</v>
      </c>
      <c r="G695" t="str">
        <f>HYPERLINK("http://www.dtnews24.com/news/articleView.html?idxno=761019")</f>
        <v>http://www.dtnews24.com/news/articleView.html?idxno=761019</v>
      </c>
      <c r="H695">
        <v>0.38900000000000001</v>
      </c>
    </row>
    <row r="696" spans="1:8" x14ac:dyDescent="0.3">
      <c r="A696" t="s">
        <v>1575</v>
      </c>
      <c r="B696" t="s">
        <v>26951</v>
      </c>
      <c r="C696" t="s">
        <v>1871</v>
      </c>
      <c r="D696" t="s">
        <v>1870</v>
      </c>
      <c r="E696" s="2" t="s">
        <v>572</v>
      </c>
      <c r="F696" t="s">
        <v>1869</v>
      </c>
      <c r="G696" t="str">
        <f>HYPERLINK("https://n.news.naver.com/mnews/article/011/0004493875?sid=100")</f>
        <v>https://n.news.naver.com/mnews/article/011/0004493875?sid=100</v>
      </c>
      <c r="H696">
        <v>0.22</v>
      </c>
    </row>
    <row r="697" spans="1:8" x14ac:dyDescent="0.3">
      <c r="A697" t="s">
        <v>1575</v>
      </c>
      <c r="B697" t="s">
        <v>26951</v>
      </c>
      <c r="C697" t="s">
        <v>1873</v>
      </c>
      <c r="D697" t="s">
        <v>1872</v>
      </c>
      <c r="E697" s="2" t="s">
        <v>572</v>
      </c>
      <c r="F697" t="s">
        <v>205</v>
      </c>
      <c r="G697" t="str">
        <f>HYPERLINK("https://n.news.naver.com/mnews/article/016/0002482995?sid=103")</f>
        <v>https://n.news.naver.com/mnews/article/016/0002482995?sid=103</v>
      </c>
      <c r="H697">
        <v>0.20499999999999999</v>
      </c>
    </row>
    <row r="698" spans="1:8" x14ac:dyDescent="0.3">
      <c r="A698" t="s">
        <v>1575</v>
      </c>
      <c r="B698" t="s">
        <v>26951</v>
      </c>
      <c r="C698" t="s">
        <v>1876</v>
      </c>
      <c r="D698" t="s">
        <v>1875</v>
      </c>
      <c r="E698" s="2" t="s">
        <v>572</v>
      </c>
      <c r="F698" t="s">
        <v>1874</v>
      </c>
      <c r="G698" t="str">
        <f>HYPERLINK("https://n.news.naver.com/mnews/article/056/0011811163?sid=101")</f>
        <v>https://n.news.naver.com/mnews/article/056/0011811163?sid=101</v>
      </c>
      <c r="H698">
        <v>0.26700000000000002</v>
      </c>
    </row>
    <row r="699" spans="1:8" x14ac:dyDescent="0.3">
      <c r="A699" t="s">
        <v>1575</v>
      </c>
      <c r="B699" t="s">
        <v>26951</v>
      </c>
      <c r="C699" t="s">
        <v>1878</v>
      </c>
      <c r="D699" t="s">
        <v>1877</v>
      </c>
      <c r="E699" s="2" t="s">
        <v>609</v>
      </c>
      <c r="F699" t="s">
        <v>89</v>
      </c>
      <c r="G699" t="str">
        <f>HYPERLINK("http://www.sisaon.co.kr/news/articleView.html?idxno=145127")</f>
        <v>http://www.sisaon.co.kr/news/articleView.html?idxno=145127</v>
      </c>
      <c r="H699">
        <v>0.48299999999999998</v>
      </c>
    </row>
    <row r="700" spans="1:8" x14ac:dyDescent="0.3">
      <c r="A700" t="s">
        <v>1575</v>
      </c>
      <c r="B700" t="s">
        <v>26951</v>
      </c>
      <c r="C700" t="s">
        <v>1881</v>
      </c>
      <c r="D700" t="s">
        <v>1880</v>
      </c>
      <c r="E700" s="2" t="s">
        <v>609</v>
      </c>
      <c r="F700" t="s">
        <v>1879</v>
      </c>
      <c r="G700" t="str">
        <f>HYPERLINK("https://n.news.naver.com/mnews/article/014/0005366623?sid=101")</f>
        <v>https://n.news.naver.com/mnews/article/014/0005366623?sid=101</v>
      </c>
      <c r="H700">
        <v>0.216</v>
      </c>
    </row>
    <row r="701" spans="1:8" x14ac:dyDescent="0.3">
      <c r="A701" t="s">
        <v>1575</v>
      </c>
      <c r="B701" t="s">
        <v>26951</v>
      </c>
      <c r="C701" t="s">
        <v>1884</v>
      </c>
      <c r="D701" t="s">
        <v>1883</v>
      </c>
      <c r="E701" s="2" t="s">
        <v>609</v>
      </c>
      <c r="F701" t="s">
        <v>1882</v>
      </c>
      <c r="G701" t="str">
        <f>HYPERLINK("https://n.news.naver.com/mnews/article/014/0005361304?sid=100")</f>
        <v>https://n.news.naver.com/mnews/article/014/0005361304?sid=100</v>
      </c>
      <c r="H701">
        <v>0.20100000000000001</v>
      </c>
    </row>
    <row r="702" spans="1:8" x14ac:dyDescent="0.3">
      <c r="A702" t="s">
        <v>1575</v>
      </c>
      <c r="B702" t="s">
        <v>26951</v>
      </c>
      <c r="C702" t="s">
        <v>1887</v>
      </c>
      <c r="D702" t="s">
        <v>1886</v>
      </c>
      <c r="E702" s="2" t="s">
        <v>609</v>
      </c>
      <c r="F702" t="s">
        <v>1885</v>
      </c>
      <c r="G702" t="str">
        <f>HYPERLINK("https://n.news.naver.com/mnews/article/014/0003189182?sid=101")</f>
        <v>https://n.news.naver.com/mnews/article/014/0003189182?sid=101</v>
      </c>
      <c r="H702">
        <v>0.30399999999999999</v>
      </c>
    </row>
    <row r="703" spans="1:8" x14ac:dyDescent="0.3">
      <c r="A703" t="s">
        <v>1575</v>
      </c>
      <c r="B703" t="s">
        <v>26951</v>
      </c>
      <c r="C703" t="s">
        <v>1890</v>
      </c>
      <c r="D703" t="s">
        <v>1889</v>
      </c>
      <c r="E703" s="2" t="s">
        <v>609</v>
      </c>
      <c r="F703" t="s">
        <v>1888</v>
      </c>
      <c r="G703" t="str">
        <f>HYPERLINK("http://www.ibulgyo.com/news/articleView.html?idxno=427508")</f>
        <v>http://www.ibulgyo.com/news/articleView.html?idxno=427508</v>
      </c>
      <c r="H703">
        <v>0.371</v>
      </c>
    </row>
    <row r="704" spans="1:8" x14ac:dyDescent="0.3">
      <c r="A704" t="s">
        <v>1575</v>
      </c>
      <c r="B704" t="s">
        <v>26951</v>
      </c>
      <c r="C704" t="s">
        <v>1892</v>
      </c>
      <c r="D704" t="s">
        <v>1891</v>
      </c>
      <c r="E704" s="2" t="s">
        <v>609</v>
      </c>
      <c r="F704" t="s">
        <v>335</v>
      </c>
      <c r="G704" t="str">
        <f>HYPERLINK("https://www.tokenpost.kr/article-220880")</f>
        <v>https://www.tokenpost.kr/article-220880</v>
      </c>
      <c r="H704">
        <v>0.34</v>
      </c>
    </row>
    <row r="705" spans="1:8" x14ac:dyDescent="0.3">
      <c r="A705" t="s">
        <v>1575</v>
      </c>
      <c r="B705" t="s">
        <v>26951</v>
      </c>
      <c r="C705" t="s">
        <v>1894</v>
      </c>
      <c r="D705" t="s">
        <v>1893</v>
      </c>
      <c r="E705" s="2" t="s">
        <v>653</v>
      </c>
      <c r="F705" t="s">
        <v>1203</v>
      </c>
      <c r="G705" t="str">
        <f>HYPERLINK("https://n.news.naver.com/mnews/article/028/0002750070?sid=101")</f>
        <v>https://n.news.naver.com/mnews/article/028/0002750070?sid=101</v>
      </c>
      <c r="H705">
        <v>0.377</v>
      </c>
    </row>
    <row r="706" spans="1:8" x14ac:dyDescent="0.3">
      <c r="A706" t="s">
        <v>1575</v>
      </c>
      <c r="B706" t="s">
        <v>26951</v>
      </c>
      <c r="C706" t="s">
        <v>1896</v>
      </c>
      <c r="D706" t="s">
        <v>1895</v>
      </c>
      <c r="E706" s="2" t="s">
        <v>653</v>
      </c>
      <c r="F706" t="s">
        <v>1179</v>
      </c>
      <c r="G706" t="str">
        <f>HYPERLINK("https://n.news.naver.com/mnews/article/014/0005350312?sid=101")</f>
        <v>https://n.news.naver.com/mnews/article/014/0005350312?sid=101</v>
      </c>
      <c r="H706">
        <v>0.13500000000000001</v>
      </c>
    </row>
    <row r="707" spans="1:8" x14ac:dyDescent="0.3">
      <c r="A707" t="s">
        <v>1575</v>
      </c>
      <c r="B707" t="s">
        <v>26951</v>
      </c>
      <c r="C707" t="s">
        <v>1898</v>
      </c>
      <c r="D707" t="s">
        <v>1897</v>
      </c>
      <c r="E707" s="2" t="s">
        <v>692</v>
      </c>
      <c r="F707" t="s">
        <v>197</v>
      </c>
      <c r="G707" t="str">
        <f>HYPERLINK("http://www.ftoday.co.kr/news/articleView.html?idxno=104110")</f>
        <v>http://www.ftoday.co.kr/news/articleView.html?idxno=104110</v>
      </c>
      <c r="H707">
        <v>0.42799999999999999</v>
      </c>
    </row>
    <row r="708" spans="1:8" x14ac:dyDescent="0.3">
      <c r="A708" t="s">
        <v>1575</v>
      </c>
      <c r="B708" t="s">
        <v>26951</v>
      </c>
      <c r="C708" t="s">
        <v>1900</v>
      </c>
      <c r="D708" t="s">
        <v>1899</v>
      </c>
      <c r="E708" s="2" t="s">
        <v>692</v>
      </c>
      <c r="F708" t="s">
        <v>556</v>
      </c>
      <c r="G708" t="str">
        <f>HYPERLINK("https://n.news.naver.com/mnews/article/014/0004109290?sid=101")</f>
        <v>https://n.news.naver.com/mnews/article/014/0004109290?sid=101</v>
      </c>
      <c r="H708">
        <v>0.251</v>
      </c>
    </row>
    <row r="709" spans="1:8" x14ac:dyDescent="0.3">
      <c r="A709" t="s">
        <v>1575</v>
      </c>
      <c r="B709" t="s">
        <v>26951</v>
      </c>
      <c r="C709" t="s">
        <v>1902</v>
      </c>
      <c r="D709" t="s">
        <v>1901</v>
      </c>
      <c r="E709" s="2" t="s">
        <v>692</v>
      </c>
      <c r="F709" t="s">
        <v>1426</v>
      </c>
      <c r="G709" t="str">
        <f>HYPERLINK("https://www.pdjournal.com/news/articleView.html?idxno=80215")</f>
        <v>https://www.pdjournal.com/news/articleView.html?idxno=80215</v>
      </c>
      <c r="H709">
        <v>0.31</v>
      </c>
    </row>
    <row r="710" spans="1:8" x14ac:dyDescent="0.3">
      <c r="A710" t="s">
        <v>1575</v>
      </c>
      <c r="B710" t="s">
        <v>26951</v>
      </c>
      <c r="C710" t="s">
        <v>1904</v>
      </c>
      <c r="D710" t="s">
        <v>1903</v>
      </c>
      <c r="E710" s="2" t="s">
        <v>692</v>
      </c>
      <c r="F710" t="s">
        <v>625</v>
      </c>
      <c r="G710" t="str">
        <f>HYPERLINK("https://news.einfomax.co.kr/news/articleView.html?idxno=4324027")</f>
        <v>https://news.einfomax.co.kr/news/articleView.html?idxno=4324027</v>
      </c>
      <c r="H710">
        <v>0.40400000000000003</v>
      </c>
    </row>
    <row r="711" spans="1:8" x14ac:dyDescent="0.3">
      <c r="A711" t="s">
        <v>1575</v>
      </c>
      <c r="B711" t="s">
        <v>26951</v>
      </c>
      <c r="C711" t="s">
        <v>1907</v>
      </c>
      <c r="D711" t="s">
        <v>1906</v>
      </c>
      <c r="E711" s="2" t="s">
        <v>692</v>
      </c>
      <c r="F711" t="s">
        <v>1905</v>
      </c>
      <c r="G711" t="str">
        <f>HYPERLINK("https://n.news.naver.com/mnews/article/014/0005364089?sid=101")</f>
        <v>https://n.news.naver.com/mnews/article/014/0005364089?sid=101</v>
      </c>
      <c r="H711">
        <v>0.32400000000000001</v>
      </c>
    </row>
    <row r="712" spans="1:8" x14ac:dyDescent="0.3">
      <c r="A712" t="s">
        <v>1575</v>
      </c>
      <c r="B712" t="s">
        <v>26951</v>
      </c>
      <c r="C712" t="s">
        <v>1910</v>
      </c>
      <c r="D712" t="s">
        <v>1909</v>
      </c>
      <c r="E712" s="2" t="s">
        <v>692</v>
      </c>
      <c r="F712" t="s">
        <v>1908</v>
      </c>
      <c r="G712" t="str">
        <f>HYPERLINK("https://n.news.naver.com/mnews/article/022/0004047866?sid=102")</f>
        <v>https://n.news.naver.com/mnews/article/022/0004047866?sid=102</v>
      </c>
      <c r="H712">
        <v>0.33400000000000002</v>
      </c>
    </row>
    <row r="713" spans="1:8" x14ac:dyDescent="0.3">
      <c r="A713" t="s">
        <v>1575</v>
      </c>
      <c r="B713" t="s">
        <v>26951</v>
      </c>
      <c r="C713" t="s">
        <v>1913</v>
      </c>
      <c r="D713" t="s">
        <v>1912</v>
      </c>
      <c r="E713" s="2" t="s">
        <v>692</v>
      </c>
      <c r="F713" t="s">
        <v>1911</v>
      </c>
      <c r="G713" t="str">
        <f>HYPERLINK("https://n.news.naver.com/mnews/article/011/0004503285?sid=102")</f>
        <v>https://n.news.naver.com/mnews/article/011/0004503285?sid=102</v>
      </c>
      <c r="H713">
        <v>0.16900000000000001</v>
      </c>
    </row>
    <row r="714" spans="1:8" x14ac:dyDescent="0.3">
      <c r="A714" t="s">
        <v>1575</v>
      </c>
      <c r="B714" t="s">
        <v>26951</v>
      </c>
      <c r="C714" t="s">
        <v>1916</v>
      </c>
      <c r="D714" t="s">
        <v>1915</v>
      </c>
      <c r="E714" s="2" t="s">
        <v>711</v>
      </c>
      <c r="F714" t="s">
        <v>521</v>
      </c>
      <c r="G714" t="str">
        <f>HYPERLINK("https://n.news.naver.com/mnews/article/022/0004041641?sid=102")</f>
        <v>https://n.news.naver.com/mnews/article/022/0004041641?sid=102</v>
      </c>
      <c r="H714">
        <v>0.19400000000000001</v>
      </c>
    </row>
    <row r="715" spans="1:8" x14ac:dyDescent="0.3">
      <c r="A715" t="s">
        <v>1575</v>
      </c>
      <c r="B715" t="s">
        <v>26951</v>
      </c>
      <c r="C715" t="s">
        <v>1918</v>
      </c>
      <c r="D715" t="s">
        <v>1917</v>
      </c>
      <c r="E715" s="2" t="s">
        <v>711</v>
      </c>
      <c r="F715" t="s">
        <v>1465</v>
      </c>
      <c r="G715" t="str">
        <f>HYPERLINK("https://news.einfomax.co.kr/news/articleView.html?idxno=4288482")</f>
        <v>https://news.einfomax.co.kr/news/articleView.html?idxno=4288482</v>
      </c>
      <c r="H715">
        <v>0.441</v>
      </c>
    </row>
    <row r="716" spans="1:8" x14ac:dyDescent="0.3">
      <c r="A716" t="s">
        <v>1575</v>
      </c>
      <c r="B716" t="s">
        <v>26951</v>
      </c>
      <c r="C716" t="s">
        <v>1920</v>
      </c>
      <c r="D716" t="s">
        <v>1919</v>
      </c>
      <c r="E716" s="2" t="s">
        <v>725</v>
      </c>
      <c r="F716" t="s">
        <v>1429</v>
      </c>
      <c r="G716" t="str">
        <f>HYPERLINK("https://n.news.naver.com/mnews/article/022/0004047810?sid=101")</f>
        <v>https://n.news.naver.com/mnews/article/022/0004047810?sid=101</v>
      </c>
      <c r="H716">
        <v>0.32</v>
      </c>
    </row>
    <row r="717" spans="1:8" x14ac:dyDescent="0.3">
      <c r="A717" t="s">
        <v>1575</v>
      </c>
      <c r="B717" t="s">
        <v>26951</v>
      </c>
      <c r="C717" t="s">
        <v>1922</v>
      </c>
      <c r="D717" t="s">
        <v>1921</v>
      </c>
      <c r="E717" s="2" t="s">
        <v>725</v>
      </c>
      <c r="F717" t="s">
        <v>25</v>
      </c>
      <c r="G717" t="str">
        <f>HYPERLINK("https://ditoday.com/how-%ed%8a%b8%eb%9e%98%eb%b8%94%ec%9b%94%eb%a0%9b-become-one-of-the-popular-travel-card/")</f>
        <v>https://ditoday.com/how-%ed%8a%b8%eb%9e%98%eb%b8%94%ec%9b%94%eb%a0%9b-become-one-of-the-popular-travel-card/</v>
      </c>
      <c r="H717">
        <v>0.53200000000000003</v>
      </c>
    </row>
    <row r="718" spans="1:8" x14ac:dyDescent="0.3">
      <c r="A718" t="s">
        <v>1575</v>
      </c>
      <c r="B718" t="s">
        <v>26951</v>
      </c>
      <c r="C718" t="s">
        <v>1924</v>
      </c>
      <c r="D718" t="s">
        <v>1923</v>
      </c>
      <c r="E718" s="2" t="s">
        <v>725</v>
      </c>
      <c r="F718" t="s">
        <v>1317</v>
      </c>
      <c r="G718" t="str">
        <f>HYPERLINK("https://www.pn.or.kr/news/articleView.html?idxno=32065")</f>
        <v>https://www.pn.or.kr/news/articleView.html?idxno=32065</v>
      </c>
      <c r="H718">
        <v>0.372</v>
      </c>
    </row>
    <row r="719" spans="1:8" x14ac:dyDescent="0.3">
      <c r="A719" t="s">
        <v>1575</v>
      </c>
      <c r="B719" t="s">
        <v>26951</v>
      </c>
      <c r="C719" t="s">
        <v>1927</v>
      </c>
      <c r="D719" t="s">
        <v>1926</v>
      </c>
      <c r="E719" s="2" t="s">
        <v>725</v>
      </c>
      <c r="F719" t="s">
        <v>1925</v>
      </c>
      <c r="G719" t="str">
        <f>HYPERLINK("https://www.newspim.com/news/view/20250602000088")</f>
        <v>https://www.newspim.com/news/view/20250602000088</v>
      </c>
      <c r="H719">
        <v>0.92400000000000004</v>
      </c>
    </row>
    <row r="720" spans="1:8" x14ac:dyDescent="0.3">
      <c r="A720" t="s">
        <v>1575</v>
      </c>
      <c r="B720" t="s">
        <v>26951</v>
      </c>
      <c r="C720" t="s">
        <v>1930</v>
      </c>
      <c r="D720" t="s">
        <v>1929</v>
      </c>
      <c r="E720" s="2" t="s">
        <v>725</v>
      </c>
      <c r="F720" t="s">
        <v>1928</v>
      </c>
      <c r="G720" t="str">
        <f>HYPERLINK("https://n.news.naver.com/mnews/article/079/0004032312?sid=154")</f>
        <v>https://n.news.naver.com/mnews/article/079/0004032312?sid=154</v>
      </c>
      <c r="H720">
        <v>0.14399999999999999</v>
      </c>
    </row>
    <row r="721" spans="1:8" x14ac:dyDescent="0.3">
      <c r="A721" t="s">
        <v>1575</v>
      </c>
      <c r="B721" t="s">
        <v>26951</v>
      </c>
      <c r="C721" t="s">
        <v>1933</v>
      </c>
      <c r="D721" t="s">
        <v>1932</v>
      </c>
      <c r="E721" s="2" t="s">
        <v>742</v>
      </c>
      <c r="F721" t="s">
        <v>1931</v>
      </c>
      <c r="G721" t="str">
        <f>HYPERLINK("https://n.news.naver.com/mnews/article/014/0005359831?sid=103")</f>
        <v>https://n.news.naver.com/mnews/article/014/0005359831?sid=103</v>
      </c>
      <c r="H721">
        <v>0.19900000000000001</v>
      </c>
    </row>
    <row r="722" spans="1:8" x14ac:dyDescent="0.3">
      <c r="A722" t="s">
        <v>1575</v>
      </c>
      <c r="B722" t="s">
        <v>26951</v>
      </c>
      <c r="C722" t="s">
        <v>1935</v>
      </c>
      <c r="D722" t="s">
        <v>1934</v>
      </c>
      <c r="E722" s="2" t="s">
        <v>742</v>
      </c>
      <c r="F722" t="s">
        <v>419</v>
      </c>
      <c r="G722" t="str">
        <f>HYPERLINK("https://n.news.naver.com/mnews/article/056/0011979247?sid=103")</f>
        <v>https://n.news.naver.com/mnews/article/056/0011979247?sid=103</v>
      </c>
      <c r="H722">
        <v>0.315</v>
      </c>
    </row>
    <row r="723" spans="1:8" x14ac:dyDescent="0.3">
      <c r="A723" t="s">
        <v>1575</v>
      </c>
      <c r="B723" t="s">
        <v>26951</v>
      </c>
      <c r="C723" t="s">
        <v>1938</v>
      </c>
      <c r="D723" t="s">
        <v>1937</v>
      </c>
      <c r="E723" s="2" t="s">
        <v>742</v>
      </c>
      <c r="F723" t="s">
        <v>1936</v>
      </c>
      <c r="G723" t="str">
        <f>HYPERLINK("https://n.news.naver.com/mnews/article/014/0005359713?sid=102")</f>
        <v>https://n.news.naver.com/mnews/article/014/0005359713?sid=102</v>
      </c>
      <c r="H723">
        <v>0.17799999999999999</v>
      </c>
    </row>
    <row r="724" spans="1:8" x14ac:dyDescent="0.3">
      <c r="A724" t="s">
        <v>1575</v>
      </c>
      <c r="B724" t="s">
        <v>26951</v>
      </c>
      <c r="C724" t="s">
        <v>1941</v>
      </c>
      <c r="D724" t="s">
        <v>1940</v>
      </c>
      <c r="E724" s="2" t="s">
        <v>742</v>
      </c>
      <c r="F724" t="s">
        <v>1939</v>
      </c>
      <c r="G724" t="str">
        <f>HYPERLINK("https://n.news.naver.com/mnews/article/014/0005358576?sid=101")</f>
        <v>https://n.news.naver.com/mnews/article/014/0005358576?sid=101</v>
      </c>
      <c r="H724">
        <v>0.193</v>
      </c>
    </row>
    <row r="725" spans="1:8" x14ac:dyDescent="0.3">
      <c r="A725" t="s">
        <v>1575</v>
      </c>
      <c r="B725" t="s">
        <v>26951</v>
      </c>
      <c r="C725" t="s">
        <v>1944</v>
      </c>
      <c r="D725" t="s">
        <v>1943</v>
      </c>
      <c r="E725" s="2" t="s">
        <v>742</v>
      </c>
      <c r="F725" t="s">
        <v>1942</v>
      </c>
      <c r="G725" t="str">
        <f>HYPERLINK("https://n.news.naver.com/mnews/article/008/0005203617?sid=102")</f>
        <v>https://n.news.naver.com/mnews/article/008/0005203617?sid=102</v>
      </c>
      <c r="H725">
        <v>0.26300000000000001</v>
      </c>
    </row>
    <row r="726" spans="1:8" x14ac:dyDescent="0.3">
      <c r="A726" t="s">
        <v>1575</v>
      </c>
      <c r="B726" t="s">
        <v>26951</v>
      </c>
      <c r="C726" t="s">
        <v>1947</v>
      </c>
      <c r="D726" t="s">
        <v>1946</v>
      </c>
      <c r="E726" s="2" t="s">
        <v>742</v>
      </c>
      <c r="F726" t="s">
        <v>1945</v>
      </c>
      <c r="G726" t="str">
        <f>HYPERLINK("https://n.news.naver.com/mnews/article/014/0005359045?sid=101")</f>
        <v>https://n.news.naver.com/mnews/article/014/0005359045?sid=101</v>
      </c>
      <c r="H726">
        <v>0.30099999999999999</v>
      </c>
    </row>
    <row r="727" spans="1:8" x14ac:dyDescent="0.3">
      <c r="A727" t="s">
        <v>1575</v>
      </c>
      <c r="B727" t="s">
        <v>26951</v>
      </c>
      <c r="C727" t="s">
        <v>1949</v>
      </c>
      <c r="D727" t="s">
        <v>1948</v>
      </c>
      <c r="E727" s="2" t="s">
        <v>742</v>
      </c>
      <c r="F727" t="s">
        <v>179</v>
      </c>
      <c r="G727" t="str">
        <f>HYPERLINK("https://n.news.naver.com/mnews/article/014/0005256332?sid=101")</f>
        <v>https://n.news.naver.com/mnews/article/014/0005256332?sid=101</v>
      </c>
      <c r="H727">
        <v>0.35899999999999999</v>
      </c>
    </row>
    <row r="728" spans="1:8" x14ac:dyDescent="0.3">
      <c r="A728" t="s">
        <v>1575</v>
      </c>
      <c r="B728" t="s">
        <v>26951</v>
      </c>
      <c r="C728" t="s">
        <v>1951</v>
      </c>
      <c r="D728" t="s">
        <v>1950</v>
      </c>
      <c r="E728" s="2" t="s">
        <v>742</v>
      </c>
      <c r="F728" t="s">
        <v>1939</v>
      </c>
      <c r="G728" t="str">
        <f>HYPERLINK("https://n.news.naver.com/mnews/article/014/0002340107?sid=102")</f>
        <v>https://n.news.naver.com/mnews/article/014/0002340107?sid=102</v>
      </c>
      <c r="H728">
        <v>0.25700000000000001</v>
      </c>
    </row>
    <row r="729" spans="1:8" x14ac:dyDescent="0.3">
      <c r="A729" t="s">
        <v>1575</v>
      </c>
      <c r="B729" t="s">
        <v>26951</v>
      </c>
      <c r="C729" t="s">
        <v>1487</v>
      </c>
      <c r="D729" t="s">
        <v>1486</v>
      </c>
      <c r="E729" s="2" t="s">
        <v>742</v>
      </c>
      <c r="F729" t="s">
        <v>376</v>
      </c>
      <c r="G729" t="str">
        <f>HYPERLINK("https://n.news.naver.com/mnews/article/014/0003865096?sid=100")</f>
        <v>https://n.news.naver.com/mnews/article/014/0003865096?sid=100</v>
      </c>
      <c r="H729">
        <v>7.1999999999999995E-2</v>
      </c>
    </row>
    <row r="730" spans="1:8" x14ac:dyDescent="0.3">
      <c r="A730" t="s">
        <v>1575</v>
      </c>
      <c r="B730" t="s">
        <v>26951</v>
      </c>
      <c r="C730" t="s">
        <v>1953</v>
      </c>
      <c r="D730" t="s">
        <v>1952</v>
      </c>
      <c r="E730" s="2" t="s">
        <v>742</v>
      </c>
      <c r="F730" t="s">
        <v>1465</v>
      </c>
      <c r="G730" t="str">
        <f>HYPERLINK("https://n.news.naver.com/mnews/article/022/0004047745?sid=102")</f>
        <v>https://n.news.naver.com/mnews/article/022/0004047745?sid=102</v>
      </c>
      <c r="H730">
        <v>0.252</v>
      </c>
    </row>
    <row r="731" spans="1:8" x14ac:dyDescent="0.3">
      <c r="A731" t="s">
        <v>1575</v>
      </c>
      <c r="B731" t="s">
        <v>26951</v>
      </c>
      <c r="C731" t="s">
        <v>1954</v>
      </c>
      <c r="D731" t="s">
        <v>1492</v>
      </c>
      <c r="E731" s="2" t="s">
        <v>742</v>
      </c>
      <c r="F731" t="s">
        <v>785</v>
      </c>
      <c r="G731" t="str">
        <f>HYPERLINK("http://www.doctorstimes.com/news/articleView.html?idxno=233132")</f>
        <v>http://www.doctorstimes.com/news/articleView.html?idxno=233132</v>
      </c>
      <c r="H731">
        <v>0.20300000000000001</v>
      </c>
    </row>
    <row r="732" spans="1:8" x14ac:dyDescent="0.3">
      <c r="A732" t="s">
        <v>1575</v>
      </c>
      <c r="B732" t="s">
        <v>26951</v>
      </c>
      <c r="C732" t="s">
        <v>1956</v>
      </c>
      <c r="D732" t="s">
        <v>1955</v>
      </c>
      <c r="E732" s="2" t="s">
        <v>742</v>
      </c>
      <c r="F732" t="s">
        <v>1625</v>
      </c>
      <c r="G732" t="str">
        <f>HYPERLINK("https://news.hidoc.co.kr/news/articleView.html?idxno=49179")</f>
        <v>https://news.hidoc.co.kr/news/articleView.html?idxno=49179</v>
      </c>
      <c r="H732">
        <v>0.38200000000000001</v>
      </c>
    </row>
    <row r="733" spans="1:8" x14ac:dyDescent="0.3">
      <c r="A733" t="s">
        <v>1575</v>
      </c>
      <c r="B733" t="s">
        <v>26951</v>
      </c>
      <c r="C733" t="s">
        <v>1959</v>
      </c>
      <c r="D733" t="s">
        <v>1958</v>
      </c>
      <c r="E733" s="2" t="s">
        <v>742</v>
      </c>
      <c r="F733" t="s">
        <v>1957</v>
      </c>
      <c r="G733" t="str">
        <f>HYPERLINK("http://www.iminju.net/news/articleView.html?idxno=104730")</f>
        <v>http://www.iminju.net/news/articleView.html?idxno=104730</v>
      </c>
      <c r="H733">
        <v>0.442</v>
      </c>
    </row>
    <row r="734" spans="1:8" x14ac:dyDescent="0.3">
      <c r="A734" t="s">
        <v>1575</v>
      </c>
      <c r="B734" t="s">
        <v>26951</v>
      </c>
      <c r="C734" t="s">
        <v>1962</v>
      </c>
      <c r="D734" t="s">
        <v>1961</v>
      </c>
      <c r="E734" s="2" t="s">
        <v>799</v>
      </c>
      <c r="F734" t="s">
        <v>1960</v>
      </c>
      <c r="G734" t="str">
        <f>HYPERLINK("https://n.news.naver.com/mnews/article/022/0004045343?sid=104")</f>
        <v>https://n.news.naver.com/mnews/article/022/0004045343?sid=104</v>
      </c>
      <c r="H734">
        <v>0.29499999999999998</v>
      </c>
    </row>
    <row r="735" spans="1:8" x14ac:dyDescent="0.3">
      <c r="A735" t="s">
        <v>1575</v>
      </c>
      <c r="B735" t="s">
        <v>26951</v>
      </c>
      <c r="C735" t="s">
        <v>1966</v>
      </c>
      <c r="D735" t="s">
        <v>1965</v>
      </c>
      <c r="E735" s="2" t="s">
        <v>799</v>
      </c>
      <c r="F735" t="s">
        <v>1964</v>
      </c>
      <c r="G735" t="str">
        <f>HYPERLINK("https://www.pdjournal.com/news/articleView.html?idxno=80215")</f>
        <v>https://www.pdjournal.com/news/articleView.html?idxno=80215</v>
      </c>
      <c r="H735">
        <v>0.25900000000000001</v>
      </c>
    </row>
    <row r="736" spans="1:8" x14ac:dyDescent="0.3">
      <c r="A736" t="s">
        <v>1575</v>
      </c>
      <c r="B736" t="s">
        <v>26951</v>
      </c>
      <c r="C736" t="s">
        <v>1969</v>
      </c>
      <c r="D736" t="s">
        <v>1968</v>
      </c>
      <c r="E736" s="2" t="s">
        <v>799</v>
      </c>
      <c r="F736" t="s">
        <v>1967</v>
      </c>
      <c r="G736" t="str">
        <f>HYPERLINK("https://n.news.naver.com/mnews/article/277/0005602901?sid=101")</f>
        <v>https://n.news.naver.com/mnews/article/277/0005602901?sid=101</v>
      </c>
      <c r="H736">
        <v>0.17399999999999999</v>
      </c>
    </row>
    <row r="737" spans="1:8" x14ac:dyDescent="0.3">
      <c r="A737" t="s">
        <v>1575</v>
      </c>
      <c r="B737" t="s">
        <v>26951</v>
      </c>
      <c r="C737" t="s">
        <v>1971</v>
      </c>
      <c r="D737" t="s">
        <v>1970</v>
      </c>
      <c r="E737" s="2" t="s">
        <v>799</v>
      </c>
      <c r="F737" t="s">
        <v>73</v>
      </c>
      <c r="G737" t="str">
        <f>HYPERLINK("https://www.electimes.com/news/articleView.html?idxno=356065")</f>
        <v>https://www.electimes.com/news/articleView.html?idxno=356065</v>
      </c>
      <c r="H737">
        <v>0.74399999999999999</v>
      </c>
    </row>
    <row r="738" spans="1:8" x14ac:dyDescent="0.3">
      <c r="A738" t="s">
        <v>1575</v>
      </c>
      <c r="B738" t="s">
        <v>26951</v>
      </c>
      <c r="C738" t="s">
        <v>1974</v>
      </c>
      <c r="D738" t="s">
        <v>1973</v>
      </c>
      <c r="E738" s="2" t="s">
        <v>799</v>
      </c>
      <c r="F738" t="s">
        <v>179</v>
      </c>
      <c r="G738" t="str">
        <f>HYPERLINK("https://n.news.naver.com/mnews/article/014/0005256332?sid=101")</f>
        <v>https://n.news.naver.com/mnews/article/014/0005256332?sid=101</v>
      </c>
      <c r="H738">
        <v>0.35399999999999998</v>
      </c>
    </row>
    <row r="739" spans="1:8" x14ac:dyDescent="0.3">
      <c r="A739" t="s">
        <v>1575</v>
      </c>
      <c r="B739" t="s">
        <v>26951</v>
      </c>
      <c r="C739" t="s">
        <v>1977</v>
      </c>
      <c r="D739" t="s">
        <v>1976</v>
      </c>
      <c r="E739" s="2" t="s">
        <v>799</v>
      </c>
      <c r="F739" t="s">
        <v>1975</v>
      </c>
      <c r="G739" t="str">
        <f>HYPERLINK("https://n.news.naver.com/mnews/article/057/0001892658?sid=004")</f>
        <v>https://n.news.naver.com/mnews/article/057/0001892658?sid=004</v>
      </c>
      <c r="H739">
        <v>0.25800000000000001</v>
      </c>
    </row>
    <row r="740" spans="1:8" x14ac:dyDescent="0.3">
      <c r="A740" t="s">
        <v>1575</v>
      </c>
      <c r="B740" t="s">
        <v>26951</v>
      </c>
      <c r="C740" t="s">
        <v>1981</v>
      </c>
      <c r="D740" t="s">
        <v>1980</v>
      </c>
      <c r="E740" s="2" t="s">
        <v>799</v>
      </c>
      <c r="F740" t="s">
        <v>1979</v>
      </c>
      <c r="G740" t="str">
        <f>HYPERLINK("https://www.econovill.com/news/articleView.html?idxno=632022")</f>
        <v>https://www.econovill.com/news/articleView.html?idxno=632022</v>
      </c>
      <c r="H740">
        <v>0.45700000000000002</v>
      </c>
    </row>
    <row r="741" spans="1:8" x14ac:dyDescent="0.3">
      <c r="A741" t="s">
        <v>1575</v>
      </c>
      <c r="B741" t="s">
        <v>26951</v>
      </c>
      <c r="C741" t="s">
        <v>1983</v>
      </c>
      <c r="D741" t="s">
        <v>1982</v>
      </c>
      <c r="E741" s="2" t="s">
        <v>799</v>
      </c>
      <c r="F741" t="s">
        <v>1465</v>
      </c>
      <c r="G741" t="str">
        <f>HYPERLINK("https://n.news.naver.com/mnews/article/014/0004034088?sid=101")</f>
        <v>https://n.news.naver.com/mnews/article/014/0004034088?sid=101</v>
      </c>
      <c r="H741">
        <v>8.1000000000000003E-2</v>
      </c>
    </row>
    <row r="742" spans="1:8" x14ac:dyDescent="0.3">
      <c r="A742" t="s">
        <v>1575</v>
      </c>
      <c r="B742" t="s">
        <v>26951</v>
      </c>
      <c r="C742" t="s">
        <v>1986</v>
      </c>
      <c r="D742" t="s">
        <v>1985</v>
      </c>
      <c r="E742" s="2" t="s">
        <v>799</v>
      </c>
      <c r="F742" t="s">
        <v>1984</v>
      </c>
      <c r="G742" t="str">
        <f>HYPERLINK("https://n.news.naver.com/mnews/article/028/0002753667?sid=102")</f>
        <v>https://n.news.naver.com/mnews/article/028/0002753667?sid=102</v>
      </c>
      <c r="H742">
        <v>0.17599999999999999</v>
      </c>
    </row>
    <row r="743" spans="1:8" x14ac:dyDescent="0.3">
      <c r="A743" t="s">
        <v>1575</v>
      </c>
      <c r="B743" t="s">
        <v>26951</v>
      </c>
      <c r="C743" t="s">
        <v>1989</v>
      </c>
      <c r="D743" t="s">
        <v>1988</v>
      </c>
      <c r="E743" s="2" t="s">
        <v>840</v>
      </c>
      <c r="F743" t="s">
        <v>1987</v>
      </c>
      <c r="G743" t="str">
        <f>HYPERLINK("https://www.ebn.co.kr/news/view/1606278/?sc=Naver")</f>
        <v>https://www.ebn.co.kr/news/view/1606278/?sc=Naver</v>
      </c>
      <c r="H743">
        <v>0.18099999999999999</v>
      </c>
    </row>
    <row r="744" spans="1:8" x14ac:dyDescent="0.3">
      <c r="A744" t="s">
        <v>1575</v>
      </c>
      <c r="B744" t="s">
        <v>26951</v>
      </c>
      <c r="C744" t="s">
        <v>1991</v>
      </c>
      <c r="D744" t="s">
        <v>1990</v>
      </c>
      <c r="E744" s="2" t="s">
        <v>840</v>
      </c>
      <c r="F744" t="s">
        <v>1978</v>
      </c>
      <c r="G744" t="str">
        <f>HYPERLINK("https://www.m-economynews.com/news/article.html?no=55508")</f>
        <v>https://www.m-economynews.com/news/article.html?no=55508</v>
      </c>
      <c r="H744">
        <v>0.51</v>
      </c>
    </row>
    <row r="745" spans="1:8" x14ac:dyDescent="0.3">
      <c r="A745" t="s">
        <v>1575</v>
      </c>
      <c r="B745" t="s">
        <v>26951</v>
      </c>
      <c r="C745" t="s">
        <v>1997</v>
      </c>
      <c r="D745" t="s">
        <v>1996</v>
      </c>
      <c r="E745" s="2" t="s">
        <v>840</v>
      </c>
      <c r="F745" t="s">
        <v>1908</v>
      </c>
      <c r="G745" t="str">
        <f>HYPERLINK("https://www.apnews.kr/news/articleView.html?idxno=3022945")</f>
        <v>https://www.apnews.kr/news/articleView.html?idxno=3022945</v>
      </c>
      <c r="H745">
        <v>0.374</v>
      </c>
    </row>
    <row r="746" spans="1:8" x14ac:dyDescent="0.3">
      <c r="A746" t="s">
        <v>1575</v>
      </c>
      <c r="B746" t="s">
        <v>26951</v>
      </c>
      <c r="C746" t="s">
        <v>1999</v>
      </c>
      <c r="D746" t="s">
        <v>1998</v>
      </c>
      <c r="E746" s="2" t="s">
        <v>840</v>
      </c>
      <c r="F746" t="s">
        <v>1465</v>
      </c>
      <c r="G746" t="str">
        <f>HYPERLINK("https://n.news.naver.com/mnews/article/014/0004119739?sid=101")</f>
        <v>https://n.news.naver.com/mnews/article/014/0004119739?sid=101</v>
      </c>
      <c r="H746">
        <v>0.16</v>
      </c>
    </row>
    <row r="747" spans="1:8" x14ac:dyDescent="0.3">
      <c r="A747" t="s">
        <v>1575</v>
      </c>
      <c r="B747" t="s">
        <v>26951</v>
      </c>
      <c r="C747" t="s">
        <v>2001</v>
      </c>
      <c r="D747" t="s">
        <v>2000</v>
      </c>
      <c r="E747" s="2" t="s">
        <v>840</v>
      </c>
      <c r="F747" t="s">
        <v>785</v>
      </c>
      <c r="G747" t="str">
        <f>HYPERLINK("https://dealsite.co.kr/articles/143824")</f>
        <v>https://dealsite.co.kr/articles/143824</v>
      </c>
      <c r="H747">
        <v>0.28000000000000003</v>
      </c>
    </row>
    <row r="748" spans="1:8" x14ac:dyDescent="0.3">
      <c r="A748" t="s">
        <v>1575</v>
      </c>
      <c r="B748" t="s">
        <v>26951</v>
      </c>
      <c r="C748" t="s">
        <v>2003</v>
      </c>
      <c r="D748" t="s">
        <v>2002</v>
      </c>
      <c r="E748" s="2" t="s">
        <v>840</v>
      </c>
      <c r="F748" t="s">
        <v>857</v>
      </c>
      <c r="G748" t="str">
        <f>HYPERLINK("http://www.vogue.co.kr/?p=138279")</f>
        <v>http://www.vogue.co.kr/?p=138279</v>
      </c>
      <c r="H748">
        <v>0.25</v>
      </c>
    </row>
    <row r="749" spans="1:8" x14ac:dyDescent="0.3">
      <c r="A749" t="s">
        <v>1575</v>
      </c>
      <c r="B749" t="s">
        <v>26951</v>
      </c>
      <c r="C749" t="s">
        <v>2006</v>
      </c>
      <c r="D749" t="s">
        <v>2005</v>
      </c>
      <c r="E749" s="2" t="s">
        <v>860</v>
      </c>
      <c r="F749" t="s">
        <v>2004</v>
      </c>
      <c r="G749" t="str">
        <f>HYPERLINK("https://n.news.naver.com/mnews/article/022/0004044243?sid=103")</f>
        <v>https://n.news.naver.com/mnews/article/022/0004044243?sid=103</v>
      </c>
      <c r="H749">
        <v>0.17</v>
      </c>
    </row>
    <row r="750" spans="1:8" x14ac:dyDescent="0.3">
      <c r="A750" t="s">
        <v>1575</v>
      </c>
      <c r="B750" t="s">
        <v>26951</v>
      </c>
      <c r="C750" t="s">
        <v>2008</v>
      </c>
      <c r="D750" t="s">
        <v>2007</v>
      </c>
      <c r="E750" s="2" t="s">
        <v>860</v>
      </c>
      <c r="F750" t="s">
        <v>1274</v>
      </c>
      <c r="G750" t="str">
        <f>HYPERLINK("https://www.apnews.kr/news/articleView.html?idxno=3036701")</f>
        <v>https://www.apnews.kr/news/articleView.html?idxno=3036701</v>
      </c>
      <c r="H750">
        <v>0.49199999999999999</v>
      </c>
    </row>
    <row r="751" spans="1:8" x14ac:dyDescent="0.3">
      <c r="A751" t="s">
        <v>1575</v>
      </c>
      <c r="B751" t="s">
        <v>26951</v>
      </c>
      <c r="C751" t="s">
        <v>2011</v>
      </c>
      <c r="D751" t="s">
        <v>2010</v>
      </c>
      <c r="E751" s="2" t="s">
        <v>860</v>
      </c>
      <c r="F751" t="s">
        <v>2009</v>
      </c>
      <c r="G751" t="str">
        <f>HYPERLINK("https://n.news.naver.com/mnews/article/277/0005608935?sid=102")</f>
        <v>https://n.news.naver.com/mnews/article/277/0005608935?sid=102</v>
      </c>
      <c r="H751">
        <v>0.252</v>
      </c>
    </row>
    <row r="752" spans="1:8" x14ac:dyDescent="0.3">
      <c r="A752" t="s">
        <v>1575</v>
      </c>
      <c r="B752" t="s">
        <v>26951</v>
      </c>
      <c r="C752" t="s">
        <v>2013</v>
      </c>
      <c r="D752" t="s">
        <v>2012</v>
      </c>
      <c r="E752" s="2" t="s">
        <v>860</v>
      </c>
      <c r="F752" t="s">
        <v>671</v>
      </c>
      <c r="G752" t="str">
        <f>HYPERLINK("https://www.christiantoday.co.kr/news/369045")</f>
        <v>https://www.christiantoday.co.kr/news/369045</v>
      </c>
      <c r="H752">
        <v>0.32400000000000001</v>
      </c>
    </row>
    <row r="753" spans="1:8" x14ac:dyDescent="0.3">
      <c r="A753" t="s">
        <v>1575</v>
      </c>
      <c r="B753" t="s">
        <v>26951</v>
      </c>
      <c r="C753" t="s">
        <v>2015</v>
      </c>
      <c r="D753" t="s">
        <v>2014</v>
      </c>
      <c r="E753" s="2" t="s">
        <v>860</v>
      </c>
      <c r="F753" t="s">
        <v>419</v>
      </c>
      <c r="G753" t="str">
        <f>HYPERLINK("https://www.ggilbo.com/news/articleView.html?idxno=1093242")</f>
        <v>https://www.ggilbo.com/news/articleView.html?idxno=1093242</v>
      </c>
      <c r="H753">
        <v>0.66</v>
      </c>
    </row>
    <row r="754" spans="1:8" x14ac:dyDescent="0.3">
      <c r="A754" t="s">
        <v>1575</v>
      </c>
      <c r="B754" t="s">
        <v>26951</v>
      </c>
      <c r="C754" t="s">
        <v>2017</v>
      </c>
      <c r="D754" t="s">
        <v>2016</v>
      </c>
      <c r="E754" s="2" t="s">
        <v>860</v>
      </c>
      <c r="F754" t="s">
        <v>1405</v>
      </c>
      <c r="G754" t="str">
        <f>HYPERLINK("https://www.tokenpost.kr/article-177915")</f>
        <v>https://www.tokenpost.kr/article-177915</v>
      </c>
      <c r="H754">
        <v>0.29299999999999998</v>
      </c>
    </row>
    <row r="755" spans="1:8" x14ac:dyDescent="0.3">
      <c r="A755" t="s">
        <v>1575</v>
      </c>
      <c r="B755" t="s">
        <v>26951</v>
      </c>
      <c r="C755" t="s">
        <v>2019</v>
      </c>
      <c r="D755" t="s">
        <v>2018</v>
      </c>
      <c r="E755" s="2" t="s">
        <v>860</v>
      </c>
      <c r="F755" t="s">
        <v>1882</v>
      </c>
      <c r="G755" t="str">
        <f>HYPERLINK("https://n.news.naver.com/mnews/article/014/0005358002?sid=100")</f>
        <v>https://n.news.naver.com/mnews/article/014/0005358002?sid=100</v>
      </c>
      <c r="H755">
        <v>0.193</v>
      </c>
    </row>
    <row r="756" spans="1:8" x14ac:dyDescent="0.3">
      <c r="A756" t="s">
        <v>1575</v>
      </c>
      <c r="B756" t="s">
        <v>26951</v>
      </c>
      <c r="C756" t="s">
        <v>2021</v>
      </c>
      <c r="D756" t="s">
        <v>2020</v>
      </c>
      <c r="E756" s="2" t="s">
        <v>860</v>
      </c>
      <c r="F756" t="s">
        <v>1911</v>
      </c>
      <c r="G756" t="str">
        <f>HYPERLINK("https://n.news.naver.com/mnews/article/011/0004503285?sid=102")</f>
        <v>https://n.news.naver.com/mnews/article/011/0004503285?sid=102</v>
      </c>
      <c r="H756">
        <v>0.20499999999999999</v>
      </c>
    </row>
    <row r="757" spans="1:8" x14ac:dyDescent="0.3">
      <c r="A757" t="s">
        <v>1575</v>
      </c>
      <c r="B757" t="s">
        <v>26951</v>
      </c>
      <c r="C757" t="s">
        <v>2023</v>
      </c>
      <c r="D757" t="s">
        <v>2022</v>
      </c>
      <c r="E757" s="2" t="s">
        <v>860</v>
      </c>
      <c r="F757" t="s">
        <v>805</v>
      </c>
      <c r="G757" t="str">
        <f>HYPERLINK("https://www.econovill.com/news/articleView.html?idxno=701531")</f>
        <v>https://www.econovill.com/news/articleView.html?idxno=701531</v>
      </c>
      <c r="H757">
        <v>0.20300000000000001</v>
      </c>
    </row>
    <row r="758" spans="1:8" x14ac:dyDescent="0.3">
      <c r="A758" t="s">
        <v>1575</v>
      </c>
      <c r="B758" t="s">
        <v>26951</v>
      </c>
      <c r="C758" t="s">
        <v>2025</v>
      </c>
      <c r="D758" t="s">
        <v>2024</v>
      </c>
      <c r="E758" s="2" t="s">
        <v>860</v>
      </c>
      <c r="F758" t="s">
        <v>243</v>
      </c>
      <c r="G758" t="str">
        <f>HYPERLINK("https://n.news.naver.com/mnews/article/214/0001414353?sid=100")</f>
        <v>https://n.news.naver.com/mnews/article/214/0001414353?sid=100</v>
      </c>
      <c r="H758">
        <v>0.23899999999999999</v>
      </c>
    </row>
    <row r="759" spans="1:8" x14ac:dyDescent="0.3">
      <c r="A759" t="s">
        <v>1575</v>
      </c>
      <c r="B759" t="s">
        <v>26951</v>
      </c>
      <c r="C759" t="s">
        <v>2027</v>
      </c>
      <c r="D759" t="s">
        <v>2026</v>
      </c>
      <c r="E759" s="2" t="s">
        <v>860</v>
      </c>
      <c r="F759" t="s">
        <v>857</v>
      </c>
      <c r="G759" t="str">
        <f>HYPERLINK("https://www.apnews.kr/news/articleView.html?idxno=3031392")</f>
        <v>https://www.apnews.kr/news/articleView.html?idxno=3031392</v>
      </c>
      <c r="H759">
        <v>0.17799999999999999</v>
      </c>
    </row>
    <row r="760" spans="1:8" x14ac:dyDescent="0.3">
      <c r="A760" t="s">
        <v>1575</v>
      </c>
      <c r="B760" t="s">
        <v>26951</v>
      </c>
      <c r="C760" t="s">
        <v>2029</v>
      </c>
      <c r="D760" t="s">
        <v>2028</v>
      </c>
      <c r="E760" s="2" t="s">
        <v>860</v>
      </c>
      <c r="F760" t="s">
        <v>2009</v>
      </c>
      <c r="G760" t="str">
        <f>HYPERLINK("https://n.news.naver.com/mnews/article/014/0005357733?sid=104")</f>
        <v>https://n.news.naver.com/mnews/article/014/0005357733?sid=104</v>
      </c>
      <c r="H760">
        <v>0.21099999999999999</v>
      </c>
    </row>
    <row r="761" spans="1:8" x14ac:dyDescent="0.3">
      <c r="A761" t="s">
        <v>1575</v>
      </c>
      <c r="B761" t="s">
        <v>26951</v>
      </c>
      <c r="C761" t="s">
        <v>2032</v>
      </c>
      <c r="D761" t="s">
        <v>2031</v>
      </c>
      <c r="E761" s="2" t="s">
        <v>903</v>
      </c>
      <c r="F761" t="s">
        <v>1098</v>
      </c>
      <c r="G761" t="str">
        <f>HYPERLINK("http://www.sisafocus.co.kr/news/articleView.html?idxno=303043")</f>
        <v>http://www.sisafocus.co.kr/news/articleView.html?idxno=303043</v>
      </c>
      <c r="H761">
        <v>0.38400000000000001</v>
      </c>
    </row>
    <row r="762" spans="1:8" x14ac:dyDescent="0.3">
      <c r="A762" t="s">
        <v>2034</v>
      </c>
      <c r="B762" t="s">
        <v>26951</v>
      </c>
      <c r="C762" t="s">
        <v>2038</v>
      </c>
      <c r="D762" t="s">
        <v>2037</v>
      </c>
      <c r="E762" s="2" t="s">
        <v>481</v>
      </c>
      <c r="F762" t="s">
        <v>2036</v>
      </c>
      <c r="G762" t="str">
        <f>HYPERLINK("https://n.news.naver.com/mnews/article/022/0004047342?sid=102")</f>
        <v>https://n.news.naver.com/mnews/article/022/0004047342?sid=102</v>
      </c>
      <c r="H762">
        <v>0.14399999999999999</v>
      </c>
    </row>
    <row r="763" spans="1:8" x14ac:dyDescent="0.3">
      <c r="A763" t="s">
        <v>2034</v>
      </c>
      <c r="B763" t="s">
        <v>26951</v>
      </c>
      <c r="C763" t="s">
        <v>2040</v>
      </c>
      <c r="D763" t="s">
        <v>2039</v>
      </c>
      <c r="E763" s="2" t="s">
        <v>481</v>
      </c>
      <c r="F763" t="s">
        <v>776</v>
      </c>
      <c r="G763" t="str">
        <f>HYPERLINK("https://n.news.naver.com/mnews/article/006/0000130573?sid=102")</f>
        <v>https://n.news.naver.com/mnews/article/006/0000130573?sid=102</v>
      </c>
      <c r="H763">
        <v>0.28000000000000003</v>
      </c>
    </row>
    <row r="764" spans="1:8" x14ac:dyDescent="0.3">
      <c r="A764" t="s">
        <v>2034</v>
      </c>
      <c r="B764" t="s">
        <v>26951</v>
      </c>
      <c r="C764" t="s">
        <v>2043</v>
      </c>
      <c r="D764" t="s">
        <v>2042</v>
      </c>
      <c r="E764" s="2" t="s">
        <v>481</v>
      </c>
      <c r="F764" t="s">
        <v>2041</v>
      </c>
      <c r="G764" t="str">
        <f>HYPERLINK("https://n.news.naver.com/mnews/article/032/0002824814?sid=110")</f>
        <v>https://n.news.naver.com/mnews/article/032/0002824814?sid=110</v>
      </c>
      <c r="H764">
        <v>0.14299999999999999</v>
      </c>
    </row>
    <row r="765" spans="1:8" x14ac:dyDescent="0.3">
      <c r="A765" t="s">
        <v>2034</v>
      </c>
      <c r="B765" t="s">
        <v>26951</v>
      </c>
      <c r="C765" t="s">
        <v>2045</v>
      </c>
      <c r="D765" t="s">
        <v>2044</v>
      </c>
      <c r="E765" s="2" t="s">
        <v>481</v>
      </c>
      <c r="F765" t="s">
        <v>1928</v>
      </c>
      <c r="G765" t="str">
        <f>HYPERLINK("http://www.fntoday.co.kr/news/articleView.html?idxno=355412")</f>
        <v>http://www.fntoday.co.kr/news/articleView.html?idxno=355412</v>
      </c>
      <c r="H765">
        <v>0.57199999999999995</v>
      </c>
    </row>
    <row r="766" spans="1:8" x14ac:dyDescent="0.3">
      <c r="A766" t="s">
        <v>2034</v>
      </c>
      <c r="B766" t="s">
        <v>26951</v>
      </c>
      <c r="C766" t="s">
        <v>2048</v>
      </c>
      <c r="D766" t="s">
        <v>2047</v>
      </c>
      <c r="E766" s="2" t="s">
        <v>481</v>
      </c>
      <c r="F766" t="s">
        <v>2046</v>
      </c>
      <c r="G766" t="str">
        <f>HYPERLINK("http://www.k-health.com/news/articleView.html?idxno=70268")</f>
        <v>http://www.k-health.com/news/articleView.html?idxno=70268</v>
      </c>
      <c r="H766">
        <v>0.44800000000000001</v>
      </c>
    </row>
    <row r="767" spans="1:8" x14ac:dyDescent="0.3">
      <c r="A767" t="s">
        <v>2034</v>
      </c>
      <c r="B767" t="s">
        <v>26951</v>
      </c>
      <c r="C767" t="s">
        <v>2051</v>
      </c>
      <c r="D767" t="s">
        <v>2050</v>
      </c>
      <c r="E767" s="2" t="s">
        <v>481</v>
      </c>
      <c r="F767" t="s">
        <v>2049</v>
      </c>
      <c r="G767" t="str">
        <f>HYPERLINK("https://n.news.naver.com/mnews/article/032/0002645482?sid=101")</f>
        <v>https://n.news.naver.com/mnews/article/032/0002645482?sid=101</v>
      </c>
      <c r="H767">
        <v>0.23100000000000001</v>
      </c>
    </row>
    <row r="768" spans="1:8" x14ac:dyDescent="0.3">
      <c r="A768" t="s">
        <v>2034</v>
      </c>
      <c r="B768" t="s">
        <v>26951</v>
      </c>
      <c r="C768" t="s">
        <v>2053</v>
      </c>
      <c r="D768" t="s">
        <v>2052</v>
      </c>
      <c r="E768" s="2" t="s">
        <v>481</v>
      </c>
      <c r="F768" t="s">
        <v>1277</v>
      </c>
      <c r="G768" t="str">
        <f>HYPERLINK("https://n.news.naver.com/mnews/article/036/0000035350?sid=102")</f>
        <v>https://n.news.naver.com/mnews/article/036/0000035350?sid=102</v>
      </c>
      <c r="H768">
        <v>0.38800000000000001</v>
      </c>
    </row>
    <row r="769" spans="1:8" x14ac:dyDescent="0.3">
      <c r="A769" t="s">
        <v>2034</v>
      </c>
      <c r="B769" t="s">
        <v>26951</v>
      </c>
      <c r="C769" t="s">
        <v>2056</v>
      </c>
      <c r="D769" t="s">
        <v>2055</v>
      </c>
      <c r="E769" s="2" t="s">
        <v>481</v>
      </c>
      <c r="F769" t="s">
        <v>2054</v>
      </c>
      <c r="G769" t="str">
        <f>HYPERLINK("https://n.news.naver.com/mnews/article/056/0011979961?sid=100")</f>
        <v>https://n.news.naver.com/mnews/article/056/0011979961?sid=100</v>
      </c>
      <c r="H769">
        <v>0.16700000000000001</v>
      </c>
    </row>
    <row r="770" spans="1:8" x14ac:dyDescent="0.3">
      <c r="A770" t="s">
        <v>2034</v>
      </c>
      <c r="B770" t="s">
        <v>26951</v>
      </c>
      <c r="C770" t="s">
        <v>2059</v>
      </c>
      <c r="D770" t="s">
        <v>2058</v>
      </c>
      <c r="E770" s="2" t="s">
        <v>502</v>
      </c>
      <c r="F770" t="s">
        <v>2057</v>
      </c>
      <c r="G770" t="str">
        <f>HYPERLINK("https://n.news.naver.com/mnews/article/056/0011779340?sid=103")</f>
        <v>https://n.news.naver.com/mnews/article/056/0011779340?sid=103</v>
      </c>
      <c r="H770">
        <v>0.105</v>
      </c>
    </row>
    <row r="771" spans="1:8" x14ac:dyDescent="0.3">
      <c r="A771" t="s">
        <v>2034</v>
      </c>
      <c r="B771" t="s">
        <v>26951</v>
      </c>
      <c r="C771" t="s">
        <v>2063</v>
      </c>
      <c r="D771" t="s">
        <v>2062</v>
      </c>
      <c r="E771" s="2" t="s">
        <v>502</v>
      </c>
      <c r="F771" t="s">
        <v>2061</v>
      </c>
      <c r="G771" t="str">
        <f>HYPERLINK("http://www.sisafocus.co.kr/news/articleView.html?idxno=332629")</f>
        <v>http://www.sisafocus.co.kr/news/articleView.html?idxno=332629</v>
      </c>
      <c r="H771">
        <v>0.26800000000000002</v>
      </c>
    </row>
    <row r="772" spans="1:8" x14ac:dyDescent="0.3">
      <c r="A772" t="s">
        <v>2034</v>
      </c>
      <c r="B772" t="s">
        <v>26951</v>
      </c>
      <c r="C772" t="s">
        <v>2067</v>
      </c>
      <c r="D772" t="s">
        <v>2066</v>
      </c>
      <c r="E772" s="2" t="s">
        <v>502</v>
      </c>
      <c r="F772" t="s">
        <v>2065</v>
      </c>
      <c r="G772" t="str">
        <f>HYPERLINK("http://apnews.kr/View.aspx?No=1068626")</f>
        <v>http://apnews.kr/View.aspx?No=1068626</v>
      </c>
      <c r="H772">
        <v>0.14299999999999999</v>
      </c>
    </row>
    <row r="773" spans="1:8" x14ac:dyDescent="0.3">
      <c r="A773" t="s">
        <v>2034</v>
      </c>
      <c r="B773" t="s">
        <v>26951</v>
      </c>
      <c r="C773" t="s">
        <v>2070</v>
      </c>
      <c r="D773" t="s">
        <v>2069</v>
      </c>
      <c r="E773" s="2" t="s">
        <v>502</v>
      </c>
      <c r="F773" t="s">
        <v>2068</v>
      </c>
      <c r="G773" t="str">
        <f>HYPERLINK("http://www.nongaek.com/news/articleView.html?idxno=91747")</f>
        <v>http://www.nongaek.com/news/articleView.html?idxno=91747</v>
      </c>
      <c r="H773">
        <v>0.13300000000000001</v>
      </c>
    </row>
    <row r="774" spans="1:8" x14ac:dyDescent="0.3">
      <c r="A774" t="s">
        <v>2034</v>
      </c>
      <c r="B774" t="s">
        <v>26951</v>
      </c>
      <c r="C774" t="s">
        <v>2072</v>
      </c>
      <c r="D774" t="s">
        <v>2071</v>
      </c>
      <c r="E774" s="2" t="s">
        <v>502</v>
      </c>
      <c r="F774" t="s">
        <v>2046</v>
      </c>
      <c r="G774" t="str">
        <f>HYPERLINK("https://www.inews365.com/news/article.html?no=660722")</f>
        <v>https://www.inews365.com/news/article.html?no=660722</v>
      </c>
      <c r="H774">
        <v>0.45400000000000001</v>
      </c>
    </row>
    <row r="775" spans="1:8" x14ac:dyDescent="0.3">
      <c r="A775" t="s">
        <v>2034</v>
      </c>
      <c r="B775" t="s">
        <v>26951</v>
      </c>
      <c r="C775" t="s">
        <v>2076</v>
      </c>
      <c r="D775" t="s">
        <v>2075</v>
      </c>
      <c r="E775" s="2" t="s">
        <v>502</v>
      </c>
      <c r="F775" t="s">
        <v>2074</v>
      </c>
      <c r="G775" t="str">
        <f>HYPERLINK("http://www.nongaek.com/news/articleView.html?idxno=91811")</f>
        <v>http://www.nongaek.com/news/articleView.html?idxno=91811</v>
      </c>
      <c r="H775">
        <v>0.33600000000000002</v>
      </c>
    </row>
    <row r="776" spans="1:8" x14ac:dyDescent="0.3">
      <c r="A776" t="s">
        <v>2034</v>
      </c>
      <c r="B776" t="s">
        <v>26951</v>
      </c>
      <c r="C776" t="s">
        <v>2079</v>
      </c>
      <c r="D776" t="s">
        <v>2078</v>
      </c>
      <c r="E776" s="2" t="s">
        <v>502</v>
      </c>
      <c r="F776" t="s">
        <v>2077</v>
      </c>
      <c r="G776" t="str">
        <f>HYPERLINK("https://n.news.naver.com/mnews/article/032/0003378033?sid=101")</f>
        <v>https://n.news.naver.com/mnews/article/032/0003378033?sid=101</v>
      </c>
      <c r="H776">
        <v>0.39</v>
      </c>
    </row>
    <row r="777" spans="1:8" x14ac:dyDescent="0.3">
      <c r="A777" t="s">
        <v>2034</v>
      </c>
      <c r="B777" t="s">
        <v>26951</v>
      </c>
      <c r="C777" t="s">
        <v>2081</v>
      </c>
      <c r="D777" t="s">
        <v>2080</v>
      </c>
      <c r="E777" s="2" t="s">
        <v>502</v>
      </c>
      <c r="F777" t="s">
        <v>981</v>
      </c>
      <c r="G777" t="str">
        <f>HYPERLINK("https://n.news.naver.com/mnews/article/011/0004503269?sid=104")</f>
        <v>https://n.news.naver.com/mnews/article/011/0004503269?sid=104</v>
      </c>
      <c r="H777">
        <v>0.33500000000000002</v>
      </c>
    </row>
    <row r="778" spans="1:8" x14ac:dyDescent="0.3">
      <c r="A778" t="s">
        <v>2034</v>
      </c>
      <c r="B778" t="s">
        <v>26951</v>
      </c>
      <c r="C778" t="s">
        <v>1806</v>
      </c>
      <c r="D778" t="s">
        <v>1805</v>
      </c>
      <c r="E778" s="2" t="s">
        <v>517</v>
      </c>
      <c r="F778" t="s">
        <v>197</v>
      </c>
      <c r="G778" t="str">
        <f>HYPERLINK("https://n.news.naver.com/mnews/article/006/0000120140?sid=102")</f>
        <v>https://n.news.naver.com/mnews/article/006/0000120140?sid=102</v>
      </c>
      <c r="H778">
        <v>0.314</v>
      </c>
    </row>
    <row r="779" spans="1:8" x14ac:dyDescent="0.3">
      <c r="A779" t="s">
        <v>2034</v>
      </c>
      <c r="B779" t="s">
        <v>26951</v>
      </c>
      <c r="C779" t="s">
        <v>2084</v>
      </c>
      <c r="D779" t="s">
        <v>2083</v>
      </c>
      <c r="E779" s="2" t="s">
        <v>517</v>
      </c>
      <c r="F779" t="s">
        <v>2082</v>
      </c>
      <c r="G779" t="str">
        <f>HYPERLINK("https://n.news.naver.com/mnews/article/032/0003379533?sid=100")</f>
        <v>https://n.news.naver.com/mnews/article/032/0003379533?sid=100</v>
      </c>
      <c r="H779">
        <v>0.28499999999999998</v>
      </c>
    </row>
    <row r="780" spans="1:8" x14ac:dyDescent="0.3">
      <c r="A780" t="s">
        <v>2034</v>
      </c>
      <c r="B780" t="s">
        <v>26951</v>
      </c>
      <c r="C780" t="s">
        <v>2086</v>
      </c>
      <c r="D780" t="s">
        <v>2085</v>
      </c>
      <c r="E780" s="2" t="s">
        <v>517</v>
      </c>
      <c r="F780" t="s">
        <v>197</v>
      </c>
      <c r="G780" t="str">
        <f>HYPERLINK("https://n.news.naver.com/mnews/article/032/0003375972?sid=100")</f>
        <v>https://n.news.naver.com/mnews/article/032/0003375972?sid=100</v>
      </c>
      <c r="H780">
        <v>0.32100000000000001</v>
      </c>
    </row>
    <row r="781" spans="1:8" x14ac:dyDescent="0.3">
      <c r="A781" t="s">
        <v>2034</v>
      </c>
      <c r="B781" t="s">
        <v>26951</v>
      </c>
      <c r="C781" t="s">
        <v>2089</v>
      </c>
      <c r="D781" t="s">
        <v>2088</v>
      </c>
      <c r="E781" s="2" t="s">
        <v>517</v>
      </c>
      <c r="F781" t="s">
        <v>2087</v>
      </c>
      <c r="G781" t="str">
        <f>HYPERLINK("http://www.efnews.co.kr/news/articleView.html?idxno=121119")</f>
        <v>http://www.efnews.co.kr/news/articleView.html?idxno=121119</v>
      </c>
      <c r="H781">
        <v>0.24399999999999999</v>
      </c>
    </row>
    <row r="782" spans="1:8" x14ac:dyDescent="0.3">
      <c r="A782" t="s">
        <v>2034</v>
      </c>
      <c r="B782" t="s">
        <v>26951</v>
      </c>
      <c r="C782" t="s">
        <v>2091</v>
      </c>
      <c r="D782" t="s">
        <v>2090</v>
      </c>
      <c r="E782" s="2" t="s">
        <v>517</v>
      </c>
      <c r="F782" t="s">
        <v>2046</v>
      </c>
      <c r="G782" t="str">
        <f>HYPERLINK("http://www.newsmp.com/news/articleView.html?idxno=235732")</f>
        <v>http://www.newsmp.com/news/articleView.html?idxno=235732</v>
      </c>
      <c r="H782">
        <v>0.56399999999999995</v>
      </c>
    </row>
    <row r="783" spans="1:8" x14ac:dyDescent="0.3">
      <c r="A783" t="s">
        <v>2034</v>
      </c>
      <c r="B783" t="s">
        <v>26951</v>
      </c>
      <c r="C783" t="s">
        <v>2093</v>
      </c>
      <c r="D783" t="s">
        <v>2092</v>
      </c>
      <c r="E783" s="2" t="s">
        <v>517</v>
      </c>
      <c r="F783" t="s">
        <v>2046</v>
      </c>
      <c r="G783" t="str">
        <f>HYPERLINK("http://www.newsmp.com/news/articleView.html?idxno=245300")</f>
        <v>http://www.newsmp.com/news/articleView.html?idxno=245300</v>
      </c>
      <c r="H783">
        <v>0.60599999999999998</v>
      </c>
    </row>
    <row r="784" spans="1:8" x14ac:dyDescent="0.3">
      <c r="A784" t="s">
        <v>2034</v>
      </c>
      <c r="B784" t="s">
        <v>26951</v>
      </c>
      <c r="C784" t="s">
        <v>2095</v>
      </c>
      <c r="D784" t="s">
        <v>2094</v>
      </c>
      <c r="E784" s="2" t="s">
        <v>517</v>
      </c>
      <c r="F784" t="s">
        <v>235</v>
      </c>
      <c r="G784" t="str">
        <f>HYPERLINK("https://www.newsnjoy.or.kr/news/articleView.html?idxno=306344")</f>
        <v>https://www.newsnjoy.or.kr/news/articleView.html?idxno=306344</v>
      </c>
      <c r="H784">
        <v>0.56000000000000005</v>
      </c>
    </row>
    <row r="785" spans="1:8" x14ac:dyDescent="0.3">
      <c r="A785" t="s">
        <v>2034</v>
      </c>
      <c r="B785" t="s">
        <v>26951</v>
      </c>
      <c r="C785" t="s">
        <v>2098</v>
      </c>
      <c r="D785" t="s">
        <v>2097</v>
      </c>
      <c r="E785" s="2" t="s">
        <v>517</v>
      </c>
      <c r="F785" t="s">
        <v>2096</v>
      </c>
      <c r="G785" t="str">
        <f>HYPERLINK("http://www.mediawatch.kr/news/article.html?no=232443")</f>
        <v>http://www.mediawatch.kr/news/article.html?no=232443</v>
      </c>
      <c r="H785">
        <v>0.28000000000000003</v>
      </c>
    </row>
    <row r="786" spans="1:8" x14ac:dyDescent="0.3">
      <c r="A786" t="s">
        <v>2034</v>
      </c>
      <c r="B786" t="s">
        <v>26951</v>
      </c>
      <c r="C786" t="s">
        <v>2101</v>
      </c>
      <c r="D786" t="s">
        <v>2100</v>
      </c>
      <c r="E786" s="2" t="s">
        <v>517</v>
      </c>
      <c r="F786" t="s">
        <v>2099</v>
      </c>
      <c r="G786" t="str">
        <f>HYPERLINK("https://n.news.naver.com/mnews/article/032/0003379707?sid=103")</f>
        <v>https://n.news.naver.com/mnews/article/032/0003379707?sid=103</v>
      </c>
      <c r="H786">
        <v>0.11899999999999999</v>
      </c>
    </row>
    <row r="787" spans="1:8" x14ac:dyDescent="0.3">
      <c r="A787" t="s">
        <v>2034</v>
      </c>
      <c r="B787" t="s">
        <v>26951</v>
      </c>
      <c r="C787" t="s">
        <v>2103</v>
      </c>
      <c r="D787" t="s">
        <v>2102</v>
      </c>
      <c r="E787" s="2" t="s">
        <v>517</v>
      </c>
      <c r="F787" t="s">
        <v>205</v>
      </c>
      <c r="G787" t="str">
        <f>HYPERLINK("https://n.news.naver.com/mnews/article/032/0003376724?sid=102")</f>
        <v>https://n.news.naver.com/mnews/article/032/0003376724?sid=102</v>
      </c>
      <c r="H787">
        <v>0.22</v>
      </c>
    </row>
    <row r="788" spans="1:8" x14ac:dyDescent="0.3">
      <c r="A788" t="s">
        <v>2034</v>
      </c>
      <c r="B788" t="s">
        <v>26951</v>
      </c>
      <c r="C788" t="s">
        <v>2105</v>
      </c>
      <c r="D788" t="s">
        <v>2104</v>
      </c>
      <c r="E788" s="2" t="s">
        <v>517</v>
      </c>
      <c r="F788" t="s">
        <v>1579</v>
      </c>
      <c r="G788" t="str">
        <f>HYPERLINK("https://n.news.naver.com/mnews/article/032/0003376046?sid=100")</f>
        <v>https://n.news.naver.com/mnews/article/032/0003376046?sid=100</v>
      </c>
      <c r="H788">
        <v>0.216</v>
      </c>
    </row>
    <row r="789" spans="1:8" x14ac:dyDescent="0.3">
      <c r="A789" t="s">
        <v>2034</v>
      </c>
      <c r="B789" t="s">
        <v>26951</v>
      </c>
      <c r="C789" t="s">
        <v>2108</v>
      </c>
      <c r="D789" t="s">
        <v>2107</v>
      </c>
      <c r="E789" s="2" t="s">
        <v>517</v>
      </c>
      <c r="F789" t="s">
        <v>2106</v>
      </c>
      <c r="G789" t="str">
        <f>HYPERLINK("http://www.samdailbo.com/news/articleView.html?idxno=242000")</f>
        <v>http://www.samdailbo.com/news/articleView.html?idxno=242000</v>
      </c>
      <c r="H789">
        <v>0.60899999999999999</v>
      </c>
    </row>
    <row r="790" spans="1:8" x14ac:dyDescent="0.3">
      <c r="A790" t="s">
        <v>2034</v>
      </c>
      <c r="B790" t="s">
        <v>26951</v>
      </c>
      <c r="C790" t="s">
        <v>2111</v>
      </c>
      <c r="D790" t="s">
        <v>2110</v>
      </c>
      <c r="E790" s="2" t="s">
        <v>517</v>
      </c>
      <c r="F790" t="s">
        <v>2109</v>
      </c>
      <c r="G790" t="str">
        <f>HYPERLINK("http://www.kihoilbo.co.kr/news/articleView.html?idxno=1148290")</f>
        <v>http://www.kihoilbo.co.kr/news/articleView.html?idxno=1148290</v>
      </c>
      <c r="H790">
        <v>0.29399999999999998</v>
      </c>
    </row>
    <row r="791" spans="1:8" x14ac:dyDescent="0.3">
      <c r="A791" t="s">
        <v>2034</v>
      </c>
      <c r="B791" t="s">
        <v>26951</v>
      </c>
      <c r="C791" t="s">
        <v>2115</v>
      </c>
      <c r="D791" t="s">
        <v>2114</v>
      </c>
      <c r="E791" s="2" t="s">
        <v>517</v>
      </c>
      <c r="F791" t="s">
        <v>2113</v>
      </c>
      <c r="G791" t="str">
        <f>HYPERLINK("http://www.doctorstimes.com/news/articleView.html?idxno=232785")</f>
        <v>http://www.doctorstimes.com/news/articleView.html?idxno=232785</v>
      </c>
      <c r="H791">
        <v>0.62</v>
      </c>
    </row>
    <row r="792" spans="1:8" x14ac:dyDescent="0.3">
      <c r="A792" t="s">
        <v>2034</v>
      </c>
      <c r="B792" t="s">
        <v>26951</v>
      </c>
      <c r="C792" t="s">
        <v>2118</v>
      </c>
      <c r="D792" t="s">
        <v>2117</v>
      </c>
      <c r="E792" s="2" t="s">
        <v>517</v>
      </c>
      <c r="F792" t="s">
        <v>2116</v>
      </c>
      <c r="G792" t="str">
        <f>HYPERLINK("http://www.ilemonde.com/news/articleView.html?idxno=14455")</f>
        <v>http://www.ilemonde.com/news/articleView.html?idxno=14455</v>
      </c>
      <c r="H792">
        <v>0.51900000000000002</v>
      </c>
    </row>
    <row r="793" spans="1:8" x14ac:dyDescent="0.3">
      <c r="A793" t="s">
        <v>2034</v>
      </c>
      <c r="B793" t="s">
        <v>26951</v>
      </c>
      <c r="C793" t="s">
        <v>2121</v>
      </c>
      <c r="D793" t="s">
        <v>2120</v>
      </c>
      <c r="E793" s="2" t="s">
        <v>517</v>
      </c>
      <c r="F793" t="s">
        <v>2119</v>
      </c>
      <c r="G793" t="str">
        <f>HYPERLINK("https://byline.network/?p=9004111222557881")</f>
        <v>https://byline.network/?p=9004111222557881</v>
      </c>
      <c r="H793">
        <v>0.36</v>
      </c>
    </row>
    <row r="794" spans="1:8" x14ac:dyDescent="0.3">
      <c r="A794" t="s">
        <v>2034</v>
      </c>
      <c r="B794" t="s">
        <v>26951</v>
      </c>
      <c r="C794" t="s">
        <v>2123</v>
      </c>
      <c r="D794" t="s">
        <v>2122</v>
      </c>
      <c r="E794" s="2" t="s">
        <v>517</v>
      </c>
      <c r="F794" t="s">
        <v>1960</v>
      </c>
      <c r="G794" t="str">
        <f>HYPERLINK("http://apnews.kr/View.aspx?No=1546386")</f>
        <v>http://apnews.kr/View.aspx?No=1546386</v>
      </c>
      <c r="H794">
        <v>0.114</v>
      </c>
    </row>
    <row r="795" spans="1:8" x14ac:dyDescent="0.3">
      <c r="A795" t="s">
        <v>2034</v>
      </c>
      <c r="B795" t="s">
        <v>26951</v>
      </c>
      <c r="C795" t="s">
        <v>1833</v>
      </c>
      <c r="D795" t="s">
        <v>1832</v>
      </c>
      <c r="E795" s="2" t="s">
        <v>517</v>
      </c>
      <c r="F795" t="s">
        <v>898</v>
      </c>
      <c r="G795" t="str">
        <f>HYPERLINK("https://n.news.naver.com/mnews/article/079/0002505194?sid=100")</f>
        <v>https://n.news.naver.com/mnews/article/079/0002505194?sid=100</v>
      </c>
      <c r="H795">
        <v>0.40899999999999997</v>
      </c>
    </row>
    <row r="796" spans="1:8" x14ac:dyDescent="0.3">
      <c r="A796" t="s">
        <v>2034</v>
      </c>
      <c r="B796" t="s">
        <v>26951</v>
      </c>
      <c r="C796" t="s">
        <v>2126</v>
      </c>
      <c r="D796" t="s">
        <v>2125</v>
      </c>
      <c r="E796" s="2" t="s">
        <v>517</v>
      </c>
      <c r="F796" t="s">
        <v>2124</v>
      </c>
      <c r="G796" t="str">
        <f>HYPERLINK("https://www.econovill.com/news/articleView.html?idxno=698825")</f>
        <v>https://www.econovill.com/news/articleView.html?idxno=698825</v>
      </c>
      <c r="H796">
        <v>0.52700000000000002</v>
      </c>
    </row>
    <row r="797" spans="1:8" x14ac:dyDescent="0.3">
      <c r="A797" t="s">
        <v>2034</v>
      </c>
      <c r="B797" t="s">
        <v>26951</v>
      </c>
      <c r="C797" t="s">
        <v>2128</v>
      </c>
      <c r="D797" t="s">
        <v>2127</v>
      </c>
      <c r="E797" s="2" t="s">
        <v>517</v>
      </c>
      <c r="F797" t="s">
        <v>2124</v>
      </c>
      <c r="G797" t="str">
        <f>HYPERLINK("http://www.industrynews.co.kr/news/articleView.html?idxno=64999")</f>
        <v>http://www.industrynews.co.kr/news/articleView.html?idxno=64999</v>
      </c>
      <c r="H797">
        <v>0.63900000000000001</v>
      </c>
    </row>
    <row r="798" spans="1:8" x14ac:dyDescent="0.3">
      <c r="A798" t="s">
        <v>2034</v>
      </c>
      <c r="B798" t="s">
        <v>26951</v>
      </c>
      <c r="C798" t="s">
        <v>2131</v>
      </c>
      <c r="D798" t="s">
        <v>2130</v>
      </c>
      <c r="E798" s="2" t="s">
        <v>517</v>
      </c>
      <c r="F798" t="s">
        <v>2129</v>
      </c>
      <c r="G798" t="str">
        <f>HYPERLINK("http://www.straightnews.co.kr/news/articleView.html?idxno=88929")</f>
        <v>http://www.straightnews.co.kr/news/articleView.html?idxno=88929</v>
      </c>
      <c r="H798">
        <v>0.11899999999999999</v>
      </c>
    </row>
    <row r="799" spans="1:8" x14ac:dyDescent="0.3">
      <c r="A799" t="s">
        <v>2034</v>
      </c>
      <c r="B799" t="s">
        <v>26951</v>
      </c>
      <c r="C799" t="s">
        <v>2134</v>
      </c>
      <c r="D799" t="s">
        <v>2133</v>
      </c>
      <c r="E799" s="2" t="s">
        <v>517</v>
      </c>
      <c r="F799" t="s">
        <v>2132</v>
      </c>
      <c r="G799" t="str">
        <f>HYPERLINK("https://n.news.naver.com/mnews/article/006/0000060683?sid=102")</f>
        <v>https://n.news.naver.com/mnews/article/006/0000060683?sid=102</v>
      </c>
      <c r="H799">
        <v>0.31</v>
      </c>
    </row>
    <row r="800" spans="1:8" x14ac:dyDescent="0.3">
      <c r="A800" t="s">
        <v>2034</v>
      </c>
      <c r="B800" t="s">
        <v>26951</v>
      </c>
      <c r="C800" t="s">
        <v>2137</v>
      </c>
      <c r="D800" t="s">
        <v>2136</v>
      </c>
      <c r="E800" s="2" t="s">
        <v>517</v>
      </c>
      <c r="F800" t="s">
        <v>2135</v>
      </c>
      <c r="G800" t="str">
        <f>HYPERLINK("https://n.news.naver.com/mnews/article/006/0000127472?sid=102")</f>
        <v>https://n.news.naver.com/mnews/article/006/0000127472?sid=102</v>
      </c>
      <c r="H800">
        <v>9.7000000000000003E-2</v>
      </c>
    </row>
    <row r="801" spans="1:8" x14ac:dyDescent="0.3">
      <c r="A801" t="s">
        <v>2034</v>
      </c>
      <c r="B801" t="s">
        <v>26951</v>
      </c>
      <c r="C801" t="s">
        <v>2140</v>
      </c>
      <c r="D801" t="s">
        <v>2139</v>
      </c>
      <c r="E801" s="2" t="s">
        <v>538</v>
      </c>
      <c r="F801" t="s">
        <v>2138</v>
      </c>
      <c r="G801" t="str">
        <f>HYPERLINK("https://www.ltn.kr/news/articleView.html?idxno=48941")</f>
        <v>https://www.ltn.kr/news/articleView.html?idxno=48941</v>
      </c>
      <c r="H801">
        <v>0.69199999999999995</v>
      </c>
    </row>
    <row r="802" spans="1:8" x14ac:dyDescent="0.3">
      <c r="A802" t="s">
        <v>2034</v>
      </c>
      <c r="B802" t="s">
        <v>26951</v>
      </c>
      <c r="C802" t="s">
        <v>2143</v>
      </c>
      <c r="D802" t="s">
        <v>2142</v>
      </c>
      <c r="E802" s="2" t="s">
        <v>538</v>
      </c>
      <c r="F802" t="s">
        <v>2141</v>
      </c>
      <c r="G802" t="str">
        <f>HYPERLINK("https://n.news.naver.com/mnews/article/032/0002623112?sid=101")</f>
        <v>https://n.news.naver.com/mnews/article/032/0002623112?sid=101</v>
      </c>
      <c r="H802">
        <v>0.30599999999999999</v>
      </c>
    </row>
    <row r="803" spans="1:8" x14ac:dyDescent="0.3">
      <c r="A803" t="s">
        <v>2034</v>
      </c>
      <c r="B803" t="s">
        <v>26951</v>
      </c>
      <c r="C803" t="s">
        <v>2146</v>
      </c>
      <c r="D803" t="s">
        <v>2145</v>
      </c>
      <c r="E803" s="2" t="s">
        <v>538</v>
      </c>
      <c r="F803" t="s">
        <v>2144</v>
      </c>
      <c r="G803" t="str">
        <f>HYPERLINK("https://www.newspim.com/news/view/20250624000288")</f>
        <v>https://www.newspim.com/news/view/20250624000288</v>
      </c>
      <c r="H803">
        <v>0.45900000000000002</v>
      </c>
    </row>
    <row r="804" spans="1:8" x14ac:dyDescent="0.3">
      <c r="A804" t="s">
        <v>2034</v>
      </c>
      <c r="B804" t="s">
        <v>26951</v>
      </c>
      <c r="C804" t="s">
        <v>2149</v>
      </c>
      <c r="D804" t="s">
        <v>2148</v>
      </c>
      <c r="E804" s="2" t="s">
        <v>538</v>
      </c>
      <c r="F804" t="s">
        <v>2147</v>
      </c>
      <c r="G804" t="str">
        <f>HYPERLINK("https://n.news.naver.com/mnews/article/022/0004042682?sid=103")</f>
        <v>https://n.news.naver.com/mnews/article/022/0004042682?sid=103</v>
      </c>
      <c r="H804">
        <v>0.247</v>
      </c>
    </row>
    <row r="805" spans="1:8" x14ac:dyDescent="0.3">
      <c r="A805" t="s">
        <v>2034</v>
      </c>
      <c r="B805" t="s">
        <v>26951</v>
      </c>
      <c r="C805" t="s">
        <v>2151</v>
      </c>
      <c r="D805" t="s">
        <v>2150</v>
      </c>
      <c r="E805" s="2" t="s">
        <v>538</v>
      </c>
      <c r="F805" t="s">
        <v>2096</v>
      </c>
      <c r="G805" t="str">
        <f>HYPERLINK("http://www.mediawatch.kr/news/article.html?no=232443")</f>
        <v>http://www.mediawatch.kr/news/article.html?no=232443</v>
      </c>
      <c r="H805">
        <v>0.32400000000000001</v>
      </c>
    </row>
    <row r="806" spans="1:8" x14ac:dyDescent="0.3">
      <c r="A806" t="s">
        <v>2034</v>
      </c>
      <c r="B806" t="s">
        <v>26951</v>
      </c>
      <c r="C806" t="s">
        <v>2154</v>
      </c>
      <c r="D806" t="s">
        <v>2153</v>
      </c>
      <c r="E806" s="2" t="s">
        <v>538</v>
      </c>
      <c r="F806" t="s">
        <v>2152</v>
      </c>
      <c r="G806" t="str">
        <f>HYPERLINK("http://ppss.kr/archives/61976")</f>
        <v>http://ppss.kr/archives/61976</v>
      </c>
      <c r="H806">
        <v>0.64700000000000002</v>
      </c>
    </row>
    <row r="807" spans="1:8" x14ac:dyDescent="0.3">
      <c r="A807" t="s">
        <v>2034</v>
      </c>
      <c r="B807" t="s">
        <v>26951</v>
      </c>
      <c r="C807" t="s">
        <v>2156</v>
      </c>
      <c r="D807" t="s">
        <v>2155</v>
      </c>
      <c r="E807" s="2" t="s">
        <v>538</v>
      </c>
      <c r="F807" t="s">
        <v>2046</v>
      </c>
      <c r="G807" t="str">
        <f>HYPERLINK("http://www.newsmp.com/news/articleView.html?idxno=219035")</f>
        <v>http://www.newsmp.com/news/articleView.html?idxno=219035</v>
      </c>
      <c r="H807">
        <v>0.308</v>
      </c>
    </row>
    <row r="808" spans="1:8" x14ac:dyDescent="0.3">
      <c r="A808" t="s">
        <v>2034</v>
      </c>
      <c r="B808" t="s">
        <v>26951</v>
      </c>
      <c r="C808" t="s">
        <v>2159</v>
      </c>
      <c r="D808" t="s">
        <v>2158</v>
      </c>
      <c r="E808" s="2" t="s">
        <v>538</v>
      </c>
      <c r="F808" t="s">
        <v>2157</v>
      </c>
      <c r="G808" t="str">
        <f>HYPERLINK("http://www.beopbo.com/news/articleView.html?idxno=324244")</f>
        <v>http://www.beopbo.com/news/articleView.html?idxno=324244</v>
      </c>
      <c r="H808">
        <v>0.29599999999999999</v>
      </c>
    </row>
    <row r="809" spans="1:8" x14ac:dyDescent="0.3">
      <c r="A809" t="s">
        <v>2034</v>
      </c>
      <c r="B809" t="s">
        <v>26951</v>
      </c>
      <c r="C809" t="s">
        <v>2162</v>
      </c>
      <c r="D809" t="s">
        <v>2161</v>
      </c>
      <c r="E809" s="2" t="s">
        <v>538</v>
      </c>
      <c r="F809" t="s">
        <v>2160</v>
      </c>
      <c r="G809" t="str">
        <f>HYPERLINK("https://www.catholictimes.org/article/20250623500146")</f>
        <v>https://www.catholictimes.org/article/20250623500146</v>
      </c>
      <c r="H809">
        <v>0.34300000000000003</v>
      </c>
    </row>
    <row r="810" spans="1:8" x14ac:dyDescent="0.3">
      <c r="A810" t="s">
        <v>2034</v>
      </c>
      <c r="B810" t="s">
        <v>26951</v>
      </c>
      <c r="C810" t="s">
        <v>2165</v>
      </c>
      <c r="D810" t="s">
        <v>2164</v>
      </c>
      <c r="E810" s="2" t="s">
        <v>538</v>
      </c>
      <c r="F810" t="s">
        <v>2163</v>
      </c>
      <c r="G810" t="str">
        <f>HYPERLINK("https://n.news.naver.com/mnews/article/006/0000127472?sid=102")</f>
        <v>https://n.news.naver.com/mnews/article/006/0000127472?sid=102</v>
      </c>
      <c r="H810">
        <v>0.114</v>
      </c>
    </row>
    <row r="811" spans="1:8" x14ac:dyDescent="0.3">
      <c r="A811" t="s">
        <v>2034</v>
      </c>
      <c r="B811" t="s">
        <v>26951</v>
      </c>
      <c r="C811" t="s">
        <v>2168</v>
      </c>
      <c r="D811" t="s">
        <v>2167</v>
      </c>
      <c r="E811" s="2" t="s">
        <v>538</v>
      </c>
      <c r="F811" t="s">
        <v>2166</v>
      </c>
      <c r="G811" t="str">
        <f>HYPERLINK("https://n.news.naver.com/mnews/article/006/0000127472?sid=102")</f>
        <v>https://n.news.naver.com/mnews/article/006/0000127472?sid=102</v>
      </c>
      <c r="H811">
        <v>0.1</v>
      </c>
    </row>
    <row r="812" spans="1:8" x14ac:dyDescent="0.3">
      <c r="A812" t="s">
        <v>2034</v>
      </c>
      <c r="B812" t="s">
        <v>26951</v>
      </c>
      <c r="C812" t="s">
        <v>2170</v>
      </c>
      <c r="D812" t="s">
        <v>2169</v>
      </c>
      <c r="E812" s="2" t="s">
        <v>538</v>
      </c>
      <c r="F812" t="s">
        <v>1960</v>
      </c>
      <c r="G812" t="str">
        <f>HYPERLINK("https://n.news.naver.com/mnews/article/308/0000032392?sid=103")</f>
        <v>https://n.news.naver.com/mnews/article/308/0000032392?sid=103</v>
      </c>
      <c r="H812">
        <v>9.9000000000000005E-2</v>
      </c>
    </row>
    <row r="813" spans="1:8" x14ac:dyDescent="0.3">
      <c r="A813" t="s">
        <v>2034</v>
      </c>
      <c r="B813" t="s">
        <v>26951</v>
      </c>
      <c r="C813" t="s">
        <v>2173</v>
      </c>
      <c r="D813" t="s">
        <v>2172</v>
      </c>
      <c r="E813" s="2" t="s">
        <v>538</v>
      </c>
      <c r="F813" t="s">
        <v>2171</v>
      </c>
      <c r="G813" t="str">
        <f>HYPERLINK("https://n.news.naver.com/mnews/article/032/0003375636?sid=110")</f>
        <v>https://n.news.naver.com/mnews/article/032/0003375636?sid=110</v>
      </c>
      <c r="H813">
        <v>0.15</v>
      </c>
    </row>
    <row r="814" spans="1:8" x14ac:dyDescent="0.3">
      <c r="A814" t="s">
        <v>2034</v>
      </c>
      <c r="B814" t="s">
        <v>26951</v>
      </c>
      <c r="C814" t="s">
        <v>2175</v>
      </c>
      <c r="D814" t="s">
        <v>2174</v>
      </c>
      <c r="E814" s="2" t="s">
        <v>538</v>
      </c>
      <c r="F814" t="s">
        <v>2135</v>
      </c>
      <c r="G814" t="str">
        <f>HYPERLINK("https://n.news.naver.com/mnews/article/006/0000127472?sid=102")</f>
        <v>https://n.news.naver.com/mnews/article/006/0000127472?sid=102</v>
      </c>
      <c r="H814">
        <v>9.7000000000000003E-2</v>
      </c>
    </row>
    <row r="815" spans="1:8" x14ac:dyDescent="0.3">
      <c r="A815" t="s">
        <v>2034</v>
      </c>
      <c r="B815" t="s">
        <v>26951</v>
      </c>
      <c r="C815" t="s">
        <v>2178</v>
      </c>
      <c r="D815" t="s">
        <v>2177</v>
      </c>
      <c r="E815" s="2" t="s">
        <v>572</v>
      </c>
      <c r="F815" t="s">
        <v>2176</v>
      </c>
      <c r="G815" t="str">
        <f>HYPERLINK("https://www.catholictimes.org/article/20250623500146")</f>
        <v>https://www.catholictimes.org/article/20250623500146</v>
      </c>
      <c r="H815">
        <v>0.26400000000000001</v>
      </c>
    </row>
    <row r="816" spans="1:8" x14ac:dyDescent="0.3">
      <c r="A816" t="s">
        <v>2034</v>
      </c>
      <c r="B816" t="s">
        <v>26951</v>
      </c>
      <c r="C816" t="s">
        <v>2183</v>
      </c>
      <c r="D816" t="s">
        <v>2182</v>
      </c>
      <c r="E816" s="2" t="s">
        <v>572</v>
      </c>
      <c r="F816" t="s">
        <v>2181</v>
      </c>
      <c r="G816" t="str">
        <f>HYPERLINK("https://www.ltn.kr/news/articleView.html?idxno=48941")</f>
        <v>https://www.ltn.kr/news/articleView.html?idxno=48941</v>
      </c>
      <c r="H816">
        <v>0.64</v>
      </c>
    </row>
    <row r="817" spans="1:8" x14ac:dyDescent="0.3">
      <c r="A817" t="s">
        <v>2034</v>
      </c>
      <c r="B817" t="s">
        <v>26951</v>
      </c>
      <c r="C817" t="s">
        <v>2185</v>
      </c>
      <c r="D817" t="s">
        <v>2184</v>
      </c>
      <c r="E817" s="2" t="s">
        <v>572</v>
      </c>
      <c r="F817" t="s">
        <v>1195</v>
      </c>
      <c r="G817" t="str">
        <f>HYPERLINK("https://www.apnews.kr/news/articleView.html?idxno=3036701")</f>
        <v>https://www.apnews.kr/news/articleView.html?idxno=3036701</v>
      </c>
      <c r="H817">
        <v>0.436</v>
      </c>
    </row>
    <row r="818" spans="1:8" x14ac:dyDescent="0.3">
      <c r="A818" t="s">
        <v>2034</v>
      </c>
      <c r="B818" t="s">
        <v>26951</v>
      </c>
      <c r="C818" t="s">
        <v>2188</v>
      </c>
      <c r="D818" t="s">
        <v>2187</v>
      </c>
      <c r="E818" s="2" t="s">
        <v>572</v>
      </c>
      <c r="F818" t="s">
        <v>2186</v>
      </c>
      <c r="G818" t="str">
        <f>HYPERLINK("http://www.jejusori.net/?mod=news&amp;act=articleView&amp;idxno=156999")</f>
        <v>http://www.jejusori.net/?mod=news&amp;act=articleView&amp;idxno=156999</v>
      </c>
      <c r="H818">
        <v>0.17199999999999999</v>
      </c>
    </row>
    <row r="819" spans="1:8" x14ac:dyDescent="0.3">
      <c r="A819" t="s">
        <v>2034</v>
      </c>
      <c r="B819" t="s">
        <v>26951</v>
      </c>
      <c r="C819" t="s">
        <v>2190</v>
      </c>
      <c r="D819" t="s">
        <v>2189</v>
      </c>
      <c r="E819" s="2" t="s">
        <v>572</v>
      </c>
      <c r="F819" t="s">
        <v>2046</v>
      </c>
      <c r="G819" t="str">
        <f>HYPERLINK("http://www.newsmp.com/news/articleView.html?idxno=223091")</f>
        <v>http://www.newsmp.com/news/articleView.html?idxno=223091</v>
      </c>
      <c r="H819">
        <v>0.59899999999999998</v>
      </c>
    </row>
    <row r="820" spans="1:8" x14ac:dyDescent="0.3">
      <c r="A820" t="s">
        <v>2034</v>
      </c>
      <c r="B820" t="s">
        <v>26951</v>
      </c>
      <c r="C820" t="s">
        <v>2192</v>
      </c>
      <c r="D820" t="s">
        <v>2191</v>
      </c>
      <c r="E820" s="2" t="s">
        <v>572</v>
      </c>
      <c r="F820" t="s">
        <v>2096</v>
      </c>
      <c r="G820" t="str">
        <f>HYPERLINK("http://www.mediawatch.kr/news/article.html?no=231898")</f>
        <v>http://www.mediawatch.kr/news/article.html?no=231898</v>
      </c>
      <c r="H820">
        <v>0.3</v>
      </c>
    </row>
    <row r="821" spans="1:8" x14ac:dyDescent="0.3">
      <c r="A821" t="s">
        <v>2034</v>
      </c>
      <c r="B821" t="s">
        <v>26951</v>
      </c>
      <c r="C821" t="s">
        <v>2194</v>
      </c>
      <c r="D821" t="s">
        <v>2193</v>
      </c>
      <c r="E821" s="2" t="s">
        <v>572</v>
      </c>
      <c r="F821" t="s">
        <v>2046</v>
      </c>
      <c r="G821" t="str">
        <f>HYPERLINK("https://www.ggilbo.com/news/articleView.html?idxno=1094534")</f>
        <v>https://www.ggilbo.com/news/articleView.html?idxno=1094534</v>
      </c>
      <c r="H821">
        <v>0.79</v>
      </c>
    </row>
    <row r="822" spans="1:8" x14ac:dyDescent="0.3">
      <c r="A822" t="s">
        <v>2034</v>
      </c>
      <c r="B822" t="s">
        <v>26951</v>
      </c>
      <c r="C822" t="s">
        <v>2196</v>
      </c>
      <c r="D822" t="s">
        <v>2195</v>
      </c>
      <c r="E822" s="2" t="s">
        <v>572</v>
      </c>
      <c r="F822" t="s">
        <v>2046</v>
      </c>
      <c r="G822" t="str">
        <f>HYPERLINK("https://www.joongboo.com/news/articleView.html?idxno=363696497")</f>
        <v>https://www.joongboo.com/news/articleView.html?idxno=363696497</v>
      </c>
      <c r="H822">
        <v>0.55500000000000005</v>
      </c>
    </row>
    <row r="823" spans="1:8" x14ac:dyDescent="0.3">
      <c r="A823" t="s">
        <v>2034</v>
      </c>
      <c r="B823" t="s">
        <v>26951</v>
      </c>
      <c r="C823" t="s">
        <v>2199</v>
      </c>
      <c r="D823" t="s">
        <v>2198</v>
      </c>
      <c r="E823" s="2" t="s">
        <v>572</v>
      </c>
      <c r="F823" t="s">
        <v>2197</v>
      </c>
      <c r="G823" t="str">
        <f>HYPERLINK("http://www.readersnews.com/news/articleView.html?idxno=115527")</f>
        <v>http://www.readersnews.com/news/articleView.html?idxno=115527</v>
      </c>
      <c r="H823">
        <v>0.51700000000000002</v>
      </c>
    </row>
    <row r="824" spans="1:8" x14ac:dyDescent="0.3">
      <c r="A824" t="s">
        <v>2034</v>
      </c>
      <c r="B824" t="s">
        <v>26951</v>
      </c>
      <c r="C824" t="s">
        <v>2201</v>
      </c>
      <c r="D824" t="s">
        <v>2200</v>
      </c>
      <c r="E824" s="2" t="s">
        <v>572</v>
      </c>
      <c r="F824" t="s">
        <v>1185</v>
      </c>
      <c r="G824" t="str">
        <f>HYPERLINK("https://www.newspim.com/news/view/20240321001004")</f>
        <v>https://www.newspim.com/news/view/20240321001004</v>
      </c>
      <c r="H824">
        <v>0.36899999999999999</v>
      </c>
    </row>
    <row r="825" spans="1:8" x14ac:dyDescent="0.3">
      <c r="A825" t="s">
        <v>2034</v>
      </c>
      <c r="B825" t="s">
        <v>26951</v>
      </c>
      <c r="C825" t="s">
        <v>2203</v>
      </c>
      <c r="D825" t="s">
        <v>2202</v>
      </c>
      <c r="E825" s="2" t="s">
        <v>572</v>
      </c>
      <c r="F825" t="s">
        <v>134</v>
      </c>
      <c r="G825" t="str">
        <f>HYPERLINK("http://www.nongaek.com/news/articleView.html?idxno=90439")</f>
        <v>http://www.nongaek.com/news/articleView.html?idxno=90439</v>
      </c>
      <c r="H825">
        <v>0.41399999999999998</v>
      </c>
    </row>
    <row r="826" spans="1:8" x14ac:dyDescent="0.3">
      <c r="A826" t="s">
        <v>2034</v>
      </c>
      <c r="B826" t="s">
        <v>26951</v>
      </c>
      <c r="C826" t="s">
        <v>2206</v>
      </c>
      <c r="D826" t="s">
        <v>2205</v>
      </c>
      <c r="E826" s="2" t="s">
        <v>572</v>
      </c>
      <c r="F826" t="s">
        <v>2204</v>
      </c>
      <c r="G826" t="str">
        <f>HYPERLINK("http://www.smarttimes.co.kr/news/articleView.html?idxno=34851")</f>
        <v>http://www.smarttimes.co.kr/news/articleView.html?idxno=34851</v>
      </c>
      <c r="H826">
        <v>0.45400000000000001</v>
      </c>
    </row>
    <row r="827" spans="1:8" x14ac:dyDescent="0.3">
      <c r="A827" t="s">
        <v>2034</v>
      </c>
      <c r="B827" t="s">
        <v>26951</v>
      </c>
      <c r="C827" t="s">
        <v>2208</v>
      </c>
      <c r="D827" t="s">
        <v>2207</v>
      </c>
      <c r="E827" s="2" t="s">
        <v>572</v>
      </c>
      <c r="F827" t="s">
        <v>31</v>
      </c>
      <c r="G827" t="str">
        <f>HYPERLINK("https://n.news.naver.com/mnews/article/032/0003375321?sid=102")</f>
        <v>https://n.news.naver.com/mnews/article/032/0003375321?sid=102</v>
      </c>
      <c r="H827">
        <v>7.2999999999999995E-2</v>
      </c>
    </row>
    <row r="828" spans="1:8" x14ac:dyDescent="0.3">
      <c r="A828" t="s">
        <v>2034</v>
      </c>
      <c r="B828" t="s">
        <v>26951</v>
      </c>
      <c r="C828" t="s">
        <v>2211</v>
      </c>
      <c r="D828" t="s">
        <v>2210</v>
      </c>
      <c r="E828" s="2" t="s">
        <v>572</v>
      </c>
      <c r="F828" t="s">
        <v>2209</v>
      </c>
      <c r="G828" t="str">
        <f>HYPERLINK("http://www.nongaek.com/news/articleView.html?idxno=91824")</f>
        <v>http://www.nongaek.com/news/articleView.html?idxno=91824</v>
      </c>
      <c r="H828">
        <v>0.39300000000000002</v>
      </c>
    </row>
    <row r="829" spans="1:8" x14ac:dyDescent="0.3">
      <c r="A829" t="s">
        <v>2034</v>
      </c>
      <c r="B829" t="s">
        <v>26951</v>
      </c>
      <c r="C829" t="s">
        <v>2214</v>
      </c>
      <c r="D829" t="s">
        <v>2213</v>
      </c>
      <c r="E829" s="2" t="s">
        <v>572</v>
      </c>
      <c r="F829" t="s">
        <v>2212</v>
      </c>
      <c r="G829" t="str">
        <f>HYPERLINK("http://www.nongaek.com/news/articleView.html?idxno=90554")</f>
        <v>http://www.nongaek.com/news/articleView.html?idxno=90554</v>
      </c>
      <c r="H829">
        <v>0.39700000000000002</v>
      </c>
    </row>
    <row r="830" spans="1:8" x14ac:dyDescent="0.3">
      <c r="A830" t="s">
        <v>2034</v>
      </c>
      <c r="B830" t="s">
        <v>26951</v>
      </c>
      <c r="C830" t="s">
        <v>2217</v>
      </c>
      <c r="D830" t="s">
        <v>2216</v>
      </c>
      <c r="E830" s="2" t="s">
        <v>572</v>
      </c>
      <c r="F830" t="s">
        <v>2215</v>
      </c>
      <c r="G830" t="str">
        <f>HYPERLINK("http://www.pdjournal.com/news/articleView.html?idxno=27014")</f>
        <v>http://www.pdjournal.com/news/articleView.html?idxno=27014</v>
      </c>
      <c r="H830">
        <v>0.17799999999999999</v>
      </c>
    </row>
    <row r="831" spans="1:8" x14ac:dyDescent="0.3">
      <c r="A831" t="s">
        <v>2034</v>
      </c>
      <c r="B831" t="s">
        <v>26951</v>
      </c>
      <c r="C831" t="s">
        <v>2219</v>
      </c>
      <c r="D831" t="s">
        <v>2218</v>
      </c>
      <c r="E831" s="2" t="s">
        <v>572</v>
      </c>
      <c r="F831" t="s">
        <v>2215</v>
      </c>
      <c r="G831" t="str">
        <f>HYPERLINK("http://apnews.kr/View.aspx?No=1346420")</f>
        <v>http://apnews.kr/View.aspx?No=1346420</v>
      </c>
      <c r="H831">
        <v>0.193</v>
      </c>
    </row>
    <row r="832" spans="1:8" x14ac:dyDescent="0.3">
      <c r="A832" t="s">
        <v>2034</v>
      </c>
      <c r="B832" t="s">
        <v>26951</v>
      </c>
      <c r="C832" t="s">
        <v>2221</v>
      </c>
      <c r="D832" t="s">
        <v>2220</v>
      </c>
      <c r="E832" s="2" t="s">
        <v>572</v>
      </c>
      <c r="F832" t="s">
        <v>2215</v>
      </c>
      <c r="G832" t="str">
        <f>HYPERLINK("https://n.news.naver.com/mnews/article/032/0003375182?sid=103")</f>
        <v>https://n.news.naver.com/mnews/article/032/0003375182?sid=103</v>
      </c>
      <c r="H832">
        <v>0.14000000000000001</v>
      </c>
    </row>
    <row r="833" spans="1:8" x14ac:dyDescent="0.3">
      <c r="A833" t="s">
        <v>2034</v>
      </c>
      <c r="B833" t="s">
        <v>26951</v>
      </c>
      <c r="C833" t="s">
        <v>2224</v>
      </c>
      <c r="D833" t="s">
        <v>2223</v>
      </c>
      <c r="E833" s="2" t="s">
        <v>572</v>
      </c>
      <c r="F833" t="s">
        <v>2222</v>
      </c>
      <c r="G833" t="str">
        <f>HYPERLINK("https://n.news.naver.com/mnews/article/032/0003379472?sid=102")</f>
        <v>https://n.news.naver.com/mnews/article/032/0003379472?sid=102</v>
      </c>
      <c r="H833">
        <v>0.14499999999999999</v>
      </c>
    </row>
    <row r="834" spans="1:8" x14ac:dyDescent="0.3">
      <c r="A834" t="s">
        <v>2034</v>
      </c>
      <c r="B834" t="s">
        <v>26951</v>
      </c>
      <c r="C834" t="s">
        <v>2227</v>
      </c>
      <c r="D834" t="s">
        <v>2226</v>
      </c>
      <c r="E834" s="2" t="s">
        <v>572</v>
      </c>
      <c r="F834" t="s">
        <v>2225</v>
      </c>
      <c r="G834" t="str">
        <f>HYPERLINK("https://n.news.naver.com/mnews/article/032/0003379533?sid=100")</f>
        <v>https://n.news.naver.com/mnews/article/032/0003379533?sid=100</v>
      </c>
      <c r="H834">
        <v>0.29399999999999998</v>
      </c>
    </row>
    <row r="835" spans="1:8" x14ac:dyDescent="0.3">
      <c r="A835" t="s">
        <v>2034</v>
      </c>
      <c r="B835" t="s">
        <v>26951</v>
      </c>
      <c r="C835" t="s">
        <v>2229</v>
      </c>
      <c r="D835" t="s">
        <v>2228</v>
      </c>
      <c r="E835" s="2" t="s">
        <v>572</v>
      </c>
      <c r="F835" t="s">
        <v>256</v>
      </c>
      <c r="G835" t="str">
        <f>HYPERLINK("https://www.smarttoday.co.kr/news/articleView.html?idxno=82922")</f>
        <v>https://www.smarttoday.co.kr/news/articleView.html?idxno=82922</v>
      </c>
      <c r="H835">
        <v>6.9000000000000006E-2</v>
      </c>
    </row>
    <row r="836" spans="1:8" x14ac:dyDescent="0.3">
      <c r="A836" t="s">
        <v>2034</v>
      </c>
      <c r="B836" t="s">
        <v>26951</v>
      </c>
      <c r="C836" t="s">
        <v>2232</v>
      </c>
      <c r="D836" t="s">
        <v>2231</v>
      </c>
      <c r="E836" s="2" t="s">
        <v>572</v>
      </c>
      <c r="F836" t="s">
        <v>2230</v>
      </c>
      <c r="G836" t="str">
        <f>HYPERLINK("https://n.news.naver.com/mnews/article/022/0004047745?sid=102")</f>
        <v>https://n.news.naver.com/mnews/article/022/0004047745?sid=102</v>
      </c>
      <c r="H836">
        <v>0.39800000000000002</v>
      </c>
    </row>
    <row r="837" spans="1:8" x14ac:dyDescent="0.3">
      <c r="A837" t="s">
        <v>2034</v>
      </c>
      <c r="B837" t="s">
        <v>26951</v>
      </c>
      <c r="C837" t="s">
        <v>2235</v>
      </c>
      <c r="D837" t="s">
        <v>2234</v>
      </c>
      <c r="E837" s="2" t="s">
        <v>572</v>
      </c>
      <c r="F837" t="s">
        <v>2233</v>
      </c>
      <c r="G837" t="str">
        <f>HYPERLINK("http://www.etoday.co.kr/news/section/newsview.php?TM=news&amp;SM=2199&amp;idxno=607718")</f>
        <v>http://www.etoday.co.kr/news/section/newsview.php?TM=news&amp;SM=2199&amp;idxno=607718</v>
      </c>
      <c r="H837">
        <v>0.26200000000000001</v>
      </c>
    </row>
    <row r="838" spans="1:8" x14ac:dyDescent="0.3">
      <c r="A838" t="s">
        <v>2034</v>
      </c>
      <c r="B838" t="s">
        <v>26951</v>
      </c>
      <c r="C838" t="s">
        <v>2237</v>
      </c>
      <c r="D838" t="s">
        <v>2236</v>
      </c>
      <c r="E838" s="2" t="s">
        <v>572</v>
      </c>
      <c r="F838" t="s">
        <v>1960</v>
      </c>
      <c r="G838" t="str">
        <f>HYPERLINK("http://www.civicnews.com/news/articleView.html?idxno=29074")</f>
        <v>http://www.civicnews.com/news/articleView.html?idxno=29074</v>
      </c>
      <c r="H838">
        <v>0.17699999999999999</v>
      </c>
    </row>
    <row r="839" spans="1:8" x14ac:dyDescent="0.3">
      <c r="A839" t="s">
        <v>2034</v>
      </c>
      <c r="B839" t="s">
        <v>26951</v>
      </c>
      <c r="C839" t="s">
        <v>2240</v>
      </c>
      <c r="D839" t="s">
        <v>2239</v>
      </c>
      <c r="E839" s="2" t="s">
        <v>572</v>
      </c>
      <c r="F839" t="s">
        <v>2238</v>
      </c>
      <c r="G839" t="str">
        <f>HYPERLINK("http://www.newsfreezone.co.kr/news/articleView.html?idxno=277219")</f>
        <v>http://www.newsfreezone.co.kr/news/articleView.html?idxno=277219</v>
      </c>
      <c r="H839">
        <v>0.58899999999999997</v>
      </c>
    </row>
    <row r="840" spans="1:8" x14ac:dyDescent="0.3">
      <c r="A840" t="s">
        <v>2034</v>
      </c>
      <c r="B840" t="s">
        <v>26951</v>
      </c>
      <c r="C840" t="s">
        <v>2242</v>
      </c>
      <c r="D840" t="s">
        <v>2241</v>
      </c>
      <c r="E840" s="2" t="s">
        <v>572</v>
      </c>
      <c r="F840" t="s">
        <v>197</v>
      </c>
      <c r="G840" t="str">
        <f>HYPERLINK("http://www.nongaek.com/news/articleView.html?idxno=91811")</f>
        <v>http://www.nongaek.com/news/articleView.html?idxno=91811</v>
      </c>
      <c r="H840">
        <v>0.64600000000000002</v>
      </c>
    </row>
    <row r="841" spans="1:8" x14ac:dyDescent="0.3">
      <c r="A841" t="s">
        <v>2034</v>
      </c>
      <c r="B841" t="s">
        <v>26951</v>
      </c>
      <c r="C841" t="s">
        <v>2244</v>
      </c>
      <c r="D841" t="s">
        <v>2243</v>
      </c>
      <c r="E841" s="2" t="s">
        <v>572</v>
      </c>
      <c r="F841" t="s">
        <v>2135</v>
      </c>
      <c r="G841" t="str">
        <f>HYPERLINK("https://n.news.naver.com/mnews/article/006/0000127472?sid=102")</f>
        <v>https://n.news.naver.com/mnews/article/006/0000127472?sid=102</v>
      </c>
      <c r="H841">
        <v>0.19600000000000001</v>
      </c>
    </row>
    <row r="842" spans="1:8" x14ac:dyDescent="0.3">
      <c r="A842" t="s">
        <v>2034</v>
      </c>
      <c r="B842" t="s">
        <v>26951</v>
      </c>
      <c r="C842" t="s">
        <v>2246</v>
      </c>
      <c r="D842" t="s">
        <v>2245</v>
      </c>
      <c r="E842" s="2" t="s">
        <v>609</v>
      </c>
      <c r="F842" t="s">
        <v>2057</v>
      </c>
      <c r="G842" t="str">
        <f>HYPERLINK("https://www.forbeskorea.co.kr/news/articleView.html?idxno=400277")</f>
        <v>https://www.forbeskorea.co.kr/news/articleView.html?idxno=400277</v>
      </c>
      <c r="H842">
        <v>0.58599999999999997</v>
      </c>
    </row>
    <row r="843" spans="1:8" x14ac:dyDescent="0.3">
      <c r="A843" t="s">
        <v>2034</v>
      </c>
      <c r="B843" t="s">
        <v>26951</v>
      </c>
      <c r="C843" t="s">
        <v>2248</v>
      </c>
      <c r="D843" t="s">
        <v>2247</v>
      </c>
      <c r="E843" s="2" t="s">
        <v>609</v>
      </c>
      <c r="F843" t="s">
        <v>2057</v>
      </c>
      <c r="G843" t="str">
        <f>HYPERLINK("https://www.themusical.co.kr/News/Detail?num=14102")</f>
        <v>https://www.themusical.co.kr/News/Detail?num=14102</v>
      </c>
      <c r="H843">
        <v>0.495</v>
      </c>
    </row>
    <row r="844" spans="1:8" x14ac:dyDescent="0.3">
      <c r="A844" t="s">
        <v>2034</v>
      </c>
      <c r="B844" t="s">
        <v>26951</v>
      </c>
      <c r="C844" t="s">
        <v>2250</v>
      </c>
      <c r="D844" t="s">
        <v>2249</v>
      </c>
      <c r="E844" s="2" t="s">
        <v>609</v>
      </c>
      <c r="F844" t="s">
        <v>1911</v>
      </c>
      <c r="G844" t="str">
        <f>HYPERLINK("https://www.catholictimes.org/article/20250623500146")</f>
        <v>https://www.catholictimes.org/article/20250623500146</v>
      </c>
      <c r="H844">
        <v>0.20899999999999999</v>
      </c>
    </row>
    <row r="845" spans="1:8" x14ac:dyDescent="0.3">
      <c r="A845" t="s">
        <v>2034</v>
      </c>
      <c r="B845" t="s">
        <v>26951</v>
      </c>
      <c r="C845" t="s">
        <v>2253</v>
      </c>
      <c r="D845" t="s">
        <v>2252</v>
      </c>
      <c r="E845" s="2" t="s">
        <v>609</v>
      </c>
      <c r="F845" t="s">
        <v>2251</v>
      </c>
      <c r="G845" t="str">
        <f>HYPERLINK("https://www.gosiweek.com/article/1065602397226428")</f>
        <v>https://www.gosiweek.com/article/1065602397226428</v>
      </c>
      <c r="H845">
        <v>0.104</v>
      </c>
    </row>
    <row r="846" spans="1:8" x14ac:dyDescent="0.3">
      <c r="A846" t="s">
        <v>2034</v>
      </c>
      <c r="B846" t="s">
        <v>26951</v>
      </c>
      <c r="C846" t="s">
        <v>2255</v>
      </c>
      <c r="D846" t="s">
        <v>2254</v>
      </c>
      <c r="E846" s="2" t="s">
        <v>609</v>
      </c>
      <c r="F846" t="s">
        <v>197</v>
      </c>
      <c r="G846" t="str">
        <f>HYPERLINK("https://n.news.naver.com/mnews/article/277/0005387673?sid=100")</f>
        <v>https://n.news.naver.com/mnews/article/277/0005387673?sid=100</v>
      </c>
      <c r="H846">
        <v>0.29499999999999998</v>
      </c>
    </row>
    <row r="847" spans="1:8" x14ac:dyDescent="0.3">
      <c r="A847" t="s">
        <v>2034</v>
      </c>
      <c r="B847" t="s">
        <v>26951</v>
      </c>
      <c r="C847" t="s">
        <v>2258</v>
      </c>
      <c r="D847" t="s">
        <v>2257</v>
      </c>
      <c r="E847" s="2" t="s">
        <v>609</v>
      </c>
      <c r="F847" t="s">
        <v>2256</v>
      </c>
      <c r="G847" t="str">
        <f>HYPERLINK("http://www.mhj21.com/155645")</f>
        <v>http://www.mhj21.com/155645</v>
      </c>
      <c r="H847">
        <v>0.34100000000000003</v>
      </c>
    </row>
    <row r="848" spans="1:8" x14ac:dyDescent="0.3">
      <c r="A848" t="s">
        <v>2034</v>
      </c>
      <c r="B848" t="s">
        <v>26951</v>
      </c>
      <c r="C848" t="s">
        <v>2261</v>
      </c>
      <c r="D848" t="s">
        <v>2260</v>
      </c>
      <c r="E848" s="2" t="s">
        <v>609</v>
      </c>
      <c r="F848" t="s">
        <v>2259</v>
      </c>
      <c r="G848" t="str">
        <f>HYPERLINK("https://n.news.naver.com/mnews/article/032/0002784261?sid=110")</f>
        <v>https://n.news.naver.com/mnews/article/032/0002784261?sid=110</v>
      </c>
      <c r="H848">
        <v>0.32400000000000001</v>
      </c>
    </row>
    <row r="849" spans="1:8" x14ac:dyDescent="0.3">
      <c r="A849" t="s">
        <v>2034</v>
      </c>
      <c r="B849" t="s">
        <v>26951</v>
      </c>
      <c r="C849" t="s">
        <v>2264</v>
      </c>
      <c r="D849" t="s">
        <v>2263</v>
      </c>
      <c r="E849" s="2" t="s">
        <v>609</v>
      </c>
      <c r="F849" t="s">
        <v>2262</v>
      </c>
      <c r="G849" t="str">
        <f>HYPERLINK("http://www.dynews.co.kr/news/articleView.html?idxno=720979")</f>
        <v>http://www.dynews.co.kr/news/articleView.html?idxno=720979</v>
      </c>
      <c r="H849">
        <v>0.59399999999999997</v>
      </c>
    </row>
    <row r="850" spans="1:8" x14ac:dyDescent="0.3">
      <c r="A850" t="s">
        <v>2034</v>
      </c>
      <c r="B850" t="s">
        <v>26951</v>
      </c>
      <c r="C850" t="s">
        <v>2266</v>
      </c>
      <c r="D850" t="s">
        <v>2265</v>
      </c>
      <c r="E850" s="2" t="s">
        <v>609</v>
      </c>
      <c r="F850" t="s">
        <v>2096</v>
      </c>
      <c r="G850" t="str">
        <f>HYPERLINK("http://www.mediawatch.kr/news/article.html?no=231898")</f>
        <v>http://www.mediawatch.kr/news/article.html?no=231898</v>
      </c>
      <c r="H850">
        <v>0.30499999999999999</v>
      </c>
    </row>
    <row r="851" spans="1:8" x14ac:dyDescent="0.3">
      <c r="A851" t="s">
        <v>2034</v>
      </c>
      <c r="B851" t="s">
        <v>26951</v>
      </c>
      <c r="C851" t="s">
        <v>2268</v>
      </c>
      <c r="D851" t="s">
        <v>2267</v>
      </c>
      <c r="E851" s="2" t="s">
        <v>609</v>
      </c>
      <c r="F851" t="s">
        <v>134</v>
      </c>
      <c r="G851" t="str">
        <f>HYPERLINK("https://n.news.naver.com/mnews/article/032/0003375173?sid=102")</f>
        <v>https://n.news.naver.com/mnews/article/032/0003375173?sid=102</v>
      </c>
      <c r="H851">
        <v>0.32600000000000001</v>
      </c>
    </row>
    <row r="852" spans="1:8" x14ac:dyDescent="0.3">
      <c r="A852" t="s">
        <v>2034</v>
      </c>
      <c r="B852" t="s">
        <v>26951</v>
      </c>
      <c r="C852" t="s">
        <v>2271</v>
      </c>
      <c r="D852" t="s">
        <v>2270</v>
      </c>
      <c r="E852" s="2" t="s">
        <v>609</v>
      </c>
      <c r="F852" t="s">
        <v>2269</v>
      </c>
      <c r="G852" t="str">
        <f>HYPERLINK("https://n.news.naver.com/mnews/article/032/0003375957?sid=100")</f>
        <v>https://n.news.naver.com/mnews/article/032/0003375957?sid=100</v>
      </c>
      <c r="H852">
        <v>0.27400000000000002</v>
      </c>
    </row>
    <row r="853" spans="1:8" x14ac:dyDescent="0.3">
      <c r="A853" t="s">
        <v>2034</v>
      </c>
      <c r="B853" t="s">
        <v>26951</v>
      </c>
      <c r="C853" t="s">
        <v>2273</v>
      </c>
      <c r="D853" t="s">
        <v>2272</v>
      </c>
      <c r="E853" s="2" t="s">
        <v>609</v>
      </c>
      <c r="F853" t="s">
        <v>2212</v>
      </c>
      <c r="G853" t="str">
        <f>HYPERLINK("http://www.sisafocus.co.kr/news/articleView.html?idxno=340589")</f>
        <v>http://www.sisafocus.co.kr/news/articleView.html?idxno=340589</v>
      </c>
      <c r="H853">
        <v>0.83599999999999997</v>
      </c>
    </row>
    <row r="854" spans="1:8" x14ac:dyDescent="0.3">
      <c r="A854" t="s">
        <v>2034</v>
      </c>
      <c r="B854" t="s">
        <v>26951</v>
      </c>
      <c r="C854" t="s">
        <v>2276</v>
      </c>
      <c r="D854" t="s">
        <v>2275</v>
      </c>
      <c r="E854" s="2" t="s">
        <v>609</v>
      </c>
      <c r="F854" t="s">
        <v>2274</v>
      </c>
      <c r="G854" t="str">
        <f>HYPERLINK("https://n.news.naver.com/mnews/article/032/0003349103?sid=102")</f>
        <v>https://n.news.naver.com/mnews/article/032/0003349103?sid=102</v>
      </c>
      <c r="H854">
        <v>0.34499999999999997</v>
      </c>
    </row>
    <row r="855" spans="1:8" x14ac:dyDescent="0.3">
      <c r="A855" t="s">
        <v>2034</v>
      </c>
      <c r="B855" t="s">
        <v>26951</v>
      </c>
      <c r="C855" t="s">
        <v>2279</v>
      </c>
      <c r="D855" t="s">
        <v>2278</v>
      </c>
      <c r="E855" s="2" t="s">
        <v>609</v>
      </c>
      <c r="F855" t="s">
        <v>2277</v>
      </c>
      <c r="G855" t="str">
        <f>HYPERLINK("http://www.nongaek.com/news/articleView.html?idxno=91747")</f>
        <v>http://www.nongaek.com/news/articleView.html?idxno=91747</v>
      </c>
      <c r="H855">
        <v>0.495</v>
      </c>
    </row>
    <row r="856" spans="1:8" x14ac:dyDescent="0.3">
      <c r="A856" t="s">
        <v>2034</v>
      </c>
      <c r="B856" t="s">
        <v>26951</v>
      </c>
      <c r="C856" t="s">
        <v>2281</v>
      </c>
      <c r="D856" t="s">
        <v>2280</v>
      </c>
      <c r="E856" s="2" t="s">
        <v>609</v>
      </c>
      <c r="F856" t="s">
        <v>179</v>
      </c>
      <c r="G856" t="str">
        <f>HYPERLINK("http://www.newspim.com/news/view/20191022000468")</f>
        <v>http://www.newspim.com/news/view/20191022000468</v>
      </c>
      <c r="H856">
        <v>0.67700000000000005</v>
      </c>
    </row>
    <row r="857" spans="1:8" x14ac:dyDescent="0.3">
      <c r="A857" t="s">
        <v>2034</v>
      </c>
      <c r="B857" t="s">
        <v>26951</v>
      </c>
      <c r="C857" t="s">
        <v>2283</v>
      </c>
      <c r="D857" t="s">
        <v>2282</v>
      </c>
      <c r="E857" s="2" t="s">
        <v>609</v>
      </c>
      <c r="F857" t="s">
        <v>2215</v>
      </c>
      <c r="G857" t="str">
        <f>HYPERLINK("http://www.whitepaper.co.kr/news/articleView.html?idxno=247397")</f>
        <v>http://www.whitepaper.co.kr/news/articleView.html?idxno=247397</v>
      </c>
      <c r="H857">
        <v>0.66400000000000003</v>
      </c>
    </row>
    <row r="858" spans="1:8" x14ac:dyDescent="0.3">
      <c r="A858" t="s">
        <v>2034</v>
      </c>
      <c r="B858" t="s">
        <v>26951</v>
      </c>
      <c r="C858" t="s">
        <v>2285</v>
      </c>
      <c r="D858" t="s">
        <v>2284</v>
      </c>
      <c r="E858" s="2" t="s">
        <v>609</v>
      </c>
      <c r="F858" t="s">
        <v>2215</v>
      </c>
      <c r="G858" t="str">
        <f>HYPERLINK("https://n.news.naver.com/mnews/article/032/0002268552?sid=101")</f>
        <v>https://n.news.naver.com/mnews/article/032/0002268552?sid=101</v>
      </c>
      <c r="H858">
        <v>0.15</v>
      </c>
    </row>
    <row r="859" spans="1:8" x14ac:dyDescent="0.3">
      <c r="A859" t="s">
        <v>2034</v>
      </c>
      <c r="B859" t="s">
        <v>26951</v>
      </c>
      <c r="C859" t="s">
        <v>2287</v>
      </c>
      <c r="D859" t="s">
        <v>2286</v>
      </c>
      <c r="E859" s="2" t="s">
        <v>609</v>
      </c>
      <c r="F859" t="s">
        <v>2215</v>
      </c>
      <c r="G859" t="str">
        <f>HYPERLINK("https://n.news.naver.com/mnews/article/032/0003375047?sid=102")</f>
        <v>https://n.news.naver.com/mnews/article/032/0003375047?sid=102</v>
      </c>
      <c r="H859">
        <v>0.12</v>
      </c>
    </row>
    <row r="860" spans="1:8" x14ac:dyDescent="0.3">
      <c r="A860" t="s">
        <v>2034</v>
      </c>
      <c r="B860" t="s">
        <v>26951</v>
      </c>
      <c r="C860" t="s">
        <v>2289</v>
      </c>
      <c r="D860" t="s">
        <v>2288</v>
      </c>
      <c r="E860" s="2" t="s">
        <v>609</v>
      </c>
      <c r="F860" t="s">
        <v>2215</v>
      </c>
      <c r="G860" t="str">
        <f>HYPERLINK("http://www.nongaek.com/news/articleView.html?idxno=88396")</f>
        <v>http://www.nongaek.com/news/articleView.html?idxno=88396</v>
      </c>
      <c r="H860">
        <v>0.17599999999999999</v>
      </c>
    </row>
    <row r="861" spans="1:8" x14ac:dyDescent="0.3">
      <c r="A861" t="s">
        <v>2034</v>
      </c>
      <c r="B861" t="s">
        <v>26951</v>
      </c>
      <c r="C861" t="s">
        <v>2291</v>
      </c>
      <c r="D861" t="s">
        <v>2290</v>
      </c>
      <c r="E861" s="2" t="s">
        <v>609</v>
      </c>
      <c r="F861" t="s">
        <v>2215</v>
      </c>
      <c r="G861" t="str">
        <f>HYPERLINK("https://n.news.naver.com/mnews/article/032/0003375679?sid=102")</f>
        <v>https://n.news.naver.com/mnews/article/032/0003375679?sid=102</v>
      </c>
      <c r="H861">
        <v>0.18099999999999999</v>
      </c>
    </row>
    <row r="862" spans="1:8" x14ac:dyDescent="0.3">
      <c r="A862" t="s">
        <v>2034</v>
      </c>
      <c r="B862" t="s">
        <v>26951</v>
      </c>
      <c r="C862" t="s">
        <v>648</v>
      </c>
      <c r="D862" t="s">
        <v>647</v>
      </c>
      <c r="E862" s="2" t="s">
        <v>609</v>
      </c>
      <c r="F862" t="s">
        <v>376</v>
      </c>
      <c r="G862" t="str">
        <f>HYPERLINK("https://n.news.naver.com/mnews/article/028/0002695537?sid=102")</f>
        <v>https://n.news.naver.com/mnews/article/028/0002695537?sid=102</v>
      </c>
      <c r="H862">
        <v>0.14899999999999999</v>
      </c>
    </row>
    <row r="863" spans="1:8" x14ac:dyDescent="0.3">
      <c r="A863" t="s">
        <v>2034</v>
      </c>
      <c r="B863" t="s">
        <v>26951</v>
      </c>
      <c r="C863" t="s">
        <v>2294</v>
      </c>
      <c r="D863" t="s">
        <v>2293</v>
      </c>
      <c r="E863" s="2" t="s">
        <v>609</v>
      </c>
      <c r="F863" t="s">
        <v>2292</v>
      </c>
      <c r="G863" t="str">
        <f>HYPERLINK("http://www.sisaon.co.kr/news/articleView.html?idxno=139943")</f>
        <v>http://www.sisaon.co.kr/news/articleView.html?idxno=139943</v>
      </c>
      <c r="H863">
        <v>0.66500000000000004</v>
      </c>
    </row>
    <row r="864" spans="1:8" x14ac:dyDescent="0.3">
      <c r="A864" t="s">
        <v>2034</v>
      </c>
      <c r="B864" t="s">
        <v>26951</v>
      </c>
      <c r="C864" t="s">
        <v>2297</v>
      </c>
      <c r="D864" t="s">
        <v>2296</v>
      </c>
      <c r="E864" s="2" t="s">
        <v>609</v>
      </c>
      <c r="F864" t="s">
        <v>2295</v>
      </c>
      <c r="G864" t="str">
        <f>HYPERLINK("http://www.newsfreezone.co.kr/news/articleView.html?idxno=84259")</f>
        <v>http://www.newsfreezone.co.kr/news/articleView.html?idxno=84259</v>
      </c>
      <c r="H864">
        <v>0.39600000000000002</v>
      </c>
    </row>
    <row r="865" spans="1:8" x14ac:dyDescent="0.3">
      <c r="A865" t="s">
        <v>2034</v>
      </c>
      <c r="B865" t="s">
        <v>26951</v>
      </c>
      <c r="C865" t="s">
        <v>2299</v>
      </c>
      <c r="D865" t="s">
        <v>2298</v>
      </c>
      <c r="E865" s="2" t="s">
        <v>609</v>
      </c>
      <c r="F865" t="s">
        <v>1960</v>
      </c>
      <c r="G865" t="str">
        <f>HYPERLINK("http://apnews.kr/View.aspx?No=1539627")</f>
        <v>http://apnews.kr/View.aspx?No=1539627</v>
      </c>
      <c r="H865">
        <v>0.17</v>
      </c>
    </row>
    <row r="866" spans="1:8" x14ac:dyDescent="0.3">
      <c r="A866" t="s">
        <v>2034</v>
      </c>
      <c r="B866" t="s">
        <v>26951</v>
      </c>
      <c r="C866" t="s">
        <v>2301</v>
      </c>
      <c r="D866" t="s">
        <v>2300</v>
      </c>
      <c r="E866" s="2" t="s">
        <v>609</v>
      </c>
      <c r="F866" t="s">
        <v>2233</v>
      </c>
      <c r="G866" t="str">
        <f>HYPERLINK("https://www.apnews.kr/news/articleView.html?idxno=3026479")</f>
        <v>https://www.apnews.kr/news/articleView.html?idxno=3026479</v>
      </c>
      <c r="H866">
        <v>0.27100000000000002</v>
      </c>
    </row>
    <row r="867" spans="1:8" x14ac:dyDescent="0.3">
      <c r="A867" t="s">
        <v>2034</v>
      </c>
      <c r="B867" t="s">
        <v>26951</v>
      </c>
      <c r="C867" t="s">
        <v>2303</v>
      </c>
      <c r="D867" t="s">
        <v>2302</v>
      </c>
      <c r="E867" s="2" t="s">
        <v>609</v>
      </c>
      <c r="F867" t="s">
        <v>2124</v>
      </c>
      <c r="G867" t="str">
        <f>HYPERLINK("https://www.jjan.kr/article/20250603580013")</f>
        <v>https://www.jjan.kr/article/20250603580013</v>
      </c>
      <c r="H867">
        <v>0.505</v>
      </c>
    </row>
    <row r="868" spans="1:8" x14ac:dyDescent="0.3">
      <c r="A868" t="s">
        <v>2034</v>
      </c>
      <c r="B868" t="s">
        <v>26951</v>
      </c>
      <c r="C868" t="s">
        <v>2306</v>
      </c>
      <c r="D868" t="s">
        <v>2305</v>
      </c>
      <c r="E868" s="2" t="s">
        <v>609</v>
      </c>
      <c r="F868" t="s">
        <v>2304</v>
      </c>
      <c r="G868" t="str">
        <f>HYPERLINK("http://news.lghellovision.net/news/articleView.html?idxno=510065")</f>
        <v>http://news.lghellovision.net/news/articleView.html?idxno=510065</v>
      </c>
      <c r="H868">
        <v>0.23</v>
      </c>
    </row>
    <row r="869" spans="1:8" x14ac:dyDescent="0.3">
      <c r="A869" t="s">
        <v>2034</v>
      </c>
      <c r="B869" t="s">
        <v>26951</v>
      </c>
      <c r="C869" t="s">
        <v>2309</v>
      </c>
      <c r="D869" t="s">
        <v>2308</v>
      </c>
      <c r="E869" s="2" t="s">
        <v>609</v>
      </c>
      <c r="F869" t="s">
        <v>2307</v>
      </c>
      <c r="G869" t="str">
        <f>HYPERLINK("https://n.news.naver.com/mnews/article/032/0002244753?sid=101")</f>
        <v>https://n.news.naver.com/mnews/article/032/0002244753?sid=101</v>
      </c>
      <c r="H869">
        <v>0.249</v>
      </c>
    </row>
    <row r="870" spans="1:8" x14ac:dyDescent="0.3">
      <c r="A870" t="s">
        <v>2034</v>
      </c>
      <c r="B870" t="s">
        <v>26951</v>
      </c>
      <c r="C870" t="s">
        <v>2311</v>
      </c>
      <c r="D870" t="s">
        <v>2310</v>
      </c>
      <c r="E870" s="2" t="s">
        <v>609</v>
      </c>
      <c r="F870" t="s">
        <v>2135</v>
      </c>
      <c r="G870" t="str">
        <f>HYPERLINK("https://n.news.naver.com/mnews/article/006/0000127472?sid=102")</f>
        <v>https://n.news.naver.com/mnews/article/006/0000127472?sid=102</v>
      </c>
      <c r="H870">
        <v>0.121</v>
      </c>
    </row>
    <row r="871" spans="1:8" x14ac:dyDescent="0.3">
      <c r="A871" t="s">
        <v>2034</v>
      </c>
      <c r="B871" t="s">
        <v>26951</v>
      </c>
      <c r="C871" t="s">
        <v>2314</v>
      </c>
      <c r="D871" t="s">
        <v>2313</v>
      </c>
      <c r="E871" s="2" t="s">
        <v>653</v>
      </c>
      <c r="F871" t="s">
        <v>2312</v>
      </c>
      <c r="G871" t="str">
        <f>HYPERLINK("https://n.news.naver.com/mnews/article/032/0000072371?sid=103")</f>
        <v>https://n.news.naver.com/mnews/article/032/0000072371?sid=103</v>
      </c>
      <c r="H871">
        <v>0.154</v>
      </c>
    </row>
    <row r="872" spans="1:8" x14ac:dyDescent="0.3">
      <c r="A872" t="s">
        <v>2034</v>
      </c>
      <c r="B872" t="s">
        <v>26951</v>
      </c>
      <c r="C872" t="s">
        <v>2317</v>
      </c>
      <c r="D872" t="s">
        <v>2316</v>
      </c>
      <c r="E872" s="2" t="s">
        <v>653</v>
      </c>
      <c r="F872" t="s">
        <v>2315</v>
      </c>
      <c r="G872" t="str">
        <f>HYPERLINK("http://www.knnews.co.kr/news/articleView.php?idxno=1342562")</f>
        <v>http://www.knnews.co.kr/news/articleView.php?idxno=1342562</v>
      </c>
      <c r="H872">
        <v>0.39800000000000002</v>
      </c>
    </row>
    <row r="873" spans="1:8" x14ac:dyDescent="0.3">
      <c r="A873" t="s">
        <v>2034</v>
      </c>
      <c r="B873" t="s">
        <v>26951</v>
      </c>
      <c r="C873" t="s">
        <v>2319</v>
      </c>
      <c r="D873" t="s">
        <v>2318</v>
      </c>
      <c r="E873" s="2" t="s">
        <v>653</v>
      </c>
      <c r="F873" t="s">
        <v>197</v>
      </c>
      <c r="G873" t="str">
        <f>HYPERLINK("https://n.news.naver.com/mnews/article/006/0000127351?sid=102")</f>
        <v>https://n.news.naver.com/mnews/article/006/0000127351?sid=102</v>
      </c>
      <c r="H873">
        <v>0.36699999999999999</v>
      </c>
    </row>
    <row r="874" spans="1:8" x14ac:dyDescent="0.3">
      <c r="A874" t="s">
        <v>2034</v>
      </c>
      <c r="B874" t="s">
        <v>26951</v>
      </c>
      <c r="C874" t="s">
        <v>2322</v>
      </c>
      <c r="D874" t="s">
        <v>2321</v>
      </c>
      <c r="E874" s="2" t="s">
        <v>653</v>
      </c>
      <c r="F874" t="s">
        <v>2320</v>
      </c>
      <c r="G874" t="str">
        <f>HYPERLINK("https://www.newsfreezone.co.kr/news/articleView.html?idxno=630333")</f>
        <v>https://www.newsfreezone.co.kr/news/articleView.html?idxno=630333</v>
      </c>
      <c r="H874">
        <v>0.58399999999999996</v>
      </c>
    </row>
    <row r="875" spans="1:8" x14ac:dyDescent="0.3">
      <c r="A875" t="s">
        <v>2034</v>
      </c>
      <c r="B875" t="s">
        <v>26951</v>
      </c>
      <c r="C875" t="s">
        <v>2324</v>
      </c>
      <c r="D875" t="s">
        <v>2323</v>
      </c>
      <c r="E875" s="2" t="s">
        <v>653</v>
      </c>
      <c r="F875" t="s">
        <v>208</v>
      </c>
      <c r="G875" t="str">
        <f>HYPERLINK("https://n.news.naver.com/mnews/article/119/0002973907?sid=101")</f>
        <v>https://n.news.naver.com/mnews/article/119/0002973907?sid=101</v>
      </c>
      <c r="H875">
        <v>0.217</v>
      </c>
    </row>
    <row r="876" spans="1:8" x14ac:dyDescent="0.3">
      <c r="A876" t="s">
        <v>2034</v>
      </c>
      <c r="B876" t="s">
        <v>26951</v>
      </c>
      <c r="C876" t="s">
        <v>2326</v>
      </c>
      <c r="D876" t="s">
        <v>2325</v>
      </c>
      <c r="E876" s="2" t="s">
        <v>653</v>
      </c>
      <c r="F876" t="s">
        <v>2147</v>
      </c>
      <c r="G876" t="str">
        <f>HYPERLINK("https://www.etoday.co.kr/news/view/2226920")</f>
        <v>https://www.etoday.co.kr/news/view/2226920</v>
      </c>
      <c r="H876">
        <v>0.60799999999999998</v>
      </c>
    </row>
    <row r="877" spans="1:8" x14ac:dyDescent="0.3">
      <c r="A877" t="s">
        <v>2034</v>
      </c>
      <c r="B877" t="s">
        <v>26951</v>
      </c>
      <c r="C877" t="s">
        <v>2329</v>
      </c>
      <c r="D877" t="s">
        <v>2328</v>
      </c>
      <c r="E877" s="2" t="s">
        <v>653</v>
      </c>
      <c r="F877" t="s">
        <v>2327</v>
      </c>
      <c r="G877" t="str">
        <f>HYPERLINK("https://n.news.naver.com/mnews/article/022/0003948298?sid=100")</f>
        <v>https://n.news.naver.com/mnews/article/022/0003948298?sid=100</v>
      </c>
      <c r="H877">
        <v>0.36699999999999999</v>
      </c>
    </row>
    <row r="878" spans="1:8" x14ac:dyDescent="0.3">
      <c r="A878" t="s">
        <v>2034</v>
      </c>
      <c r="B878" t="s">
        <v>26951</v>
      </c>
      <c r="C878" t="s">
        <v>2332</v>
      </c>
      <c r="D878" t="s">
        <v>2331</v>
      </c>
      <c r="E878" s="2" t="s">
        <v>653</v>
      </c>
      <c r="F878" t="s">
        <v>2330</v>
      </c>
      <c r="G878" t="str">
        <f>HYPERLINK("https://n.news.naver.com/mnews/article/032/0003379535?sid=102")</f>
        <v>https://n.news.naver.com/mnews/article/032/0003379535?sid=102</v>
      </c>
      <c r="H878">
        <v>0.32500000000000001</v>
      </c>
    </row>
    <row r="879" spans="1:8" x14ac:dyDescent="0.3">
      <c r="A879" t="s">
        <v>2034</v>
      </c>
      <c r="B879" t="s">
        <v>26951</v>
      </c>
      <c r="C879" t="s">
        <v>2335</v>
      </c>
      <c r="D879" t="s">
        <v>2334</v>
      </c>
      <c r="E879" s="2" t="s">
        <v>653</v>
      </c>
      <c r="F879" t="s">
        <v>2333</v>
      </c>
      <c r="G879" t="str">
        <f>HYPERLINK("https://www.gasnews.com/news/articleView.html?idxno=117842")</f>
        <v>https://www.gasnews.com/news/articleView.html?idxno=117842</v>
      </c>
      <c r="H879">
        <v>0.30599999999999999</v>
      </c>
    </row>
    <row r="880" spans="1:8" x14ac:dyDescent="0.3">
      <c r="A880" t="s">
        <v>2034</v>
      </c>
      <c r="B880" t="s">
        <v>26951</v>
      </c>
      <c r="C880" t="s">
        <v>2338</v>
      </c>
      <c r="D880" t="s">
        <v>2337</v>
      </c>
      <c r="E880" s="2" t="s">
        <v>653</v>
      </c>
      <c r="F880" t="s">
        <v>2336</v>
      </c>
      <c r="G880" t="str">
        <f>HYPERLINK("http://www.nongaek.com/news/articleView.html?idxno=91646")</f>
        <v>http://www.nongaek.com/news/articleView.html?idxno=91646</v>
      </c>
      <c r="H880">
        <v>0.42199999999999999</v>
      </c>
    </row>
    <row r="881" spans="1:8" x14ac:dyDescent="0.3">
      <c r="A881" t="s">
        <v>2034</v>
      </c>
      <c r="B881" t="s">
        <v>26951</v>
      </c>
      <c r="C881" t="s">
        <v>2340</v>
      </c>
      <c r="D881" t="s">
        <v>2339</v>
      </c>
      <c r="E881" s="2" t="s">
        <v>653</v>
      </c>
      <c r="F881" t="s">
        <v>134</v>
      </c>
      <c r="G881" t="str">
        <f>HYPERLINK("https://www.ekoreanews.co.kr/news/articleView.html?idxno=79218")</f>
        <v>https://www.ekoreanews.co.kr/news/articleView.html?idxno=79218</v>
      </c>
      <c r="H881">
        <v>0.43099999999999999</v>
      </c>
    </row>
    <row r="882" spans="1:8" x14ac:dyDescent="0.3">
      <c r="A882" t="s">
        <v>2034</v>
      </c>
      <c r="B882" t="s">
        <v>26951</v>
      </c>
      <c r="C882" t="s">
        <v>2342</v>
      </c>
      <c r="D882" t="s">
        <v>2341</v>
      </c>
      <c r="E882" s="2" t="s">
        <v>653</v>
      </c>
      <c r="F882" t="s">
        <v>2212</v>
      </c>
      <c r="G882" t="str">
        <f>HYPERLINK("http://www.nongaek.com/news/articleView.html?idxno=91615")</f>
        <v>http://www.nongaek.com/news/articleView.html?idxno=91615</v>
      </c>
      <c r="H882">
        <v>0.77700000000000002</v>
      </c>
    </row>
    <row r="883" spans="1:8" x14ac:dyDescent="0.3">
      <c r="A883" t="s">
        <v>2034</v>
      </c>
      <c r="B883" t="s">
        <v>26951</v>
      </c>
      <c r="C883" t="s">
        <v>2345</v>
      </c>
      <c r="D883" t="s">
        <v>2344</v>
      </c>
      <c r="E883" s="2" t="s">
        <v>653</v>
      </c>
      <c r="F883" t="s">
        <v>2343</v>
      </c>
      <c r="G883" t="str">
        <f>HYPERLINK("http://www.laborplus.co.kr/news/articleView.html?idxno=32518")</f>
        <v>http://www.laborplus.co.kr/news/articleView.html?idxno=32518</v>
      </c>
      <c r="H883">
        <v>0.13400000000000001</v>
      </c>
    </row>
    <row r="884" spans="1:8" x14ac:dyDescent="0.3">
      <c r="A884" t="s">
        <v>2034</v>
      </c>
      <c r="B884" t="s">
        <v>26951</v>
      </c>
      <c r="C884" t="s">
        <v>2348</v>
      </c>
      <c r="D884" t="s">
        <v>2347</v>
      </c>
      <c r="E884" s="2" t="s">
        <v>653</v>
      </c>
      <c r="F884" t="s">
        <v>2346</v>
      </c>
      <c r="G884" t="str">
        <f>HYPERLINK("https://www.ltn.kr/news/articleView.html?idxno=48891")</f>
        <v>https://www.ltn.kr/news/articleView.html?idxno=48891</v>
      </c>
      <c r="H884">
        <v>0.53900000000000003</v>
      </c>
    </row>
    <row r="885" spans="1:8" x14ac:dyDescent="0.3">
      <c r="A885" t="s">
        <v>2034</v>
      </c>
      <c r="B885" t="s">
        <v>26951</v>
      </c>
      <c r="C885" t="s">
        <v>2351</v>
      </c>
      <c r="D885" t="s">
        <v>2350</v>
      </c>
      <c r="E885" s="2" t="s">
        <v>653</v>
      </c>
      <c r="F885" t="s">
        <v>2349</v>
      </c>
      <c r="G885" t="str">
        <f>HYPERLINK("http://apnews.kr/View.aspx?No=809994")</f>
        <v>http://apnews.kr/View.aspx?No=809994</v>
      </c>
      <c r="H885">
        <v>0.32</v>
      </c>
    </row>
    <row r="886" spans="1:8" x14ac:dyDescent="0.3">
      <c r="A886" t="s">
        <v>2034</v>
      </c>
      <c r="B886" t="s">
        <v>26951</v>
      </c>
      <c r="C886" t="s">
        <v>2354</v>
      </c>
      <c r="D886" t="s">
        <v>2353</v>
      </c>
      <c r="E886" s="2" t="s">
        <v>653</v>
      </c>
      <c r="F886" t="s">
        <v>2352</v>
      </c>
      <c r="G886" t="str">
        <f>HYPERLINK("https://www.apnews.kr/news/articleView.html?idxno=3025855")</f>
        <v>https://www.apnews.kr/news/articleView.html?idxno=3025855</v>
      </c>
      <c r="H886">
        <v>0.24299999999999999</v>
      </c>
    </row>
    <row r="887" spans="1:8" x14ac:dyDescent="0.3">
      <c r="A887" t="s">
        <v>2034</v>
      </c>
      <c r="B887" t="s">
        <v>26951</v>
      </c>
      <c r="C887" t="s">
        <v>2357</v>
      </c>
      <c r="D887" t="s">
        <v>2356</v>
      </c>
      <c r="E887" s="2" t="s">
        <v>653</v>
      </c>
      <c r="F887" t="s">
        <v>166</v>
      </c>
      <c r="G887" t="str">
        <f>HYPERLINK("http://www.nongaek.com/news/articleView.html?idxno=91824")</f>
        <v>http://www.nongaek.com/news/articleView.html?idxno=91824</v>
      </c>
      <c r="H887">
        <v>0.17499999999999999</v>
      </c>
    </row>
    <row r="888" spans="1:8" x14ac:dyDescent="0.3">
      <c r="A888" t="s">
        <v>2034</v>
      </c>
      <c r="B888" t="s">
        <v>26951</v>
      </c>
      <c r="C888" t="s">
        <v>2359</v>
      </c>
      <c r="D888" t="s">
        <v>2358</v>
      </c>
      <c r="E888" s="2" t="s">
        <v>653</v>
      </c>
      <c r="F888" t="s">
        <v>1799</v>
      </c>
      <c r="G888" t="str">
        <f>HYPERLINK("https://n.news.naver.com/mnews/article/022/0004046853?sid=102")</f>
        <v>https://n.news.naver.com/mnews/article/022/0004046853?sid=102</v>
      </c>
      <c r="H888">
        <v>0.30099999999999999</v>
      </c>
    </row>
    <row r="889" spans="1:8" x14ac:dyDescent="0.3">
      <c r="A889" t="s">
        <v>2034</v>
      </c>
      <c r="B889" t="s">
        <v>26951</v>
      </c>
      <c r="C889" t="s">
        <v>2361</v>
      </c>
      <c r="D889" t="s">
        <v>2360</v>
      </c>
      <c r="E889" s="2" t="s">
        <v>653</v>
      </c>
      <c r="F889" t="s">
        <v>2163</v>
      </c>
      <c r="G889" t="str">
        <f>HYPERLINK("https://n.news.naver.com/mnews/article/006/0000127472?sid=102")</f>
        <v>https://n.news.naver.com/mnews/article/006/0000127472?sid=102</v>
      </c>
      <c r="H889">
        <v>7.5999999999999998E-2</v>
      </c>
    </row>
    <row r="890" spans="1:8" x14ac:dyDescent="0.3">
      <c r="A890" t="s">
        <v>2034</v>
      </c>
      <c r="B890" t="s">
        <v>26951</v>
      </c>
      <c r="C890" t="s">
        <v>2363</v>
      </c>
      <c r="D890" t="s">
        <v>2362</v>
      </c>
      <c r="E890" s="2" t="s">
        <v>653</v>
      </c>
      <c r="F890" t="s">
        <v>1960</v>
      </c>
      <c r="G890" t="str">
        <f>HYPERLINK("http://apnews.kr/View.aspx?No=1539627")</f>
        <v>http://apnews.kr/View.aspx?No=1539627</v>
      </c>
      <c r="H890">
        <v>0.122</v>
      </c>
    </row>
    <row r="891" spans="1:8" x14ac:dyDescent="0.3">
      <c r="A891" t="s">
        <v>2034</v>
      </c>
      <c r="B891" t="s">
        <v>26951</v>
      </c>
      <c r="C891" t="s">
        <v>2365</v>
      </c>
      <c r="D891" t="s">
        <v>2364</v>
      </c>
      <c r="E891" s="2" t="s">
        <v>653</v>
      </c>
      <c r="F891" t="s">
        <v>857</v>
      </c>
      <c r="G891" t="str">
        <f>HYPERLINK("https://www.the-pr.co.kr/news/articleView.html?idxno=52743")</f>
        <v>https://www.the-pr.co.kr/news/articleView.html?idxno=52743</v>
      </c>
      <c r="H891">
        <v>0.186</v>
      </c>
    </row>
    <row r="892" spans="1:8" x14ac:dyDescent="0.3">
      <c r="A892" t="s">
        <v>2034</v>
      </c>
      <c r="B892" t="s">
        <v>26951</v>
      </c>
      <c r="C892" t="s">
        <v>2367</v>
      </c>
      <c r="D892" t="s">
        <v>2366</v>
      </c>
      <c r="E892" s="2" t="s">
        <v>653</v>
      </c>
      <c r="F892" t="s">
        <v>2135</v>
      </c>
      <c r="G892" t="str">
        <f>HYPERLINK("https://n.news.naver.com/mnews/article/006/0000127472?sid=102")</f>
        <v>https://n.news.naver.com/mnews/article/006/0000127472?sid=102</v>
      </c>
      <c r="H892">
        <v>0.19500000000000001</v>
      </c>
    </row>
    <row r="893" spans="1:8" x14ac:dyDescent="0.3">
      <c r="A893" t="s">
        <v>2034</v>
      </c>
      <c r="B893" t="s">
        <v>26951</v>
      </c>
      <c r="C893" t="s">
        <v>2370</v>
      </c>
      <c r="D893" t="s">
        <v>2369</v>
      </c>
      <c r="E893" s="2" t="s">
        <v>692</v>
      </c>
      <c r="F893" t="s">
        <v>2368</v>
      </c>
      <c r="G893" t="str">
        <f>HYPERLINK("https://www.travie.com/news/articleView.html?idxno=53037")</f>
        <v>https://www.travie.com/news/articleView.html?idxno=53037</v>
      </c>
      <c r="H893">
        <v>0.50800000000000001</v>
      </c>
    </row>
    <row r="894" spans="1:8" x14ac:dyDescent="0.3">
      <c r="A894" t="s">
        <v>2034</v>
      </c>
      <c r="B894" t="s">
        <v>26951</v>
      </c>
      <c r="C894" t="s">
        <v>2372</v>
      </c>
      <c r="D894" t="s">
        <v>2371</v>
      </c>
      <c r="E894" s="2" t="s">
        <v>692</v>
      </c>
      <c r="F894" t="s">
        <v>914</v>
      </c>
      <c r="G894" t="str">
        <f>HYPERLINK("http://www.ccreview.co.kr/news/articleView.html?idxno=308378")</f>
        <v>http://www.ccreview.co.kr/news/articleView.html?idxno=308378</v>
      </c>
      <c r="H894">
        <v>0.52100000000000002</v>
      </c>
    </row>
    <row r="895" spans="1:8" x14ac:dyDescent="0.3">
      <c r="A895" t="s">
        <v>2034</v>
      </c>
      <c r="B895" t="s">
        <v>26951</v>
      </c>
      <c r="C895" t="s">
        <v>2375</v>
      </c>
      <c r="D895" t="s">
        <v>2374</v>
      </c>
      <c r="E895" s="2" t="s">
        <v>692</v>
      </c>
      <c r="F895" t="s">
        <v>2373</v>
      </c>
      <c r="G895" t="str">
        <f>HYPERLINK("https://www.pennmike.com/news/articleView.html?idxno=91772")</f>
        <v>https://www.pennmike.com/news/articleView.html?idxno=91772</v>
      </c>
      <c r="H895">
        <v>0.441</v>
      </c>
    </row>
    <row r="896" spans="1:8" x14ac:dyDescent="0.3">
      <c r="A896" t="s">
        <v>2034</v>
      </c>
      <c r="B896" t="s">
        <v>26951</v>
      </c>
      <c r="C896" t="s">
        <v>2377</v>
      </c>
      <c r="D896" t="s">
        <v>2376</v>
      </c>
      <c r="E896" s="2" t="s">
        <v>692</v>
      </c>
      <c r="F896" t="s">
        <v>796</v>
      </c>
      <c r="G896" t="str">
        <f>HYPERLINK("https://n.news.naver.com/mnews/article/032/0003374716?sid=102")</f>
        <v>https://n.news.naver.com/mnews/article/032/0003374716?sid=102</v>
      </c>
      <c r="H896">
        <v>0.161</v>
      </c>
    </row>
    <row r="897" spans="1:8" x14ac:dyDescent="0.3">
      <c r="A897" t="s">
        <v>2034</v>
      </c>
      <c r="B897" t="s">
        <v>26951</v>
      </c>
      <c r="C897" t="s">
        <v>2382</v>
      </c>
      <c r="D897" t="s">
        <v>2381</v>
      </c>
      <c r="E897" s="2" t="s">
        <v>692</v>
      </c>
      <c r="F897" t="s">
        <v>197</v>
      </c>
      <c r="G897" t="str">
        <f>HYPERLINK("https://n.news.naver.com/mnews/article/006/0000126912?sid=102")</f>
        <v>https://n.news.naver.com/mnews/article/006/0000126912?sid=102</v>
      </c>
      <c r="H897">
        <v>0.373</v>
      </c>
    </row>
    <row r="898" spans="1:8" x14ac:dyDescent="0.3">
      <c r="A898" t="s">
        <v>2034</v>
      </c>
      <c r="B898" t="s">
        <v>26951</v>
      </c>
      <c r="C898" t="s">
        <v>2384</v>
      </c>
      <c r="D898" t="s">
        <v>2383</v>
      </c>
      <c r="E898" s="2" t="s">
        <v>692</v>
      </c>
      <c r="F898" t="s">
        <v>73</v>
      </c>
      <c r="G898" t="str">
        <f>HYPERLINK("https://n.news.naver.com/mnews/article/079/0004032584?sid=104")</f>
        <v>https://n.news.naver.com/mnews/article/079/0004032584?sid=104</v>
      </c>
      <c r="H898">
        <v>0.30599999999999999</v>
      </c>
    </row>
    <row r="899" spans="1:8" x14ac:dyDescent="0.3">
      <c r="A899" t="s">
        <v>2034</v>
      </c>
      <c r="B899" t="s">
        <v>26951</v>
      </c>
      <c r="C899" t="s">
        <v>2387</v>
      </c>
      <c r="D899" t="s">
        <v>2386</v>
      </c>
      <c r="E899" s="2" t="s">
        <v>692</v>
      </c>
      <c r="F899" t="s">
        <v>2385</v>
      </c>
      <c r="G899" t="str">
        <f>HYPERLINK("https://jhealthmedia.joins.com/news/articleView.html?idxno=30576")</f>
        <v>https://jhealthmedia.joins.com/news/articleView.html?idxno=30576</v>
      </c>
      <c r="H899">
        <v>0.309</v>
      </c>
    </row>
    <row r="900" spans="1:8" x14ac:dyDescent="0.3">
      <c r="A900" t="s">
        <v>2034</v>
      </c>
      <c r="B900" t="s">
        <v>26951</v>
      </c>
      <c r="C900" t="s">
        <v>2388</v>
      </c>
      <c r="D900" t="s">
        <v>1912</v>
      </c>
      <c r="E900" s="2" t="s">
        <v>692</v>
      </c>
      <c r="F900" t="s">
        <v>1911</v>
      </c>
      <c r="G900" t="str">
        <f>HYPERLINK("https://www.catholictimes.org/article/20250623500146")</f>
        <v>https://www.catholictimes.org/article/20250623500146</v>
      </c>
      <c r="H900">
        <v>0.13200000000000001</v>
      </c>
    </row>
    <row r="901" spans="1:8" x14ac:dyDescent="0.3">
      <c r="A901" t="s">
        <v>2034</v>
      </c>
      <c r="B901" t="s">
        <v>26951</v>
      </c>
      <c r="C901" t="s">
        <v>2393</v>
      </c>
      <c r="D901" t="s">
        <v>2392</v>
      </c>
      <c r="E901" s="2" t="s">
        <v>692</v>
      </c>
      <c r="F901" t="s">
        <v>2391</v>
      </c>
      <c r="G901" t="str">
        <f>HYPERLINK("https://n.news.naver.com/mnews/article/032/0003116964?sid=102")</f>
        <v>https://n.news.naver.com/mnews/article/032/0003116964?sid=102</v>
      </c>
      <c r="H901">
        <v>0.26300000000000001</v>
      </c>
    </row>
    <row r="902" spans="1:8" x14ac:dyDescent="0.3">
      <c r="A902" t="s">
        <v>2034</v>
      </c>
      <c r="B902" t="s">
        <v>26951</v>
      </c>
      <c r="C902" t="s">
        <v>2395</v>
      </c>
      <c r="D902" t="s">
        <v>2394</v>
      </c>
      <c r="E902" s="2" t="s">
        <v>692</v>
      </c>
      <c r="F902" t="s">
        <v>2046</v>
      </c>
      <c r="G902" t="str">
        <f>HYPERLINK("https://www.catholictimes.org/article/20250623500146")</f>
        <v>https://www.catholictimes.org/article/20250623500146</v>
      </c>
      <c r="H902">
        <v>0.38700000000000001</v>
      </c>
    </row>
    <row r="903" spans="1:8" x14ac:dyDescent="0.3">
      <c r="A903" t="s">
        <v>2034</v>
      </c>
      <c r="B903" t="s">
        <v>26951</v>
      </c>
      <c r="C903" t="s">
        <v>2397</v>
      </c>
      <c r="D903" t="s">
        <v>2396</v>
      </c>
      <c r="E903" s="2" t="s">
        <v>692</v>
      </c>
      <c r="F903" t="s">
        <v>805</v>
      </c>
      <c r="G903" t="str">
        <f>HYPERLINK("https://n.news.naver.com/mnews/article/032/0003374657?sid=102")</f>
        <v>https://n.news.naver.com/mnews/article/032/0003374657?sid=102</v>
      </c>
      <c r="H903">
        <v>0.24299999999999999</v>
      </c>
    </row>
    <row r="904" spans="1:8" x14ac:dyDescent="0.3">
      <c r="A904" t="s">
        <v>2034</v>
      </c>
      <c r="B904" t="s">
        <v>26951</v>
      </c>
      <c r="C904" t="s">
        <v>2399</v>
      </c>
      <c r="D904" t="s">
        <v>2398</v>
      </c>
      <c r="E904" s="2" t="s">
        <v>692</v>
      </c>
      <c r="F904" t="s">
        <v>1731</v>
      </c>
      <c r="G904" t="str">
        <f>HYPERLINK("https://www.ekn.kr/web/view.php?key=20250509027045111")</f>
        <v>https://www.ekn.kr/web/view.php?key=20250509027045111</v>
      </c>
      <c r="H904">
        <v>0.46200000000000002</v>
      </c>
    </row>
    <row r="905" spans="1:8" x14ac:dyDescent="0.3">
      <c r="A905" t="s">
        <v>2034</v>
      </c>
      <c r="B905" t="s">
        <v>26951</v>
      </c>
      <c r="C905" t="s">
        <v>2401</v>
      </c>
      <c r="D905" t="s">
        <v>2400</v>
      </c>
      <c r="E905" s="2" t="s">
        <v>692</v>
      </c>
      <c r="F905" t="s">
        <v>89</v>
      </c>
      <c r="G905" t="str">
        <f>HYPERLINK("https://www.gokorea.kr/news/articleView.html?idxno=749996")</f>
        <v>https://www.gokorea.kr/news/articleView.html?idxno=749996</v>
      </c>
      <c r="H905">
        <v>0.50700000000000001</v>
      </c>
    </row>
    <row r="906" spans="1:8" x14ac:dyDescent="0.3">
      <c r="A906" t="s">
        <v>2034</v>
      </c>
      <c r="B906" t="s">
        <v>26951</v>
      </c>
      <c r="C906" t="s">
        <v>2404</v>
      </c>
      <c r="D906" t="s">
        <v>2403</v>
      </c>
      <c r="E906" s="2" t="s">
        <v>711</v>
      </c>
      <c r="F906" t="s">
        <v>2402</v>
      </c>
      <c r="G906" t="str">
        <f>HYPERLINK("https://n.news.naver.com/mnews/article/032/0002708054?sid=110")</f>
        <v>https://n.news.naver.com/mnews/article/032/0002708054?sid=110</v>
      </c>
      <c r="H906">
        <v>0.29099999999999998</v>
      </c>
    </row>
    <row r="907" spans="1:8" x14ac:dyDescent="0.3">
      <c r="A907" t="s">
        <v>2034</v>
      </c>
      <c r="B907" t="s">
        <v>26951</v>
      </c>
      <c r="C907" t="s">
        <v>2407</v>
      </c>
      <c r="D907" t="s">
        <v>2406</v>
      </c>
      <c r="E907" s="2" t="s">
        <v>711</v>
      </c>
      <c r="F907" t="s">
        <v>2405</v>
      </c>
      <c r="G907" t="str">
        <f>HYPERLINK("http://www.kyeonggi.com/news/articleView.html?idxno=743813")</f>
        <v>http://www.kyeonggi.com/news/articleView.html?idxno=743813</v>
      </c>
      <c r="H907">
        <v>0.27200000000000002</v>
      </c>
    </row>
    <row r="908" spans="1:8" x14ac:dyDescent="0.3">
      <c r="A908" t="s">
        <v>2034</v>
      </c>
      <c r="B908" t="s">
        <v>26951</v>
      </c>
      <c r="C908" t="s">
        <v>2409</v>
      </c>
      <c r="D908" t="s">
        <v>2408</v>
      </c>
      <c r="E908" s="2" t="s">
        <v>711</v>
      </c>
      <c r="F908" t="s">
        <v>2046</v>
      </c>
      <c r="G908" t="str">
        <f>HYPERLINK("https://www.catholictimes.org/article/20250623500146")</f>
        <v>https://www.catholictimes.org/article/20250623500146</v>
      </c>
      <c r="H908">
        <v>0.40699999999999997</v>
      </c>
    </row>
    <row r="909" spans="1:8" x14ac:dyDescent="0.3">
      <c r="A909" t="s">
        <v>2034</v>
      </c>
      <c r="B909" t="s">
        <v>26951</v>
      </c>
      <c r="C909" t="s">
        <v>2412</v>
      </c>
      <c r="D909" t="s">
        <v>2411</v>
      </c>
      <c r="E909" s="2" t="s">
        <v>711</v>
      </c>
      <c r="F909" t="s">
        <v>2410</v>
      </c>
      <c r="G909" t="str">
        <f>HYPERLINK("http://www.jejusori.net/news/articleView.html?idxno=138584")</f>
        <v>http://www.jejusori.net/news/articleView.html?idxno=138584</v>
      </c>
      <c r="H909">
        <v>0.32600000000000001</v>
      </c>
    </row>
    <row r="910" spans="1:8" x14ac:dyDescent="0.3">
      <c r="A910" t="s">
        <v>2034</v>
      </c>
      <c r="B910" t="s">
        <v>26951</v>
      </c>
      <c r="C910" t="s">
        <v>2414</v>
      </c>
      <c r="D910" t="s">
        <v>2413</v>
      </c>
      <c r="E910" s="2" t="s">
        <v>711</v>
      </c>
      <c r="F910" t="s">
        <v>2124</v>
      </c>
      <c r="G910" t="str">
        <f>HYPERLINK("https://n.news.naver.com/mnews/article/032/0003374449?sid=110")</f>
        <v>https://n.news.naver.com/mnews/article/032/0003374449?sid=110</v>
      </c>
      <c r="H910">
        <v>0.29299999999999998</v>
      </c>
    </row>
    <row r="911" spans="1:8" x14ac:dyDescent="0.3">
      <c r="A911" t="s">
        <v>2034</v>
      </c>
      <c r="B911" t="s">
        <v>26951</v>
      </c>
      <c r="C911" t="s">
        <v>2416</v>
      </c>
      <c r="D911" t="s">
        <v>2415</v>
      </c>
      <c r="E911" s="2" t="s">
        <v>725</v>
      </c>
      <c r="F911" t="s">
        <v>89</v>
      </c>
      <c r="G911" t="str">
        <f>HYPERLINK("http://www.nongaek.com/news/articleView.html?idxno=90423")</f>
        <v>http://www.nongaek.com/news/articleView.html?idxno=90423</v>
      </c>
      <c r="H911">
        <v>0.39400000000000002</v>
      </c>
    </row>
    <row r="912" spans="1:8" x14ac:dyDescent="0.3">
      <c r="A912" t="s">
        <v>2034</v>
      </c>
      <c r="B912" t="s">
        <v>26951</v>
      </c>
      <c r="C912" t="s">
        <v>2419</v>
      </c>
      <c r="D912" t="s">
        <v>2418</v>
      </c>
      <c r="E912" s="2" t="s">
        <v>725</v>
      </c>
      <c r="F912" t="s">
        <v>2417</v>
      </c>
      <c r="G912" t="str">
        <f>HYPERLINK("https://www.idomin.com/news/articleView.html?idxno=940237")</f>
        <v>https://www.idomin.com/news/articleView.html?idxno=940237</v>
      </c>
      <c r="H912">
        <v>0.39700000000000002</v>
      </c>
    </row>
    <row r="913" spans="1:8" x14ac:dyDescent="0.3">
      <c r="A913" t="s">
        <v>2034</v>
      </c>
      <c r="B913" t="s">
        <v>26951</v>
      </c>
      <c r="C913" t="s">
        <v>2422</v>
      </c>
      <c r="D913" t="s">
        <v>2421</v>
      </c>
      <c r="E913" s="2" t="s">
        <v>725</v>
      </c>
      <c r="F913" t="s">
        <v>2420</v>
      </c>
      <c r="G913" t="str">
        <f>HYPERLINK("http://www.newsfreezone.co.kr/news/articleView.html?idxno=462827")</f>
        <v>http://www.newsfreezone.co.kr/news/articleView.html?idxno=462827</v>
      </c>
      <c r="H913">
        <v>0.378</v>
      </c>
    </row>
    <row r="914" spans="1:8" x14ac:dyDescent="0.3">
      <c r="A914" t="s">
        <v>2034</v>
      </c>
      <c r="B914" t="s">
        <v>26951</v>
      </c>
      <c r="C914" t="s">
        <v>2425</v>
      </c>
      <c r="D914" t="s">
        <v>2424</v>
      </c>
      <c r="E914" s="2" t="s">
        <v>725</v>
      </c>
      <c r="F914" t="s">
        <v>2423</v>
      </c>
      <c r="G914" t="str">
        <f>HYPERLINK("https://www.newstof.com/news/articleView.html?idxno=20353")</f>
        <v>https://www.newstof.com/news/articleView.html?idxno=20353</v>
      </c>
      <c r="H914">
        <v>0.56200000000000006</v>
      </c>
    </row>
    <row r="915" spans="1:8" x14ac:dyDescent="0.3">
      <c r="A915" t="s">
        <v>2034</v>
      </c>
      <c r="B915" t="s">
        <v>26951</v>
      </c>
      <c r="C915" t="s">
        <v>2427</v>
      </c>
      <c r="D915" t="s">
        <v>2426</v>
      </c>
      <c r="E915" s="2" t="s">
        <v>725</v>
      </c>
      <c r="F915" t="s">
        <v>460</v>
      </c>
      <c r="G915" t="str">
        <f>HYPERLINK("https://n.news.naver.com/mnews/article/032/0003376879?sid=102")</f>
        <v>https://n.news.naver.com/mnews/article/032/0003376879?sid=102</v>
      </c>
      <c r="H915">
        <v>0.32900000000000001</v>
      </c>
    </row>
    <row r="916" spans="1:8" x14ac:dyDescent="0.3">
      <c r="A916" t="s">
        <v>2034</v>
      </c>
      <c r="B916" t="s">
        <v>26951</v>
      </c>
      <c r="C916" t="s">
        <v>2430</v>
      </c>
      <c r="D916" t="s">
        <v>2429</v>
      </c>
      <c r="E916" s="2" t="s">
        <v>725</v>
      </c>
      <c r="F916" t="s">
        <v>2428</v>
      </c>
      <c r="G916" t="str">
        <f>HYPERLINK("https://n.news.naver.com/mnews/article/011/0004503269?sid=104")</f>
        <v>https://n.news.naver.com/mnews/article/011/0004503269?sid=104</v>
      </c>
      <c r="H916">
        <v>0.16800000000000001</v>
      </c>
    </row>
    <row r="917" spans="1:8" x14ac:dyDescent="0.3">
      <c r="A917" t="s">
        <v>2034</v>
      </c>
      <c r="B917" t="s">
        <v>26951</v>
      </c>
      <c r="C917" t="s">
        <v>2432</v>
      </c>
      <c r="D917" t="s">
        <v>2431</v>
      </c>
      <c r="E917" s="2" t="s">
        <v>725</v>
      </c>
      <c r="F917" t="s">
        <v>1928</v>
      </c>
      <c r="G917" t="str">
        <f>HYPERLINK("http://www.veritas-a.com/news/articleView.html?idxno=318466")</f>
        <v>http://www.veritas-a.com/news/articleView.html?idxno=318466</v>
      </c>
      <c r="H917">
        <v>0.53400000000000003</v>
      </c>
    </row>
    <row r="918" spans="1:8" x14ac:dyDescent="0.3">
      <c r="A918" t="s">
        <v>2034</v>
      </c>
      <c r="B918" t="s">
        <v>26951</v>
      </c>
      <c r="C918" t="s">
        <v>2434</v>
      </c>
      <c r="D918" t="s">
        <v>2433</v>
      </c>
      <c r="E918" s="2" t="s">
        <v>725</v>
      </c>
      <c r="F918" t="s">
        <v>134</v>
      </c>
      <c r="G918" t="str">
        <f>HYPERLINK("https://n.news.naver.com/mnews/article/006/0000129271?sid=102")</f>
        <v>https://n.news.naver.com/mnews/article/006/0000129271?sid=102</v>
      </c>
      <c r="H918">
        <v>0.35199999999999998</v>
      </c>
    </row>
    <row r="919" spans="1:8" x14ac:dyDescent="0.3">
      <c r="A919" t="s">
        <v>2034</v>
      </c>
      <c r="B919" t="s">
        <v>26951</v>
      </c>
      <c r="C919" t="s">
        <v>2436</v>
      </c>
      <c r="D919" t="s">
        <v>2435</v>
      </c>
      <c r="E919" s="2" t="s">
        <v>725</v>
      </c>
      <c r="F919" t="s">
        <v>2212</v>
      </c>
      <c r="G919" t="str">
        <f>HYPERLINK("http://www.jbsori.com/news/articleView.html?idxno=14424")</f>
        <v>http://www.jbsori.com/news/articleView.html?idxno=14424</v>
      </c>
      <c r="H919">
        <v>0.71</v>
      </c>
    </row>
    <row r="920" spans="1:8" x14ac:dyDescent="0.3">
      <c r="A920" t="s">
        <v>2034</v>
      </c>
      <c r="B920" t="s">
        <v>26951</v>
      </c>
      <c r="C920" t="s">
        <v>2439</v>
      </c>
      <c r="D920" t="s">
        <v>2438</v>
      </c>
      <c r="E920" s="2" t="s">
        <v>725</v>
      </c>
      <c r="F920" t="s">
        <v>2437</v>
      </c>
      <c r="G920" t="str">
        <f>HYPERLINK("http://news.bbsi.co.kr/news/articleView.html?idxno=904748")</f>
        <v>http://news.bbsi.co.kr/news/articleView.html?idxno=904748</v>
      </c>
      <c r="H920">
        <v>0.51400000000000001</v>
      </c>
    </row>
    <row r="921" spans="1:8" x14ac:dyDescent="0.3">
      <c r="A921" t="s">
        <v>2034</v>
      </c>
      <c r="B921" t="s">
        <v>26951</v>
      </c>
      <c r="C921" t="s">
        <v>2441</v>
      </c>
      <c r="D921" t="s">
        <v>2440</v>
      </c>
      <c r="E921" s="2" t="s">
        <v>725</v>
      </c>
      <c r="F921" t="s">
        <v>31</v>
      </c>
      <c r="G921" t="str">
        <f>HYPERLINK("https://n.news.naver.com/mnews/article/032/0003374402?sid=102")</f>
        <v>https://n.news.naver.com/mnews/article/032/0003374402?sid=102</v>
      </c>
      <c r="H921">
        <v>0.154</v>
      </c>
    </row>
    <row r="922" spans="1:8" x14ac:dyDescent="0.3">
      <c r="A922" t="s">
        <v>2034</v>
      </c>
      <c r="B922" t="s">
        <v>26951</v>
      </c>
      <c r="C922" t="s">
        <v>2444</v>
      </c>
      <c r="D922" t="s">
        <v>2443</v>
      </c>
      <c r="E922" s="2" t="s">
        <v>725</v>
      </c>
      <c r="F922" t="s">
        <v>2442</v>
      </c>
      <c r="G922" t="str">
        <f>HYPERLINK("https://n.news.naver.com/mnews/article/006/0000112128?sid=105")</f>
        <v>https://n.news.naver.com/mnews/article/006/0000112128?sid=105</v>
      </c>
      <c r="H922">
        <v>0.38700000000000001</v>
      </c>
    </row>
    <row r="923" spans="1:8" x14ac:dyDescent="0.3">
      <c r="A923" t="s">
        <v>2034</v>
      </c>
      <c r="B923" t="s">
        <v>26951</v>
      </c>
      <c r="C923" t="s">
        <v>2447</v>
      </c>
      <c r="D923" t="s">
        <v>2446</v>
      </c>
      <c r="E923" s="2" t="s">
        <v>725</v>
      </c>
      <c r="F923" t="s">
        <v>2445</v>
      </c>
      <c r="G923" t="str">
        <f>HYPERLINK("https://www.nbntv.kr/news/articleView.html?idxno=336799")</f>
        <v>https://www.nbntv.kr/news/articleView.html?idxno=336799</v>
      </c>
      <c r="H923">
        <v>0.91100000000000003</v>
      </c>
    </row>
    <row r="924" spans="1:8" x14ac:dyDescent="0.3">
      <c r="A924" t="s">
        <v>2034</v>
      </c>
      <c r="B924" t="s">
        <v>26951</v>
      </c>
      <c r="C924" t="s">
        <v>2450</v>
      </c>
      <c r="D924" t="s">
        <v>2449</v>
      </c>
      <c r="E924" s="2" t="s">
        <v>725</v>
      </c>
      <c r="F924" t="s">
        <v>2448</v>
      </c>
      <c r="G924" t="str">
        <f>HYPERLINK("http://www.ifs.or.kr/bbs/board.php?bo_table=News&amp;wr_id=2407")</f>
        <v>http://www.ifs.or.kr/bbs/board.php?bo_table=News&amp;wr_id=2407</v>
      </c>
      <c r="H924">
        <v>0.65400000000000003</v>
      </c>
    </row>
    <row r="925" spans="1:8" x14ac:dyDescent="0.3">
      <c r="A925" t="s">
        <v>2034</v>
      </c>
      <c r="B925" t="s">
        <v>26951</v>
      </c>
      <c r="C925" t="s">
        <v>2452</v>
      </c>
      <c r="D925" t="s">
        <v>2451</v>
      </c>
      <c r="E925" s="2" t="s">
        <v>725</v>
      </c>
      <c r="F925" t="s">
        <v>967</v>
      </c>
      <c r="G925" t="str">
        <f>HYPERLINK("https://www.travie.com/news/articleView.html?idxno=52274")</f>
        <v>https://www.travie.com/news/articleView.html?idxno=52274</v>
      </c>
      <c r="H925">
        <v>0.48499999999999999</v>
      </c>
    </row>
    <row r="926" spans="1:8" x14ac:dyDescent="0.3">
      <c r="A926" t="s">
        <v>2034</v>
      </c>
      <c r="B926" t="s">
        <v>26951</v>
      </c>
      <c r="C926" t="s">
        <v>2454</v>
      </c>
      <c r="D926" t="s">
        <v>2453</v>
      </c>
      <c r="E926" s="2" t="s">
        <v>725</v>
      </c>
      <c r="F926" t="s">
        <v>2222</v>
      </c>
      <c r="G926" t="str">
        <f>HYPERLINK("http://www.ggilbo.com/news/articleView.html?idxno=741734")</f>
        <v>http://www.ggilbo.com/news/articleView.html?idxno=741734</v>
      </c>
      <c r="H926">
        <v>0.66200000000000003</v>
      </c>
    </row>
    <row r="927" spans="1:8" x14ac:dyDescent="0.3">
      <c r="A927" t="s">
        <v>2034</v>
      </c>
      <c r="B927" t="s">
        <v>26951</v>
      </c>
      <c r="C927" t="s">
        <v>2456</v>
      </c>
      <c r="D927" t="s">
        <v>2455</v>
      </c>
      <c r="E927" s="2" t="s">
        <v>725</v>
      </c>
      <c r="F927" t="s">
        <v>2163</v>
      </c>
      <c r="G927" t="str">
        <f>HYPERLINK("https://www.newscj.com/news/articleView.html?idxno=3287836")</f>
        <v>https://www.newscj.com/news/articleView.html?idxno=3287836</v>
      </c>
      <c r="H927">
        <v>0.16700000000000001</v>
      </c>
    </row>
    <row r="928" spans="1:8" x14ac:dyDescent="0.3">
      <c r="A928" t="s">
        <v>2034</v>
      </c>
      <c r="B928" t="s">
        <v>26951</v>
      </c>
      <c r="C928" t="s">
        <v>2458</v>
      </c>
      <c r="D928" t="s">
        <v>2457</v>
      </c>
      <c r="E928" s="2" t="s">
        <v>725</v>
      </c>
      <c r="F928" t="s">
        <v>1960</v>
      </c>
      <c r="G928" t="str">
        <f>HYPERLINK("http://apnews.kr/View.aspx?No=1546386")</f>
        <v>http://apnews.kr/View.aspx?No=1546386</v>
      </c>
      <c r="H928">
        <v>0.13200000000000001</v>
      </c>
    </row>
    <row r="929" spans="1:8" x14ac:dyDescent="0.3">
      <c r="A929" t="s">
        <v>2034</v>
      </c>
      <c r="B929" t="s">
        <v>26951</v>
      </c>
      <c r="C929" t="s">
        <v>2461</v>
      </c>
      <c r="D929" t="s">
        <v>2460</v>
      </c>
      <c r="E929" s="2" t="s">
        <v>725</v>
      </c>
      <c r="F929" t="s">
        <v>2459</v>
      </c>
      <c r="G929" t="str">
        <f>HYPERLINK("https://n.news.naver.com/mnews/article/032/0003379093?sid=102")</f>
        <v>https://n.news.naver.com/mnews/article/032/0003379093?sid=102</v>
      </c>
      <c r="H929">
        <v>0.32300000000000001</v>
      </c>
    </row>
    <row r="930" spans="1:8" x14ac:dyDescent="0.3">
      <c r="A930" t="s">
        <v>2034</v>
      </c>
      <c r="B930" t="s">
        <v>26951</v>
      </c>
      <c r="C930" t="s">
        <v>2463</v>
      </c>
      <c r="D930" t="s">
        <v>2462</v>
      </c>
      <c r="E930" s="2" t="s">
        <v>725</v>
      </c>
      <c r="F930" t="s">
        <v>2459</v>
      </c>
      <c r="G930" t="str">
        <f>HYPERLINK("https://www.eroun.net/news/articleView.html?idxno=57604")</f>
        <v>https://www.eroun.net/news/articleView.html?idxno=57604</v>
      </c>
      <c r="H930">
        <v>0.66600000000000004</v>
      </c>
    </row>
    <row r="931" spans="1:8" x14ac:dyDescent="0.3">
      <c r="A931" t="s">
        <v>2034</v>
      </c>
      <c r="B931" t="s">
        <v>26951</v>
      </c>
      <c r="C931" t="s">
        <v>2465</v>
      </c>
      <c r="D931" t="s">
        <v>2464</v>
      </c>
      <c r="E931" s="2" t="s">
        <v>742</v>
      </c>
      <c r="F931" t="s">
        <v>1018</v>
      </c>
      <c r="G931" t="str">
        <f>HYPERLINK("http://www.wsobi.com/news/articleView.html?idxno=266960")</f>
        <v>http://www.wsobi.com/news/articleView.html?idxno=266960</v>
      </c>
      <c r="H931">
        <v>0.01</v>
      </c>
    </row>
    <row r="932" spans="1:8" x14ac:dyDescent="0.3">
      <c r="A932" t="s">
        <v>2034</v>
      </c>
      <c r="B932" t="s">
        <v>26951</v>
      </c>
      <c r="C932" t="s">
        <v>2468</v>
      </c>
      <c r="D932" t="s">
        <v>2467</v>
      </c>
      <c r="E932" s="2" t="s">
        <v>742</v>
      </c>
      <c r="F932" t="s">
        <v>2466</v>
      </c>
      <c r="G932" t="str">
        <f>HYPERLINK("https://www.koreaittimes.com/news/articleView.html?idxno=134459")</f>
        <v>https://www.koreaittimes.com/news/articleView.html?idxno=134459</v>
      </c>
      <c r="H932">
        <v>0.71</v>
      </c>
    </row>
    <row r="933" spans="1:8" x14ac:dyDescent="0.3">
      <c r="A933" t="s">
        <v>2034</v>
      </c>
      <c r="B933" t="s">
        <v>26951</v>
      </c>
      <c r="C933" t="s">
        <v>2471</v>
      </c>
      <c r="D933" t="s">
        <v>2470</v>
      </c>
      <c r="E933" s="2" t="s">
        <v>742</v>
      </c>
      <c r="F933" t="s">
        <v>2469</v>
      </c>
      <c r="G933" t="str">
        <f>HYPERLINK("https://www.catholictimes.org/article/20250623500146")</f>
        <v>https://www.catholictimes.org/article/20250623500146</v>
      </c>
      <c r="H933">
        <v>0.221</v>
      </c>
    </row>
    <row r="934" spans="1:8" x14ac:dyDescent="0.3">
      <c r="A934" t="s">
        <v>2034</v>
      </c>
      <c r="B934" t="s">
        <v>26951</v>
      </c>
      <c r="C934" t="s">
        <v>2474</v>
      </c>
      <c r="D934" t="s">
        <v>2473</v>
      </c>
      <c r="E934" s="2" t="s">
        <v>742</v>
      </c>
      <c r="F934" t="s">
        <v>2472</v>
      </c>
      <c r="G934" t="str">
        <f>HYPERLINK("http://www.kyeongin.com/main/view.php?key=20210201010005849")</f>
        <v>http://www.kyeongin.com/main/view.php?key=20210201010005849</v>
      </c>
      <c r="H934">
        <v>0.51700000000000002</v>
      </c>
    </row>
    <row r="935" spans="1:8" x14ac:dyDescent="0.3">
      <c r="A935" t="s">
        <v>2034</v>
      </c>
      <c r="B935" t="s">
        <v>26951</v>
      </c>
      <c r="C935" t="s">
        <v>2477</v>
      </c>
      <c r="D935" t="s">
        <v>2476</v>
      </c>
      <c r="E935" s="2" t="s">
        <v>742</v>
      </c>
      <c r="F935" t="s">
        <v>2475</v>
      </c>
      <c r="G935" t="str">
        <f>HYPERLINK("https://n.news.naver.com/mnews/article/032/0002763786?sid=103")</f>
        <v>https://n.news.naver.com/mnews/article/032/0002763786?sid=103</v>
      </c>
      <c r="H935">
        <v>0.22500000000000001</v>
      </c>
    </row>
    <row r="936" spans="1:8" x14ac:dyDescent="0.3">
      <c r="A936" t="s">
        <v>2034</v>
      </c>
      <c r="B936" t="s">
        <v>26951</v>
      </c>
      <c r="C936" t="s">
        <v>2479</v>
      </c>
      <c r="D936" t="s">
        <v>2478</v>
      </c>
      <c r="E936" s="2" t="s">
        <v>742</v>
      </c>
      <c r="F936" t="s">
        <v>1960</v>
      </c>
      <c r="G936" t="str">
        <f>HYPERLINK("https://www.catholictimes.org/article/20250623500146")</f>
        <v>https://www.catholictimes.org/article/20250623500146</v>
      </c>
      <c r="H936">
        <v>0.52500000000000002</v>
      </c>
    </row>
    <row r="937" spans="1:8" x14ac:dyDescent="0.3">
      <c r="A937" t="s">
        <v>2034</v>
      </c>
      <c r="B937" t="s">
        <v>26951</v>
      </c>
      <c r="C937" t="s">
        <v>2482</v>
      </c>
      <c r="D937" t="s">
        <v>2481</v>
      </c>
      <c r="E937" s="2" t="s">
        <v>742</v>
      </c>
      <c r="F937" t="s">
        <v>2480</v>
      </c>
      <c r="G937" t="str">
        <f>HYPERLINK("https://www.newsclaim.co.kr/news/articleView.html?idxno=3045201")</f>
        <v>https://www.newsclaim.co.kr/news/articleView.html?idxno=3045201</v>
      </c>
      <c r="H937">
        <v>0.67600000000000005</v>
      </c>
    </row>
    <row r="938" spans="1:8" x14ac:dyDescent="0.3">
      <c r="A938" t="s">
        <v>2034</v>
      </c>
      <c r="B938" t="s">
        <v>26951</v>
      </c>
      <c r="C938" t="s">
        <v>2485</v>
      </c>
      <c r="D938" t="s">
        <v>2484</v>
      </c>
      <c r="E938" s="2" t="s">
        <v>742</v>
      </c>
      <c r="F938" t="s">
        <v>2483</v>
      </c>
      <c r="G938" t="str">
        <f>HYPERLINK("https://news.einfomax.co.kr/news/articleView.html?idxno=4362103")</f>
        <v>https://news.einfomax.co.kr/news/articleView.html?idxno=4362103</v>
      </c>
      <c r="H938">
        <v>0.35099999999999998</v>
      </c>
    </row>
    <row r="939" spans="1:8" x14ac:dyDescent="0.3">
      <c r="A939" t="s">
        <v>2034</v>
      </c>
      <c r="B939" t="s">
        <v>26951</v>
      </c>
      <c r="C939" t="s">
        <v>2488</v>
      </c>
      <c r="D939" t="s">
        <v>2487</v>
      </c>
      <c r="E939" s="2" t="s">
        <v>742</v>
      </c>
      <c r="F939" t="s">
        <v>2486</v>
      </c>
      <c r="G939" t="str">
        <f>HYPERLINK("https://www.newsnjoy.or.kr/news/articleView.html?idxno=307380")</f>
        <v>https://www.newsnjoy.or.kr/news/articleView.html?idxno=307380</v>
      </c>
      <c r="H939">
        <v>0.52</v>
      </c>
    </row>
    <row r="940" spans="1:8" x14ac:dyDescent="0.3">
      <c r="A940" t="s">
        <v>2034</v>
      </c>
      <c r="B940" t="s">
        <v>26951</v>
      </c>
      <c r="C940" t="s">
        <v>2490</v>
      </c>
      <c r="D940" t="s">
        <v>2489</v>
      </c>
      <c r="E940" s="2" t="s">
        <v>742</v>
      </c>
      <c r="F940" t="s">
        <v>2046</v>
      </c>
      <c r="G940" t="str">
        <f>HYPERLINK("http://www.jbsori.com/news/articleView.html?idxno=15507")</f>
        <v>http://www.jbsori.com/news/articleView.html?idxno=15507</v>
      </c>
      <c r="H940">
        <v>0.34100000000000003</v>
      </c>
    </row>
    <row r="941" spans="1:8" x14ac:dyDescent="0.3">
      <c r="A941" t="s">
        <v>2034</v>
      </c>
      <c r="B941" t="s">
        <v>26951</v>
      </c>
      <c r="C941" t="s">
        <v>2492</v>
      </c>
      <c r="D941" t="s">
        <v>2491</v>
      </c>
      <c r="E941" s="2" t="s">
        <v>742</v>
      </c>
      <c r="F941" t="s">
        <v>2046</v>
      </c>
      <c r="G941" t="str">
        <f>HYPERLINK("https://www.catholictimes.org/article/20250623500146")</f>
        <v>https://www.catholictimes.org/article/20250623500146</v>
      </c>
      <c r="H941">
        <v>0.44600000000000001</v>
      </c>
    </row>
    <row r="942" spans="1:8" x14ac:dyDescent="0.3">
      <c r="A942" t="s">
        <v>2034</v>
      </c>
      <c r="B942" t="s">
        <v>26951</v>
      </c>
      <c r="C942" t="s">
        <v>2494</v>
      </c>
      <c r="D942" t="s">
        <v>2493</v>
      </c>
      <c r="E942" s="2" t="s">
        <v>742</v>
      </c>
      <c r="F942" t="s">
        <v>1005</v>
      </c>
      <c r="G942" t="str">
        <f>HYPERLINK("https://n.news.naver.com/mnews/article/214/0001183467?sid=100")</f>
        <v>https://n.news.naver.com/mnews/article/214/0001183467?sid=100</v>
      </c>
      <c r="H942">
        <v>0.57699999999999996</v>
      </c>
    </row>
    <row r="943" spans="1:8" x14ac:dyDescent="0.3">
      <c r="A943" t="s">
        <v>2034</v>
      </c>
      <c r="B943" t="s">
        <v>26951</v>
      </c>
      <c r="C943" t="s">
        <v>2497</v>
      </c>
      <c r="D943" t="s">
        <v>2496</v>
      </c>
      <c r="E943" s="2" t="s">
        <v>742</v>
      </c>
      <c r="F943" t="s">
        <v>2495</v>
      </c>
      <c r="G943" t="str">
        <f>HYPERLINK("https://www.danbinews.com/news/articleView.html?idxno=30962")</f>
        <v>https://www.danbinews.com/news/articleView.html?idxno=30962</v>
      </c>
      <c r="H943">
        <v>0.54300000000000004</v>
      </c>
    </row>
    <row r="944" spans="1:8" x14ac:dyDescent="0.3">
      <c r="A944" t="s">
        <v>2034</v>
      </c>
      <c r="B944" t="s">
        <v>26951</v>
      </c>
      <c r="C944" t="s">
        <v>2500</v>
      </c>
      <c r="D944" t="s">
        <v>2499</v>
      </c>
      <c r="E944" s="2" t="s">
        <v>742</v>
      </c>
      <c r="F944" t="s">
        <v>134</v>
      </c>
      <c r="G944" t="str">
        <f>HYPERLINK("https://n.news.naver.com/mnews/article/006/0000130659?sid=102")</f>
        <v>https://n.news.naver.com/mnews/article/006/0000130659?sid=102</v>
      </c>
      <c r="H944">
        <v>0.29699999999999999</v>
      </c>
    </row>
    <row r="945" spans="1:8" x14ac:dyDescent="0.3">
      <c r="A945" t="s">
        <v>2034</v>
      </c>
      <c r="B945" t="s">
        <v>26951</v>
      </c>
      <c r="C945" t="s">
        <v>2502</v>
      </c>
      <c r="D945" t="s">
        <v>2501</v>
      </c>
      <c r="E945" s="2" t="s">
        <v>742</v>
      </c>
      <c r="F945" t="s">
        <v>588</v>
      </c>
      <c r="G945" t="str">
        <f>HYPERLINK("https://www.pennmike.com/news/articleView.html?idxno=103884")</f>
        <v>https://www.pennmike.com/news/articleView.html?idxno=103884</v>
      </c>
      <c r="H945">
        <v>0.67600000000000005</v>
      </c>
    </row>
    <row r="946" spans="1:8" x14ac:dyDescent="0.3">
      <c r="A946" t="s">
        <v>2034</v>
      </c>
      <c r="B946" t="s">
        <v>26951</v>
      </c>
      <c r="C946" t="s">
        <v>2504</v>
      </c>
      <c r="D946" t="s">
        <v>2503</v>
      </c>
      <c r="E946" s="2" t="s">
        <v>742</v>
      </c>
      <c r="F946" t="s">
        <v>2166</v>
      </c>
      <c r="G946" t="str">
        <f>HYPERLINK("https://n.news.naver.com/mnews/article/006/0000127472?sid=102")</f>
        <v>https://n.news.naver.com/mnews/article/006/0000127472?sid=102</v>
      </c>
      <c r="H946">
        <v>0.152</v>
      </c>
    </row>
    <row r="947" spans="1:8" x14ac:dyDescent="0.3">
      <c r="A947" t="s">
        <v>2034</v>
      </c>
      <c r="B947" t="s">
        <v>26951</v>
      </c>
      <c r="C947" t="s">
        <v>2507</v>
      </c>
      <c r="D947" t="s">
        <v>2506</v>
      </c>
      <c r="E947" s="2" t="s">
        <v>742</v>
      </c>
      <c r="F947" t="s">
        <v>2505</v>
      </c>
      <c r="G947" t="str">
        <f>HYPERLINK("http://www.nongaek.com/news/articleView.html?idxno=91760")</f>
        <v>http://www.nongaek.com/news/articleView.html?idxno=91760</v>
      </c>
      <c r="H947">
        <v>0.23300000000000001</v>
      </c>
    </row>
    <row r="948" spans="1:8" x14ac:dyDescent="0.3">
      <c r="A948" t="s">
        <v>2034</v>
      </c>
      <c r="B948" t="s">
        <v>26951</v>
      </c>
      <c r="C948" t="s">
        <v>2509</v>
      </c>
      <c r="D948" t="s">
        <v>2508</v>
      </c>
      <c r="E948" s="2" t="s">
        <v>742</v>
      </c>
      <c r="F948" t="s">
        <v>2215</v>
      </c>
      <c r="G948" t="str">
        <f>HYPERLINK("http://www.nongaek.com/news/articleView.html?idxno=91284")</f>
        <v>http://www.nongaek.com/news/articleView.html?idxno=91284</v>
      </c>
      <c r="H948">
        <v>0.3</v>
      </c>
    </row>
    <row r="949" spans="1:8" x14ac:dyDescent="0.3">
      <c r="A949" t="s">
        <v>2034</v>
      </c>
      <c r="B949" t="s">
        <v>26951</v>
      </c>
      <c r="C949" t="s">
        <v>2511</v>
      </c>
      <c r="D949" t="s">
        <v>2510</v>
      </c>
      <c r="E949" s="2" t="s">
        <v>742</v>
      </c>
      <c r="F949" t="s">
        <v>2215</v>
      </c>
      <c r="G949" t="str">
        <f>HYPERLINK("https://n.news.naver.com/mnews/article/032/0003362663?sid=102")</f>
        <v>https://n.news.naver.com/mnews/article/032/0003362663?sid=102</v>
      </c>
      <c r="H949">
        <v>0.153</v>
      </c>
    </row>
    <row r="950" spans="1:8" x14ac:dyDescent="0.3">
      <c r="A950" t="s">
        <v>2034</v>
      </c>
      <c r="B950" t="s">
        <v>26951</v>
      </c>
      <c r="C950" t="s">
        <v>2514</v>
      </c>
      <c r="D950" t="s">
        <v>2513</v>
      </c>
      <c r="E950" s="2" t="s">
        <v>742</v>
      </c>
      <c r="F950" t="s">
        <v>2512</v>
      </c>
      <c r="G950" t="str">
        <f>HYPERLINK("https://n.news.naver.com/mnews/article/082/0001330643?sid=101")</f>
        <v>https://n.news.naver.com/mnews/article/082/0001330643?sid=101</v>
      </c>
      <c r="H950">
        <v>0.34100000000000003</v>
      </c>
    </row>
    <row r="951" spans="1:8" x14ac:dyDescent="0.3">
      <c r="A951" t="s">
        <v>2034</v>
      </c>
      <c r="B951" t="s">
        <v>26951</v>
      </c>
      <c r="C951" t="s">
        <v>2516</v>
      </c>
      <c r="D951" t="s">
        <v>2515</v>
      </c>
      <c r="E951" s="2" t="s">
        <v>742</v>
      </c>
      <c r="F951" t="s">
        <v>732</v>
      </c>
      <c r="G951" t="str">
        <f>HYPERLINK("https://www.bizhankook.com/bk/article/29696")</f>
        <v>https://www.bizhankook.com/bk/article/29696</v>
      </c>
      <c r="H951">
        <v>0.628</v>
      </c>
    </row>
    <row r="952" spans="1:8" x14ac:dyDescent="0.3">
      <c r="A952" t="s">
        <v>2034</v>
      </c>
      <c r="B952" t="s">
        <v>26951</v>
      </c>
      <c r="C952" t="s">
        <v>2519</v>
      </c>
      <c r="D952" t="s">
        <v>2518</v>
      </c>
      <c r="E952" s="2" t="s">
        <v>742</v>
      </c>
      <c r="F952" t="s">
        <v>2163</v>
      </c>
      <c r="G952" t="str">
        <f>HYPERLINK("https://n.news.naver.com/mnews/article/006/0000127472?sid=102")</f>
        <v>https://n.news.naver.com/mnews/article/006/0000127472?sid=102</v>
      </c>
      <c r="H952">
        <v>0.16400000000000001</v>
      </c>
    </row>
    <row r="953" spans="1:8" x14ac:dyDescent="0.3">
      <c r="A953" t="s">
        <v>2034</v>
      </c>
      <c r="B953" t="s">
        <v>26951</v>
      </c>
      <c r="C953" t="s">
        <v>2522</v>
      </c>
      <c r="D953" t="s">
        <v>2521</v>
      </c>
      <c r="E953" s="2" t="s">
        <v>742</v>
      </c>
      <c r="F953" t="s">
        <v>2520</v>
      </c>
      <c r="G953" t="str">
        <f>HYPERLINK("https://www.newspim.com/news/view/20250605000109")</f>
        <v>https://www.newspim.com/news/view/20250605000109</v>
      </c>
      <c r="H953">
        <v>0.39800000000000002</v>
      </c>
    </row>
    <row r="954" spans="1:8" x14ac:dyDescent="0.3">
      <c r="A954" t="s">
        <v>2034</v>
      </c>
      <c r="B954" t="s">
        <v>26951</v>
      </c>
      <c r="C954" t="s">
        <v>2524</v>
      </c>
      <c r="D954" t="s">
        <v>2523</v>
      </c>
      <c r="E954" s="2" t="s">
        <v>742</v>
      </c>
      <c r="F954" t="s">
        <v>2160</v>
      </c>
      <c r="G954" t="str">
        <f>HYPERLINK("http://www.ggilbo.com/news/articleView.html?idxno=730199")</f>
        <v>http://www.ggilbo.com/news/articleView.html?idxno=730199</v>
      </c>
      <c r="H954">
        <v>0.44400000000000001</v>
      </c>
    </row>
    <row r="955" spans="1:8" x14ac:dyDescent="0.3">
      <c r="A955" t="s">
        <v>2034</v>
      </c>
      <c r="B955" t="s">
        <v>26951</v>
      </c>
      <c r="C955" t="s">
        <v>2528</v>
      </c>
      <c r="D955" t="s">
        <v>2527</v>
      </c>
      <c r="E955" s="2" t="s">
        <v>742</v>
      </c>
      <c r="F955" t="s">
        <v>2233</v>
      </c>
      <c r="G955" t="str">
        <f>HYPERLINK("https://www.apnews.kr/news/articleView.html?idxno=3026479")</f>
        <v>https://www.apnews.kr/news/articleView.html?idxno=3026479</v>
      </c>
      <c r="H955">
        <v>0.313</v>
      </c>
    </row>
    <row r="956" spans="1:8" x14ac:dyDescent="0.3">
      <c r="A956" t="s">
        <v>2034</v>
      </c>
      <c r="B956" t="s">
        <v>26951</v>
      </c>
      <c r="C956" t="s">
        <v>2530</v>
      </c>
      <c r="D956" t="s">
        <v>2529</v>
      </c>
      <c r="E956" s="2" t="s">
        <v>742</v>
      </c>
      <c r="F956" t="s">
        <v>2304</v>
      </c>
      <c r="G956" t="str">
        <f>HYPERLINK("http://www.newscj.com/news/articleView.html?idxno=973047")</f>
        <v>http://www.newscj.com/news/articleView.html?idxno=973047</v>
      </c>
      <c r="H956">
        <v>3.3000000000000002E-2</v>
      </c>
    </row>
    <row r="957" spans="1:8" x14ac:dyDescent="0.3">
      <c r="A957" t="s">
        <v>2034</v>
      </c>
      <c r="B957" t="s">
        <v>26951</v>
      </c>
      <c r="C957" t="s">
        <v>2532</v>
      </c>
      <c r="D957" t="s">
        <v>2531</v>
      </c>
      <c r="E957" s="2" t="s">
        <v>742</v>
      </c>
      <c r="F957" t="s">
        <v>1960</v>
      </c>
      <c r="G957" t="str">
        <f>HYPERLINK("https://n.news.naver.com/mnews/article/308/0000032392?sid=103")</f>
        <v>https://n.news.naver.com/mnews/article/308/0000032392?sid=103</v>
      </c>
      <c r="H957">
        <v>0.13300000000000001</v>
      </c>
    </row>
    <row r="958" spans="1:8" x14ac:dyDescent="0.3">
      <c r="A958" t="s">
        <v>2034</v>
      </c>
      <c r="B958" t="s">
        <v>26951</v>
      </c>
      <c r="C958" t="s">
        <v>2534</v>
      </c>
      <c r="D958" t="s">
        <v>2533</v>
      </c>
      <c r="E958" s="2" t="s">
        <v>742</v>
      </c>
      <c r="F958" t="s">
        <v>2304</v>
      </c>
      <c r="G958" t="str">
        <f>HYPERLINK("https://n.news.naver.com/mnews/article/079/0002665507?sid=100")</f>
        <v>https://n.news.naver.com/mnews/article/079/0002665507?sid=100</v>
      </c>
      <c r="H958">
        <v>2.7E-2</v>
      </c>
    </row>
    <row r="959" spans="1:8" x14ac:dyDescent="0.3">
      <c r="A959" t="s">
        <v>2034</v>
      </c>
      <c r="B959" t="s">
        <v>26951</v>
      </c>
      <c r="C959" t="s">
        <v>2536</v>
      </c>
      <c r="D959" t="s">
        <v>2535</v>
      </c>
      <c r="E959" s="2" t="s">
        <v>742</v>
      </c>
      <c r="F959" t="s">
        <v>2135</v>
      </c>
      <c r="G959" t="str">
        <f>HYPERLINK("https://n.news.naver.com/mnews/article/006/0000127472?sid=102")</f>
        <v>https://n.news.naver.com/mnews/article/006/0000127472?sid=102</v>
      </c>
      <c r="H959">
        <v>0.11700000000000001</v>
      </c>
    </row>
    <row r="960" spans="1:8" x14ac:dyDescent="0.3">
      <c r="A960" t="s">
        <v>2034</v>
      </c>
      <c r="B960" t="s">
        <v>26951</v>
      </c>
      <c r="C960" t="s">
        <v>2539</v>
      </c>
      <c r="D960" t="s">
        <v>2538</v>
      </c>
      <c r="E960" s="2" t="s">
        <v>799</v>
      </c>
      <c r="F960" t="s">
        <v>2537</v>
      </c>
      <c r="G960" t="str">
        <f>HYPERLINK("http://www.ggilbo.com/news/articleView.html?idxno=750390")</f>
        <v>http://www.ggilbo.com/news/articleView.html?idxno=750390</v>
      </c>
      <c r="H960">
        <v>0.73699999999999999</v>
      </c>
    </row>
    <row r="961" spans="1:8" x14ac:dyDescent="0.3">
      <c r="A961" t="s">
        <v>2034</v>
      </c>
      <c r="B961" t="s">
        <v>26951</v>
      </c>
      <c r="C961" t="s">
        <v>2542</v>
      </c>
      <c r="D961" t="s">
        <v>2541</v>
      </c>
      <c r="E961" s="2" t="s">
        <v>799</v>
      </c>
      <c r="F961" t="s">
        <v>2540</v>
      </c>
      <c r="G961" t="str">
        <f>HYPERLINK("https://n.news.naver.com/mnews/article/006/0000120707?sid=102")</f>
        <v>https://n.news.naver.com/mnews/article/006/0000120707?sid=102</v>
      </c>
      <c r="H961">
        <v>0.34200000000000003</v>
      </c>
    </row>
    <row r="962" spans="1:8" x14ac:dyDescent="0.3">
      <c r="A962" t="s">
        <v>2034</v>
      </c>
      <c r="B962" t="s">
        <v>26951</v>
      </c>
      <c r="C962" t="s">
        <v>2545</v>
      </c>
      <c r="D962" t="s">
        <v>2544</v>
      </c>
      <c r="E962" s="2" t="s">
        <v>799</v>
      </c>
      <c r="F962" t="s">
        <v>2543</v>
      </c>
      <c r="G962" t="str">
        <f>HYPERLINK("https://www.vogue.co.kr/2025/03/25/%eb%b4%84%eb%82%a0%ec%97%94-%ec%88%98%ec%b1%84%ed%99%94-%ec%a0%84%ec%8b%9c/?utm_source=naver&amp;utm_medium=partnership")</f>
        <v>https://www.vogue.co.kr/2025/03/25/%eb%b4%84%eb%82%a0%ec%97%94-%ec%88%98%ec%b1%84%ed%99%94-%ec%a0%84%ec%8b%9c/?utm_source=naver&amp;utm_medium=partnership</v>
      </c>
      <c r="H962">
        <v>0.48499999999999999</v>
      </c>
    </row>
    <row r="963" spans="1:8" x14ac:dyDescent="0.3">
      <c r="A963" t="s">
        <v>2034</v>
      </c>
      <c r="B963" t="s">
        <v>26951</v>
      </c>
      <c r="C963" t="s">
        <v>2547</v>
      </c>
      <c r="D963" t="s">
        <v>2546</v>
      </c>
      <c r="E963" s="2" t="s">
        <v>799</v>
      </c>
      <c r="F963" t="s">
        <v>2057</v>
      </c>
      <c r="G963" t="str">
        <f>HYPERLINK("https://www.eroun.net/news/articleView.html?idxno=57507")</f>
        <v>https://www.eroun.net/news/articleView.html?idxno=57507</v>
      </c>
      <c r="H963">
        <v>0.38300000000000001</v>
      </c>
    </row>
    <row r="964" spans="1:8" x14ac:dyDescent="0.3">
      <c r="A964" t="s">
        <v>2034</v>
      </c>
      <c r="B964" t="s">
        <v>26951</v>
      </c>
      <c r="C964" t="s">
        <v>2549</v>
      </c>
      <c r="D964" t="s">
        <v>2548</v>
      </c>
      <c r="E964" s="2" t="s">
        <v>799</v>
      </c>
      <c r="F964" t="s">
        <v>2057</v>
      </c>
      <c r="G964" t="str">
        <f>HYPERLINK("http://ppss.kr/archives/143561")</f>
        <v>http://ppss.kr/archives/143561</v>
      </c>
      <c r="H964">
        <v>0.36899999999999999</v>
      </c>
    </row>
    <row r="965" spans="1:8" x14ac:dyDescent="0.3">
      <c r="A965" t="s">
        <v>2034</v>
      </c>
      <c r="B965" t="s">
        <v>26951</v>
      </c>
      <c r="C965" t="s">
        <v>2552</v>
      </c>
      <c r="D965" t="s">
        <v>2551</v>
      </c>
      <c r="E965" s="2" t="s">
        <v>799</v>
      </c>
      <c r="F965" t="s">
        <v>2550</v>
      </c>
      <c r="G965" t="str">
        <f>HYPERLINK("https://n.news.naver.com/mnews/article/032/0002514649?sid=101")</f>
        <v>https://n.news.naver.com/mnews/article/032/0002514649?sid=101</v>
      </c>
      <c r="H965">
        <v>0.32100000000000001</v>
      </c>
    </row>
    <row r="966" spans="1:8" x14ac:dyDescent="0.3">
      <c r="A966" t="s">
        <v>2034</v>
      </c>
      <c r="B966" t="s">
        <v>26951</v>
      </c>
      <c r="C966" t="s">
        <v>2554</v>
      </c>
      <c r="D966" t="s">
        <v>2553</v>
      </c>
      <c r="E966" s="2" t="s">
        <v>799</v>
      </c>
      <c r="F966" t="s">
        <v>866</v>
      </c>
      <c r="G966" t="str">
        <f>HYPERLINK("https://www.tokenpost.kr/news/briefing/261234")</f>
        <v>https://www.tokenpost.kr/news/briefing/261234</v>
      </c>
      <c r="H966">
        <v>0.77200000000000002</v>
      </c>
    </row>
    <row r="967" spans="1:8" x14ac:dyDescent="0.3">
      <c r="A967" t="s">
        <v>2034</v>
      </c>
      <c r="B967" t="s">
        <v>26951</v>
      </c>
      <c r="C967" t="s">
        <v>2557</v>
      </c>
      <c r="D967" t="s">
        <v>2556</v>
      </c>
      <c r="E967" s="2" t="s">
        <v>799</v>
      </c>
      <c r="F967" t="s">
        <v>197</v>
      </c>
      <c r="G967" t="str">
        <f>HYPERLINK("https://n.news.naver.com/mnews/article/032/0002749376?sid=100")</f>
        <v>https://n.news.naver.com/mnews/article/032/0002749376?sid=100</v>
      </c>
      <c r="H967">
        <v>0.28399999999999997</v>
      </c>
    </row>
    <row r="968" spans="1:8" x14ac:dyDescent="0.3">
      <c r="A968" t="s">
        <v>2034</v>
      </c>
      <c r="B968" t="s">
        <v>26951</v>
      </c>
      <c r="C968" t="s">
        <v>2559</v>
      </c>
      <c r="D968" t="s">
        <v>2558</v>
      </c>
      <c r="E968" s="2" t="s">
        <v>799</v>
      </c>
      <c r="F968" t="s">
        <v>1882</v>
      </c>
      <c r="G968" t="str">
        <f>HYPERLINK("https://n.news.naver.com/mnews/article/032/0003375238?sid=102")</f>
        <v>https://n.news.naver.com/mnews/article/032/0003375238?sid=102</v>
      </c>
      <c r="H968">
        <v>0.23499999999999999</v>
      </c>
    </row>
    <row r="969" spans="1:8" x14ac:dyDescent="0.3">
      <c r="A969" t="s">
        <v>2034</v>
      </c>
      <c r="B969" t="s">
        <v>26951</v>
      </c>
      <c r="C969" t="s">
        <v>2562</v>
      </c>
      <c r="D969" t="s">
        <v>2561</v>
      </c>
      <c r="E969" s="2" t="s">
        <v>799</v>
      </c>
      <c r="F969" t="s">
        <v>2560</v>
      </c>
      <c r="G969" t="str">
        <f>HYPERLINK("https://www.catholicnews.co.kr/news/articleView.html?idxno=34345")</f>
        <v>https://www.catholicnews.co.kr/news/articleView.html?idxno=34345</v>
      </c>
      <c r="H969">
        <v>0.65</v>
      </c>
    </row>
    <row r="970" spans="1:8" x14ac:dyDescent="0.3">
      <c r="A970" t="s">
        <v>2034</v>
      </c>
      <c r="B970" t="s">
        <v>26951</v>
      </c>
      <c r="C970" t="s">
        <v>2565</v>
      </c>
      <c r="D970" t="s">
        <v>2564</v>
      </c>
      <c r="E970" s="2" t="s">
        <v>799</v>
      </c>
      <c r="F970" t="s">
        <v>2563</v>
      </c>
      <c r="G970" t="str">
        <f>HYPERLINK("https://n.news.naver.com/mnews/article/008/0005105665?sid=101")</f>
        <v>https://n.news.naver.com/mnews/article/008/0005105665?sid=101</v>
      </c>
      <c r="H970">
        <v>0.254</v>
      </c>
    </row>
    <row r="971" spans="1:8" x14ac:dyDescent="0.3">
      <c r="A971" t="s">
        <v>2034</v>
      </c>
      <c r="B971" t="s">
        <v>26951</v>
      </c>
      <c r="C971" t="s">
        <v>2567</v>
      </c>
      <c r="D971" t="s">
        <v>2566</v>
      </c>
      <c r="E971" s="2" t="s">
        <v>799</v>
      </c>
      <c r="F971" t="s">
        <v>134</v>
      </c>
      <c r="G971" t="str">
        <f>HYPERLINK("https://n.news.naver.com/mnews/article/127/0000037760?sid=102")</f>
        <v>https://n.news.naver.com/mnews/article/127/0000037760?sid=102</v>
      </c>
      <c r="H971">
        <v>0.29499999999999998</v>
      </c>
    </row>
    <row r="972" spans="1:8" x14ac:dyDescent="0.3">
      <c r="A972" t="s">
        <v>2034</v>
      </c>
      <c r="B972" t="s">
        <v>26951</v>
      </c>
      <c r="C972" t="s">
        <v>2569</v>
      </c>
      <c r="D972" t="s">
        <v>2568</v>
      </c>
      <c r="E972" s="2" t="s">
        <v>799</v>
      </c>
      <c r="F972" t="s">
        <v>1579</v>
      </c>
      <c r="G972" t="str">
        <f>HYPERLINK("https://n.news.naver.com/mnews/article/032/0002765362?sid=100")</f>
        <v>https://n.news.naver.com/mnews/article/032/0002765362?sid=100</v>
      </c>
      <c r="H972">
        <v>0.4</v>
      </c>
    </row>
    <row r="973" spans="1:8" x14ac:dyDescent="0.3">
      <c r="A973" t="s">
        <v>2034</v>
      </c>
      <c r="B973" t="s">
        <v>26951</v>
      </c>
      <c r="C973" t="s">
        <v>2571</v>
      </c>
      <c r="D973" t="s">
        <v>2570</v>
      </c>
      <c r="E973" s="2" t="s">
        <v>799</v>
      </c>
      <c r="F973" t="s">
        <v>2046</v>
      </c>
      <c r="G973" t="str">
        <f>HYPERLINK("http://www.k-health.com/news/articleView.html?idxno=61684")</f>
        <v>http://www.k-health.com/news/articleView.html?idxno=61684</v>
      </c>
      <c r="H973">
        <v>0.67400000000000004</v>
      </c>
    </row>
    <row r="974" spans="1:8" x14ac:dyDescent="0.3">
      <c r="A974" t="s">
        <v>2034</v>
      </c>
      <c r="B974" t="s">
        <v>26951</v>
      </c>
      <c r="C974" t="s">
        <v>2573</v>
      </c>
      <c r="D974" t="s">
        <v>2572</v>
      </c>
      <c r="E974" s="2" t="s">
        <v>799</v>
      </c>
      <c r="F974" t="s">
        <v>453</v>
      </c>
      <c r="G974" t="str">
        <f>HYPERLINK("http://www.cfnews.kr/news.aspx/92722")</f>
        <v>http://www.cfnews.kr/news.aspx/92722</v>
      </c>
      <c r="H974">
        <v>0.498</v>
      </c>
    </row>
    <row r="975" spans="1:8" x14ac:dyDescent="0.3">
      <c r="A975" t="s">
        <v>2034</v>
      </c>
      <c r="B975" t="s">
        <v>26951</v>
      </c>
      <c r="C975" t="s">
        <v>2576</v>
      </c>
      <c r="D975" t="s">
        <v>2575</v>
      </c>
      <c r="E975" s="2" t="s">
        <v>799</v>
      </c>
      <c r="F975" t="s">
        <v>2574</v>
      </c>
      <c r="G975" t="str">
        <f>HYPERLINK("https://n.news.naver.com/mnews/article/032/0003373938?sid=102")</f>
        <v>https://n.news.naver.com/mnews/article/032/0003373938?sid=102</v>
      </c>
      <c r="H975">
        <v>0.29699999999999999</v>
      </c>
    </row>
    <row r="976" spans="1:8" x14ac:dyDescent="0.3">
      <c r="A976" t="s">
        <v>2034</v>
      </c>
      <c r="B976" t="s">
        <v>26951</v>
      </c>
      <c r="C976" t="s">
        <v>2578</v>
      </c>
      <c r="D976" t="s">
        <v>2577</v>
      </c>
      <c r="E976" s="2" t="s">
        <v>799</v>
      </c>
      <c r="F976" t="s">
        <v>2574</v>
      </c>
      <c r="G976" t="str">
        <f>HYPERLINK("https://n.news.naver.com/mnews/article/032/0003373937?sid=102")</f>
        <v>https://n.news.naver.com/mnews/article/032/0003373937?sid=102</v>
      </c>
      <c r="H976">
        <v>0.309</v>
      </c>
    </row>
    <row r="977" spans="1:8" x14ac:dyDescent="0.3">
      <c r="A977" t="s">
        <v>2034</v>
      </c>
      <c r="B977" t="s">
        <v>26951</v>
      </c>
      <c r="C977" t="s">
        <v>2580</v>
      </c>
      <c r="D977" t="s">
        <v>2579</v>
      </c>
      <c r="E977" s="2" t="s">
        <v>799</v>
      </c>
      <c r="F977" t="s">
        <v>2163</v>
      </c>
      <c r="G977" t="str">
        <f>HYPERLINK("http://www.joongboo.com/news/articleView.html?idxno=363411752")</f>
        <v>http://www.joongboo.com/news/articleView.html?idxno=363411752</v>
      </c>
      <c r="H977">
        <v>0.214</v>
      </c>
    </row>
    <row r="978" spans="1:8" x14ac:dyDescent="0.3">
      <c r="A978" t="s">
        <v>2034</v>
      </c>
      <c r="B978" t="s">
        <v>26951</v>
      </c>
      <c r="C978" t="s">
        <v>2582</v>
      </c>
      <c r="D978" t="s">
        <v>2581</v>
      </c>
      <c r="E978" s="2" t="s">
        <v>799</v>
      </c>
      <c r="F978" t="s">
        <v>857</v>
      </c>
      <c r="G978" t="str">
        <f>HYPERLINK("https://www.catholictimes.org/article/20250623500146")</f>
        <v>https://www.catholictimes.org/article/20250623500146</v>
      </c>
      <c r="H978">
        <v>0.18099999999999999</v>
      </c>
    </row>
    <row r="979" spans="1:8" x14ac:dyDescent="0.3">
      <c r="A979" t="s">
        <v>2034</v>
      </c>
      <c r="B979" t="s">
        <v>26951</v>
      </c>
      <c r="C979" t="s">
        <v>2584</v>
      </c>
      <c r="D979" t="s">
        <v>2583</v>
      </c>
      <c r="E979" s="2" t="s">
        <v>799</v>
      </c>
      <c r="F979" t="s">
        <v>1960</v>
      </c>
      <c r="G979" t="str">
        <f>HYPERLINK("http://www.civicnews.com/news/articleView.html?idxno=29074")</f>
        <v>http://www.civicnews.com/news/articleView.html?idxno=29074</v>
      </c>
      <c r="H979">
        <v>0.218</v>
      </c>
    </row>
    <row r="980" spans="1:8" x14ac:dyDescent="0.3">
      <c r="A980" t="s">
        <v>2034</v>
      </c>
      <c r="B980" t="s">
        <v>26951</v>
      </c>
      <c r="C980" t="s">
        <v>2587</v>
      </c>
      <c r="D980" t="s">
        <v>2586</v>
      </c>
      <c r="E980" s="2" t="s">
        <v>799</v>
      </c>
      <c r="F980" t="s">
        <v>2585</v>
      </c>
      <c r="G980" t="str">
        <f>HYPERLINK("http://www.thevaluenews.co.kr/news/view.php?idx=187391")</f>
        <v>http://www.thevaluenews.co.kr/news/view.php?idx=187391</v>
      </c>
      <c r="H980">
        <v>0.70699999999999996</v>
      </c>
    </row>
    <row r="981" spans="1:8" x14ac:dyDescent="0.3">
      <c r="A981" t="s">
        <v>2034</v>
      </c>
      <c r="B981" t="s">
        <v>26951</v>
      </c>
      <c r="C981" t="s">
        <v>2589</v>
      </c>
      <c r="D981" t="s">
        <v>2588</v>
      </c>
      <c r="E981" s="2" t="s">
        <v>840</v>
      </c>
      <c r="F981" t="s">
        <v>1277</v>
      </c>
      <c r="G981" t="str">
        <f>HYPERLINK("https://n.news.naver.com/mnews/article/022/0004047866?sid=102")</f>
        <v>https://n.news.naver.com/mnews/article/022/0004047866?sid=102</v>
      </c>
      <c r="H981">
        <v>0.34</v>
      </c>
    </row>
    <row r="982" spans="1:8" x14ac:dyDescent="0.3">
      <c r="A982" t="s">
        <v>2034</v>
      </c>
      <c r="B982" t="s">
        <v>26951</v>
      </c>
      <c r="C982" t="s">
        <v>2591</v>
      </c>
      <c r="D982" t="s">
        <v>2590</v>
      </c>
      <c r="E982" s="2" t="s">
        <v>840</v>
      </c>
      <c r="F982" t="s">
        <v>111</v>
      </c>
      <c r="G982" t="str">
        <f>HYPERLINK("https://www.meconomynews.com/news/articleView.html?idxno=115385")</f>
        <v>https://www.meconomynews.com/news/articleView.html?idxno=115385</v>
      </c>
      <c r="H982">
        <v>0.55400000000000005</v>
      </c>
    </row>
    <row r="983" spans="1:8" x14ac:dyDescent="0.3">
      <c r="A983" t="s">
        <v>2034</v>
      </c>
      <c r="B983" t="s">
        <v>26951</v>
      </c>
      <c r="C983" t="s">
        <v>2593</v>
      </c>
      <c r="D983" t="s">
        <v>2592</v>
      </c>
      <c r="E983" s="2" t="s">
        <v>840</v>
      </c>
      <c r="F983" t="s">
        <v>2304</v>
      </c>
      <c r="G983" t="str">
        <f>HYPERLINK("http://www.newscj.com/news/articleView.html?idxno=885011")</f>
        <v>http://www.newscj.com/news/articleView.html?idxno=885011</v>
      </c>
      <c r="H983">
        <v>6.0999999999999999E-2</v>
      </c>
    </row>
    <row r="984" spans="1:8" x14ac:dyDescent="0.3">
      <c r="A984" t="s">
        <v>2034</v>
      </c>
      <c r="B984" t="s">
        <v>26951</v>
      </c>
      <c r="C984" t="s">
        <v>2596</v>
      </c>
      <c r="D984" t="s">
        <v>2595</v>
      </c>
      <c r="E984" s="2" t="s">
        <v>840</v>
      </c>
      <c r="F984" t="s">
        <v>2594</v>
      </c>
      <c r="G984" t="str">
        <f>HYPERLINK("http://www.seoulwire.com/news/articleView.html?idxno=267905")</f>
        <v>http://www.seoulwire.com/news/articleView.html?idxno=267905</v>
      </c>
      <c r="H984">
        <v>0.21299999999999999</v>
      </c>
    </row>
    <row r="985" spans="1:8" x14ac:dyDescent="0.3">
      <c r="A985" t="s">
        <v>2034</v>
      </c>
      <c r="B985" t="s">
        <v>26951</v>
      </c>
      <c r="C985" t="s">
        <v>2599</v>
      </c>
      <c r="D985" t="s">
        <v>2598</v>
      </c>
      <c r="E985" s="2" t="s">
        <v>840</v>
      </c>
      <c r="F985" t="s">
        <v>2597</v>
      </c>
      <c r="G985" t="str">
        <f>HYPERLINK("http://www.greened.kr/news/articleView.html?idxno=296511")</f>
        <v>http://www.greened.kr/news/articleView.html?idxno=296511</v>
      </c>
      <c r="H985">
        <v>0.66800000000000004</v>
      </c>
    </row>
    <row r="986" spans="1:8" x14ac:dyDescent="0.3">
      <c r="A986" t="s">
        <v>2034</v>
      </c>
      <c r="B986" t="s">
        <v>26951</v>
      </c>
      <c r="C986" t="s">
        <v>2602</v>
      </c>
      <c r="D986" t="s">
        <v>2601</v>
      </c>
      <c r="E986" s="2" t="s">
        <v>840</v>
      </c>
      <c r="F986" t="s">
        <v>460</v>
      </c>
      <c r="G986" t="str">
        <f>HYPERLINK("https://n.news.naver.com/mnews/article/032/0003215866?sid=102")</f>
        <v>https://n.news.naver.com/mnews/article/032/0003215866?sid=102</v>
      </c>
      <c r="H986">
        <v>0.33700000000000002</v>
      </c>
    </row>
    <row r="987" spans="1:8" x14ac:dyDescent="0.3">
      <c r="A987" t="s">
        <v>2034</v>
      </c>
      <c r="B987" t="s">
        <v>26951</v>
      </c>
      <c r="C987" t="s">
        <v>1994</v>
      </c>
      <c r="D987" t="s">
        <v>1993</v>
      </c>
      <c r="E987" s="2" t="s">
        <v>840</v>
      </c>
      <c r="F987" t="s">
        <v>1992</v>
      </c>
      <c r="G987" t="str">
        <f>HYPERLINK("http://www.newsfreezone.co.kr/news/articleView.html?idxno=84259")</f>
        <v>http://www.newsfreezone.co.kr/news/articleView.html?idxno=84259</v>
      </c>
      <c r="H987">
        <v>0.65200000000000002</v>
      </c>
    </row>
    <row r="988" spans="1:8" x14ac:dyDescent="0.3">
      <c r="A988" t="s">
        <v>2034</v>
      </c>
      <c r="B988" t="s">
        <v>26951</v>
      </c>
      <c r="C988" t="s">
        <v>2604</v>
      </c>
      <c r="D988" t="s">
        <v>2603</v>
      </c>
      <c r="E988" s="2" t="s">
        <v>840</v>
      </c>
      <c r="F988" t="s">
        <v>134</v>
      </c>
      <c r="G988" t="str">
        <f>HYPERLINK("https://n.news.naver.com/mnews/article/006/0000036485?sid=110")</f>
        <v>https://n.news.naver.com/mnews/article/006/0000036485?sid=110</v>
      </c>
      <c r="H988">
        <v>0.28999999999999998</v>
      </c>
    </row>
    <row r="989" spans="1:8" x14ac:dyDescent="0.3">
      <c r="A989" t="s">
        <v>2034</v>
      </c>
      <c r="B989" t="s">
        <v>26951</v>
      </c>
      <c r="C989" t="s">
        <v>2606</v>
      </c>
      <c r="D989" t="s">
        <v>2605</v>
      </c>
      <c r="E989" s="2" t="s">
        <v>840</v>
      </c>
      <c r="F989" t="s">
        <v>2166</v>
      </c>
      <c r="G989" t="str">
        <f>HYPERLINK("https://n.news.naver.com/mnews/article/006/0000127472?sid=102")</f>
        <v>https://n.news.naver.com/mnews/article/006/0000127472?sid=102</v>
      </c>
      <c r="H989">
        <v>0.14299999999999999</v>
      </c>
    </row>
    <row r="990" spans="1:8" x14ac:dyDescent="0.3">
      <c r="A990" t="s">
        <v>2034</v>
      </c>
      <c r="B990" t="s">
        <v>26951</v>
      </c>
      <c r="C990" t="s">
        <v>2609</v>
      </c>
      <c r="D990" t="s">
        <v>2608</v>
      </c>
      <c r="E990" s="2" t="s">
        <v>840</v>
      </c>
      <c r="F990" t="s">
        <v>2607</v>
      </c>
      <c r="G990" t="str">
        <f>HYPERLINK("https://daily.hankooki.com/news/articleView.html?idxno=1236609")</f>
        <v>https://daily.hankooki.com/news/articleView.html?idxno=1236609</v>
      </c>
      <c r="H990">
        <v>0.58599999999999997</v>
      </c>
    </row>
    <row r="991" spans="1:8" x14ac:dyDescent="0.3">
      <c r="A991" t="s">
        <v>2034</v>
      </c>
      <c r="B991" t="s">
        <v>26951</v>
      </c>
      <c r="C991" t="s">
        <v>2611</v>
      </c>
      <c r="D991" t="s">
        <v>2610</v>
      </c>
      <c r="E991" s="2" t="s">
        <v>840</v>
      </c>
      <c r="F991" t="s">
        <v>2520</v>
      </c>
      <c r="G991" t="str">
        <f>HYPERLINK("https://n.news.naver.com/mnews/article/032/0003379054?sid=102")</f>
        <v>https://n.news.naver.com/mnews/article/032/0003379054?sid=102</v>
      </c>
      <c r="H991">
        <v>0.32100000000000001</v>
      </c>
    </row>
    <row r="992" spans="1:8" x14ac:dyDescent="0.3">
      <c r="A992" t="s">
        <v>2034</v>
      </c>
      <c r="B992" t="s">
        <v>26951</v>
      </c>
      <c r="C992" t="s">
        <v>2613</v>
      </c>
      <c r="D992" t="s">
        <v>2612</v>
      </c>
      <c r="E992" s="2" t="s">
        <v>840</v>
      </c>
      <c r="F992" t="s">
        <v>2124</v>
      </c>
      <c r="G992" t="str">
        <f>HYPERLINK("https://n.news.naver.com/mnews/article/032/0003373661?sid=110")</f>
        <v>https://n.news.naver.com/mnews/article/032/0003373661?sid=110</v>
      </c>
      <c r="H992">
        <v>0.32200000000000001</v>
      </c>
    </row>
    <row r="993" spans="1:8" x14ac:dyDescent="0.3">
      <c r="A993" t="s">
        <v>2034</v>
      </c>
      <c r="B993" t="s">
        <v>26951</v>
      </c>
      <c r="C993" t="s">
        <v>2615</v>
      </c>
      <c r="D993" t="s">
        <v>2614</v>
      </c>
      <c r="E993" s="2" t="s">
        <v>840</v>
      </c>
      <c r="F993" t="s">
        <v>2233</v>
      </c>
      <c r="G993" t="str">
        <f>HYPERLINK("https://www.apnews.kr/news/articleView.html?idxno=3026479")</f>
        <v>https://www.apnews.kr/news/articleView.html?idxno=3026479</v>
      </c>
      <c r="H993">
        <v>0.36899999999999999</v>
      </c>
    </row>
    <row r="994" spans="1:8" x14ac:dyDescent="0.3">
      <c r="A994" t="s">
        <v>2034</v>
      </c>
      <c r="B994" t="s">
        <v>26951</v>
      </c>
      <c r="C994" t="s">
        <v>2617</v>
      </c>
      <c r="D994" t="s">
        <v>2616</v>
      </c>
      <c r="E994" s="2" t="s">
        <v>840</v>
      </c>
      <c r="F994" t="s">
        <v>1960</v>
      </c>
      <c r="G994" t="str">
        <f>HYPERLINK("http://apnews.kr/View.aspx?No=1539627")</f>
        <v>http://apnews.kr/View.aspx?No=1539627</v>
      </c>
      <c r="H994">
        <v>0.191</v>
      </c>
    </row>
    <row r="995" spans="1:8" x14ac:dyDescent="0.3">
      <c r="A995" t="s">
        <v>2034</v>
      </c>
      <c r="B995" t="s">
        <v>26951</v>
      </c>
      <c r="C995" t="s">
        <v>2619</v>
      </c>
      <c r="D995" t="s">
        <v>2618</v>
      </c>
      <c r="E995" s="2" t="s">
        <v>840</v>
      </c>
      <c r="F995" t="s">
        <v>857</v>
      </c>
      <c r="G995" t="str">
        <f>HYPERLINK("https://www.apnews.kr/news/articleView.html?idxno=3027501")</f>
        <v>https://www.apnews.kr/news/articleView.html?idxno=3027501</v>
      </c>
      <c r="H995">
        <v>0.246</v>
      </c>
    </row>
    <row r="996" spans="1:8" x14ac:dyDescent="0.3">
      <c r="A996" t="s">
        <v>2034</v>
      </c>
      <c r="B996" t="s">
        <v>26951</v>
      </c>
      <c r="C996" t="s">
        <v>2621</v>
      </c>
      <c r="D996" t="s">
        <v>2620</v>
      </c>
      <c r="E996" s="2" t="s">
        <v>840</v>
      </c>
      <c r="F996" t="s">
        <v>2046</v>
      </c>
      <c r="G996" t="str">
        <f>HYPERLINK("https://www.catholictimes.org/article/20250623500146")</f>
        <v>https://www.catholictimes.org/article/20250623500146</v>
      </c>
      <c r="H996">
        <v>0.311</v>
      </c>
    </row>
    <row r="997" spans="1:8" x14ac:dyDescent="0.3">
      <c r="A997" t="s">
        <v>2034</v>
      </c>
      <c r="B997" t="s">
        <v>26951</v>
      </c>
      <c r="C997" t="s">
        <v>2624</v>
      </c>
      <c r="D997" t="s">
        <v>2623</v>
      </c>
      <c r="E997" s="2" t="s">
        <v>840</v>
      </c>
      <c r="F997" t="s">
        <v>2622</v>
      </c>
      <c r="G997" t="str">
        <f>HYPERLINK("http://www.nongaek.com/news/articleView.html?idxno=91824")</f>
        <v>http://www.nongaek.com/news/articleView.html?idxno=91824</v>
      </c>
      <c r="H997">
        <v>0.27300000000000002</v>
      </c>
    </row>
    <row r="998" spans="1:8" x14ac:dyDescent="0.3">
      <c r="A998" t="s">
        <v>2034</v>
      </c>
      <c r="B998" t="s">
        <v>26951</v>
      </c>
      <c r="C998" t="s">
        <v>2627</v>
      </c>
      <c r="D998" t="s">
        <v>2626</v>
      </c>
      <c r="E998" s="2" t="s">
        <v>840</v>
      </c>
      <c r="F998" t="s">
        <v>2625</v>
      </c>
      <c r="G998" t="str">
        <f>HYPERLINK("http://www.civicnews.com/news/articleView.html?idxno=33220")</f>
        <v>http://www.civicnews.com/news/articleView.html?idxno=33220</v>
      </c>
      <c r="H998">
        <v>0.59699999999999998</v>
      </c>
    </row>
    <row r="999" spans="1:8" x14ac:dyDescent="0.3">
      <c r="A999" t="s">
        <v>2034</v>
      </c>
      <c r="B999" t="s">
        <v>26951</v>
      </c>
      <c r="C999" t="s">
        <v>2629</v>
      </c>
      <c r="D999" t="s">
        <v>2628</v>
      </c>
      <c r="E999" s="2" t="s">
        <v>840</v>
      </c>
      <c r="F999" t="s">
        <v>2135</v>
      </c>
      <c r="G999" t="str">
        <f>HYPERLINK("https://n.news.naver.com/mnews/article/006/0000127472?sid=102")</f>
        <v>https://n.news.naver.com/mnews/article/006/0000127472?sid=102</v>
      </c>
      <c r="H999">
        <v>0.128</v>
      </c>
    </row>
    <row r="1000" spans="1:8" x14ac:dyDescent="0.3">
      <c r="A1000" t="s">
        <v>2034</v>
      </c>
      <c r="B1000" t="s">
        <v>26951</v>
      </c>
      <c r="C1000" t="s">
        <v>2631</v>
      </c>
      <c r="D1000" t="s">
        <v>2630</v>
      </c>
      <c r="E1000" s="2" t="s">
        <v>860</v>
      </c>
      <c r="F1000" t="s">
        <v>2304</v>
      </c>
      <c r="G1000" t="str">
        <f>HYPERLINK("https://n.news.naver.com/mnews/article/079/0002665507?sid=100")</f>
        <v>https://n.news.naver.com/mnews/article/079/0002665507?sid=100</v>
      </c>
      <c r="H1000">
        <v>4.2999999999999997E-2</v>
      </c>
    </row>
    <row r="1001" spans="1:8" x14ac:dyDescent="0.3">
      <c r="A1001" t="s">
        <v>2034</v>
      </c>
      <c r="B1001" t="s">
        <v>26951</v>
      </c>
      <c r="C1001" t="s">
        <v>2634</v>
      </c>
      <c r="D1001" t="s">
        <v>2633</v>
      </c>
      <c r="E1001" s="2" t="s">
        <v>860</v>
      </c>
      <c r="F1001" t="s">
        <v>2632</v>
      </c>
      <c r="G1001" t="str">
        <f>HYPERLINK("https://n.news.naver.com/mnews/article/022/0004047496?sid=101")</f>
        <v>https://n.news.naver.com/mnews/article/022/0004047496?sid=101</v>
      </c>
      <c r="H1001">
        <v>0.192</v>
      </c>
    </row>
    <row r="1002" spans="1:8" x14ac:dyDescent="0.3">
      <c r="A1002" t="s">
        <v>2034</v>
      </c>
      <c r="B1002" t="s">
        <v>26951</v>
      </c>
      <c r="C1002" t="s">
        <v>2636</v>
      </c>
      <c r="D1002" t="s">
        <v>2635</v>
      </c>
      <c r="E1002" s="2" t="s">
        <v>860</v>
      </c>
      <c r="F1002" t="s">
        <v>1277</v>
      </c>
      <c r="G1002" t="str">
        <f>HYPERLINK("http://www.nongaek.com/news/articleView.html?idxno=91257")</f>
        <v>http://www.nongaek.com/news/articleView.html?idxno=91257</v>
      </c>
      <c r="H1002">
        <v>0.442</v>
      </c>
    </row>
    <row r="1003" spans="1:8" x14ac:dyDescent="0.3">
      <c r="A1003" t="s">
        <v>2034</v>
      </c>
      <c r="B1003" t="s">
        <v>26951</v>
      </c>
      <c r="C1003" t="s">
        <v>2639</v>
      </c>
      <c r="D1003" t="s">
        <v>2638</v>
      </c>
      <c r="E1003" s="2" t="s">
        <v>860</v>
      </c>
      <c r="F1003" t="s">
        <v>2637</v>
      </c>
      <c r="G1003" t="str">
        <f>HYPERLINK("http://ppss.kr/archives/61203")</f>
        <v>http://ppss.kr/archives/61203</v>
      </c>
      <c r="H1003">
        <v>0.57399999999999995</v>
      </c>
    </row>
    <row r="1004" spans="1:8" x14ac:dyDescent="0.3">
      <c r="A1004" t="s">
        <v>2034</v>
      </c>
      <c r="B1004" t="s">
        <v>26951</v>
      </c>
      <c r="C1004" t="s">
        <v>2641</v>
      </c>
      <c r="D1004" t="s">
        <v>2640</v>
      </c>
      <c r="E1004" s="2" t="s">
        <v>860</v>
      </c>
      <c r="F1004" t="s">
        <v>2096</v>
      </c>
      <c r="G1004" t="str">
        <f>HYPERLINK("http://www.mediawatch.kr/news/article.html?no=231898")</f>
        <v>http://www.mediawatch.kr/news/article.html?no=231898</v>
      </c>
      <c r="H1004">
        <v>0.218</v>
      </c>
    </row>
    <row r="1005" spans="1:8" x14ac:dyDescent="0.3">
      <c r="A1005" t="s">
        <v>2034</v>
      </c>
      <c r="B1005" t="s">
        <v>26951</v>
      </c>
      <c r="C1005" t="s">
        <v>2643</v>
      </c>
      <c r="D1005" t="s">
        <v>2642</v>
      </c>
      <c r="E1005" s="2" t="s">
        <v>860</v>
      </c>
      <c r="F1005" t="s">
        <v>981</v>
      </c>
      <c r="G1005" t="str">
        <f>HYPERLINK("https://n.news.naver.com/mnews/article/011/0004503269?sid=104")</f>
        <v>https://n.news.naver.com/mnews/article/011/0004503269?sid=104</v>
      </c>
      <c r="H1005">
        <v>0.28299999999999997</v>
      </c>
    </row>
    <row r="1006" spans="1:8" x14ac:dyDescent="0.3">
      <c r="A1006" t="s">
        <v>2034</v>
      </c>
      <c r="B1006" t="s">
        <v>26951</v>
      </c>
      <c r="C1006" t="s">
        <v>2646</v>
      </c>
      <c r="D1006" t="s">
        <v>2645</v>
      </c>
      <c r="E1006" s="2" t="s">
        <v>860</v>
      </c>
      <c r="F1006" t="s">
        <v>2644</v>
      </c>
      <c r="G1006" t="str">
        <f>HYPERLINK("http://www.worldkorean.net/news/articleView.html?idxno=52186")</f>
        <v>http://www.worldkorean.net/news/articleView.html?idxno=52186</v>
      </c>
      <c r="H1006">
        <v>0.71699999999999997</v>
      </c>
    </row>
    <row r="1007" spans="1:8" x14ac:dyDescent="0.3">
      <c r="A1007" t="s">
        <v>2034</v>
      </c>
      <c r="B1007" t="s">
        <v>26951</v>
      </c>
      <c r="C1007" t="s">
        <v>2650</v>
      </c>
      <c r="D1007" t="s">
        <v>2649</v>
      </c>
      <c r="E1007" s="2" t="s">
        <v>860</v>
      </c>
      <c r="F1007" t="s">
        <v>2648</v>
      </c>
      <c r="G1007" t="str">
        <f>HYPERLINK("http://www.seouleconews.com/news/articleView.html?idxno=83805")</f>
        <v>http://www.seouleconews.com/news/articleView.html?idxno=83805</v>
      </c>
      <c r="H1007">
        <v>0.443</v>
      </c>
    </row>
    <row r="1008" spans="1:8" x14ac:dyDescent="0.3">
      <c r="A1008" t="s">
        <v>2034</v>
      </c>
      <c r="B1008" t="s">
        <v>26951</v>
      </c>
      <c r="C1008" t="s">
        <v>2652</v>
      </c>
      <c r="D1008" t="s">
        <v>2651</v>
      </c>
      <c r="E1008" s="2" t="s">
        <v>860</v>
      </c>
      <c r="F1008" t="s">
        <v>134</v>
      </c>
      <c r="G1008" t="str">
        <f>HYPERLINK("https://n.news.naver.com/mnews/article/032/0002782841?sid=104")</f>
        <v>https://n.news.naver.com/mnews/article/032/0002782841?sid=104</v>
      </c>
      <c r="H1008">
        <v>0.35399999999999998</v>
      </c>
    </row>
    <row r="1009" spans="1:8" x14ac:dyDescent="0.3">
      <c r="A1009" t="s">
        <v>2034</v>
      </c>
      <c r="B1009" t="s">
        <v>26951</v>
      </c>
      <c r="C1009" t="s">
        <v>2655</v>
      </c>
      <c r="D1009" t="s">
        <v>2654</v>
      </c>
      <c r="E1009" s="2" t="s">
        <v>860</v>
      </c>
      <c r="F1009" t="s">
        <v>2653</v>
      </c>
      <c r="G1009" t="str">
        <f>HYPERLINK("http://www.newsnjoy.or.kr/news/articleView.html?idxno=300237")</f>
        <v>http://www.newsnjoy.or.kr/news/articleView.html?idxno=300237</v>
      </c>
      <c r="H1009">
        <v>0.46899999999999997</v>
      </c>
    </row>
    <row r="1010" spans="1:8" x14ac:dyDescent="0.3">
      <c r="A1010" t="s">
        <v>2034</v>
      </c>
      <c r="B1010" t="s">
        <v>26951</v>
      </c>
      <c r="C1010" t="s">
        <v>2657</v>
      </c>
      <c r="D1010" t="s">
        <v>2656</v>
      </c>
      <c r="E1010" s="2" t="s">
        <v>860</v>
      </c>
      <c r="F1010" t="s">
        <v>179</v>
      </c>
      <c r="G1010" t="str">
        <f>HYPERLINK("https://n.news.naver.com/mnews/article/032/0002782596?sid=101")</f>
        <v>https://n.news.naver.com/mnews/article/032/0002782596?sid=101</v>
      </c>
      <c r="H1010">
        <v>0.40500000000000003</v>
      </c>
    </row>
    <row r="1011" spans="1:8" x14ac:dyDescent="0.3">
      <c r="A1011" t="s">
        <v>2034</v>
      </c>
      <c r="B1011" t="s">
        <v>26951</v>
      </c>
      <c r="C1011" t="s">
        <v>2660</v>
      </c>
      <c r="D1011" t="s">
        <v>2659</v>
      </c>
      <c r="E1011" s="2" t="s">
        <v>860</v>
      </c>
      <c r="F1011" t="s">
        <v>2658</v>
      </c>
      <c r="G1011" t="str">
        <f>HYPERLINK("http://www.nongaek.com/news/articleView.html?idxno=90185")</f>
        <v>http://www.nongaek.com/news/articleView.html?idxno=90185</v>
      </c>
      <c r="H1011">
        <v>0.56100000000000005</v>
      </c>
    </row>
    <row r="1012" spans="1:8" x14ac:dyDescent="0.3">
      <c r="A1012" t="s">
        <v>2034</v>
      </c>
      <c r="B1012" t="s">
        <v>26951</v>
      </c>
      <c r="C1012" t="s">
        <v>2663</v>
      </c>
      <c r="D1012" t="s">
        <v>2662</v>
      </c>
      <c r="E1012" s="2" t="s">
        <v>860</v>
      </c>
      <c r="F1012" t="s">
        <v>2215</v>
      </c>
      <c r="G1012" t="str">
        <f>HYPERLINK("http://www.ilemonde.com/news/articleView.html?idxno=14501")</f>
        <v>http://www.ilemonde.com/news/articleView.html?idxno=14501</v>
      </c>
      <c r="H1012">
        <v>0.41799999999999998</v>
      </c>
    </row>
    <row r="1013" spans="1:8" x14ac:dyDescent="0.3">
      <c r="A1013" t="s">
        <v>2034</v>
      </c>
      <c r="B1013" t="s">
        <v>26951</v>
      </c>
      <c r="C1013" t="s">
        <v>2665</v>
      </c>
      <c r="D1013" t="s">
        <v>2664</v>
      </c>
      <c r="E1013" s="2" t="s">
        <v>860</v>
      </c>
      <c r="F1013" t="s">
        <v>2600</v>
      </c>
      <c r="G1013" t="str">
        <f>HYPERLINK("https://www.lecturernews.com/news/articleView.html?idxno=117730")</f>
        <v>https://www.lecturernews.com/news/articleView.html?idxno=117730</v>
      </c>
      <c r="H1013">
        <v>0.56699999999999995</v>
      </c>
    </row>
    <row r="1014" spans="1:8" x14ac:dyDescent="0.3">
      <c r="A1014" t="s">
        <v>2034</v>
      </c>
      <c r="B1014" t="s">
        <v>26951</v>
      </c>
      <c r="C1014" t="s">
        <v>2667</v>
      </c>
      <c r="D1014" t="s">
        <v>2666</v>
      </c>
      <c r="E1014" s="2" t="s">
        <v>860</v>
      </c>
      <c r="F1014" t="s">
        <v>2046</v>
      </c>
      <c r="G1014" t="str">
        <f>HYPERLINK("http://www.fortunekorea.co.kr/news/articleView.html?idxno=12153")</f>
        <v>http://www.fortunekorea.co.kr/news/articleView.html?idxno=12153</v>
      </c>
      <c r="H1014">
        <v>0.63200000000000001</v>
      </c>
    </row>
    <row r="1015" spans="1:8" x14ac:dyDescent="0.3">
      <c r="A1015" t="s">
        <v>2034</v>
      </c>
      <c r="B1015" t="s">
        <v>26951</v>
      </c>
      <c r="C1015" t="s">
        <v>2669</v>
      </c>
      <c r="D1015" t="s">
        <v>2668</v>
      </c>
      <c r="E1015" s="2" t="s">
        <v>860</v>
      </c>
      <c r="F1015" t="s">
        <v>1731</v>
      </c>
      <c r="G1015" t="str">
        <f>HYPERLINK("http://www.nongaek.com/news/articleView.html?idxno=91811")</f>
        <v>http://www.nongaek.com/news/articleView.html?idxno=91811</v>
      </c>
      <c r="H1015">
        <v>0.49399999999999999</v>
      </c>
    </row>
    <row r="1016" spans="1:8" x14ac:dyDescent="0.3">
      <c r="A1016" t="s">
        <v>2034</v>
      </c>
      <c r="B1016" t="s">
        <v>26951</v>
      </c>
      <c r="C1016" t="s">
        <v>2673</v>
      </c>
      <c r="D1016" t="s">
        <v>2672</v>
      </c>
      <c r="E1016" s="2" t="s">
        <v>860</v>
      </c>
      <c r="F1016" t="s">
        <v>2671</v>
      </c>
      <c r="G1016" t="str">
        <f>HYPERLINK("https://n.news.naver.com/mnews/article/032/0003346057?sid=101")</f>
        <v>https://n.news.naver.com/mnews/article/032/0003346057?sid=101</v>
      </c>
      <c r="H1016">
        <v>0.36499999999999999</v>
      </c>
    </row>
    <row r="1017" spans="1:8" x14ac:dyDescent="0.3">
      <c r="A1017" t="s">
        <v>2034</v>
      </c>
      <c r="B1017" t="s">
        <v>26951</v>
      </c>
      <c r="C1017" t="s">
        <v>2675</v>
      </c>
      <c r="D1017" t="s">
        <v>2674</v>
      </c>
      <c r="E1017" s="2" t="s">
        <v>860</v>
      </c>
      <c r="F1017" t="s">
        <v>1908</v>
      </c>
      <c r="G1017" t="str">
        <f>HYPERLINK("https://n.news.naver.com/mnews/article/022/0004047866?sid=102")</f>
        <v>https://n.news.naver.com/mnews/article/022/0004047866?sid=102</v>
      </c>
      <c r="H1017">
        <v>0.39600000000000002</v>
      </c>
    </row>
    <row r="1018" spans="1:8" x14ac:dyDescent="0.3">
      <c r="A1018" t="s">
        <v>2034</v>
      </c>
      <c r="B1018" t="s">
        <v>26951</v>
      </c>
      <c r="C1018" t="s">
        <v>2677</v>
      </c>
      <c r="D1018" t="s">
        <v>2676</v>
      </c>
      <c r="E1018" s="2" t="s">
        <v>860</v>
      </c>
      <c r="F1018" t="s">
        <v>2520</v>
      </c>
      <c r="G1018" t="str">
        <f>HYPERLINK("https://www.greened.kr/news/articleView.html?idxno=327965")</f>
        <v>https://www.greened.kr/news/articleView.html?idxno=327965</v>
      </c>
      <c r="H1018">
        <v>0.44800000000000001</v>
      </c>
    </row>
    <row r="1019" spans="1:8" x14ac:dyDescent="0.3">
      <c r="A1019" t="s">
        <v>2034</v>
      </c>
      <c r="B1019" t="s">
        <v>26951</v>
      </c>
      <c r="C1019" t="s">
        <v>2679</v>
      </c>
      <c r="D1019" t="s">
        <v>2678</v>
      </c>
      <c r="E1019" s="2" t="s">
        <v>860</v>
      </c>
      <c r="F1019" t="s">
        <v>2163</v>
      </c>
      <c r="G1019" t="str">
        <f>HYPERLINK("https://n.news.naver.com/mnews/article/006/0000127472?sid=102")</f>
        <v>https://n.news.naver.com/mnews/article/006/0000127472?sid=102</v>
      </c>
      <c r="H1019">
        <v>8.7999999999999995E-2</v>
      </c>
    </row>
    <row r="1020" spans="1:8" x14ac:dyDescent="0.3">
      <c r="A1020" t="s">
        <v>2034</v>
      </c>
      <c r="B1020" t="s">
        <v>26951</v>
      </c>
      <c r="C1020" t="s">
        <v>2681</v>
      </c>
      <c r="D1020" t="s">
        <v>2680</v>
      </c>
      <c r="E1020" s="2" t="s">
        <v>860</v>
      </c>
      <c r="F1020" t="s">
        <v>1960</v>
      </c>
      <c r="G1020" t="str">
        <f>HYPERLINK("http://apnews.kr/View.aspx?No=1539627")</f>
        <v>http://apnews.kr/View.aspx?No=1539627</v>
      </c>
      <c r="H1020">
        <v>0.159</v>
      </c>
    </row>
    <row r="1021" spans="1:8" x14ac:dyDescent="0.3">
      <c r="A1021" t="s">
        <v>2034</v>
      </c>
      <c r="B1021" t="s">
        <v>26951</v>
      </c>
      <c r="C1021" t="s">
        <v>2683</v>
      </c>
      <c r="D1021" t="s">
        <v>2682</v>
      </c>
      <c r="E1021" s="2" t="s">
        <v>860</v>
      </c>
      <c r="F1021" t="s">
        <v>2057</v>
      </c>
      <c r="G1021" t="str">
        <f>HYPERLINK("https://n.news.naver.com/mnews/article/052/0001007983?sid=154")</f>
        <v>https://n.news.naver.com/mnews/article/052/0001007983?sid=154</v>
      </c>
      <c r="H1021">
        <v>0.21299999999999999</v>
      </c>
    </row>
    <row r="1022" spans="1:8" x14ac:dyDescent="0.3">
      <c r="A1022" t="s">
        <v>2034</v>
      </c>
      <c r="B1022" t="s">
        <v>26951</v>
      </c>
      <c r="C1022" t="s">
        <v>2685</v>
      </c>
      <c r="D1022" t="s">
        <v>2684</v>
      </c>
      <c r="E1022" s="2" t="s">
        <v>860</v>
      </c>
      <c r="F1022" t="s">
        <v>2135</v>
      </c>
      <c r="G1022" t="str">
        <f>HYPERLINK("https://n.news.naver.com/mnews/article/006/0000127472?sid=102")</f>
        <v>https://n.news.naver.com/mnews/article/006/0000127472?sid=102</v>
      </c>
      <c r="H1022">
        <v>0.19800000000000001</v>
      </c>
    </row>
    <row r="1023" spans="1:8" x14ac:dyDescent="0.3">
      <c r="A1023" t="s">
        <v>2034</v>
      </c>
      <c r="B1023" t="s">
        <v>26951</v>
      </c>
      <c r="C1023" t="s">
        <v>2690</v>
      </c>
      <c r="D1023" t="s">
        <v>2689</v>
      </c>
      <c r="E1023" s="2" t="s">
        <v>903</v>
      </c>
      <c r="F1023" t="s">
        <v>2688</v>
      </c>
      <c r="G1023" t="str">
        <f>HYPERLINK("https://n.news.naver.com/mnews/article/032/0002645189?sid=102")</f>
        <v>https://n.news.naver.com/mnews/article/032/0002645189?sid=102</v>
      </c>
      <c r="H1023">
        <v>0.41599999999999998</v>
      </c>
    </row>
    <row r="1024" spans="1:8" x14ac:dyDescent="0.3">
      <c r="A1024" t="s">
        <v>2034</v>
      </c>
      <c r="B1024" t="s">
        <v>26951</v>
      </c>
      <c r="C1024" t="s">
        <v>2692</v>
      </c>
      <c r="D1024" t="s">
        <v>2691</v>
      </c>
      <c r="E1024" s="2" t="s">
        <v>903</v>
      </c>
      <c r="F1024" t="s">
        <v>2096</v>
      </c>
      <c r="G1024" t="str">
        <f>HYPERLINK("http://www.mediawatch.kr/news/article.html?no=231898")</f>
        <v>http://www.mediawatch.kr/news/article.html?no=231898</v>
      </c>
      <c r="H1024">
        <v>0.23899999999999999</v>
      </c>
    </row>
    <row r="1025" spans="1:8" x14ac:dyDescent="0.3">
      <c r="A1025" t="s">
        <v>2034</v>
      </c>
      <c r="B1025" t="s">
        <v>26951</v>
      </c>
      <c r="C1025" t="s">
        <v>2694</v>
      </c>
      <c r="D1025" t="s">
        <v>2693</v>
      </c>
      <c r="E1025" s="2" t="s">
        <v>903</v>
      </c>
      <c r="F1025" t="s">
        <v>2233</v>
      </c>
      <c r="G1025" t="str">
        <f>HYPERLINK("https://www.apnews.kr/news/articleView.html?idxno=3026479")</f>
        <v>https://www.apnews.kr/news/articleView.html?idxno=3026479</v>
      </c>
      <c r="H1025">
        <v>0.35299999999999998</v>
      </c>
    </row>
    <row r="1026" spans="1:8" x14ac:dyDescent="0.3">
      <c r="A1026" t="s">
        <v>2034</v>
      </c>
      <c r="B1026" t="s">
        <v>26951</v>
      </c>
      <c r="C1026" t="s">
        <v>2696</v>
      </c>
      <c r="D1026" t="s">
        <v>2695</v>
      </c>
      <c r="E1026" s="2" t="s">
        <v>903</v>
      </c>
      <c r="F1026" t="s">
        <v>1731</v>
      </c>
      <c r="G1026" t="str">
        <f>HYPERLINK("http://www.nongaek.com/news/articleView.html?idxno=91811")</f>
        <v>http://www.nongaek.com/news/articleView.html?idxno=91811</v>
      </c>
      <c r="H1026">
        <v>0.47799999999999998</v>
      </c>
    </row>
    <row r="1027" spans="1:8" x14ac:dyDescent="0.3">
      <c r="A1027" t="s">
        <v>2034</v>
      </c>
      <c r="B1027" t="s">
        <v>26951</v>
      </c>
      <c r="C1027" t="s">
        <v>2699</v>
      </c>
      <c r="D1027" t="s">
        <v>2698</v>
      </c>
      <c r="E1027" s="2" t="s">
        <v>7</v>
      </c>
      <c r="F1027" t="s">
        <v>2697</v>
      </c>
      <c r="G1027" t="str">
        <f>HYPERLINK("http://www.nongaek.com/news/articleView.html?idxno=91675")</f>
        <v>http://www.nongaek.com/news/articleView.html?idxno=91675</v>
      </c>
      <c r="H1027">
        <v>0.308</v>
      </c>
    </row>
    <row r="1028" spans="1:8" x14ac:dyDescent="0.3">
      <c r="A1028" t="s">
        <v>2034</v>
      </c>
      <c r="B1028" t="s">
        <v>26951</v>
      </c>
      <c r="C1028" t="s">
        <v>2702</v>
      </c>
      <c r="D1028" t="s">
        <v>2701</v>
      </c>
      <c r="E1028" s="2" t="s">
        <v>7</v>
      </c>
      <c r="F1028" t="s">
        <v>2700</v>
      </c>
      <c r="G1028" t="str">
        <f>HYPERLINK("https://www.womaneconomy.co.kr/news/articleView.html?idxno=228879")</f>
        <v>https://www.womaneconomy.co.kr/news/articleView.html?idxno=228879</v>
      </c>
      <c r="H1028">
        <v>0.33200000000000002</v>
      </c>
    </row>
    <row r="1029" spans="1:8" x14ac:dyDescent="0.3">
      <c r="A1029" t="s">
        <v>2034</v>
      </c>
      <c r="B1029" t="s">
        <v>26951</v>
      </c>
      <c r="C1029" t="s">
        <v>2704</v>
      </c>
      <c r="D1029" t="s">
        <v>2703</v>
      </c>
      <c r="E1029" s="2" t="s">
        <v>7</v>
      </c>
      <c r="F1029" t="s">
        <v>2065</v>
      </c>
      <c r="G1029" t="str">
        <f>HYPERLINK("https://www.catholictimes.org/article/20250623500146")</f>
        <v>https://www.catholictimes.org/article/20250623500146</v>
      </c>
      <c r="H1029">
        <v>0.16400000000000001</v>
      </c>
    </row>
    <row r="1030" spans="1:8" x14ac:dyDescent="0.3">
      <c r="A1030" t="s">
        <v>2034</v>
      </c>
      <c r="B1030" t="s">
        <v>26951</v>
      </c>
      <c r="C1030" t="s">
        <v>2707</v>
      </c>
      <c r="D1030" t="s">
        <v>2706</v>
      </c>
      <c r="E1030" s="2" t="s">
        <v>7</v>
      </c>
      <c r="F1030" t="s">
        <v>2705</v>
      </c>
      <c r="G1030" t="str">
        <f>HYPERLINK("https://n.news.naver.com/mnews/article/028/0002748844?sid=102")</f>
        <v>https://n.news.naver.com/mnews/article/028/0002748844?sid=102</v>
      </c>
      <c r="H1030">
        <v>0.22500000000000001</v>
      </c>
    </row>
    <row r="1031" spans="1:8" x14ac:dyDescent="0.3">
      <c r="A1031" t="s">
        <v>2034</v>
      </c>
      <c r="B1031" t="s">
        <v>26951</v>
      </c>
      <c r="C1031" t="s">
        <v>2709</v>
      </c>
      <c r="D1031" t="s">
        <v>2708</v>
      </c>
      <c r="E1031" s="2" t="s">
        <v>7</v>
      </c>
      <c r="F1031" t="s">
        <v>1731</v>
      </c>
      <c r="G1031" t="str">
        <f>HYPERLINK("http://www.nongaek.com/news/articleView.html?idxno=91811")</f>
        <v>http://www.nongaek.com/news/articleView.html?idxno=91811</v>
      </c>
      <c r="H1031">
        <v>0.66800000000000004</v>
      </c>
    </row>
    <row r="1032" spans="1:8" x14ac:dyDescent="0.3">
      <c r="A1032" t="s">
        <v>2034</v>
      </c>
      <c r="B1032" t="s">
        <v>26951</v>
      </c>
      <c r="C1032" t="s">
        <v>2712</v>
      </c>
      <c r="D1032" t="s">
        <v>2711</v>
      </c>
      <c r="E1032" s="2" t="s">
        <v>7</v>
      </c>
      <c r="F1032" t="s">
        <v>2710</v>
      </c>
      <c r="G1032" t="str">
        <f>HYPERLINK("https://www.huffingtonpost.kr/news/articleView.html?idxno=222464")</f>
        <v>https://www.huffingtonpost.kr/news/articleView.html?idxno=222464</v>
      </c>
      <c r="H1032">
        <v>0.54500000000000004</v>
      </c>
    </row>
    <row r="1033" spans="1:8" x14ac:dyDescent="0.3">
      <c r="A1033" t="s">
        <v>2034</v>
      </c>
      <c r="B1033" t="s">
        <v>26951</v>
      </c>
      <c r="C1033" t="s">
        <v>2714</v>
      </c>
      <c r="D1033" t="s">
        <v>2713</v>
      </c>
      <c r="E1033" s="2" t="s">
        <v>7</v>
      </c>
      <c r="F1033" t="s">
        <v>134</v>
      </c>
      <c r="G1033" t="str">
        <f>HYPERLINK("http://www.nongaek.com/news/articleView.html?idxno=91824")</f>
        <v>http://www.nongaek.com/news/articleView.html?idxno=91824</v>
      </c>
      <c r="H1033">
        <v>0.40500000000000003</v>
      </c>
    </row>
    <row r="1034" spans="1:8" x14ac:dyDescent="0.3">
      <c r="A1034" t="s">
        <v>2034</v>
      </c>
      <c r="B1034" t="s">
        <v>26951</v>
      </c>
      <c r="C1034" t="s">
        <v>2717</v>
      </c>
      <c r="D1034" t="s">
        <v>2716</v>
      </c>
      <c r="E1034" s="2" t="s">
        <v>7</v>
      </c>
      <c r="F1034" t="s">
        <v>2715</v>
      </c>
      <c r="G1034" t="str">
        <f>HYPERLINK("https://n.news.naver.com/mnews/article/032/0003379355?sid=110")</f>
        <v>https://n.news.naver.com/mnews/article/032/0003379355?sid=110</v>
      </c>
      <c r="H1034">
        <v>0.14299999999999999</v>
      </c>
    </row>
    <row r="1035" spans="1:8" x14ac:dyDescent="0.3">
      <c r="A1035" t="s">
        <v>2034</v>
      </c>
      <c r="B1035" t="s">
        <v>26951</v>
      </c>
      <c r="C1035" t="s">
        <v>2720</v>
      </c>
      <c r="D1035" t="s">
        <v>2719</v>
      </c>
      <c r="E1035" s="2" t="s">
        <v>7</v>
      </c>
      <c r="F1035" t="s">
        <v>2718</v>
      </c>
      <c r="G1035" t="str">
        <f>HYPERLINK("https://www.newsnjoy.or.kr/news/articleView.html?idxno=307502")</f>
        <v>https://www.newsnjoy.or.kr/news/articleView.html?idxno=307502</v>
      </c>
      <c r="H1035">
        <v>0.55100000000000005</v>
      </c>
    </row>
    <row r="1036" spans="1:8" x14ac:dyDescent="0.3">
      <c r="A1036" t="s">
        <v>2034</v>
      </c>
      <c r="B1036" t="s">
        <v>26951</v>
      </c>
      <c r="C1036" t="s">
        <v>2722</v>
      </c>
      <c r="D1036" t="s">
        <v>2721</v>
      </c>
      <c r="E1036" s="2" t="s">
        <v>7</v>
      </c>
      <c r="F1036" t="s">
        <v>2124</v>
      </c>
      <c r="G1036" t="str">
        <f>HYPERLINK("https://n.news.naver.com/mnews/article/032/0003379354?sid=110")</f>
        <v>https://n.news.naver.com/mnews/article/032/0003379354?sid=110</v>
      </c>
      <c r="H1036">
        <v>0.30499999999999999</v>
      </c>
    </row>
    <row r="1037" spans="1:8" x14ac:dyDescent="0.3">
      <c r="A1037" t="s">
        <v>2034</v>
      </c>
      <c r="B1037" t="s">
        <v>26951</v>
      </c>
      <c r="C1037" t="s">
        <v>2724</v>
      </c>
      <c r="D1037" t="s">
        <v>2723</v>
      </c>
      <c r="E1037" s="2" t="s">
        <v>7</v>
      </c>
      <c r="F1037" t="s">
        <v>2124</v>
      </c>
      <c r="G1037" t="str">
        <f>HYPERLINK("https://www.beminor.com/news/articleView.html?idxno=25251")</f>
        <v>https://www.beminor.com/news/articleView.html?idxno=25251</v>
      </c>
      <c r="H1037">
        <v>0.48199999999999998</v>
      </c>
    </row>
    <row r="1038" spans="1:8" x14ac:dyDescent="0.3">
      <c r="A1038" t="s">
        <v>2034</v>
      </c>
      <c r="B1038" t="s">
        <v>26951</v>
      </c>
      <c r="C1038" t="s">
        <v>2726</v>
      </c>
      <c r="D1038" t="s">
        <v>2725</v>
      </c>
      <c r="E1038" s="2" t="s">
        <v>7</v>
      </c>
      <c r="F1038" t="s">
        <v>2124</v>
      </c>
      <c r="G1038" t="str">
        <f>HYPERLINK("https://n.news.naver.com/mnews/article/032/0003379356?sid=110")</f>
        <v>https://n.news.naver.com/mnews/article/032/0003379356?sid=110</v>
      </c>
      <c r="H1038">
        <v>0.29399999999999998</v>
      </c>
    </row>
    <row r="1039" spans="1:8" x14ac:dyDescent="0.3">
      <c r="A1039" t="s">
        <v>2034</v>
      </c>
      <c r="B1039" t="s">
        <v>26951</v>
      </c>
      <c r="C1039" t="s">
        <v>2729</v>
      </c>
      <c r="D1039" t="s">
        <v>2728</v>
      </c>
      <c r="E1039" s="2" t="s">
        <v>7</v>
      </c>
      <c r="F1039" t="s">
        <v>2727</v>
      </c>
      <c r="G1039" t="str">
        <f>HYPERLINK("http://www.nongaek.com/news/articleView.html?idxno=91824")</f>
        <v>http://www.nongaek.com/news/articleView.html?idxno=91824</v>
      </c>
      <c r="H1039">
        <v>0.32500000000000001</v>
      </c>
    </row>
    <row r="1040" spans="1:8" x14ac:dyDescent="0.3">
      <c r="A1040" t="s">
        <v>2034</v>
      </c>
      <c r="B1040" t="s">
        <v>26951</v>
      </c>
      <c r="C1040" t="s">
        <v>2731</v>
      </c>
      <c r="D1040" t="s">
        <v>2730</v>
      </c>
      <c r="E1040" s="2" t="s">
        <v>7</v>
      </c>
      <c r="F1040" t="s">
        <v>776</v>
      </c>
      <c r="G1040" t="str">
        <f>HYPERLINK("https://n.news.naver.com/mnews/article/006/0000130573?sid=102")</f>
        <v>https://n.news.naver.com/mnews/article/006/0000130573?sid=102</v>
      </c>
      <c r="H1040">
        <v>0.313</v>
      </c>
    </row>
    <row r="1041" spans="1:8" x14ac:dyDescent="0.3">
      <c r="A1041" t="s">
        <v>2034</v>
      </c>
      <c r="B1041" t="s">
        <v>26951</v>
      </c>
      <c r="C1041" t="s">
        <v>2734</v>
      </c>
      <c r="D1041" t="s">
        <v>2733</v>
      </c>
      <c r="E1041" s="2" t="s">
        <v>66</v>
      </c>
      <c r="F1041" t="s">
        <v>2732</v>
      </c>
      <c r="G1041" t="str">
        <f>HYPERLINK("https://n.news.naver.com/mnews/article/214/0000188150?sid=102")</f>
        <v>https://n.news.naver.com/mnews/article/214/0000188150?sid=102</v>
      </c>
      <c r="H1041">
        <v>0.59699999999999998</v>
      </c>
    </row>
    <row r="1042" spans="1:8" x14ac:dyDescent="0.3">
      <c r="A1042" t="s">
        <v>2034</v>
      </c>
      <c r="B1042" t="s">
        <v>26951</v>
      </c>
      <c r="C1042" t="s">
        <v>2736</v>
      </c>
      <c r="D1042" t="s">
        <v>2735</v>
      </c>
      <c r="E1042" s="2" t="s">
        <v>66</v>
      </c>
      <c r="F1042" t="s">
        <v>2057</v>
      </c>
      <c r="G1042" t="str">
        <f>HYPERLINK("https://n.news.naver.com/mnews/article/055/0001228971?sid=100")</f>
        <v>https://n.news.naver.com/mnews/article/055/0001228971?sid=100</v>
      </c>
      <c r="H1042">
        <v>0.10299999999999999</v>
      </c>
    </row>
    <row r="1043" spans="1:8" x14ac:dyDescent="0.3">
      <c r="A1043" t="s">
        <v>2034</v>
      </c>
      <c r="B1043" t="s">
        <v>26951</v>
      </c>
      <c r="C1043" t="s">
        <v>2738</v>
      </c>
      <c r="D1043" t="s">
        <v>2737</v>
      </c>
      <c r="E1043" s="2" t="s">
        <v>66</v>
      </c>
      <c r="F1043" t="s">
        <v>2057</v>
      </c>
      <c r="G1043" t="str">
        <f>HYPERLINK("http://www.nongaek.com/news/articleView.html?idxno=91774")</f>
        <v>http://www.nongaek.com/news/articleView.html?idxno=91774</v>
      </c>
      <c r="H1043">
        <v>0.13100000000000001</v>
      </c>
    </row>
    <row r="1044" spans="1:8" x14ac:dyDescent="0.3">
      <c r="A1044" t="s">
        <v>2034</v>
      </c>
      <c r="B1044" t="s">
        <v>26951</v>
      </c>
      <c r="C1044" t="s">
        <v>2740</v>
      </c>
      <c r="D1044" t="s">
        <v>2739</v>
      </c>
      <c r="E1044" s="2" t="s">
        <v>66</v>
      </c>
      <c r="F1044" t="s">
        <v>2057</v>
      </c>
      <c r="G1044" t="str">
        <f>HYPERLINK("http://www.nongaek.com/news/articleView.html?idxno=91811")</f>
        <v>http://www.nongaek.com/news/articleView.html?idxno=91811</v>
      </c>
      <c r="H1044">
        <v>9.9000000000000005E-2</v>
      </c>
    </row>
    <row r="1045" spans="1:8" x14ac:dyDescent="0.3">
      <c r="A1045" t="s">
        <v>2034</v>
      </c>
      <c r="B1045" t="s">
        <v>26951</v>
      </c>
      <c r="C1045" t="s">
        <v>2742</v>
      </c>
      <c r="D1045" t="s">
        <v>2741</v>
      </c>
      <c r="E1045" s="2" t="s">
        <v>66</v>
      </c>
      <c r="F1045" t="s">
        <v>1579</v>
      </c>
      <c r="G1045" t="str">
        <f>HYPERLINK("https://n.news.naver.com/mnews/article/006/0000115508?sid=100")</f>
        <v>https://n.news.naver.com/mnews/article/006/0000115508?sid=100</v>
      </c>
      <c r="H1045">
        <v>0.31</v>
      </c>
    </row>
    <row r="1046" spans="1:8" x14ac:dyDescent="0.3">
      <c r="A1046" t="s">
        <v>2034</v>
      </c>
      <c r="B1046" t="s">
        <v>26951</v>
      </c>
      <c r="C1046" t="s">
        <v>2745</v>
      </c>
      <c r="D1046" t="s">
        <v>2744</v>
      </c>
      <c r="E1046" s="2" t="s">
        <v>66</v>
      </c>
      <c r="F1046" t="s">
        <v>2743</v>
      </c>
      <c r="G1046" t="str">
        <f>HYPERLINK("https://n.news.naver.com/mnews/article/032/0003190260?sid=102")</f>
        <v>https://n.news.naver.com/mnews/article/032/0003190260?sid=102</v>
      </c>
      <c r="H1046">
        <v>0.38700000000000001</v>
      </c>
    </row>
    <row r="1047" spans="1:8" x14ac:dyDescent="0.3">
      <c r="A1047" t="s">
        <v>2034</v>
      </c>
      <c r="B1047" t="s">
        <v>26951</v>
      </c>
      <c r="C1047" t="s">
        <v>2748</v>
      </c>
      <c r="D1047" t="s">
        <v>2747</v>
      </c>
      <c r="E1047" s="2" t="s">
        <v>66</v>
      </c>
      <c r="F1047" t="s">
        <v>2746</v>
      </c>
      <c r="G1047" t="str">
        <f>HYPERLINK("http://www.redian.org/archive/135338")</f>
        <v>http://www.redian.org/archive/135338</v>
      </c>
      <c r="H1047">
        <v>0.45900000000000002</v>
      </c>
    </row>
    <row r="1048" spans="1:8" x14ac:dyDescent="0.3">
      <c r="A1048" t="s">
        <v>2034</v>
      </c>
      <c r="B1048" t="s">
        <v>26951</v>
      </c>
      <c r="C1048" t="s">
        <v>2751</v>
      </c>
      <c r="D1048" t="s">
        <v>2750</v>
      </c>
      <c r="E1048" s="2" t="s">
        <v>66</v>
      </c>
      <c r="F1048" t="s">
        <v>2749</v>
      </c>
      <c r="G1048" t="str">
        <f>HYPERLINK("http://www.4th.kr/news/articleView.html?idxno=2065602")</f>
        <v>http://www.4th.kr/news/articleView.html?idxno=2065602</v>
      </c>
      <c r="H1048">
        <v>0.34</v>
      </c>
    </row>
    <row r="1049" spans="1:8" x14ac:dyDescent="0.3">
      <c r="A1049" t="s">
        <v>2034</v>
      </c>
      <c r="B1049" t="s">
        <v>26951</v>
      </c>
      <c r="C1049" t="s">
        <v>2754</v>
      </c>
      <c r="D1049" t="s">
        <v>2753</v>
      </c>
      <c r="E1049" s="2" t="s">
        <v>66</v>
      </c>
      <c r="F1049" t="s">
        <v>2752</v>
      </c>
      <c r="G1049" t="str">
        <f>HYPERLINK("https://www.newsnjoy.or.kr/news/articleView.html?idxno=307502")</f>
        <v>https://www.newsnjoy.or.kr/news/articleView.html?idxno=307502</v>
      </c>
      <c r="H1049">
        <v>0.40200000000000002</v>
      </c>
    </row>
    <row r="1050" spans="1:8" x14ac:dyDescent="0.3">
      <c r="A1050" t="s">
        <v>2034</v>
      </c>
      <c r="B1050" t="s">
        <v>26951</v>
      </c>
      <c r="C1050" t="s">
        <v>2756</v>
      </c>
      <c r="D1050" t="s">
        <v>2755</v>
      </c>
      <c r="E1050" s="2" t="s">
        <v>66</v>
      </c>
      <c r="F1050" t="s">
        <v>96</v>
      </c>
      <c r="G1050" t="str">
        <f>HYPERLINK("https://www.danbinews.com/news/articleView.html?idxno=30751")</f>
        <v>https://www.danbinews.com/news/articleView.html?idxno=30751</v>
      </c>
      <c r="H1050">
        <v>0.26900000000000002</v>
      </c>
    </row>
    <row r="1051" spans="1:8" x14ac:dyDescent="0.3">
      <c r="A1051" t="s">
        <v>2034</v>
      </c>
      <c r="B1051" t="s">
        <v>26951</v>
      </c>
      <c r="C1051" t="s">
        <v>2759</v>
      </c>
      <c r="D1051" t="s">
        <v>2758</v>
      </c>
      <c r="E1051" s="2" t="s">
        <v>74</v>
      </c>
      <c r="F1051" t="s">
        <v>2757</v>
      </c>
      <c r="G1051" t="str">
        <f>HYPERLINK("https://n.news.naver.com/mnews/article/022/0004047866?sid=102")</f>
        <v>https://n.news.naver.com/mnews/article/022/0004047866?sid=102</v>
      </c>
      <c r="H1051">
        <v>0.2</v>
      </c>
    </row>
    <row r="1052" spans="1:8" x14ac:dyDescent="0.3">
      <c r="A1052" t="s">
        <v>2034</v>
      </c>
      <c r="B1052" t="s">
        <v>26951</v>
      </c>
      <c r="C1052" t="s">
        <v>2762</v>
      </c>
      <c r="D1052" t="s">
        <v>2761</v>
      </c>
      <c r="E1052" s="2" t="s">
        <v>74</v>
      </c>
      <c r="F1052" t="s">
        <v>2760</v>
      </c>
      <c r="G1052" t="str">
        <f>HYPERLINK("http://www.jbsori.com/news/articleView.html?idxno=15832")</f>
        <v>http://www.jbsori.com/news/articleView.html?idxno=15832</v>
      </c>
      <c r="H1052">
        <v>0.33400000000000002</v>
      </c>
    </row>
    <row r="1053" spans="1:8" x14ac:dyDescent="0.3">
      <c r="A1053" t="s">
        <v>2034</v>
      </c>
      <c r="B1053" t="s">
        <v>26951</v>
      </c>
      <c r="C1053" t="s">
        <v>2766</v>
      </c>
      <c r="D1053" t="s">
        <v>2765</v>
      </c>
      <c r="E1053" s="2" t="s">
        <v>74</v>
      </c>
      <c r="F1053" t="s">
        <v>2764</v>
      </c>
      <c r="G1053" t="str">
        <f>HYPERLINK("https://www.catholictimes.org/article/20250623500146")</f>
        <v>https://www.catholictimes.org/article/20250623500146</v>
      </c>
      <c r="H1053">
        <v>0.49</v>
      </c>
    </row>
    <row r="1054" spans="1:8" x14ac:dyDescent="0.3">
      <c r="A1054" t="s">
        <v>2034</v>
      </c>
      <c r="B1054" t="s">
        <v>26951</v>
      </c>
      <c r="C1054" t="s">
        <v>2769</v>
      </c>
      <c r="D1054" t="s">
        <v>2768</v>
      </c>
      <c r="E1054" s="2" t="s">
        <v>74</v>
      </c>
      <c r="F1054" t="s">
        <v>2767</v>
      </c>
      <c r="G1054" t="str">
        <f>HYPERLINK("http://www.newstnt.com/news/articleView.html?idxno=441220")</f>
        <v>http://www.newstnt.com/news/articleView.html?idxno=441220</v>
      </c>
      <c r="H1054">
        <v>0.21</v>
      </c>
    </row>
    <row r="1055" spans="1:8" x14ac:dyDescent="0.3">
      <c r="A1055" t="s">
        <v>2034</v>
      </c>
      <c r="B1055" t="s">
        <v>26951</v>
      </c>
      <c r="C1055" t="s">
        <v>2771</v>
      </c>
      <c r="D1055" t="s">
        <v>2770</v>
      </c>
      <c r="E1055" s="2" t="s">
        <v>74</v>
      </c>
      <c r="F1055" t="s">
        <v>1341</v>
      </c>
      <c r="G1055" t="str">
        <f>HYPERLINK("http://www.opinionnews.co.kr/news/articleView.html?idxno=91562")</f>
        <v>http://www.opinionnews.co.kr/news/articleView.html?idxno=91562</v>
      </c>
      <c r="H1055">
        <v>0.44700000000000001</v>
      </c>
    </row>
    <row r="1056" spans="1:8" x14ac:dyDescent="0.3">
      <c r="A1056" t="s">
        <v>2034</v>
      </c>
      <c r="B1056" t="s">
        <v>26951</v>
      </c>
      <c r="C1056" t="s">
        <v>2773</v>
      </c>
      <c r="D1056" t="s">
        <v>2772</v>
      </c>
      <c r="E1056" s="2" t="s">
        <v>74</v>
      </c>
      <c r="F1056" t="s">
        <v>1731</v>
      </c>
      <c r="G1056" t="str">
        <f>HYPERLINK("http://www.nongaek.com/news/articleView.html?idxno=91799")</f>
        <v>http://www.nongaek.com/news/articleView.html?idxno=91799</v>
      </c>
      <c r="H1056">
        <v>0.65800000000000003</v>
      </c>
    </row>
    <row r="1057" spans="1:8" x14ac:dyDescent="0.3">
      <c r="A1057" t="s">
        <v>2034</v>
      </c>
      <c r="B1057" t="s">
        <v>26951</v>
      </c>
      <c r="C1057" t="s">
        <v>2776</v>
      </c>
      <c r="D1057" t="s">
        <v>2775</v>
      </c>
      <c r="E1057" s="2" t="s">
        <v>74</v>
      </c>
      <c r="F1057" t="s">
        <v>2774</v>
      </c>
      <c r="G1057" t="str">
        <f>HYPERLINK("https://n.news.naver.com/mnews/article/022/0004047762?sid=100")</f>
        <v>https://n.news.naver.com/mnews/article/022/0004047762?sid=100</v>
      </c>
      <c r="H1057">
        <v>0.23400000000000001</v>
      </c>
    </row>
    <row r="1058" spans="1:8" x14ac:dyDescent="0.3">
      <c r="A1058" t="s">
        <v>2034</v>
      </c>
      <c r="B1058" t="s">
        <v>26951</v>
      </c>
      <c r="C1058" t="s">
        <v>2778</v>
      </c>
      <c r="D1058" t="s">
        <v>2777</v>
      </c>
      <c r="E1058" s="2" t="s">
        <v>105</v>
      </c>
      <c r="F1058" t="s">
        <v>197</v>
      </c>
      <c r="G1058" t="str">
        <f>HYPERLINK("https://n.news.naver.com/mnews/article/028/0002679286?sid=102")</f>
        <v>https://n.news.naver.com/mnews/article/028/0002679286?sid=102</v>
      </c>
      <c r="H1058">
        <v>0.31</v>
      </c>
    </row>
    <row r="1059" spans="1:8" x14ac:dyDescent="0.3">
      <c r="A1059" t="s">
        <v>2034</v>
      </c>
      <c r="B1059" t="s">
        <v>26951</v>
      </c>
      <c r="C1059" t="s">
        <v>2780</v>
      </c>
      <c r="D1059" t="s">
        <v>2779</v>
      </c>
      <c r="E1059" s="2" t="s">
        <v>105</v>
      </c>
      <c r="F1059" t="s">
        <v>2057</v>
      </c>
      <c r="G1059" t="str">
        <f>HYPERLINK("https://www.naeil.com/news/read/552529?ref=naver")</f>
        <v>https://www.naeil.com/news/read/552529?ref=naver</v>
      </c>
      <c r="H1059">
        <v>0.27</v>
      </c>
    </row>
    <row r="1060" spans="1:8" x14ac:dyDescent="0.3">
      <c r="A1060" t="s">
        <v>2034</v>
      </c>
      <c r="B1060" t="s">
        <v>26951</v>
      </c>
      <c r="C1060" t="s">
        <v>2783</v>
      </c>
      <c r="D1060" t="s">
        <v>2782</v>
      </c>
      <c r="E1060" s="2" t="s">
        <v>105</v>
      </c>
      <c r="F1060" t="s">
        <v>2781</v>
      </c>
      <c r="G1060" t="str">
        <f>HYPERLINK("https://n.news.naver.com/mnews/article/022/0004047739?sid=102")</f>
        <v>https://n.news.naver.com/mnews/article/022/0004047739?sid=102</v>
      </c>
      <c r="H1060">
        <v>0.39100000000000001</v>
      </c>
    </row>
    <row r="1061" spans="1:8" x14ac:dyDescent="0.3">
      <c r="A1061" t="s">
        <v>2034</v>
      </c>
      <c r="B1061" t="s">
        <v>26951</v>
      </c>
      <c r="C1061" t="s">
        <v>2785</v>
      </c>
      <c r="D1061" t="s">
        <v>2784</v>
      </c>
      <c r="E1061" s="2" t="s">
        <v>105</v>
      </c>
      <c r="F1061" t="s">
        <v>2057</v>
      </c>
      <c r="G1061" t="str">
        <f>HYPERLINK("https://www.newspim.com/news/view/20250615000152")</f>
        <v>https://www.newspim.com/news/view/20250615000152</v>
      </c>
      <c r="H1061">
        <v>0.13500000000000001</v>
      </c>
    </row>
    <row r="1062" spans="1:8" x14ac:dyDescent="0.3">
      <c r="A1062" t="s">
        <v>2034</v>
      </c>
      <c r="B1062" t="s">
        <v>26951</v>
      </c>
      <c r="C1062" t="s">
        <v>2787</v>
      </c>
      <c r="D1062" t="s">
        <v>2786</v>
      </c>
      <c r="E1062" s="2" t="s">
        <v>105</v>
      </c>
      <c r="F1062" t="s">
        <v>2124</v>
      </c>
      <c r="G1062" t="str">
        <f>HYPERLINK("https://n.news.naver.com/mnews/article/032/0003378967?sid=110")</f>
        <v>https://n.news.naver.com/mnews/article/032/0003378967?sid=110</v>
      </c>
      <c r="H1062">
        <v>0.249</v>
      </c>
    </row>
    <row r="1063" spans="1:8" x14ac:dyDescent="0.3">
      <c r="A1063" t="s">
        <v>2034</v>
      </c>
      <c r="B1063" t="s">
        <v>26951</v>
      </c>
      <c r="C1063" t="s">
        <v>2790</v>
      </c>
      <c r="D1063" t="s">
        <v>2789</v>
      </c>
      <c r="E1063" s="2" t="s">
        <v>105</v>
      </c>
      <c r="F1063" t="s">
        <v>2788</v>
      </c>
      <c r="G1063" t="str">
        <f>HYPERLINK("https://n.news.naver.com/mnews/article/036/0000046903?sid=102")</f>
        <v>https://n.news.naver.com/mnews/article/036/0000046903?sid=102</v>
      </c>
      <c r="H1063">
        <v>0.309</v>
      </c>
    </row>
    <row r="1064" spans="1:8" x14ac:dyDescent="0.3">
      <c r="A1064" t="s">
        <v>2034</v>
      </c>
      <c r="B1064" t="s">
        <v>26951</v>
      </c>
      <c r="C1064" t="s">
        <v>2793</v>
      </c>
      <c r="D1064" t="s">
        <v>2792</v>
      </c>
      <c r="E1064" s="2" t="s">
        <v>105</v>
      </c>
      <c r="F1064" t="s">
        <v>2791</v>
      </c>
      <c r="G1064" t="str">
        <f>HYPERLINK("http://www.biztribune.co.kr/news/articleView.html?idxno=335164")</f>
        <v>http://www.biztribune.co.kr/news/articleView.html?idxno=335164</v>
      </c>
      <c r="H1064">
        <v>0.44500000000000001</v>
      </c>
    </row>
    <row r="1065" spans="1:8" x14ac:dyDescent="0.3">
      <c r="A1065" t="s">
        <v>2034</v>
      </c>
      <c r="B1065" t="s">
        <v>26951</v>
      </c>
      <c r="C1065" t="s">
        <v>2796</v>
      </c>
      <c r="D1065" t="s">
        <v>2795</v>
      </c>
      <c r="E1065" s="2" t="s">
        <v>105</v>
      </c>
      <c r="F1065" t="s">
        <v>2794</v>
      </c>
      <c r="G1065" t="str">
        <f>HYPERLINK("https://www.catholictimes.org/article/20250623500146")</f>
        <v>https://www.catholictimes.org/article/20250623500146</v>
      </c>
      <c r="H1065">
        <v>0.28799999999999998</v>
      </c>
    </row>
    <row r="1066" spans="1:8" x14ac:dyDescent="0.3">
      <c r="A1066" t="s">
        <v>2034</v>
      </c>
      <c r="B1066" t="s">
        <v>26951</v>
      </c>
      <c r="C1066" t="s">
        <v>2798</v>
      </c>
      <c r="D1066" t="s">
        <v>2797</v>
      </c>
      <c r="E1066" s="2" t="s">
        <v>105</v>
      </c>
      <c r="F1066" t="s">
        <v>2212</v>
      </c>
      <c r="G1066" t="str">
        <f>HYPERLINK("http://www.ifs.or.kr/bbs/board.php?bo_table=News&amp;wr_id=54697")</f>
        <v>http://www.ifs.or.kr/bbs/board.php?bo_table=News&amp;wr_id=54697</v>
      </c>
      <c r="H1066">
        <v>0.67600000000000005</v>
      </c>
    </row>
    <row r="1067" spans="1:8" x14ac:dyDescent="0.3">
      <c r="A1067" t="s">
        <v>2034</v>
      </c>
      <c r="B1067" t="s">
        <v>26951</v>
      </c>
      <c r="C1067" t="s">
        <v>2801</v>
      </c>
      <c r="D1067" t="s">
        <v>2800</v>
      </c>
      <c r="E1067" s="2" t="s">
        <v>105</v>
      </c>
      <c r="F1067" t="s">
        <v>2799</v>
      </c>
      <c r="G1067" t="str">
        <f>HYPERLINK("https://n.news.naver.com/mnews/article/032/0002736698?sid=102")</f>
        <v>https://n.news.naver.com/mnews/article/032/0002736698?sid=102</v>
      </c>
      <c r="H1067">
        <v>0.23599999999999999</v>
      </c>
    </row>
    <row r="1068" spans="1:8" x14ac:dyDescent="0.3">
      <c r="A1068" t="s">
        <v>2034</v>
      </c>
      <c r="B1068" t="s">
        <v>26951</v>
      </c>
      <c r="C1068" t="s">
        <v>2804</v>
      </c>
      <c r="D1068" t="s">
        <v>2803</v>
      </c>
      <c r="E1068" s="2" t="s">
        <v>105</v>
      </c>
      <c r="F1068" t="s">
        <v>2802</v>
      </c>
      <c r="G1068" t="str">
        <f>HYPERLINK("https://n.news.naver.com/mnews/article/032/0003378997?sid=100")</f>
        <v>https://n.news.naver.com/mnews/article/032/0003378997?sid=100</v>
      </c>
      <c r="H1068">
        <v>0.19600000000000001</v>
      </c>
    </row>
    <row r="1069" spans="1:8" x14ac:dyDescent="0.3">
      <c r="A1069" t="s">
        <v>2034</v>
      </c>
      <c r="B1069" t="s">
        <v>26951</v>
      </c>
      <c r="C1069" t="s">
        <v>2806</v>
      </c>
      <c r="D1069" t="s">
        <v>2805</v>
      </c>
      <c r="E1069" s="2" t="s">
        <v>105</v>
      </c>
      <c r="F1069" t="s">
        <v>1611</v>
      </c>
      <c r="G1069" t="str">
        <f>HYPERLINK("https://www.apnews.kr/news/articleView.html?idxno=3028458")</f>
        <v>https://www.apnews.kr/news/articleView.html?idxno=3028458</v>
      </c>
      <c r="H1069">
        <v>0.311</v>
      </c>
    </row>
    <row r="1070" spans="1:8" x14ac:dyDescent="0.3">
      <c r="A1070" t="s">
        <v>2034</v>
      </c>
      <c r="B1070" t="s">
        <v>26951</v>
      </c>
      <c r="C1070" t="s">
        <v>2808</v>
      </c>
      <c r="D1070" t="s">
        <v>2807</v>
      </c>
      <c r="E1070" s="2" t="s">
        <v>105</v>
      </c>
      <c r="F1070" t="s">
        <v>2096</v>
      </c>
      <c r="G1070" t="str">
        <f>HYPERLINK("http://www.mediawatch.kr/news/article.html?no=231898")</f>
        <v>http://www.mediawatch.kr/news/article.html?no=231898</v>
      </c>
      <c r="H1070">
        <v>0.214</v>
      </c>
    </row>
    <row r="1071" spans="1:8" x14ac:dyDescent="0.3">
      <c r="A1071" t="s">
        <v>2034</v>
      </c>
      <c r="B1071" t="s">
        <v>26951</v>
      </c>
      <c r="C1071" t="s">
        <v>2811</v>
      </c>
      <c r="D1071" t="s">
        <v>2810</v>
      </c>
      <c r="E1071" s="2" t="s">
        <v>105</v>
      </c>
      <c r="F1071" t="s">
        <v>2809</v>
      </c>
      <c r="G1071" t="str">
        <f>HYPERLINK("https://n.news.naver.com/mnews/article/032/0003378422?sid=102")</f>
        <v>https://n.news.naver.com/mnews/article/032/0003378422?sid=102</v>
      </c>
      <c r="H1071">
        <v>0.251</v>
      </c>
    </row>
    <row r="1072" spans="1:8" x14ac:dyDescent="0.3">
      <c r="A1072" t="s">
        <v>2034</v>
      </c>
      <c r="B1072" t="s">
        <v>26951</v>
      </c>
      <c r="C1072" t="s">
        <v>2813</v>
      </c>
      <c r="D1072" t="s">
        <v>2812</v>
      </c>
      <c r="E1072" s="2" t="s">
        <v>105</v>
      </c>
      <c r="F1072" t="s">
        <v>857</v>
      </c>
      <c r="G1072" t="str">
        <f>HYPERLINK("http://news.bbsi.co.kr/news/articleView.html?idxno=763622")</f>
        <v>http://news.bbsi.co.kr/news/articleView.html?idxno=763622</v>
      </c>
      <c r="H1072">
        <v>0.19500000000000001</v>
      </c>
    </row>
    <row r="1073" spans="1:8" x14ac:dyDescent="0.3">
      <c r="A1073" t="s">
        <v>2034</v>
      </c>
      <c r="B1073" t="s">
        <v>26951</v>
      </c>
      <c r="C1073" t="s">
        <v>2816</v>
      </c>
      <c r="D1073" t="s">
        <v>2815</v>
      </c>
      <c r="E1073" s="2" t="s">
        <v>105</v>
      </c>
      <c r="F1073" t="s">
        <v>2814</v>
      </c>
      <c r="G1073" t="str">
        <f>HYPERLINK("http://www.newstof.com/news/articleView.html?idxno=1542")</f>
        <v>http://www.newstof.com/news/articleView.html?idxno=1542</v>
      </c>
      <c r="H1073">
        <v>0.29599999999999999</v>
      </c>
    </row>
    <row r="1074" spans="1:8" x14ac:dyDescent="0.3">
      <c r="A1074" t="s">
        <v>2034</v>
      </c>
      <c r="B1074" t="s">
        <v>26951</v>
      </c>
      <c r="C1074" t="s">
        <v>2819</v>
      </c>
      <c r="D1074" t="s">
        <v>2818</v>
      </c>
      <c r="E1074" s="2" t="s">
        <v>105</v>
      </c>
      <c r="F1074" t="s">
        <v>2817</v>
      </c>
      <c r="G1074" t="str">
        <f>HYPERLINK("https://n.news.naver.com/mnews/article/032/0003378968?sid=102")</f>
        <v>https://n.news.naver.com/mnews/article/032/0003378968?sid=102</v>
      </c>
      <c r="H1074">
        <v>0.22900000000000001</v>
      </c>
    </row>
    <row r="1075" spans="1:8" x14ac:dyDescent="0.3">
      <c r="A1075" t="s">
        <v>2034</v>
      </c>
      <c r="B1075" t="s">
        <v>26951</v>
      </c>
      <c r="C1075" t="s">
        <v>2821</v>
      </c>
      <c r="D1075" t="s">
        <v>2820</v>
      </c>
      <c r="E1075" s="2" t="s">
        <v>105</v>
      </c>
      <c r="F1075" t="s">
        <v>2077</v>
      </c>
      <c r="G1075" t="str">
        <f>HYPERLINK("https://www.newsnjoy.or.kr/news/articleView.html?idxno=307499")</f>
        <v>https://www.newsnjoy.or.kr/news/articleView.html?idxno=307499</v>
      </c>
      <c r="H1075">
        <v>0.17899999999999999</v>
      </c>
    </row>
    <row r="1076" spans="1:8" x14ac:dyDescent="0.3">
      <c r="A1076" t="s">
        <v>2034</v>
      </c>
      <c r="B1076" t="s">
        <v>26951</v>
      </c>
      <c r="C1076" t="s">
        <v>2823</v>
      </c>
      <c r="D1076" t="s">
        <v>2822</v>
      </c>
      <c r="E1076" s="2" t="s">
        <v>133</v>
      </c>
      <c r="F1076" t="s">
        <v>197</v>
      </c>
      <c r="G1076" t="str">
        <f>HYPERLINK("https://n.news.naver.com/mnews/article/658/0000059065?sid=105")</f>
        <v>https://n.news.naver.com/mnews/article/658/0000059065?sid=105</v>
      </c>
      <c r="H1076">
        <v>0.28000000000000003</v>
      </c>
    </row>
    <row r="1077" spans="1:8" x14ac:dyDescent="0.3">
      <c r="A1077" t="s">
        <v>2034</v>
      </c>
      <c r="B1077" t="s">
        <v>26951</v>
      </c>
      <c r="C1077" t="s">
        <v>2825</v>
      </c>
      <c r="D1077" t="s">
        <v>2824</v>
      </c>
      <c r="E1077" s="2" t="s">
        <v>133</v>
      </c>
      <c r="F1077" t="s">
        <v>148</v>
      </c>
      <c r="G1077" t="str">
        <f>HYPERLINK("https://n.news.naver.com/mnews/article/032/0003352019?sid=102")</f>
        <v>https://n.news.naver.com/mnews/article/032/0003352019?sid=102</v>
      </c>
      <c r="H1077">
        <v>0.18099999999999999</v>
      </c>
    </row>
    <row r="1078" spans="1:8" x14ac:dyDescent="0.3">
      <c r="A1078" t="s">
        <v>2034</v>
      </c>
      <c r="B1078" t="s">
        <v>26951</v>
      </c>
      <c r="C1078" t="s">
        <v>2827</v>
      </c>
      <c r="D1078" t="s">
        <v>2826</v>
      </c>
      <c r="E1078" s="2" t="s">
        <v>133</v>
      </c>
      <c r="F1078" t="s">
        <v>2057</v>
      </c>
      <c r="G1078" t="str">
        <f>HYPERLINK("https://news.einfomax.co.kr/news/articleView.html?idxno=4360140")</f>
        <v>https://news.einfomax.co.kr/news/articleView.html?idxno=4360140</v>
      </c>
      <c r="H1078">
        <v>0.17199999999999999</v>
      </c>
    </row>
    <row r="1079" spans="1:8" x14ac:dyDescent="0.3">
      <c r="A1079" t="s">
        <v>2034</v>
      </c>
      <c r="B1079" t="s">
        <v>26951</v>
      </c>
      <c r="C1079" t="s">
        <v>2829</v>
      </c>
      <c r="D1079" t="s">
        <v>2828</v>
      </c>
      <c r="E1079" s="2" t="s">
        <v>133</v>
      </c>
      <c r="F1079" t="s">
        <v>2057</v>
      </c>
      <c r="G1079" t="str">
        <f>HYPERLINK("https://daily.hankooki.com/news/articleView.html?idxno=1236366")</f>
        <v>https://daily.hankooki.com/news/articleView.html?idxno=1236366</v>
      </c>
      <c r="H1079">
        <v>0.24</v>
      </c>
    </row>
    <row r="1080" spans="1:8" x14ac:dyDescent="0.3">
      <c r="A1080" t="s">
        <v>2034</v>
      </c>
      <c r="B1080" t="s">
        <v>26951</v>
      </c>
      <c r="C1080" t="s">
        <v>2831</v>
      </c>
      <c r="D1080" t="s">
        <v>2830</v>
      </c>
      <c r="E1080" s="2" t="s">
        <v>133</v>
      </c>
      <c r="F1080" t="s">
        <v>2057</v>
      </c>
      <c r="G1080" t="str">
        <f>HYPERLINK("https://n.news.naver.com/mnews/article/006/0000130631?sid=102")</f>
        <v>https://n.news.naver.com/mnews/article/006/0000130631?sid=102</v>
      </c>
      <c r="H1080">
        <v>0.155</v>
      </c>
    </row>
    <row r="1081" spans="1:8" x14ac:dyDescent="0.3">
      <c r="A1081" t="s">
        <v>2034</v>
      </c>
      <c r="B1081" t="s">
        <v>26951</v>
      </c>
      <c r="C1081" t="s">
        <v>2833</v>
      </c>
      <c r="D1081" t="s">
        <v>2832</v>
      </c>
      <c r="E1081" s="2" t="s">
        <v>133</v>
      </c>
      <c r="F1081" t="s">
        <v>2057</v>
      </c>
      <c r="G1081" t="str">
        <f>HYPERLINK("http://www.nongaek.com/news/articleView.html?idxno=91787")</f>
        <v>http://www.nongaek.com/news/articleView.html?idxno=91787</v>
      </c>
      <c r="H1081">
        <v>0.19900000000000001</v>
      </c>
    </row>
    <row r="1082" spans="1:8" x14ac:dyDescent="0.3">
      <c r="A1082" t="s">
        <v>2034</v>
      </c>
      <c r="B1082" t="s">
        <v>26951</v>
      </c>
      <c r="C1082" t="s">
        <v>2836</v>
      </c>
      <c r="D1082" t="s">
        <v>2835</v>
      </c>
      <c r="E1082" s="2" t="s">
        <v>133</v>
      </c>
      <c r="F1082" t="s">
        <v>2834</v>
      </c>
      <c r="G1082" t="str">
        <f>HYPERLINK("https://www.eroun.net/news/articleView.html?idxno=56194")</f>
        <v>https://www.eroun.net/news/articleView.html?idxno=56194</v>
      </c>
      <c r="H1082">
        <v>0.498</v>
      </c>
    </row>
    <row r="1083" spans="1:8" x14ac:dyDescent="0.3">
      <c r="A1083" t="s">
        <v>2034</v>
      </c>
      <c r="B1083" t="s">
        <v>26951</v>
      </c>
      <c r="C1083" t="s">
        <v>2838</v>
      </c>
      <c r="D1083" t="s">
        <v>2837</v>
      </c>
      <c r="E1083" s="2" t="s">
        <v>133</v>
      </c>
      <c r="F1083" t="s">
        <v>2096</v>
      </c>
      <c r="G1083" t="str">
        <f>HYPERLINK("http://www.m-economynews.com/news/article.html?no=20396")</f>
        <v>http://www.m-economynews.com/news/article.html?no=20396</v>
      </c>
      <c r="H1083">
        <v>0.39400000000000002</v>
      </c>
    </row>
    <row r="1084" spans="1:8" x14ac:dyDescent="0.3">
      <c r="A1084" t="s">
        <v>2034</v>
      </c>
      <c r="B1084" t="s">
        <v>26951</v>
      </c>
      <c r="C1084" t="s">
        <v>2841</v>
      </c>
      <c r="D1084" t="s">
        <v>2840</v>
      </c>
      <c r="E1084" s="2" t="s">
        <v>133</v>
      </c>
      <c r="F1084" t="s">
        <v>2839</v>
      </c>
      <c r="G1084" t="str">
        <f>HYPERLINK("http://gamefocus.co.kr/detail.php?number=166694")</f>
        <v>http://gamefocus.co.kr/detail.php?number=166694</v>
      </c>
      <c r="H1084">
        <v>0.47</v>
      </c>
    </row>
    <row r="1085" spans="1:8" x14ac:dyDescent="0.3">
      <c r="A1085" t="s">
        <v>2034</v>
      </c>
      <c r="B1085" t="s">
        <v>26951</v>
      </c>
      <c r="C1085" t="s">
        <v>2843</v>
      </c>
      <c r="D1085" t="s">
        <v>2842</v>
      </c>
      <c r="E1085" s="2" t="s">
        <v>133</v>
      </c>
      <c r="F1085" t="s">
        <v>134</v>
      </c>
      <c r="G1085" t="str">
        <f>HYPERLINK("http://www.nongaek.com/news/articleView.html?idxno=91799")</f>
        <v>http://www.nongaek.com/news/articleView.html?idxno=91799</v>
      </c>
      <c r="H1085">
        <v>0.53900000000000003</v>
      </c>
    </row>
    <row r="1086" spans="1:8" x14ac:dyDescent="0.3">
      <c r="A1086" t="s">
        <v>2034</v>
      </c>
      <c r="B1086" t="s">
        <v>26951</v>
      </c>
      <c r="C1086" t="s">
        <v>2851</v>
      </c>
      <c r="D1086" t="s">
        <v>2850</v>
      </c>
      <c r="E1086" s="2" t="s">
        <v>133</v>
      </c>
      <c r="F1086" t="s">
        <v>2849</v>
      </c>
      <c r="G1086" t="str">
        <f>HYPERLINK("https://www.newsquest.co.kr/news/articleView.html?idxno=236107")</f>
        <v>https://www.newsquest.co.kr/news/articleView.html?idxno=236107</v>
      </c>
      <c r="H1086">
        <v>0.53100000000000003</v>
      </c>
    </row>
    <row r="1087" spans="1:8" x14ac:dyDescent="0.3">
      <c r="A1087" t="s">
        <v>2034</v>
      </c>
      <c r="B1087" t="s">
        <v>26951</v>
      </c>
      <c r="C1087" t="s">
        <v>2854</v>
      </c>
      <c r="D1087" t="s">
        <v>2853</v>
      </c>
      <c r="E1087" s="2" t="s">
        <v>133</v>
      </c>
      <c r="F1087" t="s">
        <v>2852</v>
      </c>
      <c r="G1087" t="str">
        <f>HYPERLINK("http://www.sisaon.co.kr/news/articleView.html?idxno=151768")</f>
        <v>http://www.sisaon.co.kr/news/articleView.html?idxno=151768</v>
      </c>
      <c r="H1087">
        <v>0.66500000000000004</v>
      </c>
    </row>
    <row r="1088" spans="1:8" x14ac:dyDescent="0.3">
      <c r="A1088" t="s">
        <v>2034</v>
      </c>
      <c r="B1088" t="s">
        <v>26951</v>
      </c>
      <c r="C1088" t="s">
        <v>2857</v>
      </c>
      <c r="D1088" t="s">
        <v>2856</v>
      </c>
      <c r="E1088" s="2" t="s">
        <v>133</v>
      </c>
      <c r="F1088" t="s">
        <v>179</v>
      </c>
      <c r="G1088" t="str">
        <f>HYPERLINK("https://n.news.naver.com/mnews/article/032/0002782596?sid=101")</f>
        <v>https://n.news.naver.com/mnews/article/032/0002782596?sid=101</v>
      </c>
      <c r="H1088">
        <v>0.42299999999999999</v>
      </c>
    </row>
    <row r="1089" spans="1:8" x14ac:dyDescent="0.3">
      <c r="A1089" t="s">
        <v>2034</v>
      </c>
      <c r="B1089" t="s">
        <v>26951</v>
      </c>
      <c r="C1089" t="s">
        <v>2859</v>
      </c>
      <c r="D1089" t="s">
        <v>2858</v>
      </c>
      <c r="E1089" s="2" t="s">
        <v>133</v>
      </c>
      <c r="F1089" t="s">
        <v>2209</v>
      </c>
      <c r="G1089" t="str">
        <f>HYPERLINK("http://www.nongaek.com/news/articleView.html?idxno=91824")</f>
        <v>http://www.nongaek.com/news/articleView.html?idxno=91824</v>
      </c>
      <c r="H1089">
        <v>0.33800000000000002</v>
      </c>
    </row>
    <row r="1090" spans="1:8" x14ac:dyDescent="0.3">
      <c r="A1090" t="s">
        <v>2034</v>
      </c>
      <c r="B1090" t="s">
        <v>26951</v>
      </c>
      <c r="C1090" t="s">
        <v>2861</v>
      </c>
      <c r="D1090" t="s">
        <v>2860</v>
      </c>
      <c r="E1090" s="2" t="s">
        <v>133</v>
      </c>
      <c r="F1090" t="s">
        <v>82</v>
      </c>
      <c r="G1090" t="str">
        <f>HYPERLINK("https://ditoday.com/%ed%8e%b8%eb%a6%ac%ed%95%a8%ec%9d%84-%ec%9c%84%ed%95%b4-%ed%94%84%eb%a6%ac%eb%af%b8%ec%97%84%ec%9d%84-%ec%b0%be%eb%8a%94%eb%8b%a4-%ed%8e%b8%eb%a6%ac%eb%af%b8%ec%97%84/")</f>
        <v>https://ditoday.com/%ed%8e%b8%eb%a6%ac%ed%95%a8%ec%9d%84-%ec%9c%84%ed%95%b4-%ed%94%84%eb%a6%ac%eb%af%b8%ec%97%84%ec%9d%84-%ec%b0%be%eb%8a%94%eb%8b%a4-%ed%8e%b8%eb%a6%ac%eb%af%b8%ec%97%84/</v>
      </c>
      <c r="H1090">
        <v>0.245</v>
      </c>
    </row>
    <row r="1091" spans="1:8" x14ac:dyDescent="0.3">
      <c r="A1091" t="s">
        <v>2034</v>
      </c>
      <c r="B1091" t="s">
        <v>26951</v>
      </c>
      <c r="C1091" t="s">
        <v>2863</v>
      </c>
      <c r="D1091" t="s">
        <v>2862</v>
      </c>
      <c r="E1091" s="2" t="s">
        <v>133</v>
      </c>
      <c r="F1091" t="s">
        <v>2233</v>
      </c>
      <c r="G1091" t="str">
        <f>HYPERLINK("https://www.apnews.kr/news/articleView.html?idxno=3026479")</f>
        <v>https://www.apnews.kr/news/articleView.html?idxno=3026479</v>
      </c>
      <c r="H1091">
        <v>0.20699999999999999</v>
      </c>
    </row>
    <row r="1092" spans="1:8" x14ac:dyDescent="0.3">
      <c r="A1092" t="s">
        <v>2034</v>
      </c>
      <c r="B1092" t="s">
        <v>26951</v>
      </c>
      <c r="C1092" t="s">
        <v>2865</v>
      </c>
      <c r="D1092" t="s">
        <v>2864</v>
      </c>
      <c r="E1092" s="2" t="s">
        <v>133</v>
      </c>
      <c r="F1092" t="s">
        <v>1960</v>
      </c>
      <c r="G1092" t="str">
        <f>HYPERLINK("https://n.news.naver.com/mnews/article/308/0000032392?sid=103")</f>
        <v>https://n.news.naver.com/mnews/article/308/0000032392?sid=103</v>
      </c>
      <c r="H1092">
        <v>0.09</v>
      </c>
    </row>
    <row r="1093" spans="1:8" x14ac:dyDescent="0.3">
      <c r="A1093" t="s">
        <v>2034</v>
      </c>
      <c r="B1093" t="s">
        <v>26951</v>
      </c>
      <c r="C1093" t="s">
        <v>2867</v>
      </c>
      <c r="D1093" t="s">
        <v>2866</v>
      </c>
      <c r="E1093" s="2" t="s">
        <v>133</v>
      </c>
      <c r="F1093" t="s">
        <v>2129</v>
      </c>
      <c r="G1093" t="str">
        <f>HYPERLINK("http://www.straightnews.co.kr/news/articleView.html?idxno=88929")</f>
        <v>http://www.straightnews.co.kr/news/articleView.html?idxno=88929</v>
      </c>
      <c r="H1093">
        <v>0.11700000000000001</v>
      </c>
    </row>
    <row r="1094" spans="1:8" x14ac:dyDescent="0.3">
      <c r="A1094" t="s">
        <v>2034</v>
      </c>
      <c r="B1094" t="s">
        <v>26951</v>
      </c>
      <c r="C1094" t="s">
        <v>2870</v>
      </c>
      <c r="D1094" t="s">
        <v>2869</v>
      </c>
      <c r="E1094" s="2" t="s">
        <v>133</v>
      </c>
      <c r="F1094" t="s">
        <v>2868</v>
      </c>
      <c r="G1094" t="str">
        <f>HYPERLINK("https://n.news.naver.com/mnews/article/006/0000130644?sid=102")</f>
        <v>https://n.news.naver.com/mnews/article/006/0000130644?sid=102</v>
      </c>
      <c r="H1094">
        <v>0.26400000000000001</v>
      </c>
    </row>
    <row r="1095" spans="1:8" x14ac:dyDescent="0.3">
      <c r="A1095" t="s">
        <v>2034</v>
      </c>
      <c r="B1095" t="s">
        <v>26951</v>
      </c>
      <c r="C1095" t="s">
        <v>2873</v>
      </c>
      <c r="D1095" t="s">
        <v>2872</v>
      </c>
      <c r="E1095" s="2" t="s">
        <v>172</v>
      </c>
      <c r="F1095" t="s">
        <v>2871</v>
      </c>
      <c r="G1095" t="str">
        <f>HYPERLINK("https://n.news.naver.com/mnews/article/006/0000130505?sid=102")</f>
        <v>https://n.news.naver.com/mnews/article/006/0000130505?sid=102</v>
      </c>
      <c r="H1095">
        <v>0.33700000000000002</v>
      </c>
    </row>
    <row r="1096" spans="1:8" x14ac:dyDescent="0.3">
      <c r="A1096" t="s">
        <v>2034</v>
      </c>
      <c r="B1096" t="s">
        <v>26951</v>
      </c>
      <c r="C1096" t="s">
        <v>2875</v>
      </c>
      <c r="D1096" t="s">
        <v>2874</v>
      </c>
      <c r="E1096" s="2" t="s">
        <v>172</v>
      </c>
      <c r="F1096" t="s">
        <v>2065</v>
      </c>
      <c r="G1096" t="str">
        <f>HYPERLINK("https://n.news.naver.com/mnews/article/006/0000038935?sid=102")</f>
        <v>https://n.news.naver.com/mnews/article/006/0000038935?sid=102</v>
      </c>
      <c r="H1096">
        <v>0.14000000000000001</v>
      </c>
    </row>
    <row r="1097" spans="1:8" x14ac:dyDescent="0.3">
      <c r="A1097" t="s">
        <v>2034</v>
      </c>
      <c r="B1097" t="s">
        <v>26951</v>
      </c>
      <c r="C1097" t="s">
        <v>2878</v>
      </c>
      <c r="D1097" t="s">
        <v>2877</v>
      </c>
      <c r="E1097" s="2" t="s">
        <v>172</v>
      </c>
      <c r="F1097" t="s">
        <v>2876</v>
      </c>
      <c r="G1097" t="str">
        <f>HYPERLINK("http://www.readersnews.com/news/articleView.html?idxno=108186")</f>
        <v>http://www.readersnews.com/news/articleView.html?idxno=108186</v>
      </c>
      <c r="H1097">
        <v>0.441</v>
      </c>
    </row>
    <row r="1098" spans="1:8" x14ac:dyDescent="0.3">
      <c r="A1098" t="s">
        <v>2034</v>
      </c>
      <c r="B1098" t="s">
        <v>26951</v>
      </c>
      <c r="C1098" t="s">
        <v>2881</v>
      </c>
      <c r="D1098" t="s">
        <v>2880</v>
      </c>
      <c r="E1098" s="2" t="s">
        <v>172</v>
      </c>
      <c r="F1098" t="s">
        <v>2879</v>
      </c>
      <c r="G1098" t="str">
        <f>HYPERLINK("http://www.breaknews.com/sub_read.html?uid=603027&amp;section=sc1")</f>
        <v>http://www.breaknews.com/sub_read.html?uid=603027&amp;section=sc1</v>
      </c>
      <c r="H1098">
        <v>0.443</v>
      </c>
    </row>
    <row r="1099" spans="1:8" x14ac:dyDescent="0.3">
      <c r="A1099" t="s">
        <v>2034</v>
      </c>
      <c r="B1099" t="s">
        <v>26951</v>
      </c>
      <c r="C1099" t="s">
        <v>2883</v>
      </c>
      <c r="D1099" t="s">
        <v>2882</v>
      </c>
      <c r="E1099" s="2" t="s">
        <v>172</v>
      </c>
      <c r="F1099" t="s">
        <v>1911</v>
      </c>
      <c r="G1099" t="str">
        <f>HYPERLINK("https://www.catholictimes.org/article/20250623500146")</f>
        <v>https://www.catholictimes.org/article/20250623500146</v>
      </c>
      <c r="H1099">
        <v>0.123</v>
      </c>
    </row>
    <row r="1100" spans="1:8" x14ac:dyDescent="0.3">
      <c r="A1100" t="s">
        <v>2034</v>
      </c>
      <c r="B1100" t="s">
        <v>26951</v>
      </c>
      <c r="C1100" t="s">
        <v>2890</v>
      </c>
      <c r="D1100" t="s">
        <v>2889</v>
      </c>
      <c r="E1100" s="2" t="s">
        <v>172</v>
      </c>
      <c r="F1100" t="s">
        <v>2888</v>
      </c>
      <c r="G1100" t="str">
        <f>HYPERLINK("http://www.econovill.com/news/articleView.html?idxno=235783")</f>
        <v>http://www.econovill.com/news/articleView.html?idxno=235783</v>
      </c>
      <c r="H1100">
        <v>0.27900000000000003</v>
      </c>
    </row>
    <row r="1101" spans="1:8" x14ac:dyDescent="0.3">
      <c r="A1101" t="s">
        <v>2034</v>
      </c>
      <c r="B1101" t="s">
        <v>26951</v>
      </c>
      <c r="C1101" t="s">
        <v>2893</v>
      </c>
      <c r="D1101" t="s">
        <v>2892</v>
      </c>
      <c r="E1101" s="2" t="s">
        <v>172</v>
      </c>
      <c r="F1101" t="s">
        <v>2891</v>
      </c>
      <c r="G1101" t="str">
        <f>HYPERLINK("https://n.news.naver.com/mnews/article/032/0002627798?sid=103")</f>
        <v>https://n.news.naver.com/mnews/article/032/0002627798?sid=103</v>
      </c>
      <c r="H1101">
        <v>0.35599999999999998</v>
      </c>
    </row>
    <row r="1102" spans="1:8" x14ac:dyDescent="0.3">
      <c r="A1102" t="s">
        <v>2034</v>
      </c>
      <c r="B1102" t="s">
        <v>26951</v>
      </c>
      <c r="C1102" t="s">
        <v>2895</v>
      </c>
      <c r="D1102" t="s">
        <v>2894</v>
      </c>
      <c r="E1102" s="2" t="s">
        <v>172</v>
      </c>
      <c r="F1102" t="s">
        <v>2096</v>
      </c>
      <c r="G1102" t="str">
        <f>HYPERLINK("http://www.mediawatch.kr/news/article.html?no=231898")</f>
        <v>http://www.mediawatch.kr/news/article.html?no=231898</v>
      </c>
      <c r="H1102">
        <v>0.313</v>
      </c>
    </row>
    <row r="1103" spans="1:8" x14ac:dyDescent="0.3">
      <c r="A1103" t="s">
        <v>2034</v>
      </c>
      <c r="B1103" t="s">
        <v>26951</v>
      </c>
      <c r="C1103" t="s">
        <v>2897</v>
      </c>
      <c r="D1103" t="s">
        <v>2896</v>
      </c>
      <c r="E1103" s="2" t="s">
        <v>172</v>
      </c>
      <c r="F1103" t="s">
        <v>2057</v>
      </c>
      <c r="G1103" t="str">
        <f>HYPERLINK("http://ch.yes24.com/Article/View/44989")</f>
        <v>http://ch.yes24.com/Article/View/44989</v>
      </c>
      <c r="H1103">
        <v>0.28499999999999998</v>
      </c>
    </row>
    <row r="1104" spans="1:8" x14ac:dyDescent="0.3">
      <c r="A1104" t="s">
        <v>2034</v>
      </c>
      <c r="B1104" t="s">
        <v>26951</v>
      </c>
      <c r="C1104" t="s">
        <v>2899</v>
      </c>
      <c r="D1104" t="s">
        <v>2898</v>
      </c>
      <c r="E1104" s="2" t="s">
        <v>172</v>
      </c>
      <c r="F1104" t="s">
        <v>134</v>
      </c>
      <c r="G1104" t="str">
        <f>HYPERLINK("http://www.nongaek.com/news/articleView.html?idxno=91811")</f>
        <v>http://www.nongaek.com/news/articleView.html?idxno=91811</v>
      </c>
      <c r="H1104">
        <v>0.441</v>
      </c>
    </row>
    <row r="1105" spans="1:8" x14ac:dyDescent="0.3">
      <c r="A1105" t="s">
        <v>2034</v>
      </c>
      <c r="B1105" t="s">
        <v>26951</v>
      </c>
      <c r="C1105" t="s">
        <v>2901</v>
      </c>
      <c r="D1105" t="s">
        <v>2900</v>
      </c>
      <c r="E1105" s="2" t="s">
        <v>172</v>
      </c>
      <c r="F1105" t="s">
        <v>31</v>
      </c>
      <c r="G1105" t="str">
        <f>HYPERLINK("https://www.newstof.com/news/articleView.html?idxno=29069")</f>
        <v>https://www.newstof.com/news/articleView.html?idxno=29069</v>
      </c>
      <c r="H1105">
        <v>0.55200000000000005</v>
      </c>
    </row>
    <row r="1106" spans="1:8" x14ac:dyDescent="0.3">
      <c r="A1106" t="s">
        <v>2034</v>
      </c>
      <c r="B1106" t="s">
        <v>26951</v>
      </c>
      <c r="C1106" t="s">
        <v>2904</v>
      </c>
      <c r="D1106" t="s">
        <v>2903</v>
      </c>
      <c r="E1106" s="2" t="s">
        <v>172</v>
      </c>
      <c r="F1106" t="s">
        <v>2902</v>
      </c>
      <c r="G1106" t="str">
        <f>HYPERLINK("http://www.sisaon.co.kr/news/articleView.html?idxno=136761")</f>
        <v>http://www.sisaon.co.kr/news/articleView.html?idxno=136761</v>
      </c>
      <c r="H1106">
        <v>0.40799999999999997</v>
      </c>
    </row>
    <row r="1107" spans="1:8" x14ac:dyDescent="0.3">
      <c r="A1107" t="s">
        <v>2034</v>
      </c>
      <c r="B1107" t="s">
        <v>26951</v>
      </c>
      <c r="C1107" t="s">
        <v>2908</v>
      </c>
      <c r="D1107" t="s">
        <v>2907</v>
      </c>
      <c r="E1107" s="2" t="s">
        <v>172</v>
      </c>
      <c r="F1107" t="s">
        <v>2715</v>
      </c>
      <c r="G1107" t="str">
        <f>HYPERLINK("https://n.news.naver.com/mnews/article/006/0000125818?sid=102")</f>
        <v>https://n.news.naver.com/mnews/article/006/0000125818?sid=102</v>
      </c>
      <c r="H1107">
        <v>0.13300000000000001</v>
      </c>
    </row>
    <row r="1108" spans="1:8" x14ac:dyDescent="0.3">
      <c r="A1108" t="s">
        <v>2034</v>
      </c>
      <c r="B1108" t="s">
        <v>26951</v>
      </c>
      <c r="C1108" t="s">
        <v>2910</v>
      </c>
      <c r="D1108" t="s">
        <v>2909</v>
      </c>
      <c r="E1108" s="2" t="s">
        <v>172</v>
      </c>
      <c r="F1108" t="s">
        <v>1960</v>
      </c>
      <c r="G1108" t="str">
        <f>HYPERLINK("http://apnews.kr/View.aspx?No=1539627")</f>
        <v>http://apnews.kr/View.aspx?No=1539627</v>
      </c>
      <c r="H1108">
        <v>0.17199999999999999</v>
      </c>
    </row>
    <row r="1109" spans="1:8" x14ac:dyDescent="0.3">
      <c r="A1109" t="s">
        <v>2034</v>
      </c>
      <c r="B1109" t="s">
        <v>26951</v>
      </c>
      <c r="C1109" t="s">
        <v>2912</v>
      </c>
      <c r="D1109" t="s">
        <v>2911</v>
      </c>
      <c r="E1109" s="2" t="s">
        <v>172</v>
      </c>
      <c r="F1109" t="s">
        <v>2746</v>
      </c>
      <c r="G1109" t="str">
        <f>HYPERLINK("http://www.redian.org/archive/135338")</f>
        <v>http://www.redian.org/archive/135338</v>
      </c>
      <c r="H1109">
        <v>0.51</v>
      </c>
    </row>
    <row r="1110" spans="1:8" x14ac:dyDescent="0.3">
      <c r="A1110" t="s">
        <v>2034</v>
      </c>
      <c r="B1110" t="s">
        <v>26951</v>
      </c>
      <c r="C1110" t="s">
        <v>2914</v>
      </c>
      <c r="D1110" t="s">
        <v>2913</v>
      </c>
      <c r="E1110" s="2" t="s">
        <v>196</v>
      </c>
      <c r="F1110" t="s">
        <v>2746</v>
      </c>
      <c r="G1110" t="str">
        <f>HYPERLINK("http://www.redian.org/archive/135338")</f>
        <v>http://www.redian.org/archive/135338</v>
      </c>
      <c r="H1110">
        <v>0.57899999999999996</v>
      </c>
    </row>
    <row r="1111" spans="1:8" x14ac:dyDescent="0.3">
      <c r="A1111" t="s">
        <v>2034</v>
      </c>
      <c r="B1111" t="s">
        <v>26951</v>
      </c>
      <c r="C1111" t="s">
        <v>2916</v>
      </c>
      <c r="D1111" t="s">
        <v>2915</v>
      </c>
      <c r="E1111" s="2" t="s">
        <v>196</v>
      </c>
      <c r="F1111" t="s">
        <v>2746</v>
      </c>
      <c r="G1111" t="str">
        <f>HYPERLINK("http://www.redian.org/archive/135338")</f>
        <v>http://www.redian.org/archive/135338</v>
      </c>
      <c r="H1111">
        <v>0.49099999999999999</v>
      </c>
    </row>
    <row r="1112" spans="1:8" x14ac:dyDescent="0.3">
      <c r="A1112" t="s">
        <v>2034</v>
      </c>
      <c r="B1112" t="s">
        <v>26951</v>
      </c>
      <c r="C1112" t="s">
        <v>2919</v>
      </c>
      <c r="D1112" t="s">
        <v>2918</v>
      </c>
      <c r="E1112" s="2" t="s">
        <v>196</v>
      </c>
      <c r="F1112" t="s">
        <v>2917</v>
      </c>
      <c r="G1112" t="str">
        <f>HYPERLINK("http://www.kihoilbo.co.kr/news/articleView.html?idxno=1149087")</f>
        <v>http://www.kihoilbo.co.kr/news/articleView.html?idxno=1149087</v>
      </c>
      <c r="H1112">
        <v>0.67600000000000005</v>
      </c>
    </row>
    <row r="1113" spans="1:8" x14ac:dyDescent="0.3">
      <c r="A1113" t="s">
        <v>2034</v>
      </c>
      <c r="B1113" t="s">
        <v>26951</v>
      </c>
      <c r="C1113" t="s">
        <v>2921</v>
      </c>
      <c r="D1113" t="s">
        <v>2920</v>
      </c>
      <c r="E1113" s="2" t="s">
        <v>196</v>
      </c>
      <c r="F1113" t="s">
        <v>776</v>
      </c>
      <c r="G1113" t="str">
        <f>HYPERLINK("https://www.newspim.com/news/view/20240411000662")</f>
        <v>https://www.newspim.com/news/view/20240411000662</v>
      </c>
      <c r="H1113">
        <v>0.56000000000000005</v>
      </c>
    </row>
    <row r="1114" spans="1:8" x14ac:dyDescent="0.3">
      <c r="A1114" t="s">
        <v>2034</v>
      </c>
      <c r="B1114" t="s">
        <v>26951</v>
      </c>
      <c r="C1114" t="s">
        <v>2923</v>
      </c>
      <c r="D1114" t="s">
        <v>2922</v>
      </c>
      <c r="E1114" s="2" t="s">
        <v>196</v>
      </c>
      <c r="F1114" t="s">
        <v>776</v>
      </c>
      <c r="G1114" t="str">
        <f>HYPERLINK("https://n.news.naver.com/mnews/article/006/0000130573?sid=102")</f>
        <v>https://n.news.naver.com/mnews/article/006/0000130573?sid=102</v>
      </c>
      <c r="H1114">
        <v>0.32100000000000001</v>
      </c>
    </row>
    <row r="1115" spans="1:8" x14ac:dyDescent="0.3">
      <c r="A1115" t="s">
        <v>2034</v>
      </c>
      <c r="B1115" t="s">
        <v>26951</v>
      </c>
      <c r="C1115" t="s">
        <v>2925</v>
      </c>
      <c r="D1115" t="s">
        <v>2924</v>
      </c>
      <c r="E1115" s="2" t="s">
        <v>196</v>
      </c>
      <c r="F1115" t="s">
        <v>2887</v>
      </c>
      <c r="G1115" t="str">
        <f>HYPERLINK("http://www.laborplus.co.kr/news/articleView.html?idxno=31932")</f>
        <v>http://www.laborplus.co.kr/news/articleView.html?idxno=31932</v>
      </c>
      <c r="H1115">
        <v>0.60699999999999998</v>
      </c>
    </row>
    <row r="1116" spans="1:8" x14ac:dyDescent="0.3">
      <c r="A1116" t="s">
        <v>2034</v>
      </c>
      <c r="B1116" t="s">
        <v>26951</v>
      </c>
      <c r="C1116" t="s">
        <v>2928</v>
      </c>
      <c r="D1116" t="s">
        <v>2927</v>
      </c>
      <c r="E1116" s="2" t="s">
        <v>196</v>
      </c>
      <c r="F1116" t="s">
        <v>2926</v>
      </c>
      <c r="G1116" t="str">
        <f>HYPERLINK("http://www.enewstoday.co.kr/news/articleView.html?idxno=2292404")</f>
        <v>http://www.enewstoday.co.kr/news/articleView.html?idxno=2292404</v>
      </c>
      <c r="H1116">
        <v>0.51200000000000001</v>
      </c>
    </row>
    <row r="1117" spans="1:8" x14ac:dyDescent="0.3">
      <c r="A1117" t="s">
        <v>2034</v>
      </c>
      <c r="B1117" t="s">
        <v>26951</v>
      </c>
      <c r="C1117" t="s">
        <v>2930</v>
      </c>
      <c r="D1117" t="s">
        <v>2929</v>
      </c>
      <c r="E1117" s="2" t="s">
        <v>196</v>
      </c>
      <c r="F1117" t="s">
        <v>184</v>
      </c>
      <c r="G1117" t="str">
        <f>HYPERLINK("https://n.news.naver.com/mnews/article/032/0003232492?sid=102")</f>
        <v>https://n.news.naver.com/mnews/article/032/0003232492?sid=102</v>
      </c>
      <c r="H1117">
        <v>0.27800000000000002</v>
      </c>
    </row>
    <row r="1118" spans="1:8" x14ac:dyDescent="0.3">
      <c r="A1118" t="s">
        <v>2034</v>
      </c>
      <c r="B1118" t="s">
        <v>26951</v>
      </c>
      <c r="C1118" t="s">
        <v>2932</v>
      </c>
      <c r="D1118" t="s">
        <v>2931</v>
      </c>
      <c r="E1118" s="2" t="s">
        <v>196</v>
      </c>
      <c r="F1118" t="s">
        <v>2212</v>
      </c>
      <c r="G1118" t="str">
        <f>HYPERLINK("https://www.pennmike.com/news/articleView.html?idxno=103091")</f>
        <v>https://www.pennmike.com/news/articleView.html?idxno=103091</v>
      </c>
      <c r="H1118">
        <v>0.73299999999999998</v>
      </c>
    </row>
    <row r="1119" spans="1:8" x14ac:dyDescent="0.3">
      <c r="A1119" t="s">
        <v>2034</v>
      </c>
      <c r="B1119" t="s">
        <v>26951</v>
      </c>
      <c r="C1119" t="s">
        <v>2934</v>
      </c>
      <c r="D1119" t="s">
        <v>2933</v>
      </c>
      <c r="E1119" s="2" t="s">
        <v>196</v>
      </c>
      <c r="F1119" t="s">
        <v>2096</v>
      </c>
      <c r="G1119" t="str">
        <f>HYPERLINK("http://www.mediawatch.kr/news/article.html?no=231898")</f>
        <v>http://www.mediawatch.kr/news/article.html?no=231898</v>
      </c>
      <c r="H1119">
        <v>0.33200000000000002</v>
      </c>
    </row>
    <row r="1120" spans="1:8" x14ac:dyDescent="0.3">
      <c r="A1120" t="s">
        <v>2034</v>
      </c>
      <c r="B1120" t="s">
        <v>26951</v>
      </c>
      <c r="C1120" t="s">
        <v>2936</v>
      </c>
      <c r="D1120" t="s">
        <v>2935</v>
      </c>
      <c r="E1120" s="2" t="s">
        <v>196</v>
      </c>
      <c r="F1120" t="s">
        <v>2625</v>
      </c>
      <c r="G1120" t="str">
        <f>HYPERLINK("https://www.kukinews.com/article/view/kuk202506300221")</f>
        <v>https://www.kukinews.com/article/view/kuk202506300221</v>
      </c>
      <c r="H1120">
        <v>0.309</v>
      </c>
    </row>
    <row r="1121" spans="1:8" x14ac:dyDescent="0.3">
      <c r="A1121" t="s">
        <v>2034</v>
      </c>
      <c r="B1121" t="s">
        <v>26951</v>
      </c>
      <c r="C1121" t="s">
        <v>2940</v>
      </c>
      <c r="D1121" t="s">
        <v>2939</v>
      </c>
      <c r="E1121" s="2" t="s">
        <v>196</v>
      </c>
      <c r="F1121" t="s">
        <v>2057</v>
      </c>
      <c r="G1121" t="str">
        <f>HYPERLINK("http://www.nongaek.com/news/articleView.html?idxno=91760")</f>
        <v>http://www.nongaek.com/news/articleView.html?idxno=91760</v>
      </c>
      <c r="H1121">
        <v>0.20599999999999999</v>
      </c>
    </row>
    <row r="1122" spans="1:8" x14ac:dyDescent="0.3">
      <c r="A1122" t="s">
        <v>2034</v>
      </c>
      <c r="B1122" t="s">
        <v>26951</v>
      </c>
      <c r="C1122" t="s">
        <v>2942</v>
      </c>
      <c r="D1122" t="s">
        <v>2941</v>
      </c>
      <c r="E1122" s="2" t="s">
        <v>196</v>
      </c>
      <c r="F1122" t="s">
        <v>2057</v>
      </c>
      <c r="G1122" t="str">
        <f>HYPERLINK("https://n.news.naver.com/mnews/article/656/0000137788?sid=110")</f>
        <v>https://n.news.naver.com/mnews/article/656/0000137788?sid=110</v>
      </c>
      <c r="H1122">
        <v>0.13</v>
      </c>
    </row>
    <row r="1123" spans="1:8" x14ac:dyDescent="0.3">
      <c r="A1123" t="s">
        <v>2034</v>
      </c>
      <c r="B1123" t="s">
        <v>26951</v>
      </c>
      <c r="C1123" t="s">
        <v>2944</v>
      </c>
      <c r="D1123" t="s">
        <v>2943</v>
      </c>
      <c r="E1123" s="2" t="s">
        <v>196</v>
      </c>
      <c r="F1123" t="s">
        <v>2057</v>
      </c>
      <c r="G1123" t="str">
        <f>HYPERLINK("https://weekly.hankooki.com/news/articleView.html?idxno=7117237")</f>
        <v>https://weekly.hankooki.com/news/articleView.html?idxno=7117237</v>
      </c>
      <c r="H1123">
        <v>0.21099999999999999</v>
      </c>
    </row>
    <row r="1124" spans="1:8" x14ac:dyDescent="0.3">
      <c r="A1124" t="s">
        <v>2034</v>
      </c>
      <c r="B1124" t="s">
        <v>26951</v>
      </c>
      <c r="C1124" t="s">
        <v>2947</v>
      </c>
      <c r="D1124" t="s">
        <v>2946</v>
      </c>
      <c r="E1124" s="2" t="s">
        <v>196</v>
      </c>
      <c r="F1124" t="s">
        <v>2945</v>
      </c>
      <c r="G1124" t="str">
        <f>HYPERLINK("http://www.ekoreanews.co.kr/news/articleView.html?idxno=62479")</f>
        <v>http://www.ekoreanews.co.kr/news/articleView.html?idxno=62479</v>
      </c>
      <c r="H1124">
        <v>0.496</v>
      </c>
    </row>
    <row r="1125" spans="1:8" x14ac:dyDescent="0.3">
      <c r="A1125" t="s">
        <v>2034</v>
      </c>
      <c r="B1125" t="s">
        <v>26951</v>
      </c>
      <c r="C1125" t="s">
        <v>2949</v>
      </c>
      <c r="D1125" t="s">
        <v>2948</v>
      </c>
      <c r="E1125" s="2" t="s">
        <v>196</v>
      </c>
      <c r="F1125" t="s">
        <v>2046</v>
      </c>
      <c r="G1125" t="str">
        <f>HYPERLINK("http://www.ibulgyo.com/news/articleView.html?idxno=419172")</f>
        <v>http://www.ibulgyo.com/news/articleView.html?idxno=419172</v>
      </c>
      <c r="H1125">
        <v>0.373</v>
      </c>
    </row>
    <row r="1126" spans="1:8" x14ac:dyDescent="0.3">
      <c r="A1126" t="s">
        <v>2034</v>
      </c>
      <c r="B1126" t="s">
        <v>26951</v>
      </c>
      <c r="C1126" t="s">
        <v>2952</v>
      </c>
      <c r="D1126" t="s">
        <v>2951</v>
      </c>
      <c r="E1126" s="2" t="s">
        <v>196</v>
      </c>
      <c r="F1126" t="s">
        <v>2950</v>
      </c>
      <c r="G1126" t="str">
        <f>HYPERLINK("https://n.news.naver.com/mnews/article/032/0003290261?sid=102")</f>
        <v>https://n.news.naver.com/mnews/article/032/0003290261?sid=102</v>
      </c>
      <c r="H1126">
        <v>0.14799999999999999</v>
      </c>
    </row>
    <row r="1127" spans="1:8" x14ac:dyDescent="0.3">
      <c r="A1127" t="s">
        <v>2034</v>
      </c>
      <c r="B1127" t="s">
        <v>26951</v>
      </c>
      <c r="C1127" t="s">
        <v>2955</v>
      </c>
      <c r="D1127" t="s">
        <v>2954</v>
      </c>
      <c r="E1127" s="2" t="s">
        <v>196</v>
      </c>
      <c r="F1127" t="s">
        <v>2953</v>
      </c>
      <c r="G1127" t="str">
        <f>HYPERLINK("https://www.ulsanpress.net/news/articleView.html?idxno=552675")</f>
        <v>https://www.ulsanpress.net/news/articleView.html?idxno=552675</v>
      </c>
      <c r="H1127">
        <v>0.45200000000000001</v>
      </c>
    </row>
    <row r="1128" spans="1:8" x14ac:dyDescent="0.3">
      <c r="A1128" t="s">
        <v>2034</v>
      </c>
      <c r="B1128" t="s">
        <v>26951</v>
      </c>
      <c r="C1128" t="s">
        <v>2957</v>
      </c>
      <c r="D1128" t="s">
        <v>2956</v>
      </c>
      <c r="E1128" s="2" t="s">
        <v>196</v>
      </c>
      <c r="F1128" t="s">
        <v>2163</v>
      </c>
      <c r="G1128" t="str">
        <f>HYPERLINK("https://n.news.naver.com/mnews/article/006/0000127472?sid=102")</f>
        <v>https://n.news.naver.com/mnews/article/006/0000127472?sid=102</v>
      </c>
      <c r="H1128">
        <v>0.13900000000000001</v>
      </c>
    </row>
    <row r="1129" spans="1:8" x14ac:dyDescent="0.3">
      <c r="A1129" t="s">
        <v>2034</v>
      </c>
      <c r="B1129" t="s">
        <v>26951</v>
      </c>
      <c r="C1129" t="s">
        <v>2959</v>
      </c>
      <c r="D1129" t="s">
        <v>2958</v>
      </c>
      <c r="E1129" s="2" t="s">
        <v>196</v>
      </c>
      <c r="F1129" t="s">
        <v>1960</v>
      </c>
      <c r="G1129" t="str">
        <f>HYPERLINK("http://apnews.kr/View.aspx?No=1539627")</f>
        <v>http://apnews.kr/View.aspx?No=1539627</v>
      </c>
      <c r="H1129">
        <v>0.17899999999999999</v>
      </c>
    </row>
    <row r="1130" spans="1:8" x14ac:dyDescent="0.3">
      <c r="A1130" t="s">
        <v>2034</v>
      </c>
      <c r="B1130" t="s">
        <v>26951</v>
      </c>
      <c r="C1130" t="s">
        <v>2961</v>
      </c>
      <c r="D1130" t="s">
        <v>2960</v>
      </c>
      <c r="E1130" s="2" t="s">
        <v>196</v>
      </c>
      <c r="F1130" t="s">
        <v>2135</v>
      </c>
      <c r="G1130" t="str">
        <f>HYPERLINK("https://n.news.naver.com/mnews/article/006/0000127472?sid=102")</f>
        <v>https://n.news.naver.com/mnews/article/006/0000127472?sid=102</v>
      </c>
      <c r="H1130">
        <v>9.7000000000000003E-2</v>
      </c>
    </row>
    <row r="1131" spans="1:8" x14ac:dyDescent="0.3">
      <c r="A1131" t="s">
        <v>2034</v>
      </c>
      <c r="B1131" t="s">
        <v>26951</v>
      </c>
      <c r="C1131" t="s">
        <v>2967</v>
      </c>
      <c r="D1131" t="s">
        <v>2966</v>
      </c>
      <c r="E1131" s="2" t="s">
        <v>230</v>
      </c>
      <c r="F1131" t="s">
        <v>2965</v>
      </c>
      <c r="G1131" t="str">
        <f>HYPERLINK("https://www.christiantoday.co.kr/news/344041")</f>
        <v>https://www.christiantoday.co.kr/news/344041</v>
      </c>
      <c r="H1131">
        <v>0.57099999999999995</v>
      </c>
    </row>
    <row r="1132" spans="1:8" x14ac:dyDescent="0.3">
      <c r="A1132" t="s">
        <v>2034</v>
      </c>
      <c r="B1132" t="s">
        <v>26951</v>
      </c>
      <c r="C1132" t="s">
        <v>2969</v>
      </c>
      <c r="D1132" t="s">
        <v>2968</v>
      </c>
      <c r="E1132" s="2" t="s">
        <v>230</v>
      </c>
      <c r="F1132" t="s">
        <v>2096</v>
      </c>
      <c r="G1132" t="str">
        <f>HYPERLINK("http://www.mediawatch.kr/news/article.html?no=231898")</f>
        <v>http://www.mediawatch.kr/news/article.html?no=231898</v>
      </c>
      <c r="H1132">
        <v>0.27800000000000002</v>
      </c>
    </row>
    <row r="1133" spans="1:8" x14ac:dyDescent="0.3">
      <c r="A1133" t="s">
        <v>2034</v>
      </c>
      <c r="B1133" t="s">
        <v>26951</v>
      </c>
      <c r="C1133" t="s">
        <v>2972</v>
      </c>
      <c r="D1133" t="s">
        <v>2971</v>
      </c>
      <c r="E1133" s="2" t="s">
        <v>230</v>
      </c>
      <c r="F1133" t="s">
        <v>2970</v>
      </c>
      <c r="G1133" t="str">
        <f>HYPERLINK("http://www.redian.org/archive/155048")</f>
        <v>http://www.redian.org/archive/155048</v>
      </c>
      <c r="H1133">
        <v>0.187</v>
      </c>
    </row>
    <row r="1134" spans="1:8" x14ac:dyDescent="0.3">
      <c r="A1134" t="s">
        <v>2034</v>
      </c>
      <c r="B1134" t="s">
        <v>26951</v>
      </c>
      <c r="C1134" t="s">
        <v>2974</v>
      </c>
      <c r="D1134" t="s">
        <v>2973</v>
      </c>
      <c r="E1134" s="2" t="s">
        <v>230</v>
      </c>
      <c r="F1134" t="s">
        <v>89</v>
      </c>
      <c r="G1134" t="str">
        <f>HYPERLINK("https://n.news.naver.com/mnews/article/006/0000064875?sid=101")</f>
        <v>https://n.news.naver.com/mnews/article/006/0000064875?sid=101</v>
      </c>
      <c r="H1134">
        <v>0.28799999999999998</v>
      </c>
    </row>
    <row r="1135" spans="1:8" x14ac:dyDescent="0.3">
      <c r="A1135" t="s">
        <v>2034</v>
      </c>
      <c r="B1135" t="s">
        <v>26951</v>
      </c>
      <c r="C1135" t="s">
        <v>2976</v>
      </c>
      <c r="D1135" t="s">
        <v>2946</v>
      </c>
      <c r="E1135" s="2" t="s">
        <v>230</v>
      </c>
      <c r="F1135" t="s">
        <v>2975</v>
      </c>
      <c r="G1135" t="str">
        <f>HYPERLINK("http://www.ekoreanews.co.kr/news/articleView.html?idxno=62479")</f>
        <v>http://www.ekoreanews.co.kr/news/articleView.html?idxno=62479</v>
      </c>
      <c r="H1135">
        <v>0.49099999999999999</v>
      </c>
    </row>
    <row r="1136" spans="1:8" x14ac:dyDescent="0.3">
      <c r="A1136" t="s">
        <v>2034</v>
      </c>
      <c r="B1136" t="s">
        <v>26951</v>
      </c>
      <c r="C1136" t="s">
        <v>2978</v>
      </c>
      <c r="D1136" t="s">
        <v>2977</v>
      </c>
      <c r="E1136" s="2" t="s">
        <v>230</v>
      </c>
      <c r="F1136" t="s">
        <v>2057</v>
      </c>
      <c r="G1136" t="str">
        <f>HYPERLINK("http://www.pdjournal.com/news/articleView.html?idxno=21192")</f>
        <v>http://www.pdjournal.com/news/articleView.html?idxno=21192</v>
      </c>
      <c r="H1136">
        <v>0.22800000000000001</v>
      </c>
    </row>
    <row r="1137" spans="1:8" x14ac:dyDescent="0.3">
      <c r="A1137" t="s">
        <v>2034</v>
      </c>
      <c r="B1137" t="s">
        <v>26951</v>
      </c>
      <c r="C1137" t="s">
        <v>2981</v>
      </c>
      <c r="D1137" t="s">
        <v>2980</v>
      </c>
      <c r="E1137" s="2" t="s">
        <v>230</v>
      </c>
      <c r="F1137" t="s">
        <v>2979</v>
      </c>
      <c r="G1137" t="str">
        <f>HYPERLINK("https://www.apnews.kr/news/articleView.html?idxno=3028458")</f>
        <v>https://www.apnews.kr/news/articleView.html?idxno=3028458</v>
      </c>
      <c r="H1137">
        <v>0.51900000000000002</v>
      </c>
    </row>
    <row r="1138" spans="1:8" x14ac:dyDescent="0.3">
      <c r="A1138" t="s">
        <v>2034</v>
      </c>
      <c r="B1138" t="s">
        <v>26951</v>
      </c>
      <c r="C1138" t="s">
        <v>2983</v>
      </c>
      <c r="D1138" t="s">
        <v>2982</v>
      </c>
      <c r="E1138" s="2" t="s">
        <v>230</v>
      </c>
      <c r="F1138" t="s">
        <v>2057</v>
      </c>
      <c r="G1138" t="str">
        <f>HYPERLINK("https://n.news.naver.com/mnews/article/032/0003075607?sid=102")</f>
        <v>https://n.news.naver.com/mnews/article/032/0003075607?sid=102</v>
      </c>
      <c r="H1138">
        <v>0.17</v>
      </c>
    </row>
    <row r="1139" spans="1:8" x14ac:dyDescent="0.3">
      <c r="A1139" t="s">
        <v>2034</v>
      </c>
      <c r="B1139" t="s">
        <v>26951</v>
      </c>
      <c r="C1139" t="s">
        <v>2985</v>
      </c>
      <c r="D1139" t="s">
        <v>2984</v>
      </c>
      <c r="E1139" s="2" t="s">
        <v>230</v>
      </c>
      <c r="F1139" t="s">
        <v>2057</v>
      </c>
      <c r="G1139" t="str">
        <f>HYPERLINK("https://www.thereport.co.kr/news/articleView.html?idxno=65914")</f>
        <v>https://www.thereport.co.kr/news/articleView.html?idxno=65914</v>
      </c>
      <c r="H1139">
        <v>0.20599999999999999</v>
      </c>
    </row>
    <row r="1140" spans="1:8" x14ac:dyDescent="0.3">
      <c r="A1140" t="s">
        <v>2034</v>
      </c>
      <c r="B1140" t="s">
        <v>26951</v>
      </c>
      <c r="C1140" t="s">
        <v>2987</v>
      </c>
      <c r="D1140" t="s">
        <v>2986</v>
      </c>
      <c r="E1140" s="2" t="s">
        <v>230</v>
      </c>
      <c r="F1140" t="s">
        <v>2215</v>
      </c>
      <c r="G1140" t="str">
        <f>HYPERLINK("https://n.news.naver.com/mnews/article/032/0002726839?sid=101")</f>
        <v>https://n.news.naver.com/mnews/article/032/0002726839?sid=101</v>
      </c>
      <c r="H1140">
        <v>0.123</v>
      </c>
    </row>
    <row r="1141" spans="1:8" x14ac:dyDescent="0.3">
      <c r="A1141" t="s">
        <v>2034</v>
      </c>
      <c r="B1141" t="s">
        <v>26951</v>
      </c>
      <c r="C1141" t="s">
        <v>2989</v>
      </c>
      <c r="D1141" t="s">
        <v>2988</v>
      </c>
      <c r="E1141" s="2" t="s">
        <v>230</v>
      </c>
      <c r="F1141" t="s">
        <v>2215</v>
      </c>
      <c r="G1141" t="str">
        <f>HYPERLINK("https://n.news.naver.com/mnews/article/032/0003377770?sid=102")</f>
        <v>https://n.news.naver.com/mnews/article/032/0003377770?sid=102</v>
      </c>
      <c r="H1141">
        <v>0.22500000000000001</v>
      </c>
    </row>
    <row r="1142" spans="1:8" x14ac:dyDescent="0.3">
      <c r="A1142" t="s">
        <v>2034</v>
      </c>
      <c r="B1142" t="s">
        <v>26951</v>
      </c>
      <c r="C1142" t="s">
        <v>2991</v>
      </c>
      <c r="D1142" t="s">
        <v>2990</v>
      </c>
      <c r="E1142" s="2" t="s">
        <v>230</v>
      </c>
      <c r="F1142" t="s">
        <v>2215</v>
      </c>
      <c r="G1142" t="str">
        <f>HYPERLINK("https://n.news.naver.com/mnews/article/214/0001382929?sid=100")</f>
        <v>https://n.news.naver.com/mnews/article/214/0001382929?sid=100</v>
      </c>
      <c r="H1142">
        <v>0.38200000000000001</v>
      </c>
    </row>
    <row r="1143" spans="1:8" x14ac:dyDescent="0.3">
      <c r="A1143" t="s">
        <v>2034</v>
      </c>
      <c r="B1143" t="s">
        <v>26951</v>
      </c>
      <c r="C1143" t="s">
        <v>2993</v>
      </c>
      <c r="D1143" t="s">
        <v>2992</v>
      </c>
      <c r="E1143" s="2" t="s">
        <v>230</v>
      </c>
      <c r="F1143" t="s">
        <v>2163</v>
      </c>
      <c r="G1143" t="str">
        <f>HYPERLINK("https://n.news.naver.com/mnews/article/006/0000127472?sid=102")</f>
        <v>https://n.news.naver.com/mnews/article/006/0000127472?sid=102</v>
      </c>
      <c r="H1143">
        <v>6.3E-2</v>
      </c>
    </row>
    <row r="1144" spans="1:8" x14ac:dyDescent="0.3">
      <c r="A1144" t="s">
        <v>2034</v>
      </c>
      <c r="B1144" t="s">
        <v>26951</v>
      </c>
      <c r="C1144" t="s">
        <v>2995</v>
      </c>
      <c r="D1144" t="s">
        <v>2994</v>
      </c>
      <c r="E1144" s="2" t="s">
        <v>230</v>
      </c>
      <c r="F1144" t="s">
        <v>677</v>
      </c>
      <c r="G1144" t="str">
        <f>HYPERLINK("http://www.hyunbulnews.com/news/articleView.html?idxno=417330")</f>
        <v>http://www.hyunbulnews.com/news/articleView.html?idxno=417330</v>
      </c>
      <c r="H1144">
        <v>0.435</v>
      </c>
    </row>
    <row r="1145" spans="1:8" x14ac:dyDescent="0.3">
      <c r="A1145" t="s">
        <v>2034</v>
      </c>
      <c r="B1145" t="s">
        <v>26951</v>
      </c>
      <c r="C1145" t="s">
        <v>2997</v>
      </c>
      <c r="D1145" t="s">
        <v>2996</v>
      </c>
      <c r="E1145" s="2" t="s">
        <v>230</v>
      </c>
      <c r="F1145" t="s">
        <v>530</v>
      </c>
      <c r="G1145" t="str">
        <f>HYPERLINK("http://www.nongaek.com/news/articleView.html?idxno=91747")</f>
        <v>http://www.nongaek.com/news/articleView.html?idxno=91747</v>
      </c>
      <c r="H1145">
        <v>0.59599999999999997</v>
      </c>
    </row>
    <row r="1146" spans="1:8" x14ac:dyDescent="0.3">
      <c r="A1146" t="s">
        <v>2034</v>
      </c>
      <c r="B1146" t="s">
        <v>26951</v>
      </c>
      <c r="C1146" t="s">
        <v>2999</v>
      </c>
      <c r="D1146" t="s">
        <v>2998</v>
      </c>
      <c r="E1146" s="2" t="s">
        <v>230</v>
      </c>
      <c r="F1146" t="s">
        <v>1960</v>
      </c>
      <c r="G1146" t="str">
        <f>HYPERLINK("http://apnews.kr/View.aspx?No=1539627")</f>
        <v>http://apnews.kr/View.aspx?No=1539627</v>
      </c>
      <c r="H1146">
        <v>0.109</v>
      </c>
    </row>
    <row r="1147" spans="1:8" x14ac:dyDescent="0.3">
      <c r="A1147" t="s">
        <v>2034</v>
      </c>
      <c r="B1147" t="s">
        <v>26951</v>
      </c>
      <c r="C1147" t="s">
        <v>3002</v>
      </c>
      <c r="D1147" t="s">
        <v>3001</v>
      </c>
      <c r="E1147" s="2" t="s">
        <v>230</v>
      </c>
      <c r="F1147" t="s">
        <v>3000</v>
      </c>
      <c r="G1147" t="str">
        <f>HYPERLINK("https://n.news.naver.com/mnews/article/032/0003056824?sid=102")</f>
        <v>https://n.news.naver.com/mnews/article/032/0003056824?sid=102</v>
      </c>
      <c r="H1147">
        <v>0.27700000000000002</v>
      </c>
    </row>
    <row r="1148" spans="1:8" x14ac:dyDescent="0.3">
      <c r="A1148" t="s">
        <v>2034</v>
      </c>
      <c r="B1148" t="s">
        <v>26951</v>
      </c>
      <c r="C1148" t="s">
        <v>3005</v>
      </c>
      <c r="D1148" t="s">
        <v>3004</v>
      </c>
      <c r="E1148" s="2" t="s">
        <v>267</v>
      </c>
      <c r="F1148" t="s">
        <v>3003</v>
      </c>
      <c r="G1148" t="str">
        <f>HYPERLINK("https://www.yeongnam.com/web/view.php?key=20250626023447842")</f>
        <v>https://www.yeongnam.com/web/view.php?key=20250626023447842</v>
      </c>
      <c r="H1148">
        <v>0.53200000000000003</v>
      </c>
    </row>
    <row r="1149" spans="1:8" x14ac:dyDescent="0.3">
      <c r="A1149" t="s">
        <v>2034</v>
      </c>
      <c r="B1149" t="s">
        <v>26951</v>
      </c>
      <c r="C1149" t="s">
        <v>3008</v>
      </c>
      <c r="D1149" t="s">
        <v>3007</v>
      </c>
      <c r="E1149" s="2" t="s">
        <v>267</v>
      </c>
      <c r="F1149" t="s">
        <v>3006</v>
      </c>
      <c r="G1149" t="str">
        <f>HYPERLINK("https://n.news.naver.com/mnews/article/006/0000130573?sid=102")</f>
        <v>https://n.news.naver.com/mnews/article/006/0000130573?sid=102</v>
      </c>
      <c r="H1149">
        <v>0.316</v>
      </c>
    </row>
    <row r="1150" spans="1:8" x14ac:dyDescent="0.3">
      <c r="A1150" t="s">
        <v>2034</v>
      </c>
      <c r="B1150" t="s">
        <v>26951</v>
      </c>
      <c r="C1150" t="s">
        <v>3011</v>
      </c>
      <c r="D1150" t="s">
        <v>3010</v>
      </c>
      <c r="E1150" s="2" t="s">
        <v>267</v>
      </c>
      <c r="F1150" t="s">
        <v>3009</v>
      </c>
      <c r="G1150" t="str">
        <f>HYPERLINK("https://n.news.naver.com/mnews/article/308/0000029306?sid=102")</f>
        <v>https://n.news.naver.com/mnews/article/308/0000029306?sid=102</v>
      </c>
      <c r="H1150">
        <v>0.39700000000000002</v>
      </c>
    </row>
    <row r="1151" spans="1:8" x14ac:dyDescent="0.3">
      <c r="A1151" t="s">
        <v>2034</v>
      </c>
      <c r="B1151" t="s">
        <v>26951</v>
      </c>
      <c r="C1151" t="s">
        <v>3014</v>
      </c>
      <c r="D1151" t="s">
        <v>3013</v>
      </c>
      <c r="E1151" s="2" t="s">
        <v>267</v>
      </c>
      <c r="F1151" t="s">
        <v>2743</v>
      </c>
      <c r="G1151" t="str">
        <f>HYPERLINK("https://n.news.naver.com/mnews/article/032/0003377831?sid=104")</f>
        <v>https://n.news.naver.com/mnews/article/032/0003377831?sid=104</v>
      </c>
      <c r="H1151">
        <v>0.251</v>
      </c>
    </row>
    <row r="1152" spans="1:8" x14ac:dyDescent="0.3">
      <c r="A1152" t="s">
        <v>2034</v>
      </c>
      <c r="B1152" t="s">
        <v>26951</v>
      </c>
      <c r="C1152" t="s">
        <v>3017</v>
      </c>
      <c r="D1152" t="s">
        <v>3016</v>
      </c>
      <c r="E1152" s="2" t="s">
        <v>267</v>
      </c>
      <c r="F1152" t="s">
        <v>3015</v>
      </c>
      <c r="G1152" t="str">
        <f>HYPERLINK("https://n.news.naver.com/mnews/article/032/0002729784?sid=100")</f>
        <v>https://n.news.naver.com/mnews/article/032/0002729784?sid=100</v>
      </c>
      <c r="H1152">
        <v>0.316</v>
      </c>
    </row>
    <row r="1153" spans="1:8" x14ac:dyDescent="0.3">
      <c r="A1153" t="s">
        <v>2034</v>
      </c>
      <c r="B1153" t="s">
        <v>26951</v>
      </c>
      <c r="C1153" t="s">
        <v>3019</v>
      </c>
      <c r="D1153" t="s">
        <v>3018</v>
      </c>
      <c r="E1153" s="2" t="s">
        <v>280</v>
      </c>
      <c r="F1153" t="s">
        <v>197</v>
      </c>
      <c r="G1153" t="str">
        <f>HYPERLINK("http://www.laborplus.co.kr/news/articleView.html?idxno=32331")</f>
        <v>http://www.laborplus.co.kr/news/articleView.html?idxno=32331</v>
      </c>
      <c r="H1153">
        <v>0.45300000000000001</v>
      </c>
    </row>
    <row r="1154" spans="1:8" x14ac:dyDescent="0.3">
      <c r="A1154" t="s">
        <v>2034</v>
      </c>
      <c r="B1154" t="s">
        <v>26951</v>
      </c>
      <c r="C1154" t="s">
        <v>3022</v>
      </c>
      <c r="D1154" t="s">
        <v>3021</v>
      </c>
      <c r="E1154" s="2" t="s">
        <v>280</v>
      </c>
      <c r="F1154" t="s">
        <v>3020</v>
      </c>
      <c r="G1154" t="str">
        <f>HYPERLINK("http://www.joongdo.co.kr/main/view.php?key=20200405010001533")</f>
        <v>http://www.joongdo.co.kr/main/view.php?key=20200405010001533</v>
      </c>
      <c r="H1154">
        <v>0.17199999999999999</v>
      </c>
    </row>
    <row r="1155" spans="1:8" x14ac:dyDescent="0.3">
      <c r="A1155" t="s">
        <v>2034</v>
      </c>
      <c r="B1155" t="s">
        <v>26951</v>
      </c>
      <c r="C1155" t="s">
        <v>3024</v>
      </c>
      <c r="D1155" t="s">
        <v>3023</v>
      </c>
      <c r="E1155" s="2" t="s">
        <v>280</v>
      </c>
      <c r="F1155" t="s">
        <v>3015</v>
      </c>
      <c r="G1155" t="str">
        <f>HYPERLINK("https://www.newspim.com/news/view/20250626001108")</f>
        <v>https://www.newspim.com/news/view/20250626001108</v>
      </c>
      <c r="H1155">
        <v>0.69599999999999995</v>
      </c>
    </row>
    <row r="1156" spans="1:8" x14ac:dyDescent="0.3">
      <c r="A1156" t="s">
        <v>2034</v>
      </c>
      <c r="B1156" t="s">
        <v>26951</v>
      </c>
      <c r="C1156" t="s">
        <v>3026</v>
      </c>
      <c r="D1156" t="s">
        <v>3025</v>
      </c>
      <c r="E1156" s="2" t="s">
        <v>280</v>
      </c>
      <c r="F1156" t="s">
        <v>1799</v>
      </c>
      <c r="G1156" t="str">
        <f>HYPERLINK("https://n.news.naver.com/mnews/article/032/0003379118?sid=102")</f>
        <v>https://n.news.naver.com/mnews/article/032/0003379118?sid=102</v>
      </c>
      <c r="H1156">
        <v>0.28299999999999997</v>
      </c>
    </row>
    <row r="1157" spans="1:8" x14ac:dyDescent="0.3">
      <c r="A1157" t="s">
        <v>2034</v>
      </c>
      <c r="B1157" t="s">
        <v>26951</v>
      </c>
      <c r="C1157" t="s">
        <v>3028</v>
      </c>
      <c r="D1157" t="s">
        <v>3027</v>
      </c>
      <c r="E1157" s="2" t="s">
        <v>280</v>
      </c>
      <c r="F1157" t="s">
        <v>1579</v>
      </c>
      <c r="G1157" t="str">
        <f>HYPERLINK("http://www.kihoilbo.co.kr/news/articleView.html?idxno=1137759")</f>
        <v>http://www.kihoilbo.co.kr/news/articleView.html?idxno=1137759</v>
      </c>
      <c r="H1157">
        <v>0.29299999999999998</v>
      </c>
    </row>
    <row r="1158" spans="1:8" x14ac:dyDescent="0.3">
      <c r="A1158" t="s">
        <v>2034</v>
      </c>
      <c r="B1158" t="s">
        <v>26951</v>
      </c>
      <c r="C1158" t="s">
        <v>3030</v>
      </c>
      <c r="D1158" t="s">
        <v>3029</v>
      </c>
      <c r="E1158" s="2" t="s">
        <v>280</v>
      </c>
      <c r="F1158" t="s">
        <v>677</v>
      </c>
      <c r="G1158" t="str">
        <f>HYPERLINK("https://n.news.naver.com/mnews/article/014/0005366348?sid=102")</f>
        <v>https://n.news.naver.com/mnews/article/014/0005366348?sid=102</v>
      </c>
      <c r="H1158">
        <v>0.27600000000000002</v>
      </c>
    </row>
    <row r="1159" spans="1:8" x14ac:dyDescent="0.3">
      <c r="A1159" t="s">
        <v>2034</v>
      </c>
      <c r="B1159" t="s">
        <v>26951</v>
      </c>
      <c r="C1159" t="s">
        <v>3032</v>
      </c>
      <c r="D1159" t="s">
        <v>3031</v>
      </c>
      <c r="E1159" s="2" t="s">
        <v>313</v>
      </c>
      <c r="F1159" t="s">
        <v>2212</v>
      </c>
      <c r="G1159" t="str">
        <f>HYPERLINK("https://www.medicaltimes.com/Main/News/NewsView.html?ID=1163750&amp;ref=naverpc")</f>
        <v>https://www.medicaltimes.com/Main/News/NewsView.html?ID=1163750&amp;ref=naverpc</v>
      </c>
      <c r="H1159">
        <v>0.65400000000000003</v>
      </c>
    </row>
    <row r="1160" spans="1:8" x14ac:dyDescent="0.3">
      <c r="A1160" t="s">
        <v>2034</v>
      </c>
      <c r="B1160" t="s">
        <v>26951</v>
      </c>
      <c r="C1160" t="s">
        <v>3035</v>
      </c>
      <c r="D1160" t="s">
        <v>3034</v>
      </c>
      <c r="E1160" s="2" t="s">
        <v>313</v>
      </c>
      <c r="F1160" t="s">
        <v>3033</v>
      </c>
      <c r="G1160" t="str">
        <f>HYPERLINK("https://www.kmaeil.com/news/articleView.html?idxno=418967")</f>
        <v>https://www.kmaeil.com/news/articleView.html?idxno=418967</v>
      </c>
      <c r="H1160">
        <v>0.54100000000000004</v>
      </c>
    </row>
    <row r="1161" spans="1:8" x14ac:dyDescent="0.3">
      <c r="A1161" t="s">
        <v>2034</v>
      </c>
      <c r="B1161" t="s">
        <v>26951</v>
      </c>
      <c r="C1161" t="s">
        <v>3038</v>
      </c>
      <c r="D1161" t="s">
        <v>3037</v>
      </c>
      <c r="E1161" s="2" t="s">
        <v>313</v>
      </c>
      <c r="F1161" t="s">
        <v>3036</v>
      </c>
      <c r="G1161" t="str">
        <f>HYPERLINK("http://www.ntoday.co.kr/news/articleView.html?idxno=94701")</f>
        <v>http://www.ntoday.co.kr/news/articleView.html?idxno=94701</v>
      </c>
      <c r="H1161">
        <v>0.58699999999999997</v>
      </c>
    </row>
    <row r="1162" spans="1:8" x14ac:dyDescent="0.3">
      <c r="A1162" t="s">
        <v>2034</v>
      </c>
      <c r="B1162" t="s">
        <v>26951</v>
      </c>
      <c r="C1162" t="s">
        <v>3040</v>
      </c>
      <c r="D1162" t="s">
        <v>3039</v>
      </c>
      <c r="E1162" s="2" t="s">
        <v>313</v>
      </c>
      <c r="F1162" t="s">
        <v>197</v>
      </c>
      <c r="G1162" t="str">
        <f>HYPERLINK("https://n.news.naver.com/mnews/article/308/0000036382?sid=100")</f>
        <v>https://n.news.naver.com/mnews/article/308/0000036382?sid=100</v>
      </c>
      <c r="H1162">
        <v>0.35399999999999998</v>
      </c>
    </row>
    <row r="1163" spans="1:8" x14ac:dyDescent="0.3">
      <c r="A1163" t="s">
        <v>2034</v>
      </c>
      <c r="B1163" t="s">
        <v>26951</v>
      </c>
      <c r="C1163" t="s">
        <v>3043</v>
      </c>
      <c r="D1163" t="s">
        <v>3042</v>
      </c>
      <c r="E1163" s="2" t="s">
        <v>313</v>
      </c>
      <c r="F1163" t="s">
        <v>3041</v>
      </c>
      <c r="G1163" t="str">
        <f>HYPERLINK("https://n.news.naver.com/mnews/article/081/0002871611?sid=102")</f>
        <v>https://n.news.naver.com/mnews/article/081/0002871611?sid=102</v>
      </c>
      <c r="H1163">
        <v>0.27400000000000002</v>
      </c>
    </row>
    <row r="1164" spans="1:8" x14ac:dyDescent="0.3">
      <c r="A1164" t="s">
        <v>2034</v>
      </c>
      <c r="B1164" t="s">
        <v>26951</v>
      </c>
      <c r="C1164" t="s">
        <v>3045</v>
      </c>
      <c r="D1164" t="s">
        <v>3044</v>
      </c>
      <c r="E1164" s="2" t="s">
        <v>313</v>
      </c>
      <c r="F1164" t="s">
        <v>2096</v>
      </c>
      <c r="G1164" t="str">
        <f>HYPERLINK("http://www.mediawatch.kr/news/article.html?no=232443")</f>
        <v>http://www.mediawatch.kr/news/article.html?no=232443</v>
      </c>
      <c r="H1164">
        <v>0.30099999999999999</v>
      </c>
    </row>
    <row r="1165" spans="1:8" x14ac:dyDescent="0.3">
      <c r="A1165" t="s">
        <v>2034</v>
      </c>
      <c r="B1165" t="s">
        <v>26951</v>
      </c>
      <c r="C1165" t="s">
        <v>3047</v>
      </c>
      <c r="D1165" t="s">
        <v>3046</v>
      </c>
      <c r="E1165" s="2" t="s">
        <v>313</v>
      </c>
      <c r="F1165" t="s">
        <v>2046</v>
      </c>
      <c r="G1165" t="str">
        <f>HYPERLINK("https://www.catholictimes.org/article/20250623500146")</f>
        <v>https://www.catholictimes.org/article/20250623500146</v>
      </c>
      <c r="H1165">
        <v>0.379</v>
      </c>
    </row>
    <row r="1166" spans="1:8" x14ac:dyDescent="0.3">
      <c r="A1166" t="s">
        <v>2034</v>
      </c>
      <c r="B1166" t="s">
        <v>26951</v>
      </c>
      <c r="C1166" t="s">
        <v>3050</v>
      </c>
      <c r="D1166" t="s">
        <v>3049</v>
      </c>
      <c r="E1166" s="2" t="s">
        <v>313</v>
      </c>
      <c r="F1166" t="s">
        <v>3048</v>
      </c>
      <c r="G1166" t="str">
        <f>HYPERLINK("https://www.goodnews1.com/news/articleView.html?idxno=448715")</f>
        <v>https://www.goodnews1.com/news/articleView.html?idxno=448715</v>
      </c>
      <c r="H1166">
        <v>0.77200000000000002</v>
      </c>
    </row>
    <row r="1167" spans="1:8" x14ac:dyDescent="0.3">
      <c r="A1167" t="s">
        <v>2034</v>
      </c>
      <c r="B1167" t="s">
        <v>26951</v>
      </c>
      <c r="C1167" t="s">
        <v>3052</v>
      </c>
      <c r="D1167" t="s">
        <v>3051</v>
      </c>
      <c r="E1167" s="2" t="s">
        <v>313</v>
      </c>
      <c r="F1167" t="s">
        <v>134</v>
      </c>
      <c r="G1167" t="str">
        <f>HYPERLINK("https://n.news.naver.com/mnews/article/032/0003026034?sid=102")</f>
        <v>https://n.news.naver.com/mnews/article/032/0003026034?sid=102</v>
      </c>
      <c r="H1167">
        <v>0.34</v>
      </c>
    </row>
    <row r="1168" spans="1:8" x14ac:dyDescent="0.3">
      <c r="A1168" t="s">
        <v>2034</v>
      </c>
      <c r="B1168" t="s">
        <v>26951</v>
      </c>
      <c r="C1168" t="s">
        <v>3054</v>
      </c>
      <c r="D1168" t="s">
        <v>3053</v>
      </c>
      <c r="E1168" s="2" t="s">
        <v>313</v>
      </c>
      <c r="F1168" t="s">
        <v>2057</v>
      </c>
      <c r="G1168" t="str">
        <f>HYPERLINK("https://n.news.naver.com/mnews/article/032/0003374619?sid=100")</f>
        <v>https://n.news.naver.com/mnews/article/032/0003374619?sid=100</v>
      </c>
      <c r="H1168">
        <v>0.125</v>
      </c>
    </row>
    <row r="1169" spans="1:8" x14ac:dyDescent="0.3">
      <c r="A1169" t="s">
        <v>2034</v>
      </c>
      <c r="B1169" t="s">
        <v>26951</v>
      </c>
      <c r="C1169" t="s">
        <v>3056</v>
      </c>
      <c r="D1169" t="s">
        <v>3055</v>
      </c>
      <c r="E1169" s="2" t="s">
        <v>313</v>
      </c>
      <c r="F1169" t="s">
        <v>2057</v>
      </c>
      <c r="G1169" t="str">
        <f>HYPERLINK("https://www.dailymedi.com/news/news_view.php?wr_id=913775")</f>
        <v>https://www.dailymedi.com/news/news_view.php?wr_id=913775</v>
      </c>
      <c r="H1169">
        <v>0.12</v>
      </c>
    </row>
    <row r="1170" spans="1:8" x14ac:dyDescent="0.3">
      <c r="A1170" t="s">
        <v>2034</v>
      </c>
      <c r="B1170" t="s">
        <v>26951</v>
      </c>
      <c r="C1170" t="s">
        <v>3058</v>
      </c>
      <c r="D1170" t="s">
        <v>3057</v>
      </c>
      <c r="E1170" s="2" t="s">
        <v>313</v>
      </c>
      <c r="F1170" t="s">
        <v>1731</v>
      </c>
      <c r="G1170" t="str">
        <f>HYPERLINK("http://www.nongaek.com/news/articleView.html?idxno=91811")</f>
        <v>http://www.nongaek.com/news/articleView.html?idxno=91811</v>
      </c>
      <c r="H1170">
        <v>0.57299999999999995</v>
      </c>
    </row>
    <row r="1171" spans="1:8" x14ac:dyDescent="0.3">
      <c r="A1171" t="s">
        <v>2034</v>
      </c>
      <c r="B1171" t="s">
        <v>26951</v>
      </c>
      <c r="C1171" t="s">
        <v>3061</v>
      </c>
      <c r="D1171" t="s">
        <v>3060</v>
      </c>
      <c r="E1171" s="2" t="s">
        <v>313</v>
      </c>
      <c r="F1171" t="s">
        <v>3059</v>
      </c>
      <c r="G1171" t="str">
        <f>HYPERLINK("http://kor.theasian.asia/archives/334527")</f>
        <v>http://kor.theasian.asia/archives/334527</v>
      </c>
      <c r="H1171">
        <v>0.68200000000000005</v>
      </c>
    </row>
    <row r="1172" spans="1:8" x14ac:dyDescent="0.3">
      <c r="A1172" t="s">
        <v>2034</v>
      </c>
      <c r="B1172" t="s">
        <v>26951</v>
      </c>
      <c r="C1172" t="s">
        <v>3063</v>
      </c>
      <c r="D1172" t="s">
        <v>3062</v>
      </c>
      <c r="E1172" s="2" t="s">
        <v>313</v>
      </c>
      <c r="F1172" t="s">
        <v>677</v>
      </c>
      <c r="G1172" t="str">
        <f>HYPERLINK("https://radio.ytn.co.kr/program/?f=2&amp;id=87005&amp;s_mcd=0206&amp;s_hcd=15")</f>
        <v>https://radio.ytn.co.kr/program/?f=2&amp;id=87005&amp;s_mcd=0206&amp;s_hcd=15</v>
      </c>
      <c r="H1172">
        <v>0.45700000000000002</v>
      </c>
    </row>
    <row r="1173" spans="1:8" x14ac:dyDescent="0.3">
      <c r="A1173" t="s">
        <v>2034</v>
      </c>
      <c r="B1173" t="s">
        <v>26951</v>
      </c>
      <c r="C1173" t="s">
        <v>3065</v>
      </c>
      <c r="D1173" t="s">
        <v>3064</v>
      </c>
      <c r="E1173" s="2" t="s">
        <v>313</v>
      </c>
      <c r="F1173" t="s">
        <v>2166</v>
      </c>
      <c r="G1173" t="str">
        <f>HYPERLINK("https://n.news.naver.com/mnews/article/006/0000127472?sid=102")</f>
        <v>https://n.news.naver.com/mnews/article/006/0000127472?sid=102</v>
      </c>
      <c r="H1173">
        <v>0.10199999999999999</v>
      </c>
    </row>
    <row r="1174" spans="1:8" x14ac:dyDescent="0.3">
      <c r="A1174" t="s">
        <v>2034</v>
      </c>
      <c r="B1174" t="s">
        <v>26951</v>
      </c>
      <c r="C1174" t="s">
        <v>3067</v>
      </c>
      <c r="D1174" t="s">
        <v>3066</v>
      </c>
      <c r="E1174" s="2" t="s">
        <v>313</v>
      </c>
      <c r="F1174" t="s">
        <v>1960</v>
      </c>
      <c r="G1174" t="str">
        <f>HYPERLINK("http://apnews.kr/View.aspx?No=1546386")</f>
        <v>http://apnews.kr/View.aspx?No=1546386</v>
      </c>
      <c r="H1174">
        <v>0.13600000000000001</v>
      </c>
    </row>
    <row r="1175" spans="1:8" x14ac:dyDescent="0.3">
      <c r="A1175" t="s">
        <v>2034</v>
      </c>
      <c r="B1175" t="s">
        <v>26951</v>
      </c>
      <c r="C1175" t="s">
        <v>3070</v>
      </c>
      <c r="D1175" t="s">
        <v>3069</v>
      </c>
      <c r="E1175" s="2" t="s">
        <v>313</v>
      </c>
      <c r="F1175" t="s">
        <v>3068</v>
      </c>
      <c r="G1175" t="str">
        <f>HYPERLINK("http://www.opinionnews.co.kr/news/articleView.html?idxno=119311")</f>
        <v>http://www.opinionnews.co.kr/news/articleView.html?idxno=119311</v>
      </c>
      <c r="H1175">
        <v>0.51800000000000002</v>
      </c>
    </row>
    <row r="1176" spans="1:8" x14ac:dyDescent="0.3">
      <c r="A1176" t="s">
        <v>2034</v>
      </c>
      <c r="B1176" t="s">
        <v>26951</v>
      </c>
      <c r="C1176" t="s">
        <v>3072</v>
      </c>
      <c r="D1176" t="s">
        <v>3071</v>
      </c>
      <c r="E1176" s="2" t="s">
        <v>313</v>
      </c>
      <c r="F1176" t="s">
        <v>2135</v>
      </c>
      <c r="G1176" t="str">
        <f>HYPERLINK("https://n.news.naver.com/mnews/article/006/0000127472?sid=102")</f>
        <v>https://n.news.naver.com/mnews/article/006/0000127472?sid=102</v>
      </c>
      <c r="H1176">
        <v>8.8999999999999996E-2</v>
      </c>
    </row>
    <row r="1177" spans="1:8" x14ac:dyDescent="0.3">
      <c r="A1177" t="s">
        <v>2034</v>
      </c>
      <c r="B1177" t="s">
        <v>26951</v>
      </c>
      <c r="C1177" t="s">
        <v>3075</v>
      </c>
      <c r="D1177" t="s">
        <v>3074</v>
      </c>
      <c r="E1177" s="2" t="s">
        <v>356</v>
      </c>
      <c r="F1177" t="s">
        <v>3073</v>
      </c>
      <c r="G1177" t="str">
        <f>HYPERLINK("http://www.hitnews.co.kr/news/articleView.html?idxno=65544")</f>
        <v>http://www.hitnews.co.kr/news/articleView.html?idxno=65544</v>
      </c>
      <c r="H1177">
        <v>0.70299999999999996</v>
      </c>
    </row>
    <row r="1178" spans="1:8" x14ac:dyDescent="0.3">
      <c r="A1178" t="s">
        <v>2034</v>
      </c>
      <c r="B1178" t="s">
        <v>26951</v>
      </c>
      <c r="C1178" t="s">
        <v>3077</v>
      </c>
      <c r="D1178" t="s">
        <v>3076</v>
      </c>
      <c r="E1178" s="2" t="s">
        <v>356</v>
      </c>
      <c r="F1178" t="s">
        <v>2057</v>
      </c>
      <c r="G1178" t="str">
        <f>HYPERLINK("https://www.jjan.kr/article/20230328580190")</f>
        <v>https://www.jjan.kr/article/20230328580190</v>
      </c>
      <c r="H1178">
        <v>0.33400000000000002</v>
      </c>
    </row>
    <row r="1179" spans="1:8" x14ac:dyDescent="0.3">
      <c r="A1179" t="s">
        <v>2034</v>
      </c>
      <c r="B1179" t="s">
        <v>26951</v>
      </c>
      <c r="C1179" t="s">
        <v>3080</v>
      </c>
      <c r="D1179" t="s">
        <v>3079</v>
      </c>
      <c r="E1179" s="2" t="s">
        <v>356</v>
      </c>
      <c r="F1179" t="s">
        <v>3078</v>
      </c>
      <c r="G1179" t="str">
        <f>HYPERLINK("https://www.apnews.kr/news/articleView.html?idxno=3024887")</f>
        <v>https://www.apnews.kr/news/articleView.html?idxno=3024887</v>
      </c>
      <c r="H1179">
        <v>0.56499999999999995</v>
      </c>
    </row>
    <row r="1180" spans="1:8" x14ac:dyDescent="0.3">
      <c r="A1180" t="s">
        <v>2034</v>
      </c>
      <c r="B1180" t="s">
        <v>26951</v>
      </c>
      <c r="C1180" t="s">
        <v>3083</v>
      </c>
      <c r="D1180" t="s">
        <v>3082</v>
      </c>
      <c r="E1180" s="2" t="s">
        <v>356</v>
      </c>
      <c r="F1180" t="s">
        <v>3081</v>
      </c>
      <c r="G1180" t="str">
        <f>HYPERLINK("http://www.kyosu.net/news/articleView.html?idxno=137300")</f>
        <v>http://www.kyosu.net/news/articleView.html?idxno=137300</v>
      </c>
      <c r="H1180">
        <v>0.70899999999999996</v>
      </c>
    </row>
    <row r="1181" spans="1:8" x14ac:dyDescent="0.3">
      <c r="A1181" t="s">
        <v>2034</v>
      </c>
      <c r="B1181" t="s">
        <v>26951</v>
      </c>
      <c r="C1181" t="s">
        <v>3085</v>
      </c>
      <c r="D1181" t="s">
        <v>3084</v>
      </c>
      <c r="E1181" s="2" t="s">
        <v>356</v>
      </c>
      <c r="F1181" t="s">
        <v>134</v>
      </c>
      <c r="G1181" t="str">
        <f>HYPERLINK("http://www.newspim.com/news/view/20200601000036")</f>
        <v>http://www.newspim.com/news/view/20200601000036</v>
      </c>
      <c r="H1181">
        <v>0.47199999999999998</v>
      </c>
    </row>
    <row r="1182" spans="1:8" x14ac:dyDescent="0.3">
      <c r="A1182" t="s">
        <v>2034</v>
      </c>
      <c r="B1182" t="s">
        <v>26951</v>
      </c>
      <c r="C1182" t="s">
        <v>3088</v>
      </c>
      <c r="D1182" t="s">
        <v>3087</v>
      </c>
      <c r="E1182" s="2" t="s">
        <v>356</v>
      </c>
      <c r="F1182" t="s">
        <v>3086</v>
      </c>
      <c r="G1182" t="str">
        <f>HYPERLINK("https://n.news.naver.com/mnews/article/032/0003377141?sid=102")</f>
        <v>https://n.news.naver.com/mnews/article/032/0003377141?sid=102</v>
      </c>
      <c r="H1182">
        <v>0.28399999999999997</v>
      </c>
    </row>
    <row r="1183" spans="1:8" x14ac:dyDescent="0.3">
      <c r="A1183" t="s">
        <v>2034</v>
      </c>
      <c r="B1183" t="s">
        <v>26951</v>
      </c>
      <c r="C1183" t="s">
        <v>3090</v>
      </c>
      <c r="D1183" t="s">
        <v>3089</v>
      </c>
      <c r="E1183" s="2" t="s">
        <v>356</v>
      </c>
      <c r="F1183" t="s">
        <v>148</v>
      </c>
      <c r="G1183" t="str">
        <f>HYPERLINK("https://n.news.naver.com/mnews/article/032/0002981533?sid=102")</f>
        <v>https://n.news.naver.com/mnews/article/032/0002981533?sid=102</v>
      </c>
      <c r="H1183">
        <v>0.154</v>
      </c>
    </row>
    <row r="1184" spans="1:8" x14ac:dyDescent="0.3">
      <c r="A1184" t="s">
        <v>2034</v>
      </c>
      <c r="B1184" t="s">
        <v>26951</v>
      </c>
      <c r="C1184" t="s">
        <v>3092</v>
      </c>
      <c r="D1184" t="s">
        <v>3091</v>
      </c>
      <c r="E1184" s="2" t="s">
        <v>356</v>
      </c>
      <c r="F1184" t="s">
        <v>2710</v>
      </c>
      <c r="G1184" t="str">
        <f>HYPERLINK("https://n.news.naver.com/mnews/article/214/0001431078?sid=100")</f>
        <v>https://n.news.naver.com/mnews/article/214/0001431078?sid=100</v>
      </c>
      <c r="H1184">
        <v>3.1E-2</v>
      </c>
    </row>
    <row r="1185" spans="1:8" x14ac:dyDescent="0.3">
      <c r="A1185" t="s">
        <v>2034</v>
      </c>
      <c r="B1185" t="s">
        <v>26951</v>
      </c>
      <c r="C1185" t="s">
        <v>3094</v>
      </c>
      <c r="D1185" t="s">
        <v>3093</v>
      </c>
      <c r="E1185" s="2" t="s">
        <v>356</v>
      </c>
      <c r="F1185" t="s">
        <v>2046</v>
      </c>
      <c r="G1185" t="str">
        <f>HYPERLINK("https://n.news.naver.com/mnews/article/032/0003376176?sid=105")</f>
        <v>https://n.news.naver.com/mnews/article/032/0003376176?sid=105</v>
      </c>
      <c r="H1185">
        <v>0.23699999999999999</v>
      </c>
    </row>
    <row r="1186" spans="1:8" x14ac:dyDescent="0.3">
      <c r="A1186" t="s">
        <v>2034</v>
      </c>
      <c r="B1186" t="s">
        <v>26951</v>
      </c>
      <c r="C1186" t="s">
        <v>3097</v>
      </c>
      <c r="D1186" t="s">
        <v>3096</v>
      </c>
      <c r="E1186" s="2" t="s">
        <v>356</v>
      </c>
      <c r="F1186" t="s">
        <v>2215</v>
      </c>
      <c r="G1186" t="str">
        <f>HYPERLINK("https://www.laborplus.co.kr/news/articleView.html?idxno=35849")</f>
        <v>https://www.laborplus.co.kr/news/articleView.html?idxno=35849</v>
      </c>
      <c r="H1186">
        <v>0.193</v>
      </c>
    </row>
    <row r="1187" spans="1:8" x14ac:dyDescent="0.3">
      <c r="A1187" t="s">
        <v>2034</v>
      </c>
      <c r="B1187" t="s">
        <v>26951</v>
      </c>
      <c r="C1187" t="s">
        <v>3099</v>
      </c>
      <c r="D1187" t="s">
        <v>3098</v>
      </c>
      <c r="E1187" s="2" t="s">
        <v>356</v>
      </c>
      <c r="F1187" t="s">
        <v>2215</v>
      </c>
      <c r="G1187" t="str">
        <f>HYPERLINK("http://www.sisaon.co.kr/news/articleView.html?idxno=160065")</f>
        <v>http://www.sisaon.co.kr/news/articleView.html?idxno=160065</v>
      </c>
      <c r="H1187">
        <v>0.35199999999999998</v>
      </c>
    </row>
    <row r="1188" spans="1:8" x14ac:dyDescent="0.3">
      <c r="A1188" t="s">
        <v>2034</v>
      </c>
      <c r="B1188" t="s">
        <v>26951</v>
      </c>
      <c r="C1188" t="s">
        <v>3101</v>
      </c>
      <c r="D1188" t="s">
        <v>3100</v>
      </c>
      <c r="E1188" s="2" t="s">
        <v>356</v>
      </c>
      <c r="F1188" t="s">
        <v>2671</v>
      </c>
      <c r="G1188" t="str">
        <f>HYPERLINK("https://n.news.naver.com/mnews/article/032/0002664448?sid=103")</f>
        <v>https://n.news.naver.com/mnews/article/032/0002664448?sid=103</v>
      </c>
      <c r="H1188">
        <v>0.34899999999999998</v>
      </c>
    </row>
    <row r="1189" spans="1:8" x14ac:dyDescent="0.3">
      <c r="A1189" t="s">
        <v>2034</v>
      </c>
      <c r="B1189" t="s">
        <v>26951</v>
      </c>
      <c r="C1189" t="s">
        <v>3103</v>
      </c>
      <c r="D1189" t="s">
        <v>3102</v>
      </c>
      <c r="E1189" s="2" t="s">
        <v>356</v>
      </c>
      <c r="F1189" t="s">
        <v>2124</v>
      </c>
      <c r="G1189" t="str">
        <f>HYPERLINK("http://www.ggilbo.com/news/articleView.html?idxno=730199")</f>
        <v>http://www.ggilbo.com/news/articleView.html?idxno=730199</v>
      </c>
      <c r="H1189">
        <v>0.7</v>
      </c>
    </row>
    <row r="1190" spans="1:8" x14ac:dyDescent="0.3">
      <c r="A1190" t="s">
        <v>2034</v>
      </c>
      <c r="B1190" t="s">
        <v>26951</v>
      </c>
      <c r="C1190" t="s">
        <v>3105</v>
      </c>
      <c r="D1190" t="s">
        <v>3104</v>
      </c>
      <c r="E1190" s="2" t="s">
        <v>356</v>
      </c>
      <c r="F1190" t="s">
        <v>2124</v>
      </c>
      <c r="G1190" t="str">
        <f>HYPERLINK("https://n.news.naver.com/mnews/article/032/0003377130?sid=110")</f>
        <v>https://n.news.naver.com/mnews/article/032/0003377130?sid=110</v>
      </c>
      <c r="H1190">
        <v>0.34399999999999997</v>
      </c>
    </row>
    <row r="1191" spans="1:8" x14ac:dyDescent="0.3">
      <c r="A1191" t="s">
        <v>2034</v>
      </c>
      <c r="B1191" t="s">
        <v>26951</v>
      </c>
      <c r="C1191" t="s">
        <v>3108</v>
      </c>
      <c r="D1191" t="s">
        <v>3107</v>
      </c>
      <c r="E1191" s="2" t="s">
        <v>356</v>
      </c>
      <c r="F1191" t="s">
        <v>3106</v>
      </c>
      <c r="G1191" t="str">
        <f>HYPERLINK("https://n.news.naver.com/mnews/article/032/0002777851?sid=104")</f>
        <v>https://n.news.naver.com/mnews/article/032/0002777851?sid=104</v>
      </c>
      <c r="H1191">
        <v>9.7000000000000003E-2</v>
      </c>
    </row>
    <row r="1192" spans="1:8" x14ac:dyDescent="0.3">
      <c r="A1192" t="s">
        <v>2034</v>
      </c>
      <c r="B1192" t="s">
        <v>26951</v>
      </c>
      <c r="C1192" t="s">
        <v>3111</v>
      </c>
      <c r="D1192" t="s">
        <v>3110</v>
      </c>
      <c r="E1192" s="2" t="s">
        <v>356</v>
      </c>
      <c r="F1192" t="s">
        <v>3109</v>
      </c>
      <c r="G1192" t="str">
        <f>HYPERLINK("https://n.news.naver.com/mnews/article/006/0000130599?sid=102")</f>
        <v>https://n.news.naver.com/mnews/article/006/0000130599?sid=102</v>
      </c>
      <c r="H1192">
        <v>0.27400000000000002</v>
      </c>
    </row>
    <row r="1193" spans="1:8" x14ac:dyDescent="0.3">
      <c r="A1193" t="s">
        <v>2034</v>
      </c>
      <c r="B1193" t="s">
        <v>26951</v>
      </c>
      <c r="C1193" t="s">
        <v>3113</v>
      </c>
      <c r="D1193" t="s">
        <v>3112</v>
      </c>
      <c r="E1193" s="2" t="s">
        <v>356</v>
      </c>
      <c r="F1193" t="s">
        <v>1960</v>
      </c>
      <c r="G1193" t="str">
        <f>HYPERLINK("https://n.news.naver.com/mnews/article/308/0000032392?sid=103")</f>
        <v>https://n.news.naver.com/mnews/article/308/0000032392?sid=103</v>
      </c>
      <c r="H1193">
        <v>6.7000000000000004E-2</v>
      </c>
    </row>
    <row r="1194" spans="1:8" x14ac:dyDescent="0.3">
      <c r="A1194" t="s">
        <v>2034</v>
      </c>
      <c r="B1194" t="s">
        <v>26951</v>
      </c>
      <c r="C1194" t="s">
        <v>3115</v>
      </c>
      <c r="D1194" t="s">
        <v>3114</v>
      </c>
      <c r="E1194" s="2" t="s">
        <v>356</v>
      </c>
      <c r="F1194" t="s">
        <v>2129</v>
      </c>
      <c r="G1194" t="str">
        <f>HYPERLINK("http://www.straightnews.co.kr/news/articleView.html?idxno=88929")</f>
        <v>http://www.straightnews.co.kr/news/articleView.html?idxno=88929</v>
      </c>
      <c r="H1194">
        <v>0.129</v>
      </c>
    </row>
    <row r="1195" spans="1:8" x14ac:dyDescent="0.3">
      <c r="A1195" t="s">
        <v>2034</v>
      </c>
      <c r="B1195" t="s">
        <v>26951</v>
      </c>
      <c r="C1195" t="s">
        <v>3117</v>
      </c>
      <c r="D1195" t="s">
        <v>3116</v>
      </c>
      <c r="E1195" s="2" t="s">
        <v>356</v>
      </c>
      <c r="F1195" t="s">
        <v>2135</v>
      </c>
      <c r="G1195" t="str">
        <f>HYPERLINK("https://n.news.naver.com/mnews/article/006/0000127472?sid=102")</f>
        <v>https://n.news.naver.com/mnews/article/006/0000127472?sid=102</v>
      </c>
      <c r="H1195">
        <v>7.8E-2</v>
      </c>
    </row>
    <row r="1196" spans="1:8" x14ac:dyDescent="0.3">
      <c r="A1196" t="s">
        <v>2034</v>
      </c>
      <c r="B1196" t="s">
        <v>26951</v>
      </c>
      <c r="C1196" t="s">
        <v>3119</v>
      </c>
      <c r="D1196" t="s">
        <v>3118</v>
      </c>
      <c r="E1196" s="2" t="s">
        <v>394</v>
      </c>
      <c r="F1196" t="s">
        <v>2315</v>
      </c>
      <c r="G1196" t="str">
        <f>HYPERLINK("https://n.news.naver.com/mnews/article/032/0003377071?sid=104")</f>
        <v>https://n.news.naver.com/mnews/article/032/0003377071?sid=104</v>
      </c>
      <c r="H1196">
        <v>0.34599999999999997</v>
      </c>
    </row>
    <row r="1197" spans="1:8" x14ac:dyDescent="0.3">
      <c r="A1197" t="s">
        <v>2034</v>
      </c>
      <c r="B1197" t="s">
        <v>26951</v>
      </c>
      <c r="C1197" t="s">
        <v>3121</v>
      </c>
      <c r="D1197" t="s">
        <v>3120</v>
      </c>
      <c r="E1197" s="2" t="s">
        <v>394</v>
      </c>
      <c r="F1197" t="s">
        <v>197</v>
      </c>
      <c r="G1197" t="str">
        <f>HYPERLINK("https://n.news.naver.com/mnews/article/032/0002534879?sid=100")</f>
        <v>https://n.news.naver.com/mnews/article/032/0002534879?sid=100</v>
      </c>
      <c r="H1197">
        <v>0.27800000000000002</v>
      </c>
    </row>
    <row r="1198" spans="1:8" x14ac:dyDescent="0.3">
      <c r="A1198" t="s">
        <v>2034</v>
      </c>
      <c r="B1198" t="s">
        <v>26951</v>
      </c>
      <c r="C1198" t="s">
        <v>3123</v>
      </c>
      <c r="D1198" t="s">
        <v>3122</v>
      </c>
      <c r="E1198" s="2" t="s">
        <v>394</v>
      </c>
      <c r="F1198" t="s">
        <v>2212</v>
      </c>
      <c r="G1198" t="str">
        <f>HYPERLINK("http://www.nongaek.com/news/articleView.html?idxno=91747")</f>
        <v>http://www.nongaek.com/news/articleView.html?idxno=91747</v>
      </c>
      <c r="H1198">
        <v>0.67800000000000005</v>
      </c>
    </row>
    <row r="1199" spans="1:8" x14ac:dyDescent="0.3">
      <c r="A1199" t="s">
        <v>2034</v>
      </c>
      <c r="B1199" t="s">
        <v>26951</v>
      </c>
      <c r="C1199" t="s">
        <v>3125</v>
      </c>
      <c r="D1199" t="s">
        <v>3124</v>
      </c>
      <c r="E1199" s="2" t="s">
        <v>394</v>
      </c>
      <c r="F1199" t="s">
        <v>1195</v>
      </c>
      <c r="G1199" t="str">
        <f>HYPERLINK("http://www.nongaek.com/news/articleView.html?idxno=91690")</f>
        <v>http://www.nongaek.com/news/articleView.html?idxno=91690</v>
      </c>
      <c r="H1199">
        <v>0.29699999999999999</v>
      </c>
    </row>
    <row r="1200" spans="1:8" x14ac:dyDescent="0.3">
      <c r="A1200" t="s">
        <v>2034</v>
      </c>
      <c r="B1200" t="s">
        <v>26951</v>
      </c>
      <c r="C1200" t="s">
        <v>3128</v>
      </c>
      <c r="D1200" t="s">
        <v>3127</v>
      </c>
      <c r="E1200" s="2" t="s">
        <v>394</v>
      </c>
      <c r="F1200" t="s">
        <v>3126</v>
      </c>
      <c r="G1200" t="str">
        <f>HYPERLINK("https://n.news.naver.com/mnews/article/002/0002000900?sid=102")</f>
        <v>https://n.news.naver.com/mnews/article/002/0002000900?sid=102</v>
      </c>
      <c r="H1200">
        <v>0.66900000000000004</v>
      </c>
    </row>
    <row r="1201" spans="1:8" x14ac:dyDescent="0.3">
      <c r="A1201" t="s">
        <v>2034</v>
      </c>
      <c r="B1201" t="s">
        <v>26951</v>
      </c>
      <c r="C1201" t="s">
        <v>3130</v>
      </c>
      <c r="D1201" t="s">
        <v>3129</v>
      </c>
      <c r="E1201" s="2" t="s">
        <v>394</v>
      </c>
      <c r="F1201" t="s">
        <v>2096</v>
      </c>
      <c r="G1201" t="str">
        <f>HYPERLINK("https://www.ebn.co.kr/news/articleView.html?idxno=1666427")</f>
        <v>https://www.ebn.co.kr/news/articleView.html?idxno=1666427</v>
      </c>
      <c r="H1201">
        <v>0.32</v>
      </c>
    </row>
    <row r="1202" spans="1:8" x14ac:dyDescent="0.3">
      <c r="A1202" t="s">
        <v>2034</v>
      </c>
      <c r="B1202" t="s">
        <v>26951</v>
      </c>
      <c r="C1202" t="s">
        <v>3132</v>
      </c>
      <c r="D1202" t="s">
        <v>3131</v>
      </c>
      <c r="E1202" s="2" t="s">
        <v>394</v>
      </c>
      <c r="F1202" t="s">
        <v>1722</v>
      </c>
      <c r="G1202" t="str">
        <f>HYPERLINK("https://n.news.naver.com/mnews/article/022/0004047866?sid=102")</f>
        <v>https://n.news.naver.com/mnews/article/022/0004047866?sid=102</v>
      </c>
      <c r="H1202">
        <v>0.29899999999999999</v>
      </c>
    </row>
    <row r="1203" spans="1:8" x14ac:dyDescent="0.3">
      <c r="A1203" t="s">
        <v>2034</v>
      </c>
      <c r="B1203" t="s">
        <v>26951</v>
      </c>
      <c r="C1203" t="s">
        <v>3135</v>
      </c>
      <c r="D1203" t="s">
        <v>3134</v>
      </c>
      <c r="E1203" s="2" t="s">
        <v>394</v>
      </c>
      <c r="F1203" t="s">
        <v>3133</v>
      </c>
      <c r="G1203" t="str">
        <f>HYPERLINK("http://www.mediafine.co.kr/news/articleView.html?idxno=8989")</f>
        <v>http://www.mediafine.co.kr/news/articleView.html?idxno=8989</v>
      </c>
      <c r="H1203">
        <v>0.52100000000000002</v>
      </c>
    </row>
    <row r="1204" spans="1:8" x14ac:dyDescent="0.3">
      <c r="A1204" t="s">
        <v>2034</v>
      </c>
      <c r="B1204" t="s">
        <v>26951</v>
      </c>
      <c r="C1204" t="s">
        <v>3137</v>
      </c>
      <c r="D1204" t="s">
        <v>3136</v>
      </c>
      <c r="E1204" s="2" t="s">
        <v>394</v>
      </c>
      <c r="F1204" t="s">
        <v>51</v>
      </c>
      <c r="G1204" t="str">
        <f>HYPERLINK("http://www.interview365.com/news/articleView.html?idxno=85927")</f>
        <v>http://www.interview365.com/news/articleView.html?idxno=85927</v>
      </c>
      <c r="H1204">
        <v>0.56999999999999995</v>
      </c>
    </row>
    <row r="1205" spans="1:8" x14ac:dyDescent="0.3">
      <c r="A1205" t="s">
        <v>2034</v>
      </c>
      <c r="B1205" t="s">
        <v>26951</v>
      </c>
      <c r="C1205" t="s">
        <v>3139</v>
      </c>
      <c r="D1205" t="s">
        <v>3138</v>
      </c>
      <c r="E1205" s="2" t="s">
        <v>394</v>
      </c>
      <c r="F1205" t="s">
        <v>2855</v>
      </c>
      <c r="G1205" t="str">
        <f>HYPERLINK("https://n.news.naver.com/mnews/article/028/0002243667?sid=103")</f>
        <v>https://n.news.naver.com/mnews/article/028/0002243667?sid=103</v>
      </c>
      <c r="H1205">
        <v>0.35699999999999998</v>
      </c>
    </row>
    <row r="1206" spans="1:8" x14ac:dyDescent="0.3">
      <c r="A1206" t="s">
        <v>2034</v>
      </c>
      <c r="B1206" t="s">
        <v>26951</v>
      </c>
      <c r="C1206" t="s">
        <v>3141</v>
      </c>
      <c r="D1206" t="s">
        <v>3140</v>
      </c>
      <c r="E1206" s="2" t="s">
        <v>394</v>
      </c>
      <c r="F1206" t="s">
        <v>2215</v>
      </c>
      <c r="G1206" t="str">
        <f>HYPERLINK("https://n.news.naver.com/mnews/article/032/0003377854?sid=104")</f>
        <v>https://n.news.naver.com/mnews/article/032/0003377854?sid=104</v>
      </c>
      <c r="H1206">
        <v>0.19500000000000001</v>
      </c>
    </row>
    <row r="1207" spans="1:8" x14ac:dyDescent="0.3">
      <c r="A1207" t="s">
        <v>2034</v>
      </c>
      <c r="B1207" t="s">
        <v>26951</v>
      </c>
      <c r="C1207" t="s">
        <v>3143</v>
      </c>
      <c r="D1207" t="s">
        <v>3142</v>
      </c>
      <c r="E1207" s="2" t="s">
        <v>394</v>
      </c>
      <c r="F1207" t="s">
        <v>2215</v>
      </c>
      <c r="G1207" t="str">
        <f>HYPERLINK("https://n.news.naver.com/mnews/article/032/0003376716?sid=102")</f>
        <v>https://n.news.naver.com/mnews/article/032/0003376716?sid=102</v>
      </c>
      <c r="H1207">
        <v>0.16800000000000001</v>
      </c>
    </row>
    <row r="1208" spans="1:8" x14ac:dyDescent="0.3">
      <c r="A1208" t="s">
        <v>2034</v>
      </c>
      <c r="B1208" t="s">
        <v>26951</v>
      </c>
      <c r="C1208" t="s">
        <v>3145</v>
      </c>
      <c r="D1208" t="s">
        <v>3144</v>
      </c>
      <c r="E1208" s="2" t="s">
        <v>394</v>
      </c>
      <c r="F1208" t="s">
        <v>2215</v>
      </c>
      <c r="G1208" t="str">
        <f>HYPERLINK("https://n.news.naver.com/mnews/article/032/0003376627?sid=102")</f>
        <v>https://n.news.naver.com/mnews/article/032/0003376627?sid=102</v>
      </c>
      <c r="H1208">
        <v>0.17699999999999999</v>
      </c>
    </row>
    <row r="1209" spans="1:8" x14ac:dyDescent="0.3">
      <c r="A1209" t="s">
        <v>2034</v>
      </c>
      <c r="B1209" t="s">
        <v>26951</v>
      </c>
      <c r="C1209" t="s">
        <v>3148</v>
      </c>
      <c r="D1209" t="s">
        <v>3147</v>
      </c>
      <c r="E1209" s="2" t="s">
        <v>394</v>
      </c>
      <c r="F1209" t="s">
        <v>3146</v>
      </c>
      <c r="G1209" t="str">
        <f>HYPERLINK("https://n.news.naver.com/mnews/article/052/0002211057?sid=100")</f>
        <v>https://n.news.naver.com/mnews/article/052/0002211057?sid=100</v>
      </c>
      <c r="H1209">
        <v>0.224</v>
      </c>
    </row>
    <row r="1210" spans="1:8" x14ac:dyDescent="0.3">
      <c r="A1210" t="s">
        <v>2034</v>
      </c>
      <c r="B1210" t="s">
        <v>26951</v>
      </c>
      <c r="C1210" t="s">
        <v>3150</v>
      </c>
      <c r="D1210" t="s">
        <v>3149</v>
      </c>
      <c r="E1210" s="2" t="s">
        <v>394</v>
      </c>
      <c r="F1210" t="s">
        <v>134</v>
      </c>
      <c r="G1210" t="str">
        <f>HYPERLINK("https://n.news.naver.com/mnews/article/032/0002746506?sid=104")</f>
        <v>https://n.news.naver.com/mnews/article/032/0002746506?sid=104</v>
      </c>
      <c r="H1210">
        <v>0.33</v>
      </c>
    </row>
    <row r="1211" spans="1:8" x14ac:dyDescent="0.3">
      <c r="A1211" t="s">
        <v>2034</v>
      </c>
      <c r="B1211" t="s">
        <v>26951</v>
      </c>
      <c r="C1211" t="s">
        <v>3152</v>
      </c>
      <c r="D1211" t="s">
        <v>3151</v>
      </c>
      <c r="E1211" s="2" t="s">
        <v>394</v>
      </c>
      <c r="F1211" t="s">
        <v>2046</v>
      </c>
      <c r="G1211" t="str">
        <f>HYPERLINK("https://www.catholictimes.org/article/20250623500146")</f>
        <v>https://www.catholictimes.org/article/20250623500146</v>
      </c>
      <c r="H1211">
        <v>0.433</v>
      </c>
    </row>
    <row r="1212" spans="1:8" x14ac:dyDescent="0.3">
      <c r="A1212" t="s">
        <v>2034</v>
      </c>
      <c r="B1212" t="s">
        <v>26951</v>
      </c>
      <c r="C1212" t="s">
        <v>3154</v>
      </c>
      <c r="D1212" t="s">
        <v>3153</v>
      </c>
      <c r="E1212" s="2" t="s">
        <v>394</v>
      </c>
      <c r="F1212" t="s">
        <v>2124</v>
      </c>
      <c r="G1212" t="str">
        <f>HYPERLINK("https://n.news.naver.com/mnews/article/032/0003376853?sid=110")</f>
        <v>https://n.news.naver.com/mnews/article/032/0003376853?sid=110</v>
      </c>
      <c r="H1212">
        <v>0.32900000000000001</v>
      </c>
    </row>
    <row r="1213" spans="1:8" x14ac:dyDescent="0.3">
      <c r="A1213" t="s">
        <v>2034</v>
      </c>
      <c r="B1213" t="s">
        <v>26951</v>
      </c>
      <c r="C1213" t="s">
        <v>3156</v>
      </c>
      <c r="D1213" t="s">
        <v>3155</v>
      </c>
      <c r="E1213" s="2" t="s">
        <v>394</v>
      </c>
      <c r="F1213" t="s">
        <v>2124</v>
      </c>
      <c r="G1213" t="str">
        <f>HYPERLINK("https://news.bbsi.co.kr/news/articleView.html?idxno=4035665")</f>
        <v>https://news.bbsi.co.kr/news/articleView.html?idxno=4035665</v>
      </c>
      <c r="H1213">
        <v>0.52900000000000003</v>
      </c>
    </row>
    <row r="1214" spans="1:8" x14ac:dyDescent="0.3">
      <c r="A1214" t="s">
        <v>2034</v>
      </c>
      <c r="B1214" t="s">
        <v>26951</v>
      </c>
      <c r="C1214" t="s">
        <v>3158</v>
      </c>
      <c r="D1214" t="s">
        <v>3157</v>
      </c>
      <c r="E1214" s="2" t="s">
        <v>394</v>
      </c>
      <c r="F1214" t="s">
        <v>1960</v>
      </c>
      <c r="G1214" t="str">
        <f>HYPERLINK("http://apnews.kr/View.aspx?No=1539627")</f>
        <v>http://apnews.kr/View.aspx?No=1539627</v>
      </c>
      <c r="H1214">
        <v>0.155</v>
      </c>
    </row>
    <row r="1215" spans="1:8" x14ac:dyDescent="0.3">
      <c r="A1215" t="s">
        <v>2034</v>
      </c>
      <c r="B1215" t="s">
        <v>26951</v>
      </c>
      <c r="C1215" t="s">
        <v>3160</v>
      </c>
      <c r="D1215" t="s">
        <v>3159</v>
      </c>
      <c r="E1215" s="2" t="s">
        <v>394</v>
      </c>
      <c r="F1215" t="s">
        <v>96</v>
      </c>
      <c r="G1215" t="str">
        <f>HYPERLINK("https://n.news.naver.com/mnews/article/032/0002622592?sid=102")</f>
        <v>https://n.news.naver.com/mnews/article/032/0002622592?sid=102</v>
      </c>
      <c r="H1215">
        <v>0.2</v>
      </c>
    </row>
    <row r="1216" spans="1:8" x14ac:dyDescent="0.3">
      <c r="A1216" t="s">
        <v>2034</v>
      </c>
      <c r="B1216" t="s">
        <v>26951</v>
      </c>
      <c r="C1216" t="s">
        <v>3162</v>
      </c>
      <c r="D1216" t="s">
        <v>3161</v>
      </c>
      <c r="E1216" s="2" t="s">
        <v>394</v>
      </c>
      <c r="F1216" t="s">
        <v>2057</v>
      </c>
      <c r="G1216" t="str">
        <f>HYPERLINK("http://www.worldkorean.net/news/articleView.html?idxno=37751")</f>
        <v>http://www.worldkorean.net/news/articleView.html?idxno=37751</v>
      </c>
      <c r="H1216">
        <v>0.16300000000000001</v>
      </c>
    </row>
    <row r="1217" spans="1:8" x14ac:dyDescent="0.3">
      <c r="A1217" t="s">
        <v>2034</v>
      </c>
      <c r="B1217" t="s">
        <v>26951</v>
      </c>
      <c r="C1217" t="s">
        <v>3164</v>
      </c>
      <c r="D1217" t="s">
        <v>3163</v>
      </c>
      <c r="E1217" s="2" t="s">
        <v>394</v>
      </c>
      <c r="F1217" t="s">
        <v>2057</v>
      </c>
      <c r="G1217" t="str">
        <f>HYPERLINK("http://www.domin.co.kr/news/articleView.html?idxno=1516292")</f>
        <v>http://www.domin.co.kr/news/articleView.html?idxno=1516292</v>
      </c>
      <c r="H1217">
        <v>0.24399999999999999</v>
      </c>
    </row>
    <row r="1218" spans="1:8" x14ac:dyDescent="0.3">
      <c r="A1218" t="s">
        <v>2034</v>
      </c>
      <c r="B1218" t="s">
        <v>26951</v>
      </c>
      <c r="C1218" t="s">
        <v>3166</v>
      </c>
      <c r="D1218" t="s">
        <v>3165</v>
      </c>
      <c r="E1218" s="2" t="s">
        <v>394</v>
      </c>
      <c r="F1218" t="s">
        <v>2057</v>
      </c>
      <c r="G1218" t="str">
        <f>HYPERLINK("http://www.kbmaeil.com/news/articleView.html?idxno=843646")</f>
        <v>http://www.kbmaeil.com/news/articleView.html?idxno=843646</v>
      </c>
      <c r="H1218">
        <v>0.26900000000000002</v>
      </c>
    </row>
    <row r="1219" spans="1:8" x14ac:dyDescent="0.3">
      <c r="A1219" t="s">
        <v>2034</v>
      </c>
      <c r="B1219" t="s">
        <v>26951</v>
      </c>
      <c r="C1219" t="s">
        <v>3168</v>
      </c>
      <c r="D1219" t="s">
        <v>3167</v>
      </c>
      <c r="E1219" s="2" t="s">
        <v>394</v>
      </c>
      <c r="F1219" t="s">
        <v>2129</v>
      </c>
      <c r="G1219" t="str">
        <f>HYPERLINK("http://www.straightnews.co.kr/news/articleView.html?idxno=88929")</f>
        <v>http://www.straightnews.co.kr/news/articleView.html?idxno=88929</v>
      </c>
      <c r="H1219">
        <v>0.122</v>
      </c>
    </row>
    <row r="1220" spans="1:8" x14ac:dyDescent="0.3">
      <c r="A1220" t="s">
        <v>2034</v>
      </c>
      <c r="B1220" t="s">
        <v>26951</v>
      </c>
      <c r="C1220" t="s">
        <v>3170</v>
      </c>
      <c r="D1220" t="s">
        <v>3169</v>
      </c>
      <c r="E1220" s="2" t="s">
        <v>394</v>
      </c>
      <c r="F1220" t="s">
        <v>2135</v>
      </c>
      <c r="G1220" t="str">
        <f>HYPERLINK("https://n.news.naver.com/mnews/article/006/0000127472?sid=102")</f>
        <v>https://n.news.naver.com/mnews/article/006/0000127472?sid=102</v>
      </c>
      <c r="H1220">
        <v>0.14399999999999999</v>
      </c>
    </row>
    <row r="1221" spans="1:8" x14ac:dyDescent="0.3">
      <c r="A1221" t="s">
        <v>2034</v>
      </c>
      <c r="B1221" t="s">
        <v>26951</v>
      </c>
      <c r="C1221" t="s">
        <v>3172</v>
      </c>
      <c r="D1221" t="s">
        <v>3171</v>
      </c>
      <c r="E1221" s="2" t="s">
        <v>418</v>
      </c>
      <c r="F1221" t="s">
        <v>197</v>
      </c>
      <c r="G1221" t="str">
        <f>HYPERLINK("https://n.news.naver.com/mnews/article/006/0000120581?sid=102")</f>
        <v>https://n.news.naver.com/mnews/article/006/0000120581?sid=102</v>
      </c>
      <c r="H1221">
        <v>0.35399999999999998</v>
      </c>
    </row>
    <row r="1222" spans="1:8" x14ac:dyDescent="0.3">
      <c r="A1222" t="s">
        <v>2034</v>
      </c>
      <c r="B1222" t="s">
        <v>26951</v>
      </c>
      <c r="C1222" t="s">
        <v>3175</v>
      </c>
      <c r="D1222" t="s">
        <v>3174</v>
      </c>
      <c r="E1222" s="2" t="s">
        <v>418</v>
      </c>
      <c r="F1222" t="s">
        <v>3173</v>
      </c>
      <c r="G1222" t="str">
        <f>HYPERLINK("http://www.newsfreezone.co.kr/news/articleView.html?idxno=250287")</f>
        <v>http://www.newsfreezone.co.kr/news/articleView.html?idxno=250287</v>
      </c>
      <c r="H1222">
        <v>0.33600000000000002</v>
      </c>
    </row>
    <row r="1223" spans="1:8" x14ac:dyDescent="0.3">
      <c r="A1223" t="s">
        <v>2034</v>
      </c>
      <c r="B1223" t="s">
        <v>26951</v>
      </c>
      <c r="C1223" t="s">
        <v>3177</v>
      </c>
      <c r="D1223" t="s">
        <v>3176</v>
      </c>
      <c r="E1223" s="2" t="s">
        <v>418</v>
      </c>
      <c r="F1223" t="s">
        <v>246</v>
      </c>
      <c r="G1223" t="str">
        <f>HYPERLINK("https://n.news.naver.com/mnews/article/018/0000020515?sid=101")</f>
        <v>https://n.news.naver.com/mnews/article/018/0000020515?sid=101</v>
      </c>
      <c r="H1223">
        <v>0.35699999999999998</v>
      </c>
    </row>
    <row r="1224" spans="1:8" x14ac:dyDescent="0.3">
      <c r="A1224" t="s">
        <v>2034</v>
      </c>
      <c r="B1224" t="s">
        <v>26951</v>
      </c>
      <c r="C1224" t="s">
        <v>3180</v>
      </c>
      <c r="D1224" t="s">
        <v>3179</v>
      </c>
      <c r="E1224" s="2" t="s">
        <v>418</v>
      </c>
      <c r="F1224" t="s">
        <v>3178</v>
      </c>
      <c r="G1224" t="str">
        <f>HYPERLINK("http://www.handmk.com/news/articleView.html?idxno=27473")</f>
        <v>http://www.handmk.com/news/articleView.html?idxno=27473</v>
      </c>
      <c r="H1224">
        <v>0.63</v>
      </c>
    </row>
    <row r="1225" spans="1:8" x14ac:dyDescent="0.3">
      <c r="A1225" t="s">
        <v>2034</v>
      </c>
      <c r="B1225" t="s">
        <v>26951</v>
      </c>
      <c r="C1225" t="s">
        <v>3183</v>
      </c>
      <c r="D1225" t="s">
        <v>3182</v>
      </c>
      <c r="E1225" s="2" t="s">
        <v>418</v>
      </c>
      <c r="F1225" t="s">
        <v>3181</v>
      </c>
      <c r="G1225" t="str">
        <f>HYPERLINK("https://n.news.naver.com/mnews/article/006/0000130386?sid=102")</f>
        <v>https://n.news.naver.com/mnews/article/006/0000130386?sid=102</v>
      </c>
      <c r="H1225">
        <v>0.221</v>
      </c>
    </row>
    <row r="1226" spans="1:8" x14ac:dyDescent="0.3">
      <c r="A1226" t="s">
        <v>2034</v>
      </c>
      <c r="B1226" t="s">
        <v>26951</v>
      </c>
      <c r="C1226" t="s">
        <v>3185</v>
      </c>
      <c r="D1226" t="s">
        <v>3184</v>
      </c>
      <c r="E1226" s="2" t="s">
        <v>418</v>
      </c>
      <c r="F1226" t="s">
        <v>2212</v>
      </c>
      <c r="G1226" t="str">
        <f>HYPERLINK("https://n.news.naver.com/mnews/article/079/0004011654?sid=100")</f>
        <v>https://n.news.naver.com/mnews/article/079/0004011654?sid=100</v>
      </c>
      <c r="H1226">
        <v>0.32900000000000001</v>
      </c>
    </row>
    <row r="1227" spans="1:8" x14ac:dyDescent="0.3">
      <c r="A1227" t="s">
        <v>2034</v>
      </c>
      <c r="B1227" t="s">
        <v>26951</v>
      </c>
      <c r="C1227" t="s">
        <v>3187</v>
      </c>
      <c r="D1227" t="s">
        <v>3186</v>
      </c>
      <c r="E1227" s="2" t="s">
        <v>418</v>
      </c>
      <c r="F1227" t="s">
        <v>3041</v>
      </c>
      <c r="G1227" t="str">
        <f>HYPERLINK("https://n.news.naver.com/mnews/article/032/0002506415?sid=102")</f>
        <v>https://n.news.naver.com/mnews/article/032/0002506415?sid=102</v>
      </c>
      <c r="H1227">
        <v>0.30199999999999999</v>
      </c>
    </row>
    <row r="1228" spans="1:8" x14ac:dyDescent="0.3">
      <c r="A1228" t="s">
        <v>2034</v>
      </c>
      <c r="B1228" t="s">
        <v>26951</v>
      </c>
      <c r="C1228" t="s">
        <v>3189</v>
      </c>
      <c r="D1228" t="s">
        <v>3188</v>
      </c>
      <c r="E1228" s="2" t="s">
        <v>418</v>
      </c>
      <c r="F1228" t="s">
        <v>2046</v>
      </c>
      <c r="G1228" t="str">
        <f>HYPERLINK("https://www.newsgn.com/news/articleView.html?idxno=488157")</f>
        <v>https://www.newsgn.com/news/articleView.html?idxno=488157</v>
      </c>
      <c r="H1228">
        <v>0.59399999999999997</v>
      </c>
    </row>
    <row r="1229" spans="1:8" x14ac:dyDescent="0.3">
      <c r="A1229" t="s">
        <v>2034</v>
      </c>
      <c r="B1229" t="s">
        <v>26951</v>
      </c>
      <c r="C1229" t="s">
        <v>3192</v>
      </c>
      <c r="D1229" t="s">
        <v>3191</v>
      </c>
      <c r="E1229" s="2" t="s">
        <v>418</v>
      </c>
      <c r="F1229" t="s">
        <v>3190</v>
      </c>
      <c r="G1229" t="str">
        <f>HYPERLINK("http://www.kado.net/news/articleView.html?idxno=1094136")</f>
        <v>http://www.kado.net/news/articleView.html?idxno=1094136</v>
      </c>
      <c r="H1229">
        <v>0.64100000000000001</v>
      </c>
    </row>
    <row r="1230" spans="1:8" x14ac:dyDescent="0.3">
      <c r="A1230" t="s">
        <v>2034</v>
      </c>
      <c r="B1230" t="s">
        <v>26951</v>
      </c>
      <c r="C1230" t="s">
        <v>3194</v>
      </c>
      <c r="D1230" t="s">
        <v>3193</v>
      </c>
      <c r="E1230" s="2" t="s">
        <v>418</v>
      </c>
      <c r="F1230" t="s">
        <v>2096</v>
      </c>
      <c r="G1230" t="str">
        <f>HYPERLINK("http://www.mediawatch.kr/news/article.html?no=232443")</f>
        <v>http://www.mediawatch.kr/news/article.html?no=232443</v>
      </c>
      <c r="H1230">
        <v>0.3</v>
      </c>
    </row>
    <row r="1231" spans="1:8" x14ac:dyDescent="0.3">
      <c r="A1231" t="s">
        <v>2034</v>
      </c>
      <c r="B1231" t="s">
        <v>26951</v>
      </c>
      <c r="C1231" t="s">
        <v>3197</v>
      </c>
      <c r="D1231" t="s">
        <v>3196</v>
      </c>
      <c r="E1231" s="2" t="s">
        <v>418</v>
      </c>
      <c r="F1231" t="s">
        <v>3195</v>
      </c>
      <c r="G1231" t="str">
        <f>HYPERLINK("http://jmagazine.joins.com/monthly/view/337567")</f>
        <v>http://jmagazine.joins.com/monthly/view/337567</v>
      </c>
      <c r="H1231">
        <v>0.47699999999999998</v>
      </c>
    </row>
    <row r="1232" spans="1:8" x14ac:dyDescent="0.3">
      <c r="A1232" t="s">
        <v>2034</v>
      </c>
      <c r="B1232" t="s">
        <v>26951</v>
      </c>
      <c r="C1232" t="s">
        <v>3200</v>
      </c>
      <c r="D1232" t="s">
        <v>3199</v>
      </c>
      <c r="E1232" s="2" t="s">
        <v>418</v>
      </c>
      <c r="F1232" t="s">
        <v>3198</v>
      </c>
      <c r="G1232" t="str">
        <f>HYPERLINK("https://n.news.naver.com/mnews/article/469/0000870771?sid=101")</f>
        <v>https://n.news.naver.com/mnews/article/469/0000870771?sid=101</v>
      </c>
      <c r="H1232">
        <v>0.307</v>
      </c>
    </row>
    <row r="1233" spans="1:8" x14ac:dyDescent="0.3">
      <c r="A1233" t="s">
        <v>2034</v>
      </c>
      <c r="B1233" t="s">
        <v>26951</v>
      </c>
      <c r="C1233" t="s">
        <v>3203</v>
      </c>
      <c r="D1233" t="s">
        <v>3202</v>
      </c>
      <c r="E1233" s="2" t="s">
        <v>418</v>
      </c>
      <c r="F1233" t="s">
        <v>3201</v>
      </c>
      <c r="G1233" t="str">
        <f>HYPERLINK("http://www.hyunbulnews.com/news/articleView.html?idxno=418044")</f>
        <v>http://www.hyunbulnews.com/news/articleView.html?idxno=418044</v>
      </c>
      <c r="H1233">
        <v>0.65800000000000003</v>
      </c>
    </row>
    <row r="1234" spans="1:8" x14ac:dyDescent="0.3">
      <c r="A1234" t="s">
        <v>2034</v>
      </c>
      <c r="B1234" t="s">
        <v>26951</v>
      </c>
      <c r="C1234" t="s">
        <v>3206</v>
      </c>
      <c r="D1234" t="s">
        <v>3205</v>
      </c>
      <c r="E1234" s="2" t="s">
        <v>418</v>
      </c>
      <c r="F1234" t="s">
        <v>3204</v>
      </c>
      <c r="G1234" t="str">
        <f>HYPERLINK("https://n.news.naver.com/mnews/article/028/0002749056?sid=154")</f>
        <v>https://n.news.naver.com/mnews/article/028/0002749056?sid=154</v>
      </c>
      <c r="H1234">
        <v>0.17399999999999999</v>
      </c>
    </row>
    <row r="1235" spans="1:8" x14ac:dyDescent="0.3">
      <c r="A1235" t="s">
        <v>2034</v>
      </c>
      <c r="B1235" t="s">
        <v>26951</v>
      </c>
      <c r="C1235" t="s">
        <v>3208</v>
      </c>
      <c r="D1235" t="s">
        <v>3207</v>
      </c>
      <c r="E1235" s="2" t="s">
        <v>418</v>
      </c>
      <c r="F1235" t="s">
        <v>134</v>
      </c>
      <c r="G1235" t="str">
        <f>HYPERLINK("https://n.news.naver.com/mnews/article/006/0000130487?sid=102")</f>
        <v>https://n.news.naver.com/mnews/article/006/0000130487?sid=102</v>
      </c>
      <c r="H1235">
        <v>0.33500000000000002</v>
      </c>
    </row>
    <row r="1236" spans="1:8" x14ac:dyDescent="0.3">
      <c r="A1236" t="s">
        <v>2034</v>
      </c>
      <c r="B1236" t="s">
        <v>26951</v>
      </c>
      <c r="C1236" t="s">
        <v>3211</v>
      </c>
      <c r="D1236" t="s">
        <v>3210</v>
      </c>
      <c r="E1236" s="2" t="s">
        <v>418</v>
      </c>
      <c r="F1236" t="s">
        <v>3209</v>
      </c>
      <c r="G1236" t="str">
        <f>HYPERLINK("http://www.mhj21.com/159636")</f>
        <v>http://www.mhj21.com/159636</v>
      </c>
      <c r="H1236">
        <v>0.41399999999999998</v>
      </c>
    </row>
    <row r="1237" spans="1:8" x14ac:dyDescent="0.3">
      <c r="A1237" t="s">
        <v>2034</v>
      </c>
      <c r="B1237" t="s">
        <v>26951</v>
      </c>
      <c r="C1237" t="s">
        <v>3213</v>
      </c>
      <c r="D1237" t="s">
        <v>3212</v>
      </c>
      <c r="E1237" s="2" t="s">
        <v>418</v>
      </c>
      <c r="F1237" t="s">
        <v>2046</v>
      </c>
      <c r="G1237" t="str">
        <f>HYPERLINK("https://daily.hankooki.com/news/articleView.html?idxno=1230665")</f>
        <v>https://daily.hankooki.com/news/articleView.html?idxno=1230665</v>
      </c>
      <c r="H1237">
        <v>0.78800000000000003</v>
      </c>
    </row>
    <row r="1238" spans="1:8" x14ac:dyDescent="0.3">
      <c r="A1238" t="s">
        <v>2034</v>
      </c>
      <c r="B1238" t="s">
        <v>26951</v>
      </c>
      <c r="C1238" t="s">
        <v>3215</v>
      </c>
      <c r="D1238" t="s">
        <v>3214</v>
      </c>
      <c r="E1238" s="2" t="s">
        <v>418</v>
      </c>
      <c r="F1238" t="s">
        <v>2057</v>
      </c>
      <c r="G1238" t="str">
        <f>HYPERLINK("http://www.knnews.co.kr/news/articleView.php?idxno=1370477")</f>
        <v>http://www.knnews.co.kr/news/articleView.php?idxno=1370477</v>
      </c>
      <c r="H1238">
        <v>8.5000000000000006E-2</v>
      </c>
    </row>
    <row r="1239" spans="1:8" x14ac:dyDescent="0.3">
      <c r="A1239" t="s">
        <v>2034</v>
      </c>
      <c r="B1239" t="s">
        <v>26951</v>
      </c>
      <c r="C1239" t="s">
        <v>3217</v>
      </c>
      <c r="D1239" t="s">
        <v>3216</v>
      </c>
      <c r="E1239" s="2" t="s">
        <v>418</v>
      </c>
      <c r="F1239" t="s">
        <v>2057</v>
      </c>
      <c r="G1239" t="str">
        <f>HYPERLINK("https://n.news.naver.com/mnews/article/018/0006053305?sid=101")</f>
        <v>https://n.news.naver.com/mnews/article/018/0006053305?sid=101</v>
      </c>
      <c r="H1239">
        <v>8.4000000000000005E-2</v>
      </c>
    </row>
    <row r="1240" spans="1:8" x14ac:dyDescent="0.3">
      <c r="A1240" t="s">
        <v>2034</v>
      </c>
      <c r="B1240" t="s">
        <v>26951</v>
      </c>
      <c r="C1240" t="s">
        <v>3221</v>
      </c>
      <c r="D1240" t="s">
        <v>3220</v>
      </c>
      <c r="E1240" s="2" t="s">
        <v>418</v>
      </c>
      <c r="F1240" t="s">
        <v>2124</v>
      </c>
      <c r="G1240" t="str">
        <f>HYPERLINK("https://www.kukinews.com/article/view/kuk202506180108")</f>
        <v>https://www.kukinews.com/article/view/kuk202506180108</v>
      </c>
      <c r="H1240">
        <v>0.50900000000000001</v>
      </c>
    </row>
    <row r="1241" spans="1:8" x14ac:dyDescent="0.3">
      <c r="A1241" t="s">
        <v>2034</v>
      </c>
      <c r="B1241" t="s">
        <v>26951</v>
      </c>
      <c r="C1241" t="s">
        <v>3223</v>
      </c>
      <c r="D1241" t="s">
        <v>3222</v>
      </c>
      <c r="E1241" s="2" t="s">
        <v>418</v>
      </c>
      <c r="F1241" t="s">
        <v>2124</v>
      </c>
      <c r="G1241" t="str">
        <f>HYPERLINK("https://n.news.naver.com/mnews/article/032/0003376569?sid=110")</f>
        <v>https://n.news.naver.com/mnews/article/032/0003376569?sid=110</v>
      </c>
      <c r="H1241">
        <v>0.253</v>
      </c>
    </row>
    <row r="1242" spans="1:8" x14ac:dyDescent="0.3">
      <c r="A1242" t="s">
        <v>2034</v>
      </c>
      <c r="B1242" t="s">
        <v>26951</v>
      </c>
      <c r="C1242" t="s">
        <v>3225</v>
      </c>
      <c r="D1242" t="s">
        <v>3224</v>
      </c>
      <c r="E1242" s="2" t="s">
        <v>418</v>
      </c>
      <c r="F1242" t="s">
        <v>1960</v>
      </c>
      <c r="G1242" t="str">
        <f>HYPERLINK("http://apnews.kr/View.aspx?No=1539627")</f>
        <v>http://apnews.kr/View.aspx?No=1539627</v>
      </c>
      <c r="H1242">
        <v>0.13900000000000001</v>
      </c>
    </row>
    <row r="1243" spans="1:8" x14ac:dyDescent="0.3">
      <c r="A1243" t="s">
        <v>2034</v>
      </c>
      <c r="B1243" t="s">
        <v>26951</v>
      </c>
      <c r="C1243" t="s">
        <v>3227</v>
      </c>
      <c r="D1243" t="s">
        <v>3226</v>
      </c>
      <c r="E1243" s="2" t="s">
        <v>418</v>
      </c>
      <c r="F1243" t="s">
        <v>96</v>
      </c>
      <c r="G1243" t="str">
        <f>HYPERLINK("https://www.apnews.kr/news/articleView.html?idxno=3036701")</f>
        <v>https://www.apnews.kr/news/articleView.html?idxno=3036701</v>
      </c>
      <c r="H1243">
        <v>0.41799999999999998</v>
      </c>
    </row>
    <row r="1244" spans="1:8" x14ac:dyDescent="0.3">
      <c r="A1244" t="s">
        <v>2034</v>
      </c>
      <c r="B1244" t="s">
        <v>26951</v>
      </c>
      <c r="C1244" t="s">
        <v>3229</v>
      </c>
      <c r="D1244" t="s">
        <v>3228</v>
      </c>
      <c r="E1244" s="2" t="s">
        <v>418</v>
      </c>
      <c r="F1244" t="s">
        <v>2129</v>
      </c>
      <c r="G1244" t="str">
        <f>HYPERLINK("http://www.straightnews.co.kr/news/articleView.html?idxno=88929")</f>
        <v>http://www.straightnews.co.kr/news/articleView.html?idxno=88929</v>
      </c>
      <c r="H1244">
        <v>0.14000000000000001</v>
      </c>
    </row>
    <row r="1245" spans="1:8" x14ac:dyDescent="0.3">
      <c r="A1245" t="s">
        <v>2034</v>
      </c>
      <c r="B1245" t="s">
        <v>26951</v>
      </c>
      <c r="C1245" t="s">
        <v>3232</v>
      </c>
      <c r="D1245" t="s">
        <v>3231</v>
      </c>
      <c r="E1245" s="2" t="s">
        <v>452</v>
      </c>
      <c r="F1245" t="s">
        <v>3230</v>
      </c>
      <c r="G1245" t="str">
        <f>HYPERLINK("http://worknworld.kctu.org/news/articleView.html?idxno=507252")</f>
        <v>http://worknworld.kctu.org/news/articleView.html?idxno=507252</v>
      </c>
      <c r="H1245">
        <v>0.88400000000000001</v>
      </c>
    </row>
    <row r="1246" spans="1:8" x14ac:dyDescent="0.3">
      <c r="A1246" t="s">
        <v>2034</v>
      </c>
      <c r="B1246" t="s">
        <v>26951</v>
      </c>
      <c r="C1246" t="s">
        <v>3234</v>
      </c>
      <c r="D1246" t="s">
        <v>3233</v>
      </c>
      <c r="E1246" s="2" t="s">
        <v>452</v>
      </c>
      <c r="F1246" t="s">
        <v>197</v>
      </c>
      <c r="G1246" t="str">
        <f>HYPERLINK("https://n.news.naver.com/mnews/article/032/0002966496?sid=102")</f>
        <v>https://n.news.naver.com/mnews/article/032/0002966496?sid=102</v>
      </c>
      <c r="H1246">
        <v>0.33200000000000002</v>
      </c>
    </row>
    <row r="1247" spans="1:8" x14ac:dyDescent="0.3">
      <c r="A1247" t="s">
        <v>2034</v>
      </c>
      <c r="B1247" t="s">
        <v>26951</v>
      </c>
      <c r="C1247" t="s">
        <v>3237</v>
      </c>
      <c r="D1247" t="s">
        <v>3236</v>
      </c>
      <c r="E1247" s="2" t="s">
        <v>452</v>
      </c>
      <c r="F1247" t="s">
        <v>3235</v>
      </c>
      <c r="G1247" t="str">
        <f>HYPERLINK("http://www.4th.kr/news/articleView.html?idxno=2088011")</f>
        <v>http://www.4th.kr/news/articleView.html?idxno=2088011</v>
      </c>
      <c r="H1247">
        <v>0.502</v>
      </c>
    </row>
    <row r="1248" spans="1:8" x14ac:dyDescent="0.3">
      <c r="A1248" t="s">
        <v>2034</v>
      </c>
      <c r="B1248" t="s">
        <v>26951</v>
      </c>
      <c r="C1248" t="s">
        <v>3239</v>
      </c>
      <c r="D1248" t="s">
        <v>3238</v>
      </c>
      <c r="E1248" s="2" t="s">
        <v>452</v>
      </c>
      <c r="F1248" t="s">
        <v>197</v>
      </c>
      <c r="G1248" t="str">
        <f>HYPERLINK("https://n.news.naver.com/mnews/article/308/0000035887?sid=100")</f>
        <v>https://n.news.naver.com/mnews/article/308/0000035887?sid=100</v>
      </c>
      <c r="H1248">
        <v>0.33</v>
      </c>
    </row>
    <row r="1249" spans="1:8" x14ac:dyDescent="0.3">
      <c r="A1249" t="s">
        <v>2034</v>
      </c>
      <c r="B1249" t="s">
        <v>26951</v>
      </c>
      <c r="C1249" t="s">
        <v>3241</v>
      </c>
      <c r="D1249" t="s">
        <v>3240</v>
      </c>
      <c r="E1249" s="2" t="s">
        <v>452</v>
      </c>
      <c r="F1249" t="s">
        <v>197</v>
      </c>
      <c r="G1249" t="str">
        <f>HYPERLINK("https://n.news.naver.com/mnews/article/006/0000130487?sid=102")</f>
        <v>https://n.news.naver.com/mnews/article/006/0000130487?sid=102</v>
      </c>
      <c r="H1249">
        <v>0.32800000000000001</v>
      </c>
    </row>
    <row r="1250" spans="1:8" x14ac:dyDescent="0.3">
      <c r="A1250" t="s">
        <v>2034</v>
      </c>
      <c r="B1250" t="s">
        <v>26951</v>
      </c>
      <c r="C1250" t="s">
        <v>3244</v>
      </c>
      <c r="D1250" t="s">
        <v>3243</v>
      </c>
      <c r="E1250" s="2" t="s">
        <v>452</v>
      </c>
      <c r="F1250" t="s">
        <v>3242</v>
      </c>
      <c r="G1250" t="str">
        <f>HYPERLINK("http://www.ekoreanews.co.kr/news/articleView.html?idxno=62479")</f>
        <v>http://www.ekoreanews.co.kr/news/articleView.html?idxno=62479</v>
      </c>
      <c r="H1250">
        <v>0.58199999999999996</v>
      </c>
    </row>
    <row r="1251" spans="1:8" x14ac:dyDescent="0.3">
      <c r="A1251" t="s">
        <v>2034</v>
      </c>
      <c r="B1251" t="s">
        <v>26951</v>
      </c>
      <c r="C1251" t="s">
        <v>3247</v>
      </c>
      <c r="D1251" t="s">
        <v>3246</v>
      </c>
      <c r="E1251" s="2" t="s">
        <v>452</v>
      </c>
      <c r="F1251" t="s">
        <v>3245</v>
      </c>
      <c r="G1251" t="str">
        <f>HYPERLINK("https://n.news.naver.com/mnews/article/662/0000066934?sid=102")</f>
        <v>https://n.news.naver.com/mnews/article/662/0000066934?sid=102</v>
      </c>
      <c r="H1251">
        <v>0.23200000000000001</v>
      </c>
    </row>
    <row r="1252" spans="1:8" x14ac:dyDescent="0.3">
      <c r="A1252" t="s">
        <v>2034</v>
      </c>
      <c r="B1252" t="s">
        <v>26951</v>
      </c>
      <c r="C1252" t="s">
        <v>3249</v>
      </c>
      <c r="D1252" t="s">
        <v>3248</v>
      </c>
      <c r="E1252" s="2" t="s">
        <v>452</v>
      </c>
      <c r="F1252" t="s">
        <v>1722</v>
      </c>
      <c r="G1252" t="str">
        <f>HYPERLINK("https://www.m-joongang.com/news/articleView.html?idxno=400935")</f>
        <v>https://www.m-joongang.com/news/articleView.html?idxno=400935</v>
      </c>
      <c r="H1252">
        <v>0.56100000000000005</v>
      </c>
    </row>
    <row r="1253" spans="1:8" x14ac:dyDescent="0.3">
      <c r="A1253" t="s">
        <v>2034</v>
      </c>
      <c r="B1253" t="s">
        <v>26951</v>
      </c>
      <c r="C1253" t="s">
        <v>3251</v>
      </c>
      <c r="D1253" t="s">
        <v>3250</v>
      </c>
      <c r="E1253" s="2" t="s">
        <v>452</v>
      </c>
      <c r="F1253" t="s">
        <v>1722</v>
      </c>
      <c r="G1253" t="str">
        <f>HYPERLINK("https://n.news.naver.com/mnews/article/032/0002770751?sid=102")</f>
        <v>https://n.news.naver.com/mnews/article/032/0002770751?sid=102</v>
      </c>
      <c r="H1253">
        <v>0.32700000000000001</v>
      </c>
    </row>
    <row r="1254" spans="1:8" x14ac:dyDescent="0.3">
      <c r="A1254" t="s">
        <v>2034</v>
      </c>
      <c r="B1254" t="s">
        <v>26951</v>
      </c>
      <c r="C1254" t="s">
        <v>3256</v>
      </c>
      <c r="D1254" t="s">
        <v>3255</v>
      </c>
      <c r="E1254" s="2" t="s">
        <v>452</v>
      </c>
      <c r="F1254" t="s">
        <v>3254</v>
      </c>
      <c r="G1254" t="str">
        <f>HYPERLINK("https://www.vogue.co.kr/2023/04/14/%ec%b1%97gpt%eb%9d%bc%eb%8a%94-%eb%b1%80%ed%8c%8c%ec%9d%b4%ec%96%b4%ec%99%80%ec%9d%98-%ec%9d%b8%ed%84%b0%eb%b7%b0/?utm_source=naver&amp;utm_medium=partnership")</f>
        <v>https://www.vogue.co.kr/2023/04/14/%ec%b1%97gpt%eb%9d%bc%eb%8a%94-%eb%b1%80%ed%8c%8c%ec%9d%b4%ec%96%b4%ec%99%80%ec%9d%98-%ec%9d%b8%ed%84%b0%eb%b7%b0/?utm_source=naver&amp;utm_medium=partnership</v>
      </c>
      <c r="H1254">
        <v>0.77700000000000002</v>
      </c>
    </row>
    <row r="1255" spans="1:8" x14ac:dyDescent="0.3">
      <c r="A1255" t="s">
        <v>2034</v>
      </c>
      <c r="B1255" t="s">
        <v>26951</v>
      </c>
      <c r="C1255" t="s">
        <v>3259</v>
      </c>
      <c r="D1255" t="s">
        <v>3258</v>
      </c>
      <c r="E1255" s="2" t="s">
        <v>452</v>
      </c>
      <c r="F1255" t="s">
        <v>3257</v>
      </c>
      <c r="G1255" t="str">
        <f>HYPERLINK("http://www.sisaon.co.kr/news/articleView.html?idxno=172061")</f>
        <v>http://www.sisaon.co.kr/news/articleView.html?idxno=172061</v>
      </c>
      <c r="H1255">
        <v>0.4</v>
      </c>
    </row>
    <row r="1256" spans="1:8" x14ac:dyDescent="0.3">
      <c r="A1256" t="s">
        <v>2034</v>
      </c>
      <c r="B1256" t="s">
        <v>26951</v>
      </c>
      <c r="C1256" t="s">
        <v>3261</v>
      </c>
      <c r="D1256" t="s">
        <v>3260</v>
      </c>
      <c r="E1256" s="2" t="s">
        <v>452</v>
      </c>
      <c r="F1256" t="s">
        <v>134</v>
      </c>
      <c r="G1256" t="str">
        <f>HYPERLINK("http://www.nongaek.com/news/articleView.html?idxno=91738")</f>
        <v>http://www.nongaek.com/news/articleView.html?idxno=91738</v>
      </c>
      <c r="H1256">
        <v>0.44400000000000001</v>
      </c>
    </row>
    <row r="1257" spans="1:8" x14ac:dyDescent="0.3">
      <c r="A1257" t="s">
        <v>2034</v>
      </c>
      <c r="B1257" t="s">
        <v>26951</v>
      </c>
      <c r="C1257" t="s">
        <v>3263</v>
      </c>
      <c r="D1257" t="s">
        <v>3262</v>
      </c>
      <c r="E1257" s="2" t="s">
        <v>452</v>
      </c>
      <c r="F1257" t="s">
        <v>588</v>
      </c>
      <c r="G1257" t="str">
        <f>HYPERLINK("https://n.news.naver.com/mnews/article/006/0000130557?sid=102")</f>
        <v>https://n.news.naver.com/mnews/article/006/0000130557?sid=102</v>
      </c>
      <c r="H1257">
        <v>0.35599999999999998</v>
      </c>
    </row>
    <row r="1258" spans="1:8" x14ac:dyDescent="0.3">
      <c r="A1258" t="s">
        <v>2034</v>
      </c>
      <c r="B1258" t="s">
        <v>26951</v>
      </c>
      <c r="C1258" t="s">
        <v>3267</v>
      </c>
      <c r="D1258" t="s">
        <v>3266</v>
      </c>
      <c r="E1258" s="2" t="s">
        <v>452</v>
      </c>
      <c r="F1258" t="s">
        <v>3265</v>
      </c>
      <c r="G1258" t="str">
        <f>HYPERLINK("https://www.danbinews.com/news/articleView.html?idxno=30962")</f>
        <v>https://www.danbinews.com/news/articleView.html?idxno=30962</v>
      </c>
      <c r="H1258">
        <v>0.56299999999999994</v>
      </c>
    </row>
    <row r="1259" spans="1:8" x14ac:dyDescent="0.3">
      <c r="A1259" t="s">
        <v>2034</v>
      </c>
      <c r="B1259" t="s">
        <v>26951</v>
      </c>
      <c r="C1259" t="s">
        <v>3269</v>
      </c>
      <c r="D1259" t="s">
        <v>3268</v>
      </c>
      <c r="E1259" s="2" t="s">
        <v>452</v>
      </c>
      <c r="F1259" t="s">
        <v>2057</v>
      </c>
      <c r="G1259" t="str">
        <f>HYPERLINK("https://www.newscj.com/news/articleView.html?idxno=3287695")</f>
        <v>https://www.newscj.com/news/articleView.html?idxno=3287695</v>
      </c>
      <c r="H1259">
        <v>0.19400000000000001</v>
      </c>
    </row>
    <row r="1260" spans="1:8" x14ac:dyDescent="0.3">
      <c r="A1260" t="s">
        <v>2034</v>
      </c>
      <c r="B1260" t="s">
        <v>26951</v>
      </c>
      <c r="C1260" t="s">
        <v>3271</v>
      </c>
      <c r="D1260" t="s">
        <v>3270</v>
      </c>
      <c r="E1260" s="2" t="s">
        <v>452</v>
      </c>
      <c r="F1260" t="s">
        <v>2057</v>
      </c>
      <c r="G1260" t="str">
        <f>HYPERLINK("https://n.news.naver.com/mnews/article/052/0002135848?sid=102")</f>
        <v>https://n.news.naver.com/mnews/article/052/0002135848?sid=102</v>
      </c>
      <c r="H1260">
        <v>6.8000000000000005E-2</v>
      </c>
    </row>
    <row r="1261" spans="1:8" x14ac:dyDescent="0.3">
      <c r="A1261" t="s">
        <v>2034</v>
      </c>
      <c r="B1261" t="s">
        <v>26951</v>
      </c>
      <c r="C1261" t="s">
        <v>3273</v>
      </c>
      <c r="D1261" t="s">
        <v>3272</v>
      </c>
      <c r="E1261" s="2" t="s">
        <v>452</v>
      </c>
      <c r="F1261" t="s">
        <v>2057</v>
      </c>
      <c r="G1261" t="str">
        <f>HYPERLINK("https://www.christiantoday.co.kr/news/368619")</f>
        <v>https://www.christiantoday.co.kr/news/368619</v>
      </c>
      <c r="H1261">
        <v>0.16400000000000001</v>
      </c>
    </row>
    <row r="1262" spans="1:8" x14ac:dyDescent="0.3">
      <c r="A1262" t="s">
        <v>2034</v>
      </c>
      <c r="B1262" t="s">
        <v>26951</v>
      </c>
      <c r="C1262" t="s">
        <v>3275</v>
      </c>
      <c r="D1262" t="s">
        <v>3274</v>
      </c>
      <c r="E1262" s="2" t="s">
        <v>452</v>
      </c>
      <c r="F1262" t="s">
        <v>2215</v>
      </c>
      <c r="G1262" t="str">
        <f>HYPERLINK("https://n.news.naver.com/mnews/article/032/0003376255?sid=102")</f>
        <v>https://n.news.naver.com/mnews/article/032/0003376255?sid=102</v>
      </c>
      <c r="H1262">
        <v>0.2</v>
      </c>
    </row>
    <row r="1263" spans="1:8" x14ac:dyDescent="0.3">
      <c r="A1263" t="s">
        <v>2034</v>
      </c>
      <c r="B1263" t="s">
        <v>26951</v>
      </c>
      <c r="C1263" t="s">
        <v>3278</v>
      </c>
      <c r="D1263" t="s">
        <v>3277</v>
      </c>
      <c r="E1263" s="2" t="s">
        <v>452</v>
      </c>
      <c r="F1263" t="s">
        <v>3276</v>
      </c>
      <c r="G1263" t="str">
        <f>HYPERLINK("https://www.etoday.co.kr/news/view/2478931")</f>
        <v>https://www.etoday.co.kr/news/view/2478931</v>
      </c>
      <c r="H1263">
        <v>0.152</v>
      </c>
    </row>
    <row r="1264" spans="1:8" x14ac:dyDescent="0.3">
      <c r="A1264" t="s">
        <v>2034</v>
      </c>
      <c r="B1264" t="s">
        <v>26951</v>
      </c>
      <c r="C1264" t="s">
        <v>3280</v>
      </c>
      <c r="D1264" t="s">
        <v>3279</v>
      </c>
      <c r="E1264" s="2" t="s">
        <v>452</v>
      </c>
      <c r="F1264" t="s">
        <v>1960</v>
      </c>
      <c r="G1264" t="str">
        <f>HYPERLINK("http://apnews.kr/View.aspx?No=1539627")</f>
        <v>http://apnews.kr/View.aspx?No=1539627</v>
      </c>
      <c r="H1264">
        <v>0.16</v>
      </c>
    </row>
    <row r="1265" spans="1:8" x14ac:dyDescent="0.3">
      <c r="A1265" t="s">
        <v>2034</v>
      </c>
      <c r="B1265" t="s">
        <v>26951</v>
      </c>
      <c r="C1265" t="s">
        <v>3283</v>
      </c>
      <c r="D1265" t="s">
        <v>3282</v>
      </c>
      <c r="E1265" s="2" t="s">
        <v>452</v>
      </c>
      <c r="F1265" t="s">
        <v>3281</v>
      </c>
      <c r="G1265" t="str">
        <f>HYPERLINK("https://n.news.naver.com/mnews/article/006/0000087130?sid=102")</f>
        <v>https://n.news.naver.com/mnews/article/006/0000087130?sid=102</v>
      </c>
      <c r="H1265">
        <v>0.26900000000000002</v>
      </c>
    </row>
    <row r="1266" spans="1:8" x14ac:dyDescent="0.3">
      <c r="A1266" t="s">
        <v>3284</v>
      </c>
      <c r="B1266" t="s">
        <v>26951</v>
      </c>
      <c r="C1266" t="s">
        <v>3287</v>
      </c>
      <c r="D1266" t="s">
        <v>3286</v>
      </c>
      <c r="E1266" s="2" t="s">
        <v>860</v>
      </c>
      <c r="F1266" t="s">
        <v>3285</v>
      </c>
      <c r="G1266" t="str">
        <f>HYPERLINK("https://www.ekn.kr/web/view.php?key=20250630023551828")</f>
        <v>https://www.ekn.kr/web/view.php?key=20250630023551828</v>
      </c>
      <c r="H1266">
        <v>0.34799999999999998</v>
      </c>
    </row>
    <row r="1267" spans="1:8" x14ac:dyDescent="0.3">
      <c r="A1267" t="s">
        <v>3284</v>
      </c>
      <c r="B1267" t="s">
        <v>26951</v>
      </c>
      <c r="C1267" t="s">
        <v>3290</v>
      </c>
      <c r="D1267" t="s">
        <v>3289</v>
      </c>
      <c r="E1267" s="2" t="s">
        <v>860</v>
      </c>
      <c r="F1267" t="s">
        <v>3288</v>
      </c>
      <c r="G1267" t="str">
        <f>HYPERLINK("https://www.dnews.co.kr/uhtml/view.jsp?idxno=202502282042480630493")</f>
        <v>https://www.dnews.co.kr/uhtml/view.jsp?idxno=202502282042480630493</v>
      </c>
      <c r="H1267">
        <v>0.44</v>
      </c>
    </row>
    <row r="1268" spans="1:8" x14ac:dyDescent="0.3">
      <c r="A1268" t="s">
        <v>3284</v>
      </c>
      <c r="B1268" t="s">
        <v>26951</v>
      </c>
      <c r="C1268" t="s">
        <v>3293</v>
      </c>
      <c r="D1268" t="s">
        <v>3292</v>
      </c>
      <c r="E1268" s="2" t="s">
        <v>860</v>
      </c>
      <c r="F1268" t="s">
        <v>3291</v>
      </c>
      <c r="G1268" t="str">
        <f>HYPERLINK("http://www.issuenbiz.com/news/articleView.html?idxno=61477")</f>
        <v>http://www.issuenbiz.com/news/articleView.html?idxno=61477</v>
      </c>
      <c r="H1268">
        <v>0.92200000000000004</v>
      </c>
    </row>
    <row r="1269" spans="1:8" x14ac:dyDescent="0.3">
      <c r="A1269" t="s">
        <v>3284</v>
      </c>
      <c r="B1269" t="s">
        <v>26951</v>
      </c>
      <c r="C1269" t="s">
        <v>3295</v>
      </c>
      <c r="D1269" t="s">
        <v>3294</v>
      </c>
      <c r="E1269" s="2" t="s">
        <v>860</v>
      </c>
      <c r="F1269" t="s">
        <v>335</v>
      </c>
      <c r="G1269" t="str">
        <f>HYPERLINK("https://www.financialpost.co.kr/news/articleView.html?idxno=228886")</f>
        <v>https://www.financialpost.co.kr/news/articleView.html?idxno=228886</v>
      </c>
      <c r="H1269">
        <v>0.49399999999999999</v>
      </c>
    </row>
    <row r="1270" spans="1:8" x14ac:dyDescent="0.3">
      <c r="A1270" t="s">
        <v>3284</v>
      </c>
      <c r="B1270" t="s">
        <v>26951</v>
      </c>
      <c r="C1270" t="s">
        <v>3297</v>
      </c>
      <c r="D1270" t="s">
        <v>3296</v>
      </c>
      <c r="E1270" s="2" t="s">
        <v>860</v>
      </c>
      <c r="F1270" t="s">
        <v>89</v>
      </c>
      <c r="G1270" t="str">
        <f>HYPERLINK("https://n.news.naver.com/mnews/article/011/0003208804?sid=105")</f>
        <v>https://n.news.naver.com/mnews/article/011/0003208804?sid=105</v>
      </c>
      <c r="H1270">
        <v>0.32400000000000001</v>
      </c>
    </row>
    <row r="1271" spans="1:8" x14ac:dyDescent="0.3">
      <c r="A1271" t="s">
        <v>3284</v>
      </c>
      <c r="B1271" t="s">
        <v>26951</v>
      </c>
      <c r="C1271" t="s">
        <v>3299</v>
      </c>
      <c r="D1271" t="s">
        <v>3298</v>
      </c>
      <c r="E1271" s="2" t="s">
        <v>860</v>
      </c>
      <c r="F1271" t="s">
        <v>3291</v>
      </c>
      <c r="G1271" t="str">
        <f>HYPERLINK("https://kr.aving.net/news/articleView.html?idxno=1800658")</f>
        <v>https://kr.aving.net/news/articleView.html?idxno=1800658</v>
      </c>
      <c r="H1271">
        <v>0.94599999999999995</v>
      </c>
    </row>
    <row r="1272" spans="1:8" x14ac:dyDescent="0.3">
      <c r="A1272" t="s">
        <v>3284</v>
      </c>
      <c r="B1272" t="s">
        <v>26951</v>
      </c>
      <c r="C1272" t="s">
        <v>3302</v>
      </c>
      <c r="D1272" t="s">
        <v>3301</v>
      </c>
      <c r="E1272" s="2" t="s">
        <v>860</v>
      </c>
      <c r="F1272" t="s">
        <v>3300</v>
      </c>
      <c r="G1272" t="str">
        <f>HYPERLINK("https://www.sommeliertimes.com/news/articleView.html?idxno=129223")</f>
        <v>https://www.sommeliertimes.com/news/articleView.html?idxno=129223</v>
      </c>
      <c r="H1272">
        <v>0.50900000000000001</v>
      </c>
    </row>
    <row r="1273" spans="1:8" x14ac:dyDescent="0.3">
      <c r="A1273" t="s">
        <v>3284</v>
      </c>
      <c r="B1273" t="s">
        <v>26951</v>
      </c>
      <c r="C1273" t="s">
        <v>3304</v>
      </c>
      <c r="D1273" t="s">
        <v>3303</v>
      </c>
      <c r="E1273" s="2" t="s">
        <v>860</v>
      </c>
      <c r="F1273" t="s">
        <v>37</v>
      </c>
      <c r="G1273" t="str">
        <f>HYPERLINK("https://n.news.naver.com/mnews/article/011/0004492446?sid=102")</f>
        <v>https://n.news.naver.com/mnews/article/011/0004492446?sid=102</v>
      </c>
      <c r="H1273">
        <v>0.14599999999999999</v>
      </c>
    </row>
    <row r="1274" spans="1:8" x14ac:dyDescent="0.3">
      <c r="A1274" t="s">
        <v>3284</v>
      </c>
      <c r="B1274" t="s">
        <v>26951</v>
      </c>
      <c r="C1274" t="s">
        <v>3306</v>
      </c>
      <c r="D1274" t="s">
        <v>3305</v>
      </c>
      <c r="E1274" s="2" t="s">
        <v>860</v>
      </c>
      <c r="F1274" t="s">
        <v>715</v>
      </c>
      <c r="G1274" t="str">
        <f>HYPERLINK("http://www.incheonnews.com/news/articleView.html?idxno=426410")</f>
        <v>http://www.incheonnews.com/news/articleView.html?idxno=426410</v>
      </c>
      <c r="H1274">
        <v>0.81899999999999995</v>
      </c>
    </row>
    <row r="1275" spans="1:8" x14ac:dyDescent="0.3">
      <c r="A1275" t="s">
        <v>3284</v>
      </c>
      <c r="B1275" t="s">
        <v>26951</v>
      </c>
      <c r="C1275" t="s">
        <v>3308</v>
      </c>
      <c r="D1275" t="s">
        <v>3307</v>
      </c>
      <c r="E1275" s="2" t="s">
        <v>860</v>
      </c>
      <c r="F1275" t="s">
        <v>205</v>
      </c>
      <c r="G1275" t="str">
        <f>HYPERLINK("https://n.news.naver.com/mnews/article/018/0006029779?sid=105")</f>
        <v>https://n.news.naver.com/mnews/article/018/0006029779?sid=105</v>
      </c>
      <c r="H1275">
        <v>0.153</v>
      </c>
    </row>
    <row r="1276" spans="1:8" x14ac:dyDescent="0.3">
      <c r="A1276" t="s">
        <v>3284</v>
      </c>
      <c r="B1276" t="s">
        <v>26951</v>
      </c>
      <c r="C1276" t="s">
        <v>3310</v>
      </c>
      <c r="D1276" t="s">
        <v>3309</v>
      </c>
      <c r="E1276" s="2" t="s">
        <v>860</v>
      </c>
      <c r="F1276" t="s">
        <v>460</v>
      </c>
      <c r="G1276" t="str">
        <f>HYPERLINK("https://ppss.kr/archives/232627")</f>
        <v>https://ppss.kr/archives/232627</v>
      </c>
      <c r="H1276">
        <v>0.65400000000000003</v>
      </c>
    </row>
    <row r="1277" spans="1:8" x14ac:dyDescent="0.3">
      <c r="A1277" t="s">
        <v>3284</v>
      </c>
      <c r="B1277" t="s">
        <v>26951</v>
      </c>
      <c r="C1277" t="s">
        <v>3313</v>
      </c>
      <c r="D1277" t="s">
        <v>3312</v>
      </c>
      <c r="E1277" s="2" t="s">
        <v>860</v>
      </c>
      <c r="F1277" t="s">
        <v>3311</v>
      </c>
      <c r="G1277" t="str">
        <f>HYPERLINK("https://n.news.naver.com/mnews/article/011/0004487185?sid=101")</f>
        <v>https://n.news.naver.com/mnews/article/011/0004487185?sid=101</v>
      </c>
      <c r="H1277">
        <v>0.224</v>
      </c>
    </row>
    <row r="1278" spans="1:8" x14ac:dyDescent="0.3">
      <c r="A1278" t="s">
        <v>3284</v>
      </c>
      <c r="B1278" t="s">
        <v>26951</v>
      </c>
      <c r="C1278" t="s">
        <v>3315</v>
      </c>
      <c r="D1278" t="s">
        <v>3314</v>
      </c>
      <c r="E1278" s="2" t="s">
        <v>860</v>
      </c>
      <c r="F1278" t="s">
        <v>460</v>
      </c>
      <c r="G1278" t="str">
        <f>HYPERLINK("https://n.news.naver.com/mnews/article/011/0003907669?sid=101")</f>
        <v>https://n.news.naver.com/mnews/article/011/0003907669?sid=101</v>
      </c>
      <c r="H1278">
        <v>0.26800000000000002</v>
      </c>
    </row>
    <row r="1279" spans="1:8" x14ac:dyDescent="0.3">
      <c r="A1279" t="s">
        <v>3284</v>
      </c>
      <c r="B1279" t="s">
        <v>26951</v>
      </c>
      <c r="C1279" t="s">
        <v>3317</v>
      </c>
      <c r="D1279" t="s">
        <v>3316</v>
      </c>
      <c r="E1279" s="2" t="s">
        <v>860</v>
      </c>
      <c r="F1279" t="s">
        <v>1939</v>
      </c>
      <c r="G1279" t="str">
        <f>HYPERLINK("http://www.kbiznews.co.kr/news/articleView.html?idxno=100469")</f>
        <v>http://www.kbiznews.co.kr/news/articleView.html?idxno=100469</v>
      </c>
      <c r="H1279">
        <v>0.17799999999999999</v>
      </c>
    </row>
    <row r="1280" spans="1:8" x14ac:dyDescent="0.3">
      <c r="A1280" t="s">
        <v>3284</v>
      </c>
      <c r="B1280" t="s">
        <v>26951</v>
      </c>
      <c r="C1280" t="s">
        <v>3319</v>
      </c>
      <c r="D1280" t="s">
        <v>3318</v>
      </c>
      <c r="E1280" s="2" t="s">
        <v>860</v>
      </c>
      <c r="F1280" t="s">
        <v>89</v>
      </c>
      <c r="G1280" t="str">
        <f>HYPERLINK("https://n.news.naver.com/mnews/article/056/0011653306?sid=101")</f>
        <v>https://n.news.naver.com/mnews/article/056/0011653306?sid=101</v>
      </c>
      <c r="H1280">
        <v>0.24099999999999999</v>
      </c>
    </row>
    <row r="1281" spans="1:8" x14ac:dyDescent="0.3">
      <c r="A1281" t="s">
        <v>3284</v>
      </c>
      <c r="B1281" t="s">
        <v>26951</v>
      </c>
      <c r="C1281" t="s">
        <v>3321</v>
      </c>
      <c r="D1281" t="s">
        <v>3320</v>
      </c>
      <c r="E1281" s="2" t="s">
        <v>860</v>
      </c>
      <c r="F1281" t="s">
        <v>1298</v>
      </c>
      <c r="G1281" t="str">
        <f>HYPERLINK("http://www.m-economynews.com/news/article.html?no=19197")</f>
        <v>http://www.m-economynews.com/news/article.html?no=19197</v>
      </c>
      <c r="H1281">
        <v>0.378</v>
      </c>
    </row>
    <row r="1282" spans="1:8" x14ac:dyDescent="0.3">
      <c r="A1282" t="s">
        <v>3284</v>
      </c>
      <c r="B1282" t="s">
        <v>26951</v>
      </c>
      <c r="C1282" t="s">
        <v>3324</v>
      </c>
      <c r="D1282" t="s">
        <v>3323</v>
      </c>
      <c r="E1282" s="2" t="s">
        <v>903</v>
      </c>
      <c r="F1282" t="s">
        <v>3322</v>
      </c>
      <c r="G1282" t="str">
        <f>HYPERLINK("https://news.einfomax.co.kr/news/articleView.html?idxno=4319783")</f>
        <v>https://news.einfomax.co.kr/news/articleView.html?idxno=4319783</v>
      </c>
      <c r="H1282">
        <v>0.57499999999999996</v>
      </c>
    </row>
    <row r="1283" spans="1:8" x14ac:dyDescent="0.3">
      <c r="A1283" t="s">
        <v>3284</v>
      </c>
      <c r="B1283" t="s">
        <v>26951</v>
      </c>
      <c r="C1283" t="s">
        <v>3326</v>
      </c>
      <c r="D1283" t="s">
        <v>3325</v>
      </c>
      <c r="E1283" s="2" t="s">
        <v>903</v>
      </c>
      <c r="F1283" t="s">
        <v>305</v>
      </c>
      <c r="G1283" t="str">
        <f>HYPERLINK("https://www.smarttoday.co.kr/news/articleView.html?idxno=80674")</f>
        <v>https://www.smarttoday.co.kr/news/articleView.html?idxno=80674</v>
      </c>
      <c r="H1283">
        <v>0.311</v>
      </c>
    </row>
    <row r="1284" spans="1:8" x14ac:dyDescent="0.3">
      <c r="A1284" t="s">
        <v>3284</v>
      </c>
      <c r="B1284" t="s">
        <v>26951</v>
      </c>
      <c r="C1284" t="s">
        <v>3328</v>
      </c>
      <c r="D1284" t="s">
        <v>3327</v>
      </c>
      <c r="E1284" s="2" t="s">
        <v>903</v>
      </c>
      <c r="F1284" t="s">
        <v>411</v>
      </c>
      <c r="G1284" t="str">
        <f>HYPERLINK("http://www.fortunekorea.co.kr/news/articleView.html?idxno=12984")</f>
        <v>http://www.fortunekorea.co.kr/news/articleView.html?idxno=12984</v>
      </c>
      <c r="H1284">
        <v>0.39400000000000002</v>
      </c>
    </row>
    <row r="1285" spans="1:8" x14ac:dyDescent="0.3">
      <c r="A1285" t="s">
        <v>3284</v>
      </c>
      <c r="B1285" t="s">
        <v>26951</v>
      </c>
      <c r="C1285" t="s">
        <v>3331</v>
      </c>
      <c r="D1285" t="s">
        <v>3330</v>
      </c>
      <c r="E1285" s="2" t="s">
        <v>903</v>
      </c>
      <c r="F1285" t="s">
        <v>3329</v>
      </c>
      <c r="G1285" t="str">
        <f>HYPERLINK("https://n.news.naver.com/mnews/article/011/0004491439?sid=103")</f>
        <v>https://n.news.naver.com/mnews/article/011/0004491439?sid=103</v>
      </c>
      <c r="H1285">
        <v>0.23799999999999999</v>
      </c>
    </row>
    <row r="1286" spans="1:8" x14ac:dyDescent="0.3">
      <c r="A1286" t="s">
        <v>3284</v>
      </c>
      <c r="B1286" t="s">
        <v>26951</v>
      </c>
      <c r="C1286" t="s">
        <v>3334</v>
      </c>
      <c r="D1286" t="s">
        <v>3333</v>
      </c>
      <c r="E1286" s="2" t="s">
        <v>799</v>
      </c>
      <c r="F1286" t="s">
        <v>3332</v>
      </c>
      <c r="G1286" t="str">
        <f>HYPERLINK("https://n.news.naver.com/mnews/article/011/0003659591?sid=102")</f>
        <v>https://n.news.naver.com/mnews/article/011/0003659591?sid=102</v>
      </c>
      <c r="H1286">
        <v>0.214</v>
      </c>
    </row>
    <row r="1287" spans="1:8" x14ac:dyDescent="0.3">
      <c r="A1287" t="s">
        <v>3284</v>
      </c>
      <c r="B1287" t="s">
        <v>26951</v>
      </c>
      <c r="C1287" t="s">
        <v>3336</v>
      </c>
      <c r="D1287" t="s">
        <v>3335</v>
      </c>
      <c r="E1287" s="2" t="s">
        <v>799</v>
      </c>
      <c r="F1287" t="s">
        <v>197</v>
      </c>
      <c r="G1287" t="str">
        <f>HYPERLINK("http://www.nongaek.com/news/articleView.html?idxno=91581")</f>
        <v>http://www.nongaek.com/news/articleView.html?idxno=91581</v>
      </c>
      <c r="H1287">
        <v>0.64400000000000002</v>
      </c>
    </row>
    <row r="1288" spans="1:8" x14ac:dyDescent="0.3">
      <c r="A1288" t="s">
        <v>3284</v>
      </c>
      <c r="B1288" t="s">
        <v>26951</v>
      </c>
      <c r="C1288" t="s">
        <v>3339</v>
      </c>
      <c r="D1288" t="s">
        <v>3338</v>
      </c>
      <c r="E1288" s="2" t="s">
        <v>799</v>
      </c>
      <c r="F1288" t="s">
        <v>3337</v>
      </c>
      <c r="G1288" t="str">
        <f>HYPERLINK("http://www.seoulwire.com/news/articleView.html?idxno=400479")</f>
        <v>http://www.seoulwire.com/news/articleView.html?idxno=400479</v>
      </c>
      <c r="H1288">
        <v>0.35599999999999998</v>
      </c>
    </row>
    <row r="1289" spans="1:8" x14ac:dyDescent="0.3">
      <c r="A1289" t="s">
        <v>3284</v>
      </c>
      <c r="B1289" t="s">
        <v>26951</v>
      </c>
      <c r="C1289" t="s">
        <v>3341</v>
      </c>
      <c r="D1289" t="s">
        <v>3340</v>
      </c>
      <c r="E1289" s="2" t="s">
        <v>799</v>
      </c>
      <c r="F1289" t="s">
        <v>2757</v>
      </c>
      <c r="G1289" t="str">
        <f>HYPERLINK("https://www.idaegu.co.kr/news/articleView.html?idxno=514705")</f>
        <v>https://www.idaegu.co.kr/news/articleView.html?idxno=514705</v>
      </c>
      <c r="H1289">
        <v>0.23699999999999999</v>
      </c>
    </row>
    <row r="1290" spans="1:8" x14ac:dyDescent="0.3">
      <c r="A1290" t="s">
        <v>3284</v>
      </c>
      <c r="B1290" t="s">
        <v>26951</v>
      </c>
      <c r="C1290" t="s">
        <v>3343</v>
      </c>
      <c r="D1290" t="s">
        <v>3342</v>
      </c>
      <c r="E1290" s="2" t="s">
        <v>799</v>
      </c>
      <c r="F1290" t="s">
        <v>1465</v>
      </c>
      <c r="G1290" t="str">
        <f>HYPERLINK("http://www.ggilbo.com/news/articleView.html?idxno=800418")</f>
        <v>http://www.ggilbo.com/news/articleView.html?idxno=800418</v>
      </c>
      <c r="H1290">
        <v>0.249</v>
      </c>
    </row>
    <row r="1291" spans="1:8" x14ac:dyDescent="0.3">
      <c r="A1291" t="s">
        <v>3284</v>
      </c>
      <c r="B1291" t="s">
        <v>26951</v>
      </c>
      <c r="C1291" t="s">
        <v>3346</v>
      </c>
      <c r="D1291" t="s">
        <v>3345</v>
      </c>
      <c r="E1291" s="2" t="s">
        <v>799</v>
      </c>
      <c r="F1291" t="s">
        <v>3344</v>
      </c>
      <c r="G1291" t="str">
        <f>HYPERLINK("http://www.redian.org/archive/164874")</f>
        <v>http://www.redian.org/archive/164874</v>
      </c>
      <c r="H1291">
        <v>0.56299999999999994</v>
      </c>
    </row>
    <row r="1292" spans="1:8" x14ac:dyDescent="0.3">
      <c r="A1292" t="s">
        <v>3284</v>
      </c>
      <c r="B1292" t="s">
        <v>26951</v>
      </c>
      <c r="C1292" t="s">
        <v>3348</v>
      </c>
      <c r="D1292" t="s">
        <v>3347</v>
      </c>
      <c r="E1292" s="2" t="s">
        <v>799</v>
      </c>
      <c r="F1292" t="s">
        <v>796</v>
      </c>
      <c r="G1292" t="str">
        <f>HYPERLINK("https://n.news.naver.com/mnews/article/006/0000093935?sid=102")</f>
        <v>https://n.news.naver.com/mnews/article/006/0000093935?sid=102</v>
      </c>
      <c r="H1292">
        <v>0.182</v>
      </c>
    </row>
    <row r="1293" spans="1:8" x14ac:dyDescent="0.3">
      <c r="A1293" t="s">
        <v>3284</v>
      </c>
      <c r="B1293" t="s">
        <v>26951</v>
      </c>
      <c r="C1293" t="s">
        <v>3351</v>
      </c>
      <c r="D1293" t="s">
        <v>3350</v>
      </c>
      <c r="E1293" s="2" t="s">
        <v>799</v>
      </c>
      <c r="F1293" t="s">
        <v>3349</v>
      </c>
      <c r="G1293" t="str">
        <f>HYPERLINK("http://www.nongaek.com/news/articleView.html?idxno=91675")</f>
        <v>http://www.nongaek.com/news/articleView.html?idxno=91675</v>
      </c>
      <c r="H1293">
        <v>0.33600000000000002</v>
      </c>
    </row>
    <row r="1294" spans="1:8" x14ac:dyDescent="0.3">
      <c r="A1294" t="s">
        <v>3284</v>
      </c>
      <c r="B1294" t="s">
        <v>26951</v>
      </c>
      <c r="C1294" t="s">
        <v>3354</v>
      </c>
      <c r="D1294" t="s">
        <v>3353</v>
      </c>
      <c r="E1294" s="2" t="s">
        <v>799</v>
      </c>
      <c r="F1294" t="s">
        <v>3352</v>
      </c>
      <c r="G1294" t="str">
        <f>HYPERLINK("https://www.laborplus.co.kr/news/articleView.html?idxno=34270")</f>
        <v>https://www.laborplus.co.kr/news/articleView.html?idxno=34270</v>
      </c>
      <c r="H1294">
        <v>0.36799999999999999</v>
      </c>
    </row>
    <row r="1295" spans="1:8" x14ac:dyDescent="0.3">
      <c r="A1295" t="s">
        <v>3284</v>
      </c>
      <c r="B1295" t="s">
        <v>26951</v>
      </c>
      <c r="C1295" t="s">
        <v>3357</v>
      </c>
      <c r="D1295" t="s">
        <v>3356</v>
      </c>
      <c r="E1295" s="2" t="s">
        <v>799</v>
      </c>
      <c r="F1295" t="s">
        <v>3355</v>
      </c>
      <c r="G1295" t="str">
        <f>HYPERLINK("https://n.news.naver.com/mnews/article/002/0002370602?sid=104")</f>
        <v>https://n.news.naver.com/mnews/article/002/0002370602?sid=104</v>
      </c>
      <c r="H1295">
        <v>0.4</v>
      </c>
    </row>
    <row r="1296" spans="1:8" x14ac:dyDescent="0.3">
      <c r="A1296" t="s">
        <v>3284</v>
      </c>
      <c r="B1296" t="s">
        <v>26951</v>
      </c>
      <c r="C1296" t="s">
        <v>3360</v>
      </c>
      <c r="D1296" t="s">
        <v>3359</v>
      </c>
      <c r="E1296" s="2" t="s">
        <v>799</v>
      </c>
      <c r="F1296" t="s">
        <v>3358</v>
      </c>
      <c r="G1296" t="str">
        <f>HYPERLINK("http://www.srtimes.kr/news/articleView.html?idxno=130840")</f>
        <v>http://www.srtimes.kr/news/articleView.html?idxno=130840</v>
      </c>
      <c r="H1296">
        <v>0.34100000000000003</v>
      </c>
    </row>
    <row r="1297" spans="1:8" x14ac:dyDescent="0.3">
      <c r="A1297" t="s">
        <v>3284</v>
      </c>
      <c r="B1297" t="s">
        <v>26951</v>
      </c>
      <c r="C1297" t="s">
        <v>3362</v>
      </c>
      <c r="D1297" t="s">
        <v>3361</v>
      </c>
      <c r="E1297" s="2" t="s">
        <v>799</v>
      </c>
      <c r="F1297" t="s">
        <v>73</v>
      </c>
      <c r="G1297" t="str">
        <f>HYPERLINK("https://weekly.hankooki.com/news/articleView.html?idxno=7114211")</f>
        <v>https://weekly.hankooki.com/news/articleView.html?idxno=7114211</v>
      </c>
      <c r="H1297">
        <v>0.64700000000000002</v>
      </c>
    </row>
    <row r="1298" spans="1:8" x14ac:dyDescent="0.3">
      <c r="A1298" t="s">
        <v>3284</v>
      </c>
      <c r="B1298" t="s">
        <v>26951</v>
      </c>
      <c r="C1298" t="s">
        <v>3365</v>
      </c>
      <c r="D1298" t="s">
        <v>3364</v>
      </c>
      <c r="E1298" s="2" t="s">
        <v>799</v>
      </c>
      <c r="F1298" t="s">
        <v>3363</v>
      </c>
      <c r="G1298" t="str">
        <f>HYPERLINK("https://weekly.cnbnews.com/news/article.html?no=180204")</f>
        <v>https://weekly.cnbnews.com/news/article.html?no=180204</v>
      </c>
      <c r="H1298">
        <v>0.51100000000000001</v>
      </c>
    </row>
    <row r="1299" spans="1:8" x14ac:dyDescent="0.3">
      <c r="A1299" t="s">
        <v>3284</v>
      </c>
      <c r="B1299" t="s">
        <v>26951</v>
      </c>
      <c r="C1299" t="s">
        <v>3368</v>
      </c>
      <c r="D1299" t="s">
        <v>3367</v>
      </c>
      <c r="E1299" s="2" t="s">
        <v>799</v>
      </c>
      <c r="F1299" t="s">
        <v>3366</v>
      </c>
      <c r="G1299" t="str">
        <f>HYPERLINK("http://www.greened.kr/news/articleView.html?idxno=302349")</f>
        <v>http://www.greened.kr/news/articleView.html?idxno=302349</v>
      </c>
      <c r="H1299">
        <v>0.315</v>
      </c>
    </row>
    <row r="1300" spans="1:8" x14ac:dyDescent="0.3">
      <c r="A1300" t="s">
        <v>3284</v>
      </c>
      <c r="B1300" t="s">
        <v>26951</v>
      </c>
      <c r="C1300" t="s">
        <v>3370</v>
      </c>
      <c r="D1300" t="s">
        <v>3369</v>
      </c>
      <c r="E1300" s="2" t="s">
        <v>799</v>
      </c>
      <c r="F1300" t="s">
        <v>3366</v>
      </c>
      <c r="G1300" t="str">
        <f>HYPERLINK("http://www.newsian.co.kr/news/articleView.html?idxno=73263")</f>
        <v>http://www.newsian.co.kr/news/articleView.html?idxno=73263</v>
      </c>
      <c r="H1300">
        <v>0.38700000000000001</v>
      </c>
    </row>
    <row r="1301" spans="1:8" x14ac:dyDescent="0.3">
      <c r="A1301" t="s">
        <v>3284</v>
      </c>
      <c r="B1301" t="s">
        <v>26951</v>
      </c>
      <c r="C1301" t="s">
        <v>3373</v>
      </c>
      <c r="D1301" t="s">
        <v>3372</v>
      </c>
      <c r="E1301" s="2" t="s">
        <v>799</v>
      </c>
      <c r="F1301" t="s">
        <v>3371</v>
      </c>
      <c r="G1301" t="str">
        <f>HYPERLINK("https://n.news.naver.com/mnews/article/022/0004047866?sid=102")</f>
        <v>https://n.news.naver.com/mnews/article/022/0004047866?sid=102</v>
      </c>
      <c r="H1301">
        <v>0.30599999999999999</v>
      </c>
    </row>
    <row r="1302" spans="1:8" x14ac:dyDescent="0.3">
      <c r="A1302" t="s">
        <v>3284</v>
      </c>
      <c r="B1302" t="s">
        <v>26951</v>
      </c>
      <c r="C1302" t="s">
        <v>3376</v>
      </c>
      <c r="D1302" t="s">
        <v>3375</v>
      </c>
      <c r="E1302" s="2" t="s">
        <v>799</v>
      </c>
      <c r="F1302" t="s">
        <v>3374</v>
      </c>
      <c r="G1302" t="str">
        <f>HYPERLINK("https://n.news.naver.com/mnews/article/011/0003403291?sid=103")</f>
        <v>https://n.news.naver.com/mnews/article/011/0003403291?sid=103</v>
      </c>
      <c r="H1302">
        <v>0.223</v>
      </c>
    </row>
    <row r="1303" spans="1:8" x14ac:dyDescent="0.3">
      <c r="A1303" t="s">
        <v>3284</v>
      </c>
      <c r="B1303" t="s">
        <v>26951</v>
      </c>
      <c r="C1303" t="s">
        <v>3379</v>
      </c>
      <c r="D1303" t="s">
        <v>3378</v>
      </c>
      <c r="E1303" s="2" t="s">
        <v>799</v>
      </c>
      <c r="F1303" t="s">
        <v>3377</v>
      </c>
      <c r="G1303" t="str">
        <f>HYPERLINK("http://www.jjan.kr/news/articleView.html?idxno=529655")</f>
        <v>http://www.jjan.kr/news/articleView.html?idxno=529655</v>
      </c>
      <c r="H1303">
        <v>0.68200000000000005</v>
      </c>
    </row>
    <row r="1304" spans="1:8" x14ac:dyDescent="0.3">
      <c r="A1304" t="s">
        <v>3284</v>
      </c>
      <c r="B1304" t="s">
        <v>26951</v>
      </c>
      <c r="C1304" t="s">
        <v>3381</v>
      </c>
      <c r="D1304" t="s">
        <v>3380</v>
      </c>
      <c r="E1304" s="2" t="s">
        <v>840</v>
      </c>
      <c r="F1304" t="s">
        <v>796</v>
      </c>
      <c r="G1304" t="str">
        <f>HYPERLINK("https://n.news.naver.com/mnews/article/011/0003807602?sid=101")</f>
        <v>https://n.news.naver.com/mnews/article/011/0003807602?sid=101</v>
      </c>
      <c r="H1304">
        <v>0.22800000000000001</v>
      </c>
    </row>
    <row r="1305" spans="1:8" x14ac:dyDescent="0.3">
      <c r="A1305" t="s">
        <v>3284</v>
      </c>
      <c r="B1305" t="s">
        <v>26951</v>
      </c>
      <c r="C1305" t="s">
        <v>3384</v>
      </c>
      <c r="D1305" t="s">
        <v>3383</v>
      </c>
      <c r="E1305" s="2" t="s">
        <v>840</v>
      </c>
      <c r="F1305" t="s">
        <v>3382</v>
      </c>
      <c r="G1305" t="str">
        <f>HYPERLINK("http://www.sentv.co.kr/news/view/688826")</f>
        <v>http://www.sentv.co.kr/news/view/688826</v>
      </c>
      <c r="H1305">
        <v>0.28000000000000003</v>
      </c>
    </row>
    <row r="1306" spans="1:8" x14ac:dyDescent="0.3">
      <c r="A1306" t="s">
        <v>3284</v>
      </c>
      <c r="B1306" t="s">
        <v>26951</v>
      </c>
      <c r="C1306" t="s">
        <v>3387</v>
      </c>
      <c r="D1306" t="s">
        <v>3386</v>
      </c>
      <c r="E1306" s="2" t="s">
        <v>840</v>
      </c>
      <c r="F1306" t="s">
        <v>3385</v>
      </c>
      <c r="G1306" t="str">
        <f>HYPERLINK("https://n.news.naver.com/mnews/article/011/0004502734?sid=101")</f>
        <v>https://n.news.naver.com/mnews/article/011/0004502734?sid=101</v>
      </c>
      <c r="H1306">
        <v>0.246</v>
      </c>
    </row>
    <row r="1307" spans="1:8" x14ac:dyDescent="0.3">
      <c r="A1307" t="s">
        <v>3284</v>
      </c>
      <c r="B1307" t="s">
        <v>26951</v>
      </c>
      <c r="C1307" t="s">
        <v>3389</v>
      </c>
      <c r="D1307" t="s">
        <v>3388</v>
      </c>
      <c r="E1307" s="2" t="s">
        <v>840</v>
      </c>
      <c r="F1307" t="s">
        <v>411</v>
      </c>
      <c r="G1307" t="str">
        <f>HYPERLINK("http://www.newspim.com/news/view/20220517000036")</f>
        <v>http://www.newspim.com/news/view/20220517000036</v>
      </c>
      <c r="H1307">
        <v>0.29399999999999998</v>
      </c>
    </row>
    <row r="1308" spans="1:8" x14ac:dyDescent="0.3">
      <c r="A1308" t="s">
        <v>3284</v>
      </c>
      <c r="B1308" t="s">
        <v>26951</v>
      </c>
      <c r="C1308" t="s">
        <v>3391</v>
      </c>
      <c r="D1308" t="s">
        <v>3390</v>
      </c>
      <c r="E1308" s="2" t="s">
        <v>840</v>
      </c>
      <c r="F1308" t="s">
        <v>1277</v>
      </c>
      <c r="G1308" t="str">
        <f>HYPERLINK("https://www.ceoscoredaily.com/page/view/2023120716043028354")</f>
        <v>https://www.ceoscoredaily.com/page/view/2023120716043028354</v>
      </c>
      <c r="H1308">
        <v>0.67300000000000004</v>
      </c>
    </row>
    <row r="1309" spans="1:8" x14ac:dyDescent="0.3">
      <c r="A1309" t="s">
        <v>3284</v>
      </c>
      <c r="B1309" t="s">
        <v>26951</v>
      </c>
      <c r="C1309" t="s">
        <v>3393</v>
      </c>
      <c r="D1309" t="s">
        <v>3392</v>
      </c>
      <c r="E1309" s="2" t="s">
        <v>840</v>
      </c>
      <c r="F1309" t="s">
        <v>3332</v>
      </c>
      <c r="G1309" t="str">
        <f>HYPERLINK("http://www.nongaek.com/news/articleView.html?idxno=89977")</f>
        <v>http://www.nongaek.com/news/articleView.html?idxno=89977</v>
      </c>
      <c r="H1309">
        <v>0.51700000000000002</v>
      </c>
    </row>
    <row r="1310" spans="1:8" x14ac:dyDescent="0.3">
      <c r="A1310" t="s">
        <v>3284</v>
      </c>
      <c r="B1310" t="s">
        <v>26951</v>
      </c>
      <c r="C1310" t="s">
        <v>3395</v>
      </c>
      <c r="D1310" t="s">
        <v>3394</v>
      </c>
      <c r="E1310" s="2" t="s">
        <v>840</v>
      </c>
      <c r="F1310" t="s">
        <v>1277</v>
      </c>
      <c r="G1310" t="str">
        <f>HYPERLINK("https://www.eroun.net/news/articleView.html?idxno=50823")</f>
        <v>https://www.eroun.net/news/articleView.html?idxno=50823</v>
      </c>
      <c r="H1310">
        <v>0.57299999999999995</v>
      </c>
    </row>
    <row r="1311" spans="1:8" x14ac:dyDescent="0.3">
      <c r="A1311" t="s">
        <v>3284</v>
      </c>
      <c r="B1311" t="s">
        <v>26951</v>
      </c>
      <c r="C1311" t="s">
        <v>3397</v>
      </c>
      <c r="D1311" t="s">
        <v>3396</v>
      </c>
      <c r="E1311" s="2" t="s">
        <v>840</v>
      </c>
      <c r="F1311" t="s">
        <v>89</v>
      </c>
      <c r="G1311" t="str">
        <f>HYPERLINK("http://www.nongaek.com/news/articleView.html?idxno=91127")</f>
        <v>http://www.nongaek.com/news/articleView.html?idxno=91127</v>
      </c>
      <c r="H1311">
        <v>0.40600000000000003</v>
      </c>
    </row>
    <row r="1312" spans="1:8" x14ac:dyDescent="0.3">
      <c r="A1312" t="s">
        <v>3284</v>
      </c>
      <c r="B1312" t="s">
        <v>26951</v>
      </c>
      <c r="C1312" t="s">
        <v>3399</v>
      </c>
      <c r="D1312" t="s">
        <v>3398</v>
      </c>
      <c r="E1312" s="2" t="s">
        <v>840</v>
      </c>
      <c r="F1312" t="s">
        <v>505</v>
      </c>
      <c r="G1312" t="str">
        <f>HYPERLINK("http://www.sisaon.co.kr/news/articleView.html?idxno=172250")</f>
        <v>http://www.sisaon.co.kr/news/articleView.html?idxno=172250</v>
      </c>
      <c r="H1312">
        <v>0.40300000000000002</v>
      </c>
    </row>
    <row r="1313" spans="1:8" x14ac:dyDescent="0.3">
      <c r="A1313" t="s">
        <v>3284</v>
      </c>
      <c r="B1313" t="s">
        <v>26951</v>
      </c>
      <c r="C1313" t="s">
        <v>3401</v>
      </c>
      <c r="D1313" t="s">
        <v>3400</v>
      </c>
      <c r="E1313" s="2" t="s">
        <v>840</v>
      </c>
      <c r="F1313" t="s">
        <v>2814</v>
      </c>
      <c r="G1313" t="str">
        <f>HYPERLINK("https://weekly.hankooki.com/news/articleView.html?idxno=7114284")</f>
        <v>https://weekly.hankooki.com/news/articleView.html?idxno=7114284</v>
      </c>
      <c r="H1313">
        <v>0.47299999999999998</v>
      </c>
    </row>
    <row r="1314" spans="1:8" x14ac:dyDescent="0.3">
      <c r="A1314" t="s">
        <v>3284</v>
      </c>
      <c r="B1314" t="s">
        <v>26951</v>
      </c>
      <c r="C1314" t="s">
        <v>3403</v>
      </c>
      <c r="D1314" t="s">
        <v>3402</v>
      </c>
      <c r="E1314" s="2" t="s">
        <v>840</v>
      </c>
      <c r="F1314" t="s">
        <v>1615</v>
      </c>
      <c r="G1314" t="str">
        <f>HYPERLINK("https://n.news.naver.com/mnews/article/011/0002136082?sid=110")</f>
        <v>https://n.news.naver.com/mnews/article/011/0002136082?sid=110</v>
      </c>
      <c r="H1314">
        <v>0.248</v>
      </c>
    </row>
    <row r="1315" spans="1:8" x14ac:dyDescent="0.3">
      <c r="A1315" t="s">
        <v>3284</v>
      </c>
      <c r="B1315" t="s">
        <v>26951</v>
      </c>
      <c r="C1315" t="s">
        <v>3406</v>
      </c>
      <c r="D1315" t="s">
        <v>3405</v>
      </c>
      <c r="E1315" s="2" t="s">
        <v>725</v>
      </c>
      <c r="F1315" t="s">
        <v>3404</v>
      </c>
      <c r="G1315" t="str">
        <f>HYPERLINK("https://n.news.naver.com/mnews/article/011/0004493818?sid=102")</f>
        <v>https://n.news.naver.com/mnews/article/011/0004493818?sid=102</v>
      </c>
      <c r="H1315">
        <v>0.14299999999999999</v>
      </c>
    </row>
    <row r="1316" spans="1:8" x14ac:dyDescent="0.3">
      <c r="A1316" t="s">
        <v>3284</v>
      </c>
      <c r="B1316" t="s">
        <v>26951</v>
      </c>
      <c r="C1316" t="s">
        <v>3409</v>
      </c>
      <c r="D1316" t="s">
        <v>3408</v>
      </c>
      <c r="E1316" s="2" t="s">
        <v>725</v>
      </c>
      <c r="F1316" t="s">
        <v>264</v>
      </c>
      <c r="G1316" t="str">
        <f>HYPERLINK("http://www.ttlnews.com/article/travel_report/17366")</f>
        <v>http://www.ttlnews.com/article/travel_report/17366</v>
      </c>
      <c r="H1316">
        <v>0.70099999999999996</v>
      </c>
    </row>
    <row r="1317" spans="1:8" x14ac:dyDescent="0.3">
      <c r="A1317" t="s">
        <v>3284</v>
      </c>
      <c r="B1317" t="s">
        <v>26951</v>
      </c>
      <c r="C1317" t="s">
        <v>3412</v>
      </c>
      <c r="D1317" t="s">
        <v>3411</v>
      </c>
      <c r="E1317" s="2" t="s">
        <v>725</v>
      </c>
      <c r="F1317" t="s">
        <v>3410</v>
      </c>
      <c r="G1317" t="str">
        <f>HYPERLINK("http://www.nongaek.com/news/articleView.html?idxno=91675")</f>
        <v>http://www.nongaek.com/news/articleView.html?idxno=91675</v>
      </c>
      <c r="H1317">
        <v>0.54200000000000004</v>
      </c>
    </row>
    <row r="1318" spans="1:8" x14ac:dyDescent="0.3">
      <c r="A1318" t="s">
        <v>3284</v>
      </c>
      <c r="B1318" t="s">
        <v>26951</v>
      </c>
      <c r="C1318" t="s">
        <v>3414</v>
      </c>
      <c r="D1318" t="s">
        <v>3413</v>
      </c>
      <c r="E1318" s="2" t="s">
        <v>725</v>
      </c>
      <c r="F1318" t="s">
        <v>3407</v>
      </c>
      <c r="G1318" t="str">
        <f>HYPERLINK("http://www.seoulwire.com/news/articleView.html?idxno=403267")</f>
        <v>http://www.seoulwire.com/news/articleView.html?idxno=403267</v>
      </c>
      <c r="H1318">
        <v>0.35099999999999998</v>
      </c>
    </row>
    <row r="1319" spans="1:8" x14ac:dyDescent="0.3">
      <c r="A1319" t="s">
        <v>3284</v>
      </c>
      <c r="B1319" t="s">
        <v>26951</v>
      </c>
      <c r="C1319" t="s">
        <v>3416</v>
      </c>
      <c r="D1319" t="s">
        <v>3415</v>
      </c>
      <c r="E1319" s="2" t="s">
        <v>725</v>
      </c>
      <c r="F1319" t="s">
        <v>505</v>
      </c>
      <c r="G1319" t="str">
        <f>HYPERLINK("http://www.sisaon.co.kr/news/articleView.html?idxno=172250")</f>
        <v>http://www.sisaon.co.kr/news/articleView.html?idxno=172250</v>
      </c>
      <c r="H1319">
        <v>0.439</v>
      </c>
    </row>
    <row r="1320" spans="1:8" x14ac:dyDescent="0.3">
      <c r="A1320" t="s">
        <v>3284</v>
      </c>
      <c r="B1320" t="s">
        <v>26951</v>
      </c>
      <c r="C1320" t="s">
        <v>3419</v>
      </c>
      <c r="D1320" t="s">
        <v>3418</v>
      </c>
      <c r="E1320" s="2" t="s">
        <v>725</v>
      </c>
      <c r="F1320" t="s">
        <v>3417</v>
      </c>
      <c r="G1320" t="str">
        <f>HYPERLINK("https://news.einfomax.co.kr/news/articleView.html?idxno=4359168")</f>
        <v>https://news.einfomax.co.kr/news/articleView.html?idxno=4359168</v>
      </c>
      <c r="H1320">
        <v>0.40400000000000003</v>
      </c>
    </row>
    <row r="1321" spans="1:8" x14ac:dyDescent="0.3">
      <c r="A1321" t="s">
        <v>3284</v>
      </c>
      <c r="B1321" t="s">
        <v>26951</v>
      </c>
      <c r="C1321" t="s">
        <v>3422</v>
      </c>
      <c r="D1321" t="s">
        <v>3421</v>
      </c>
      <c r="E1321" s="2" t="s">
        <v>725</v>
      </c>
      <c r="F1321" t="s">
        <v>3420</v>
      </c>
      <c r="G1321" t="str">
        <f>HYPERLINK("http://www.nongaek.com/news/articleView.html?idxno=91675")</f>
        <v>http://www.nongaek.com/news/articleView.html?idxno=91675</v>
      </c>
      <c r="H1321">
        <v>0.59099999999999997</v>
      </c>
    </row>
    <row r="1322" spans="1:8" x14ac:dyDescent="0.3">
      <c r="A1322" t="s">
        <v>3284</v>
      </c>
      <c r="B1322" t="s">
        <v>26951</v>
      </c>
      <c r="C1322" t="s">
        <v>3424</v>
      </c>
      <c r="D1322" t="s">
        <v>3423</v>
      </c>
      <c r="E1322" s="2" t="s">
        <v>725</v>
      </c>
      <c r="F1322" t="s">
        <v>411</v>
      </c>
      <c r="G1322" t="str">
        <f>HYPERLINK("https://www.apnews.kr/news/articleView.html?idxno=3032672")</f>
        <v>https://www.apnews.kr/news/articleView.html?idxno=3032672</v>
      </c>
      <c r="H1322">
        <v>0.37</v>
      </c>
    </row>
    <row r="1323" spans="1:8" x14ac:dyDescent="0.3">
      <c r="A1323" t="s">
        <v>3284</v>
      </c>
      <c r="B1323" t="s">
        <v>26951</v>
      </c>
      <c r="C1323" t="s">
        <v>3426</v>
      </c>
      <c r="D1323" t="s">
        <v>3425</v>
      </c>
      <c r="E1323" s="2" t="s">
        <v>742</v>
      </c>
      <c r="F1323" t="s">
        <v>3285</v>
      </c>
      <c r="G1323" t="str">
        <f>HYPERLINK("https://www.ekn.kr/web/view.php?key=20250630023551828")</f>
        <v>https://www.ekn.kr/web/view.php?key=20250630023551828</v>
      </c>
      <c r="H1323">
        <v>0.16800000000000001</v>
      </c>
    </row>
    <row r="1324" spans="1:8" x14ac:dyDescent="0.3">
      <c r="A1324" t="s">
        <v>3284</v>
      </c>
      <c r="B1324" t="s">
        <v>26951</v>
      </c>
      <c r="C1324" t="s">
        <v>3429</v>
      </c>
      <c r="D1324" t="s">
        <v>3428</v>
      </c>
      <c r="E1324" s="2" t="s">
        <v>742</v>
      </c>
      <c r="F1324" t="s">
        <v>3427</v>
      </c>
      <c r="G1324" t="str">
        <f>HYPERLINK("https://www.kfenews.co.kr/news/articleView.html?idxno=640254")</f>
        <v>https://www.kfenews.co.kr/news/articleView.html?idxno=640254</v>
      </c>
      <c r="H1324">
        <v>0.41399999999999998</v>
      </c>
    </row>
    <row r="1325" spans="1:8" x14ac:dyDescent="0.3">
      <c r="A1325" t="s">
        <v>3284</v>
      </c>
      <c r="B1325" t="s">
        <v>26951</v>
      </c>
      <c r="C1325" t="s">
        <v>3432</v>
      </c>
      <c r="D1325" t="s">
        <v>3431</v>
      </c>
      <c r="E1325" s="2" t="s">
        <v>742</v>
      </c>
      <c r="F1325" t="s">
        <v>3430</v>
      </c>
      <c r="G1325" t="str">
        <f>HYPERLINK("http://www.bizwnews.com/news/articleView.html?idxno=101239")</f>
        <v>http://www.bizwnews.com/news/articleView.html?idxno=101239</v>
      </c>
      <c r="H1325">
        <v>0.40799999999999997</v>
      </c>
    </row>
    <row r="1326" spans="1:8" x14ac:dyDescent="0.3">
      <c r="A1326" t="s">
        <v>3284</v>
      </c>
      <c r="B1326" t="s">
        <v>26951</v>
      </c>
      <c r="C1326" t="s">
        <v>3434</v>
      </c>
      <c r="D1326" t="s">
        <v>3433</v>
      </c>
      <c r="E1326" s="2" t="s">
        <v>742</v>
      </c>
      <c r="F1326" t="s">
        <v>197</v>
      </c>
      <c r="G1326" t="str">
        <f>HYPERLINK("https://news.einfomax.co.kr/news/articleView.html?idxno=4346599")</f>
        <v>https://news.einfomax.co.kr/news/articleView.html?idxno=4346599</v>
      </c>
      <c r="H1326">
        <v>0.39500000000000002</v>
      </c>
    </row>
    <row r="1327" spans="1:8" x14ac:dyDescent="0.3">
      <c r="A1327" t="s">
        <v>3284</v>
      </c>
      <c r="B1327" t="s">
        <v>26951</v>
      </c>
      <c r="C1327" t="s">
        <v>3437</v>
      </c>
      <c r="D1327" t="s">
        <v>3436</v>
      </c>
      <c r="E1327" s="2" t="s">
        <v>742</v>
      </c>
      <c r="F1327" t="s">
        <v>3435</v>
      </c>
      <c r="G1327" t="str">
        <f>HYPERLINK("http://www.aitimes.com/news/articleView.html?idxno=142225")</f>
        <v>http://www.aitimes.com/news/articleView.html?idxno=142225</v>
      </c>
      <c r="H1327">
        <v>0.30299999999999999</v>
      </c>
    </row>
    <row r="1328" spans="1:8" x14ac:dyDescent="0.3">
      <c r="A1328" t="s">
        <v>3284</v>
      </c>
      <c r="B1328" t="s">
        <v>26951</v>
      </c>
      <c r="C1328" t="s">
        <v>3440</v>
      </c>
      <c r="D1328" t="s">
        <v>3439</v>
      </c>
      <c r="E1328" s="2" t="s">
        <v>742</v>
      </c>
      <c r="F1328" t="s">
        <v>3438</v>
      </c>
      <c r="G1328" t="str">
        <f>HYPERLINK("https://kookbang.dema.mil.kr/newsWeb/20240411/1/ATCE_CTGR_0020010005/view.do")</f>
        <v>https://kookbang.dema.mil.kr/newsWeb/20240411/1/ATCE_CTGR_0020010005/view.do</v>
      </c>
      <c r="H1328">
        <v>0.63200000000000001</v>
      </c>
    </row>
    <row r="1329" spans="1:8" x14ac:dyDescent="0.3">
      <c r="A1329" t="s">
        <v>3284</v>
      </c>
      <c r="B1329" t="s">
        <v>26951</v>
      </c>
      <c r="C1329" t="s">
        <v>3443</v>
      </c>
      <c r="D1329" t="s">
        <v>3442</v>
      </c>
      <c r="E1329" s="2" t="s">
        <v>742</v>
      </c>
      <c r="F1329" t="s">
        <v>3441</v>
      </c>
      <c r="G1329" t="str">
        <f>HYPERLINK("http://www.newspim.com/news/view/20210625000708")</f>
        <v>http://www.newspim.com/news/view/20210625000708</v>
      </c>
      <c r="H1329">
        <v>0.47499999999999998</v>
      </c>
    </row>
    <row r="1330" spans="1:8" x14ac:dyDescent="0.3">
      <c r="A1330" t="s">
        <v>3284</v>
      </c>
      <c r="B1330" t="s">
        <v>26951</v>
      </c>
      <c r="C1330" t="s">
        <v>3446</v>
      </c>
      <c r="D1330" t="s">
        <v>3445</v>
      </c>
      <c r="E1330" s="2" t="s">
        <v>742</v>
      </c>
      <c r="F1330" t="s">
        <v>3444</v>
      </c>
      <c r="G1330" t="str">
        <f>HYPERLINK("https://n.news.naver.com/mnews/article/022/0004040157?sid=102")</f>
        <v>https://n.news.naver.com/mnews/article/022/0004040157?sid=102</v>
      </c>
      <c r="H1330">
        <v>0.30299999999999999</v>
      </c>
    </row>
    <row r="1331" spans="1:8" x14ac:dyDescent="0.3">
      <c r="A1331" t="s">
        <v>3284</v>
      </c>
      <c r="B1331" t="s">
        <v>26951</v>
      </c>
      <c r="C1331" t="s">
        <v>3449</v>
      </c>
      <c r="D1331" t="s">
        <v>3448</v>
      </c>
      <c r="E1331" s="2" t="s">
        <v>742</v>
      </c>
      <c r="F1331" t="s">
        <v>3447</v>
      </c>
      <c r="G1331" t="str">
        <f>HYPERLINK("https://n.news.naver.com/mnews/article/028/0002684105?sid=102")</f>
        <v>https://n.news.naver.com/mnews/article/028/0002684105?sid=102</v>
      </c>
      <c r="H1331">
        <v>0.187</v>
      </c>
    </row>
    <row r="1332" spans="1:8" x14ac:dyDescent="0.3">
      <c r="A1332" t="s">
        <v>3284</v>
      </c>
      <c r="B1332" t="s">
        <v>26951</v>
      </c>
      <c r="C1332" t="s">
        <v>3452</v>
      </c>
      <c r="D1332" t="s">
        <v>3451</v>
      </c>
      <c r="E1332" s="2" t="s">
        <v>742</v>
      </c>
      <c r="F1332" t="s">
        <v>3450</v>
      </c>
      <c r="G1332" t="str">
        <f>HYPERLINK("https://n.news.naver.com/mnews/article/032/0003379542?sid=102")</f>
        <v>https://n.news.naver.com/mnews/article/032/0003379542?sid=102</v>
      </c>
      <c r="H1332">
        <v>0.20799999999999999</v>
      </c>
    </row>
    <row r="1333" spans="1:8" x14ac:dyDescent="0.3">
      <c r="A1333" t="s">
        <v>3284</v>
      </c>
      <c r="B1333" t="s">
        <v>26951</v>
      </c>
      <c r="C1333" t="s">
        <v>3454</v>
      </c>
      <c r="D1333" t="s">
        <v>3453</v>
      </c>
      <c r="E1333" s="2" t="s">
        <v>742</v>
      </c>
      <c r="F1333" t="s">
        <v>505</v>
      </c>
      <c r="G1333" t="str">
        <f>HYPERLINK("http://www.sisaon.co.kr/news/articleView.html?idxno=172250")</f>
        <v>http://www.sisaon.co.kr/news/articleView.html?idxno=172250</v>
      </c>
      <c r="H1333">
        <v>0.39600000000000002</v>
      </c>
    </row>
    <row r="1334" spans="1:8" x14ac:dyDescent="0.3">
      <c r="A1334" t="s">
        <v>3284</v>
      </c>
      <c r="B1334" t="s">
        <v>26951</v>
      </c>
      <c r="C1334" t="s">
        <v>3456</v>
      </c>
      <c r="D1334" t="s">
        <v>3455</v>
      </c>
      <c r="E1334" s="2" t="s">
        <v>742</v>
      </c>
      <c r="F1334" t="s">
        <v>677</v>
      </c>
      <c r="G1334" t="str">
        <f>HYPERLINK("https://n.news.naver.com/mnews/article/002/0000021295?sid=104")</f>
        <v>https://n.news.naver.com/mnews/article/002/0000021295?sid=104</v>
      </c>
      <c r="H1334">
        <v>0.29199999999999998</v>
      </c>
    </row>
    <row r="1335" spans="1:8" x14ac:dyDescent="0.3">
      <c r="A1335" t="s">
        <v>3284</v>
      </c>
      <c r="B1335" t="s">
        <v>26951</v>
      </c>
      <c r="C1335" t="s">
        <v>3458</v>
      </c>
      <c r="D1335" t="s">
        <v>3457</v>
      </c>
      <c r="E1335" s="2" t="s">
        <v>653</v>
      </c>
      <c r="F1335" t="s">
        <v>89</v>
      </c>
      <c r="G1335" t="str">
        <f>HYPERLINK("https://n.news.naver.com/mnews/article/011/0003889867?sid=101")</f>
        <v>https://n.news.naver.com/mnews/article/011/0003889867?sid=101</v>
      </c>
      <c r="H1335">
        <v>0.36199999999999999</v>
      </c>
    </row>
    <row r="1336" spans="1:8" x14ac:dyDescent="0.3">
      <c r="A1336" t="s">
        <v>3284</v>
      </c>
      <c r="B1336" t="s">
        <v>26951</v>
      </c>
      <c r="C1336" t="s">
        <v>3460</v>
      </c>
      <c r="D1336" t="s">
        <v>3459</v>
      </c>
      <c r="E1336" s="2" t="s">
        <v>653</v>
      </c>
      <c r="F1336" t="s">
        <v>1317</v>
      </c>
      <c r="G1336" t="str">
        <f>HYPERLINK("http://www.sisaon.co.kr/news/articleView.html?idxno=170224")</f>
        <v>http://www.sisaon.co.kr/news/articleView.html?idxno=170224</v>
      </c>
      <c r="H1336">
        <v>0.438</v>
      </c>
    </row>
    <row r="1337" spans="1:8" x14ac:dyDescent="0.3">
      <c r="A1337" t="s">
        <v>3284</v>
      </c>
      <c r="B1337" t="s">
        <v>26951</v>
      </c>
      <c r="C1337" t="s">
        <v>3463</v>
      </c>
      <c r="D1337" t="s">
        <v>3462</v>
      </c>
      <c r="E1337" s="2" t="s">
        <v>653</v>
      </c>
      <c r="F1337" t="s">
        <v>3461</v>
      </c>
      <c r="G1337" t="str">
        <f>HYPERLINK("http://www.ujeil.com/news/articleView.html?idxno=362129")</f>
        <v>http://www.ujeil.com/news/articleView.html?idxno=362129</v>
      </c>
      <c r="H1337">
        <v>0.52600000000000002</v>
      </c>
    </row>
    <row r="1338" spans="1:8" x14ac:dyDescent="0.3">
      <c r="A1338" t="s">
        <v>3284</v>
      </c>
      <c r="B1338" t="s">
        <v>26951</v>
      </c>
      <c r="C1338" t="s">
        <v>3466</v>
      </c>
      <c r="D1338" t="s">
        <v>3465</v>
      </c>
      <c r="E1338" s="2" t="s">
        <v>653</v>
      </c>
      <c r="F1338" t="s">
        <v>3464</v>
      </c>
      <c r="G1338" t="str">
        <f>HYPERLINK("https://kr.aving.net/news/articleView.html?idxno=1800902")</f>
        <v>https://kr.aving.net/news/articleView.html?idxno=1800902</v>
      </c>
      <c r="H1338">
        <v>0.96099999999999997</v>
      </c>
    </row>
    <row r="1339" spans="1:8" x14ac:dyDescent="0.3">
      <c r="A1339" t="s">
        <v>3284</v>
      </c>
      <c r="B1339" t="s">
        <v>26951</v>
      </c>
      <c r="C1339" t="s">
        <v>3469</v>
      </c>
      <c r="D1339" t="s">
        <v>3468</v>
      </c>
      <c r="E1339" s="2" t="s">
        <v>653</v>
      </c>
      <c r="F1339" t="s">
        <v>3467</v>
      </c>
      <c r="G1339" t="str">
        <f>HYPERLINK("https://www.christiantoday.co.kr/news/367023")</f>
        <v>https://www.christiantoday.co.kr/news/367023</v>
      </c>
      <c r="H1339">
        <v>0.53900000000000003</v>
      </c>
    </row>
    <row r="1340" spans="1:8" x14ac:dyDescent="0.3">
      <c r="A1340" t="s">
        <v>3284</v>
      </c>
      <c r="B1340" t="s">
        <v>26951</v>
      </c>
      <c r="C1340" t="s">
        <v>3472</v>
      </c>
      <c r="D1340" t="s">
        <v>3471</v>
      </c>
      <c r="E1340" s="2" t="s">
        <v>653</v>
      </c>
      <c r="F1340" t="s">
        <v>3470</v>
      </c>
      <c r="G1340" t="str">
        <f>HYPERLINK("http://www.sentv.co.kr/news/view/623602")</f>
        <v>http://www.sentv.co.kr/news/view/623602</v>
      </c>
      <c r="H1340">
        <v>0.36899999999999999</v>
      </c>
    </row>
    <row r="1341" spans="1:8" x14ac:dyDescent="0.3">
      <c r="A1341" t="s">
        <v>3284</v>
      </c>
      <c r="B1341" t="s">
        <v>26951</v>
      </c>
      <c r="C1341" t="s">
        <v>3474</v>
      </c>
      <c r="D1341" t="s">
        <v>3473</v>
      </c>
      <c r="E1341" s="2" t="s">
        <v>653</v>
      </c>
      <c r="F1341" t="s">
        <v>3470</v>
      </c>
      <c r="G1341" t="str">
        <f>HYPERLINK("https://www.etoday.co.kr/news/view/2476996")</f>
        <v>https://www.etoday.co.kr/news/view/2476996</v>
      </c>
      <c r="H1341">
        <v>0.753</v>
      </c>
    </row>
    <row r="1342" spans="1:8" x14ac:dyDescent="0.3">
      <c r="A1342" t="s">
        <v>3284</v>
      </c>
      <c r="B1342" t="s">
        <v>26951</v>
      </c>
      <c r="C1342" t="s">
        <v>3476</v>
      </c>
      <c r="D1342" t="s">
        <v>3475</v>
      </c>
      <c r="E1342" s="2" t="s">
        <v>653</v>
      </c>
      <c r="F1342" t="s">
        <v>3470</v>
      </c>
      <c r="G1342" t="str">
        <f>HYPERLINK("http://www.metroseoul.co.kr/article/20250629500372")</f>
        <v>http://www.metroseoul.co.kr/article/20250629500372</v>
      </c>
      <c r="H1342">
        <v>0.56399999999999995</v>
      </c>
    </row>
    <row r="1343" spans="1:8" x14ac:dyDescent="0.3">
      <c r="A1343" t="s">
        <v>3284</v>
      </c>
      <c r="B1343" t="s">
        <v>26951</v>
      </c>
      <c r="C1343" t="s">
        <v>3478</v>
      </c>
      <c r="D1343" t="s">
        <v>3477</v>
      </c>
      <c r="E1343" s="2" t="s">
        <v>653</v>
      </c>
      <c r="F1343" t="s">
        <v>1975</v>
      </c>
      <c r="G1343" t="str">
        <f>HYPERLINK("http://www.breaknews.com/741920")</f>
        <v>http://www.breaknews.com/741920</v>
      </c>
      <c r="H1343">
        <v>0.59899999999999998</v>
      </c>
    </row>
    <row r="1344" spans="1:8" x14ac:dyDescent="0.3">
      <c r="A1344" t="s">
        <v>3284</v>
      </c>
      <c r="B1344" t="s">
        <v>26951</v>
      </c>
      <c r="C1344" t="s">
        <v>3481</v>
      </c>
      <c r="D1344" t="s">
        <v>3480</v>
      </c>
      <c r="E1344" s="2" t="s">
        <v>653</v>
      </c>
      <c r="F1344" t="s">
        <v>3479</v>
      </c>
      <c r="G1344" t="str">
        <f>HYPERLINK("https://www.dkilbo.com/news/articleView.html?idxno=473041")</f>
        <v>https://www.dkilbo.com/news/articleView.html?idxno=473041</v>
      </c>
      <c r="H1344">
        <v>0.48199999999999998</v>
      </c>
    </row>
    <row r="1345" spans="1:8" x14ac:dyDescent="0.3">
      <c r="A1345" t="s">
        <v>3284</v>
      </c>
      <c r="B1345" t="s">
        <v>26951</v>
      </c>
      <c r="C1345" t="s">
        <v>3483</v>
      </c>
      <c r="D1345" t="s">
        <v>3482</v>
      </c>
      <c r="E1345" s="2" t="s">
        <v>653</v>
      </c>
      <c r="F1345" t="s">
        <v>505</v>
      </c>
      <c r="G1345" t="str">
        <f>HYPERLINK("http://www.sisaon.co.kr/news/articleView.html?idxno=172250")</f>
        <v>http://www.sisaon.co.kr/news/articleView.html?idxno=172250</v>
      </c>
      <c r="H1345">
        <v>0.433</v>
      </c>
    </row>
    <row r="1346" spans="1:8" x14ac:dyDescent="0.3">
      <c r="A1346" t="s">
        <v>3284</v>
      </c>
      <c r="B1346" t="s">
        <v>26951</v>
      </c>
      <c r="C1346" t="s">
        <v>3486</v>
      </c>
      <c r="D1346" t="s">
        <v>3485</v>
      </c>
      <c r="E1346" s="2" t="s">
        <v>653</v>
      </c>
      <c r="F1346" t="s">
        <v>3484</v>
      </c>
      <c r="G1346" t="str">
        <f>HYPERLINK("https://n.news.naver.com/mnews/article/011/0003310139?sid=101")</f>
        <v>https://n.news.naver.com/mnews/article/011/0003310139?sid=101</v>
      </c>
      <c r="H1346">
        <v>0.41</v>
      </c>
    </row>
    <row r="1347" spans="1:8" x14ac:dyDescent="0.3">
      <c r="A1347" t="s">
        <v>3284</v>
      </c>
      <c r="B1347" t="s">
        <v>26951</v>
      </c>
      <c r="C1347" t="s">
        <v>3488</v>
      </c>
      <c r="D1347" t="s">
        <v>3487</v>
      </c>
      <c r="E1347" s="2" t="s">
        <v>692</v>
      </c>
      <c r="F1347" t="s">
        <v>737</v>
      </c>
      <c r="G1347" t="str">
        <f>HYPERLINK("https://n.news.naver.com/mnews/article/014/0005369619?sid=101")</f>
        <v>https://n.news.naver.com/mnews/article/014/0005369619?sid=101</v>
      </c>
      <c r="H1347">
        <v>0.29799999999999999</v>
      </c>
    </row>
    <row r="1348" spans="1:8" x14ac:dyDescent="0.3">
      <c r="A1348" t="s">
        <v>3284</v>
      </c>
      <c r="B1348" t="s">
        <v>26951</v>
      </c>
      <c r="C1348" t="s">
        <v>3491</v>
      </c>
      <c r="D1348" t="s">
        <v>3490</v>
      </c>
      <c r="E1348" s="2" t="s">
        <v>692</v>
      </c>
      <c r="F1348" t="s">
        <v>3489</v>
      </c>
      <c r="G1348" t="str">
        <f>HYPERLINK("http://ppss.kr/archives/113958")</f>
        <v>http://ppss.kr/archives/113958</v>
      </c>
      <c r="H1348">
        <v>0.42299999999999999</v>
      </c>
    </row>
    <row r="1349" spans="1:8" x14ac:dyDescent="0.3">
      <c r="A1349" t="s">
        <v>3284</v>
      </c>
      <c r="B1349" t="s">
        <v>26951</v>
      </c>
      <c r="C1349" t="s">
        <v>3493</v>
      </c>
      <c r="D1349" t="s">
        <v>3492</v>
      </c>
      <c r="E1349" s="2" t="s">
        <v>692</v>
      </c>
      <c r="F1349" t="s">
        <v>3420</v>
      </c>
      <c r="G1349" t="str">
        <f>HYPERLINK("https://www.epnc.co.kr/news/articleView.html?idxno=305939")</f>
        <v>https://www.epnc.co.kr/news/articleView.html?idxno=305939</v>
      </c>
      <c r="H1349">
        <v>0.59899999999999998</v>
      </c>
    </row>
    <row r="1350" spans="1:8" x14ac:dyDescent="0.3">
      <c r="A1350" t="s">
        <v>3284</v>
      </c>
      <c r="B1350" t="s">
        <v>26951</v>
      </c>
      <c r="C1350" t="s">
        <v>3495</v>
      </c>
      <c r="D1350" t="s">
        <v>3494</v>
      </c>
      <c r="E1350" s="2" t="s">
        <v>692</v>
      </c>
      <c r="F1350" t="s">
        <v>411</v>
      </c>
      <c r="G1350" t="str">
        <f>HYPERLINK("https://n.news.naver.com/mnews/article/081/0003552929?sid=102")</f>
        <v>https://n.news.naver.com/mnews/article/081/0003552929?sid=102</v>
      </c>
      <c r="H1350">
        <v>0.31</v>
      </c>
    </row>
    <row r="1351" spans="1:8" x14ac:dyDescent="0.3">
      <c r="A1351" t="s">
        <v>3284</v>
      </c>
      <c r="B1351" t="s">
        <v>26951</v>
      </c>
      <c r="C1351" t="s">
        <v>2390</v>
      </c>
      <c r="D1351" t="s">
        <v>2389</v>
      </c>
      <c r="E1351" s="2" t="s">
        <v>692</v>
      </c>
      <c r="F1351" t="s">
        <v>89</v>
      </c>
      <c r="G1351" t="str">
        <f>HYPERLINK("https://n.news.naver.com/mnews/article/056/0011653306?sid=101")</f>
        <v>https://n.news.naver.com/mnews/article/056/0011653306?sid=101</v>
      </c>
      <c r="H1351">
        <v>0.28999999999999998</v>
      </c>
    </row>
    <row r="1352" spans="1:8" x14ac:dyDescent="0.3">
      <c r="A1352" t="s">
        <v>3284</v>
      </c>
      <c r="B1352" t="s">
        <v>26951</v>
      </c>
      <c r="C1352" t="s">
        <v>3500</v>
      </c>
      <c r="D1352" t="s">
        <v>3499</v>
      </c>
      <c r="E1352" s="2" t="s">
        <v>692</v>
      </c>
      <c r="F1352" t="s">
        <v>3498</v>
      </c>
      <c r="G1352" t="str">
        <f>HYPERLINK("http://www.dynews.co.kr/news/articleView.html?idxno=625558")</f>
        <v>http://www.dynews.co.kr/news/articleView.html?idxno=625558</v>
      </c>
      <c r="H1352">
        <v>0.57799999999999996</v>
      </c>
    </row>
    <row r="1353" spans="1:8" x14ac:dyDescent="0.3">
      <c r="A1353" t="s">
        <v>3284</v>
      </c>
      <c r="B1353" t="s">
        <v>26951</v>
      </c>
      <c r="C1353" t="s">
        <v>3505</v>
      </c>
      <c r="D1353" t="s">
        <v>3504</v>
      </c>
      <c r="E1353" s="2" t="s">
        <v>692</v>
      </c>
      <c r="F1353" t="s">
        <v>3503</v>
      </c>
      <c r="G1353" t="str">
        <f>HYPERLINK("https://www.econovill.com/news/articleView.html?idxno=701638")</f>
        <v>https://www.econovill.com/news/articleView.html?idxno=701638</v>
      </c>
      <c r="H1353">
        <v>0.38400000000000001</v>
      </c>
    </row>
    <row r="1354" spans="1:8" x14ac:dyDescent="0.3">
      <c r="A1354" t="s">
        <v>3284</v>
      </c>
      <c r="B1354" t="s">
        <v>26951</v>
      </c>
      <c r="C1354" t="s">
        <v>3508</v>
      </c>
      <c r="D1354" t="s">
        <v>3507</v>
      </c>
      <c r="E1354" s="2" t="s">
        <v>711</v>
      </c>
      <c r="F1354" t="s">
        <v>3506</v>
      </c>
      <c r="G1354" t="str">
        <f>HYPERLINK("https://n.news.naver.com/mnews/article/011/0004494209?sid=101")</f>
        <v>https://n.news.naver.com/mnews/article/011/0004494209?sid=101</v>
      </c>
      <c r="H1354">
        <v>0.24399999999999999</v>
      </c>
    </row>
    <row r="1355" spans="1:8" x14ac:dyDescent="0.3">
      <c r="A1355" t="s">
        <v>3284</v>
      </c>
      <c r="B1355" t="s">
        <v>26951</v>
      </c>
      <c r="C1355" t="s">
        <v>3511</v>
      </c>
      <c r="D1355" t="s">
        <v>3510</v>
      </c>
      <c r="E1355" s="2" t="s">
        <v>711</v>
      </c>
      <c r="F1355" t="s">
        <v>3509</v>
      </c>
      <c r="G1355" t="str">
        <f>HYPERLINK("https://n.news.naver.com/mnews/article/011/0003964248?sid=101")</f>
        <v>https://n.news.naver.com/mnews/article/011/0003964248?sid=101</v>
      </c>
      <c r="H1355">
        <v>0.33400000000000002</v>
      </c>
    </row>
    <row r="1356" spans="1:8" x14ac:dyDescent="0.3">
      <c r="A1356" t="s">
        <v>3284</v>
      </c>
      <c r="B1356" t="s">
        <v>26951</v>
      </c>
      <c r="C1356" t="s">
        <v>3513</v>
      </c>
      <c r="D1356" t="s">
        <v>3512</v>
      </c>
      <c r="E1356" s="2" t="s">
        <v>711</v>
      </c>
      <c r="F1356" t="s">
        <v>411</v>
      </c>
      <c r="G1356" t="str">
        <f>HYPERLINK("https://n.news.naver.com/mnews/article/011/0004171218?sid=101")</f>
        <v>https://n.news.naver.com/mnews/article/011/0004171218?sid=101</v>
      </c>
      <c r="H1356">
        <v>0.24</v>
      </c>
    </row>
    <row r="1357" spans="1:8" x14ac:dyDescent="0.3">
      <c r="A1357" t="s">
        <v>3284</v>
      </c>
      <c r="B1357" t="s">
        <v>26951</v>
      </c>
      <c r="C1357" t="s">
        <v>3515</v>
      </c>
      <c r="D1357" t="s">
        <v>3514</v>
      </c>
      <c r="E1357" s="2" t="s">
        <v>711</v>
      </c>
      <c r="F1357" t="s">
        <v>729</v>
      </c>
      <c r="G1357" t="str">
        <f>HYPERLINK("http://www.readersnews.com/news/articleView.html?idxno=115483")</f>
        <v>http://www.readersnews.com/news/articleView.html?idxno=115483</v>
      </c>
      <c r="H1357">
        <v>0.38100000000000001</v>
      </c>
    </row>
    <row r="1358" spans="1:8" x14ac:dyDescent="0.3">
      <c r="A1358" t="s">
        <v>3284</v>
      </c>
      <c r="B1358" t="s">
        <v>26951</v>
      </c>
      <c r="C1358" t="s">
        <v>3518</v>
      </c>
      <c r="D1358" t="s">
        <v>3517</v>
      </c>
      <c r="E1358" s="2" t="s">
        <v>572</v>
      </c>
      <c r="F1358" t="s">
        <v>3516</v>
      </c>
      <c r="G1358" t="str">
        <f>HYPERLINK("https://n.news.naver.com/mnews/article/011/0003058217?sid=103")</f>
        <v>https://n.news.naver.com/mnews/article/011/0003058217?sid=103</v>
      </c>
      <c r="H1358">
        <v>0.245</v>
      </c>
    </row>
    <row r="1359" spans="1:8" x14ac:dyDescent="0.3">
      <c r="A1359" t="s">
        <v>3284</v>
      </c>
      <c r="B1359" t="s">
        <v>26951</v>
      </c>
      <c r="C1359" t="s">
        <v>3524</v>
      </c>
      <c r="D1359" t="s">
        <v>3523</v>
      </c>
      <c r="E1359" s="2" t="s">
        <v>572</v>
      </c>
      <c r="F1359" t="s">
        <v>3522</v>
      </c>
      <c r="G1359" t="str">
        <f>HYPERLINK("http://www.ifs.or.kr/bbs/board.php?bo_table=News&amp;wr_id=54275")</f>
        <v>http://www.ifs.or.kr/bbs/board.php?bo_table=News&amp;wr_id=54275</v>
      </c>
      <c r="H1359">
        <v>0.48099999999999998</v>
      </c>
    </row>
    <row r="1360" spans="1:8" x14ac:dyDescent="0.3">
      <c r="A1360" t="s">
        <v>3284</v>
      </c>
      <c r="B1360" t="s">
        <v>26951</v>
      </c>
      <c r="C1360" t="s">
        <v>3528</v>
      </c>
      <c r="D1360" t="s">
        <v>3527</v>
      </c>
      <c r="E1360" s="2" t="s">
        <v>572</v>
      </c>
      <c r="F1360" t="s">
        <v>197</v>
      </c>
      <c r="G1360" t="str">
        <f>HYPERLINK("http://www.nongaek.com/news/articleView.html?idxno=88956")</f>
        <v>http://www.nongaek.com/news/articleView.html?idxno=88956</v>
      </c>
      <c r="H1360">
        <v>0.49299999999999999</v>
      </c>
    </row>
    <row r="1361" spans="1:8" x14ac:dyDescent="0.3">
      <c r="A1361" t="s">
        <v>3284</v>
      </c>
      <c r="B1361" t="s">
        <v>26951</v>
      </c>
      <c r="C1361" t="s">
        <v>3530</v>
      </c>
      <c r="D1361" t="s">
        <v>3529</v>
      </c>
      <c r="E1361" s="2" t="s">
        <v>572</v>
      </c>
      <c r="F1361" t="s">
        <v>197</v>
      </c>
      <c r="G1361" t="str">
        <f>HYPERLINK("https://n.news.naver.com/mnews/article/052/0002033154?sid=100")</f>
        <v>https://n.news.naver.com/mnews/article/052/0002033154?sid=100</v>
      </c>
      <c r="H1361">
        <v>0.23799999999999999</v>
      </c>
    </row>
    <row r="1362" spans="1:8" x14ac:dyDescent="0.3">
      <c r="A1362" t="s">
        <v>3284</v>
      </c>
      <c r="B1362" t="s">
        <v>26951</v>
      </c>
      <c r="C1362" t="s">
        <v>3532</v>
      </c>
      <c r="D1362" t="s">
        <v>3531</v>
      </c>
      <c r="E1362" s="2" t="s">
        <v>572</v>
      </c>
      <c r="F1362" t="s">
        <v>2385</v>
      </c>
      <c r="G1362" t="str">
        <f>HYPERLINK("https://jhealthmedia.joins.com/news/articleView.html?idxno=30576")</f>
        <v>https://jhealthmedia.joins.com/news/articleView.html?idxno=30576</v>
      </c>
      <c r="H1362">
        <v>0.27300000000000002</v>
      </c>
    </row>
    <row r="1363" spans="1:8" x14ac:dyDescent="0.3">
      <c r="A1363" t="s">
        <v>3284</v>
      </c>
      <c r="B1363" t="s">
        <v>26951</v>
      </c>
      <c r="C1363" t="s">
        <v>3535</v>
      </c>
      <c r="D1363" t="s">
        <v>3534</v>
      </c>
      <c r="E1363" s="2" t="s">
        <v>572</v>
      </c>
      <c r="F1363" t="s">
        <v>3533</v>
      </c>
      <c r="G1363" t="str">
        <f>HYPERLINK("http://www.financialreview.co.kr/news/articleView.html?idxno=35131")</f>
        <v>http://www.financialreview.co.kr/news/articleView.html?idxno=35131</v>
      </c>
      <c r="H1363">
        <v>0.78700000000000003</v>
      </c>
    </row>
    <row r="1364" spans="1:8" x14ac:dyDescent="0.3">
      <c r="A1364" t="s">
        <v>3284</v>
      </c>
      <c r="B1364" t="s">
        <v>26951</v>
      </c>
      <c r="C1364" t="s">
        <v>3538</v>
      </c>
      <c r="D1364" t="s">
        <v>3537</v>
      </c>
      <c r="E1364" s="2" t="s">
        <v>572</v>
      </c>
      <c r="F1364" t="s">
        <v>3536</v>
      </c>
      <c r="G1364" t="str">
        <f>HYPERLINK("http://dream.kotra.or.kr/kotranews/cms/news/actionKotraBoardDetail.do?SITE_NO=3&amp;MENU_ID=180&amp;CONTENTS_NO=1&amp;bbsGbn=243&amp;bbsSn=243&amp;pNttSn=230439")</f>
        <v>http://dream.kotra.or.kr/kotranews/cms/news/actionKotraBoardDetail.do?SITE_NO=3&amp;MENU_ID=180&amp;CONTENTS_NO=1&amp;bbsGbn=243&amp;bbsSn=243&amp;pNttSn=230439</v>
      </c>
      <c r="H1364">
        <v>0.61399999999999999</v>
      </c>
    </row>
    <row r="1365" spans="1:8" x14ac:dyDescent="0.3">
      <c r="A1365" t="s">
        <v>3284</v>
      </c>
      <c r="B1365" t="s">
        <v>26951</v>
      </c>
      <c r="C1365" t="s">
        <v>3540</v>
      </c>
      <c r="D1365" t="s">
        <v>3539</v>
      </c>
      <c r="E1365" s="2" t="s">
        <v>572</v>
      </c>
      <c r="F1365" t="s">
        <v>1465</v>
      </c>
      <c r="G1365" t="str">
        <f>HYPERLINK("http://www.paxetv.com/news/articleView.html?idxno=99914")</f>
        <v>http://www.paxetv.com/news/articleView.html?idxno=99914</v>
      </c>
      <c r="H1365">
        <v>0.16</v>
      </c>
    </row>
    <row r="1366" spans="1:8" x14ac:dyDescent="0.3">
      <c r="A1366" t="s">
        <v>3284</v>
      </c>
      <c r="B1366" t="s">
        <v>26951</v>
      </c>
      <c r="C1366" t="s">
        <v>3542</v>
      </c>
      <c r="D1366" t="s">
        <v>3541</v>
      </c>
      <c r="E1366" s="2" t="s">
        <v>572</v>
      </c>
      <c r="F1366" t="s">
        <v>3470</v>
      </c>
      <c r="G1366" t="str">
        <f>HYPERLINK("https://www.medipana.com/article/view.php?news_idx=342547&amp;sch_cate=D")</f>
        <v>https://www.medipana.com/article/view.php?news_idx=342547&amp;sch_cate=D</v>
      </c>
      <c r="H1366">
        <v>0.49399999999999999</v>
      </c>
    </row>
    <row r="1367" spans="1:8" x14ac:dyDescent="0.3">
      <c r="A1367" t="s">
        <v>3284</v>
      </c>
      <c r="B1367" t="s">
        <v>26951</v>
      </c>
      <c r="C1367" t="s">
        <v>3545</v>
      </c>
      <c r="D1367" t="s">
        <v>3544</v>
      </c>
      <c r="E1367" s="2" t="s">
        <v>572</v>
      </c>
      <c r="F1367" t="s">
        <v>3543</v>
      </c>
      <c r="G1367" t="str">
        <f>HYPERLINK("http://www.energydaily.co.kr/news/articleView.html?idxno=156835")</f>
        <v>http://www.energydaily.co.kr/news/articleView.html?idxno=156835</v>
      </c>
      <c r="H1367">
        <v>0.94599999999999995</v>
      </c>
    </row>
    <row r="1368" spans="1:8" x14ac:dyDescent="0.3">
      <c r="A1368" t="s">
        <v>3284</v>
      </c>
      <c r="B1368" t="s">
        <v>26951</v>
      </c>
      <c r="C1368" t="s">
        <v>3548</v>
      </c>
      <c r="D1368" t="s">
        <v>3547</v>
      </c>
      <c r="E1368" s="2" t="s">
        <v>572</v>
      </c>
      <c r="F1368" t="s">
        <v>3546</v>
      </c>
      <c r="G1368" t="str">
        <f>HYPERLINK("https://n.news.naver.com/mnews/article/011/0001971035?sid=102")</f>
        <v>https://n.news.naver.com/mnews/article/011/0001971035?sid=102</v>
      </c>
      <c r="H1368">
        <v>0.16300000000000001</v>
      </c>
    </row>
    <row r="1369" spans="1:8" x14ac:dyDescent="0.3">
      <c r="A1369" t="s">
        <v>3284</v>
      </c>
      <c r="B1369" t="s">
        <v>26951</v>
      </c>
      <c r="C1369" t="s">
        <v>3551</v>
      </c>
      <c r="D1369" t="s">
        <v>3550</v>
      </c>
      <c r="E1369" s="2" t="s">
        <v>572</v>
      </c>
      <c r="F1369" t="s">
        <v>3549</v>
      </c>
      <c r="G1369" t="str">
        <f>HYPERLINK("http://news.lghellovision.net/news/articleView.html?idxno=510065")</f>
        <v>http://news.lghellovision.net/news/articleView.html?idxno=510065</v>
      </c>
      <c r="H1369">
        <v>0.26</v>
      </c>
    </row>
    <row r="1370" spans="1:8" x14ac:dyDescent="0.3">
      <c r="A1370" t="s">
        <v>3284</v>
      </c>
      <c r="B1370" t="s">
        <v>26951</v>
      </c>
      <c r="C1370" t="s">
        <v>3553</v>
      </c>
      <c r="D1370" t="s">
        <v>3552</v>
      </c>
      <c r="E1370" s="2" t="s">
        <v>572</v>
      </c>
      <c r="F1370" t="s">
        <v>179</v>
      </c>
      <c r="G1370" t="str">
        <f>HYPERLINK("http://www.newspim.com/news/view/20191022000468")</f>
        <v>http://www.newspim.com/news/view/20191022000468</v>
      </c>
      <c r="H1370">
        <v>0.65</v>
      </c>
    </row>
    <row r="1371" spans="1:8" x14ac:dyDescent="0.3">
      <c r="A1371" t="s">
        <v>3284</v>
      </c>
      <c r="B1371" t="s">
        <v>26951</v>
      </c>
      <c r="C1371" t="s">
        <v>3555</v>
      </c>
      <c r="D1371" t="s">
        <v>3554</v>
      </c>
      <c r="E1371" s="2" t="s">
        <v>572</v>
      </c>
      <c r="F1371" t="s">
        <v>31</v>
      </c>
      <c r="G1371" t="str">
        <f>HYPERLINK("https://www.ilyoseoul.co.kr/news/articleView.html?idxno=499858")</f>
        <v>https://www.ilyoseoul.co.kr/news/articleView.html?idxno=499858</v>
      </c>
      <c r="H1371">
        <v>0.27500000000000002</v>
      </c>
    </row>
    <row r="1372" spans="1:8" x14ac:dyDescent="0.3">
      <c r="A1372" t="s">
        <v>3284</v>
      </c>
      <c r="B1372" t="s">
        <v>26951</v>
      </c>
      <c r="C1372" t="s">
        <v>3558</v>
      </c>
      <c r="D1372" t="s">
        <v>3557</v>
      </c>
      <c r="E1372" s="2" t="s">
        <v>572</v>
      </c>
      <c r="F1372" t="s">
        <v>3556</v>
      </c>
      <c r="G1372" t="str">
        <f>HYPERLINK("http://www.travelitoday.com/read/contentsView/950/25")</f>
        <v>http://www.travelitoday.com/read/contentsView/950/25</v>
      </c>
      <c r="H1372">
        <v>0.247</v>
      </c>
    </row>
    <row r="1373" spans="1:8" x14ac:dyDescent="0.3">
      <c r="A1373" t="s">
        <v>3284</v>
      </c>
      <c r="B1373" t="s">
        <v>26951</v>
      </c>
      <c r="C1373" t="s">
        <v>3560</v>
      </c>
      <c r="D1373" t="s">
        <v>3559</v>
      </c>
      <c r="E1373" s="2" t="s">
        <v>572</v>
      </c>
      <c r="F1373" t="s">
        <v>73</v>
      </c>
      <c r="G1373" t="str">
        <f>HYPERLINK("https://n.news.naver.com/mnews/article/030/0003320512?sid=105")</f>
        <v>https://n.news.naver.com/mnews/article/030/0003320512?sid=105</v>
      </c>
      <c r="H1373">
        <v>0.245</v>
      </c>
    </row>
    <row r="1374" spans="1:8" x14ac:dyDescent="0.3">
      <c r="A1374" t="s">
        <v>3284</v>
      </c>
      <c r="B1374" t="s">
        <v>26951</v>
      </c>
      <c r="C1374" t="s">
        <v>3562</v>
      </c>
      <c r="D1374" t="s">
        <v>3561</v>
      </c>
      <c r="E1374" s="2" t="s">
        <v>572</v>
      </c>
      <c r="F1374" t="s">
        <v>3300</v>
      </c>
      <c r="G1374" t="str">
        <f>HYPERLINK("http://www.thepowernews.co.kr/news/articleView.html?idxno=157480")</f>
        <v>http://www.thepowernews.co.kr/news/articleView.html?idxno=157480</v>
      </c>
      <c r="H1374">
        <v>0.92100000000000004</v>
      </c>
    </row>
    <row r="1375" spans="1:8" x14ac:dyDescent="0.3">
      <c r="A1375" t="s">
        <v>3284</v>
      </c>
      <c r="B1375" t="s">
        <v>26951</v>
      </c>
      <c r="C1375" t="s">
        <v>3565</v>
      </c>
      <c r="D1375" t="s">
        <v>3564</v>
      </c>
      <c r="E1375" s="2" t="s">
        <v>572</v>
      </c>
      <c r="F1375" t="s">
        <v>3563</v>
      </c>
      <c r="G1375" t="str">
        <f>HYPERLINK("https://www.greened.kr/news/articleView.html?idxno=325989")</f>
        <v>https://www.greened.kr/news/articleView.html?idxno=325989</v>
      </c>
      <c r="H1375">
        <v>0.50600000000000001</v>
      </c>
    </row>
    <row r="1376" spans="1:8" x14ac:dyDescent="0.3">
      <c r="A1376" t="s">
        <v>3284</v>
      </c>
      <c r="B1376" t="s">
        <v>26951</v>
      </c>
      <c r="C1376" t="s">
        <v>3568</v>
      </c>
      <c r="D1376" t="s">
        <v>3567</v>
      </c>
      <c r="E1376" s="2" t="s">
        <v>609</v>
      </c>
      <c r="F1376" t="s">
        <v>3566</v>
      </c>
      <c r="G1376" t="str">
        <f>HYPERLINK("https://www.pinpointnews.co.kr/news/articleView.html?idxno=208019")</f>
        <v>https://www.pinpointnews.co.kr/news/articleView.html?idxno=208019</v>
      </c>
      <c r="H1376">
        <v>0.60699999999999998</v>
      </c>
    </row>
    <row r="1377" spans="1:8" x14ac:dyDescent="0.3">
      <c r="A1377" t="s">
        <v>3284</v>
      </c>
      <c r="B1377" t="s">
        <v>26951</v>
      </c>
      <c r="C1377" t="s">
        <v>3571</v>
      </c>
      <c r="D1377" t="s">
        <v>3570</v>
      </c>
      <c r="E1377" s="2" t="s">
        <v>609</v>
      </c>
      <c r="F1377" t="s">
        <v>3569</v>
      </c>
      <c r="G1377" t="str">
        <f>HYPERLINK("https://www.greened.kr/news/articleView.html?idxno=319703")</f>
        <v>https://www.greened.kr/news/articleView.html?idxno=319703</v>
      </c>
      <c r="H1377">
        <v>0.47499999999999998</v>
      </c>
    </row>
    <row r="1378" spans="1:8" x14ac:dyDescent="0.3">
      <c r="A1378" t="s">
        <v>3284</v>
      </c>
      <c r="B1378" t="s">
        <v>26951</v>
      </c>
      <c r="C1378" t="s">
        <v>3573</v>
      </c>
      <c r="D1378" t="s">
        <v>3572</v>
      </c>
      <c r="E1378" s="2" t="s">
        <v>609</v>
      </c>
      <c r="F1378" t="s">
        <v>1263</v>
      </c>
      <c r="G1378" t="str">
        <f>HYPERLINK("https://n.news.naver.com/mnews/article/018/0002151941?sid=102")</f>
        <v>https://n.news.naver.com/mnews/article/018/0002151941?sid=102</v>
      </c>
      <c r="H1378">
        <v>0.24199999999999999</v>
      </c>
    </row>
    <row r="1379" spans="1:8" x14ac:dyDescent="0.3">
      <c r="A1379" t="s">
        <v>3284</v>
      </c>
      <c r="B1379" t="s">
        <v>26951</v>
      </c>
      <c r="C1379" t="s">
        <v>3576</v>
      </c>
      <c r="D1379" t="s">
        <v>3575</v>
      </c>
      <c r="E1379" s="2" t="s">
        <v>609</v>
      </c>
      <c r="F1379" t="s">
        <v>3574</v>
      </c>
      <c r="G1379" t="str">
        <f>HYPERLINK("https://www.getnews.co.kr/news/articleView.html?idxno=827989")</f>
        <v>https://www.getnews.co.kr/news/articleView.html?idxno=827989</v>
      </c>
      <c r="H1379">
        <v>0.59299999999999997</v>
      </c>
    </row>
    <row r="1380" spans="1:8" x14ac:dyDescent="0.3">
      <c r="A1380" t="s">
        <v>3284</v>
      </c>
      <c r="B1380" t="s">
        <v>26951</v>
      </c>
      <c r="C1380" t="s">
        <v>3578</v>
      </c>
      <c r="D1380" t="s">
        <v>3577</v>
      </c>
      <c r="E1380" s="2" t="s">
        <v>609</v>
      </c>
      <c r="F1380" t="s">
        <v>2555</v>
      </c>
      <c r="G1380" t="str">
        <f>HYPERLINK("http://www.outdoornews.co.kr/news/articleView.html?idxno=12272")</f>
        <v>http://www.outdoornews.co.kr/news/articleView.html?idxno=12272</v>
      </c>
      <c r="H1380">
        <v>0.39900000000000002</v>
      </c>
    </row>
    <row r="1381" spans="1:8" x14ac:dyDescent="0.3">
      <c r="A1381" t="s">
        <v>3284</v>
      </c>
      <c r="B1381" t="s">
        <v>26951</v>
      </c>
      <c r="C1381" t="s">
        <v>3581</v>
      </c>
      <c r="D1381" t="s">
        <v>3580</v>
      </c>
      <c r="E1381" s="2" t="s">
        <v>609</v>
      </c>
      <c r="F1381" t="s">
        <v>3579</v>
      </c>
      <c r="G1381" t="str">
        <f>HYPERLINK("https://www.gqkorea.co.kr/2020/11/11/%ed%98%84%eb%8c%80%ec%9d%b8-15%eb%aa%85%ec%9d%98-%ec%9e%ac%ed%83%9d%ea%b7%bc%eb%ac%b4-%eb%b3%b4%ea%b3%a0%ec%84%9c/?utm_source=naver&amp;utm_medium=partnership")</f>
        <v>https://www.gqkorea.co.kr/2020/11/11/%ed%98%84%eb%8c%80%ec%9d%b8-15%eb%aa%85%ec%9d%98-%ec%9e%ac%ed%83%9d%ea%b7%bc%eb%ac%b4-%eb%b3%b4%ea%b3%a0%ec%84%9c/?utm_source=naver&amp;utm_medium=partnership</v>
      </c>
      <c r="H1381">
        <v>0.41399999999999998</v>
      </c>
    </row>
    <row r="1382" spans="1:8" x14ac:dyDescent="0.3">
      <c r="A1382" t="s">
        <v>3284</v>
      </c>
      <c r="B1382" t="s">
        <v>26951</v>
      </c>
      <c r="C1382" t="s">
        <v>3584</v>
      </c>
      <c r="D1382" t="s">
        <v>3583</v>
      </c>
      <c r="E1382" s="2" t="s">
        <v>609</v>
      </c>
      <c r="F1382" t="s">
        <v>3582</v>
      </c>
      <c r="G1382" t="str">
        <f>HYPERLINK("https://n.news.naver.com/mnews/article/079/0004000945?sid=100")</f>
        <v>https://n.news.naver.com/mnews/article/079/0004000945?sid=100</v>
      </c>
      <c r="H1382">
        <v>0.24099999999999999</v>
      </c>
    </row>
    <row r="1383" spans="1:8" x14ac:dyDescent="0.3">
      <c r="A1383" t="s">
        <v>3284</v>
      </c>
      <c r="B1383" t="s">
        <v>26951</v>
      </c>
      <c r="C1383" t="s">
        <v>3586</v>
      </c>
      <c r="D1383" t="s">
        <v>3585</v>
      </c>
      <c r="E1383" s="2" t="s">
        <v>609</v>
      </c>
      <c r="F1383" t="s">
        <v>3332</v>
      </c>
      <c r="G1383" t="str">
        <f>HYPERLINK("https://n.news.naver.com/mnews/article/011/0003906913?sid=102")</f>
        <v>https://n.news.naver.com/mnews/article/011/0003906913?sid=102</v>
      </c>
      <c r="H1383">
        <v>0.27200000000000002</v>
      </c>
    </row>
    <row r="1384" spans="1:8" x14ac:dyDescent="0.3">
      <c r="A1384" t="s">
        <v>3284</v>
      </c>
      <c r="B1384" t="s">
        <v>26951</v>
      </c>
      <c r="C1384" t="s">
        <v>3588</v>
      </c>
      <c r="D1384" t="s">
        <v>3587</v>
      </c>
      <c r="E1384" s="2" t="s">
        <v>609</v>
      </c>
      <c r="F1384" t="s">
        <v>89</v>
      </c>
      <c r="G1384" t="str">
        <f>HYPERLINK("https://n.news.naver.com/mnews/article/011/0002859525?sid=101")</f>
        <v>https://n.news.naver.com/mnews/article/011/0002859525?sid=101</v>
      </c>
      <c r="H1384">
        <v>0.315</v>
      </c>
    </row>
    <row r="1385" spans="1:8" x14ac:dyDescent="0.3">
      <c r="A1385" t="s">
        <v>3284</v>
      </c>
      <c r="B1385" t="s">
        <v>26951</v>
      </c>
      <c r="C1385" t="s">
        <v>3590</v>
      </c>
      <c r="D1385" t="s">
        <v>3589</v>
      </c>
      <c r="E1385" s="2" t="s">
        <v>609</v>
      </c>
      <c r="F1385" t="s">
        <v>1700</v>
      </c>
      <c r="G1385" t="str">
        <f>HYPERLINK("http://www.nongaek.com/news/articleView.html?idxno=91824")</f>
        <v>http://www.nongaek.com/news/articleView.html?idxno=91824</v>
      </c>
      <c r="H1385">
        <v>0.43099999999999999</v>
      </c>
    </row>
    <row r="1386" spans="1:8" x14ac:dyDescent="0.3">
      <c r="A1386" t="s">
        <v>3284</v>
      </c>
      <c r="B1386" t="s">
        <v>26951</v>
      </c>
      <c r="C1386" t="s">
        <v>3592</v>
      </c>
      <c r="D1386" t="s">
        <v>3591</v>
      </c>
      <c r="E1386" s="2" t="s">
        <v>609</v>
      </c>
      <c r="F1386" t="s">
        <v>505</v>
      </c>
      <c r="G1386" t="str">
        <f>HYPERLINK("http://www.sisaon.co.kr/news/articleView.html?idxno=172250")</f>
        <v>http://www.sisaon.co.kr/news/articleView.html?idxno=172250</v>
      </c>
      <c r="H1386">
        <v>0.36499999999999999</v>
      </c>
    </row>
    <row r="1387" spans="1:8" x14ac:dyDescent="0.3">
      <c r="A1387" t="s">
        <v>3284</v>
      </c>
      <c r="B1387" t="s">
        <v>26951</v>
      </c>
      <c r="C1387" t="s">
        <v>3595</v>
      </c>
      <c r="D1387" t="s">
        <v>3594</v>
      </c>
      <c r="E1387" s="2" t="s">
        <v>609</v>
      </c>
      <c r="F1387" t="s">
        <v>3593</v>
      </c>
      <c r="G1387" t="str">
        <f>HYPERLINK("https://www.econovill.com/news/articleView.html?idxno=700697")</f>
        <v>https://www.econovill.com/news/articleView.html?idxno=700697</v>
      </c>
      <c r="H1387">
        <v>0.19900000000000001</v>
      </c>
    </row>
    <row r="1388" spans="1:8" x14ac:dyDescent="0.3">
      <c r="A1388" t="s">
        <v>3284</v>
      </c>
      <c r="B1388" t="s">
        <v>26951</v>
      </c>
      <c r="C1388" t="s">
        <v>3598</v>
      </c>
      <c r="D1388" t="s">
        <v>3597</v>
      </c>
      <c r="E1388" s="2" t="s">
        <v>517</v>
      </c>
      <c r="F1388" t="s">
        <v>3596</v>
      </c>
      <c r="G1388" t="str">
        <f>HYPERLINK("https://www.beminor.com/news/articleView.html?idxno=24451")</f>
        <v>https://www.beminor.com/news/articleView.html?idxno=24451</v>
      </c>
      <c r="H1388">
        <v>0.47599999999999998</v>
      </c>
    </row>
    <row r="1389" spans="1:8" x14ac:dyDescent="0.3">
      <c r="A1389" t="s">
        <v>3284</v>
      </c>
      <c r="B1389" t="s">
        <v>26951</v>
      </c>
      <c r="C1389" t="s">
        <v>3601</v>
      </c>
      <c r="D1389" t="s">
        <v>3600</v>
      </c>
      <c r="E1389" s="2" t="s">
        <v>517</v>
      </c>
      <c r="F1389" t="s">
        <v>1960</v>
      </c>
      <c r="G1389" t="str">
        <f>HYPERLINK("http://www.metroseoul.co.kr/article/20250625500546")</f>
        <v>http://www.metroseoul.co.kr/article/20250625500546</v>
      </c>
      <c r="H1389">
        <v>0.58199999999999996</v>
      </c>
    </row>
    <row r="1390" spans="1:8" x14ac:dyDescent="0.3">
      <c r="A1390" t="s">
        <v>3284</v>
      </c>
      <c r="B1390" t="s">
        <v>26951</v>
      </c>
      <c r="C1390" t="s">
        <v>3604</v>
      </c>
      <c r="D1390" t="s">
        <v>3603</v>
      </c>
      <c r="E1390" s="2" t="s">
        <v>517</v>
      </c>
      <c r="F1390" t="s">
        <v>3602</v>
      </c>
      <c r="G1390" t="str">
        <f>HYPERLINK("http://www.pennmike.com/news/articleView.html?idxno=64389")</f>
        <v>http://www.pennmike.com/news/articleView.html?idxno=64389</v>
      </c>
      <c r="H1390">
        <v>0.33200000000000002</v>
      </c>
    </row>
    <row r="1391" spans="1:8" x14ac:dyDescent="0.3">
      <c r="A1391" t="s">
        <v>3284</v>
      </c>
      <c r="B1391" t="s">
        <v>26951</v>
      </c>
      <c r="C1391" t="s">
        <v>3606</v>
      </c>
      <c r="D1391" t="s">
        <v>3605</v>
      </c>
      <c r="E1391" s="2" t="s">
        <v>517</v>
      </c>
      <c r="F1391" t="s">
        <v>1815</v>
      </c>
      <c r="G1391" t="str">
        <f>HYPERLINK("https://n.news.naver.com/mnews/article/011/0004478815?sid=103")</f>
        <v>https://n.news.naver.com/mnews/article/011/0004478815?sid=103</v>
      </c>
      <c r="H1391">
        <v>0.123</v>
      </c>
    </row>
    <row r="1392" spans="1:8" x14ac:dyDescent="0.3">
      <c r="A1392" t="s">
        <v>3284</v>
      </c>
      <c r="B1392" t="s">
        <v>26951</v>
      </c>
      <c r="C1392" t="s">
        <v>3608</v>
      </c>
      <c r="D1392" t="s">
        <v>3607</v>
      </c>
      <c r="E1392" s="2" t="s">
        <v>517</v>
      </c>
      <c r="F1392" t="s">
        <v>3366</v>
      </c>
      <c r="G1392" t="str">
        <f>HYPERLINK("https://www.newspim.com/news/view/20250605000252")</f>
        <v>https://www.newspim.com/news/view/20250605000252</v>
      </c>
      <c r="H1392">
        <v>0.63400000000000001</v>
      </c>
    </row>
    <row r="1393" spans="1:8" x14ac:dyDescent="0.3">
      <c r="A1393" t="s">
        <v>3284</v>
      </c>
      <c r="B1393" t="s">
        <v>26951</v>
      </c>
      <c r="C1393" t="s">
        <v>3610</v>
      </c>
      <c r="D1393" t="s">
        <v>3609</v>
      </c>
      <c r="E1393" s="2" t="s">
        <v>517</v>
      </c>
      <c r="F1393" t="s">
        <v>411</v>
      </c>
      <c r="G1393" t="str">
        <f>HYPERLINK("http://www.newspim.com/news/view/20191011000051")</f>
        <v>http://www.newspim.com/news/view/20191011000051</v>
      </c>
      <c r="H1393">
        <v>0.30099999999999999</v>
      </c>
    </row>
    <row r="1394" spans="1:8" x14ac:dyDescent="0.3">
      <c r="A1394" t="s">
        <v>3284</v>
      </c>
      <c r="B1394" t="s">
        <v>26951</v>
      </c>
      <c r="C1394" t="s">
        <v>3612</v>
      </c>
      <c r="D1394" t="s">
        <v>3611</v>
      </c>
      <c r="E1394" s="2" t="s">
        <v>517</v>
      </c>
      <c r="F1394" t="s">
        <v>179</v>
      </c>
      <c r="G1394" t="str">
        <f>HYPERLINK("http://www.seoulwire.com/news/articleView.html?idxno=464063")</f>
        <v>http://www.seoulwire.com/news/articleView.html?idxno=464063</v>
      </c>
      <c r="H1394">
        <v>0.69299999999999995</v>
      </c>
    </row>
    <row r="1395" spans="1:8" x14ac:dyDescent="0.3">
      <c r="A1395" t="s">
        <v>3284</v>
      </c>
      <c r="B1395" t="s">
        <v>26951</v>
      </c>
      <c r="C1395" t="s">
        <v>3615</v>
      </c>
      <c r="D1395" t="s">
        <v>3614</v>
      </c>
      <c r="E1395" s="2" t="s">
        <v>517</v>
      </c>
      <c r="F1395" t="s">
        <v>3613</v>
      </c>
      <c r="G1395" t="str">
        <f>HYPERLINK("http://www.metroseoul.co.kr/article/20250304500213")</f>
        <v>http://www.metroseoul.co.kr/article/20250304500213</v>
      </c>
      <c r="H1395">
        <v>0.63600000000000001</v>
      </c>
    </row>
    <row r="1396" spans="1:8" x14ac:dyDescent="0.3">
      <c r="A1396" t="s">
        <v>3284</v>
      </c>
      <c r="B1396" t="s">
        <v>26951</v>
      </c>
      <c r="C1396" t="s">
        <v>3617</v>
      </c>
      <c r="D1396" t="s">
        <v>3616</v>
      </c>
      <c r="E1396" s="2" t="s">
        <v>517</v>
      </c>
      <c r="F1396" t="s">
        <v>779</v>
      </c>
      <c r="G1396" t="str">
        <f>HYPERLINK("http://www.aptn.co.kr/news/articleView.html?idxno=109603")</f>
        <v>http://www.aptn.co.kr/news/articleView.html?idxno=109603</v>
      </c>
      <c r="H1396">
        <v>0.21299999999999999</v>
      </c>
    </row>
    <row r="1397" spans="1:8" x14ac:dyDescent="0.3">
      <c r="A1397" t="s">
        <v>3284</v>
      </c>
      <c r="B1397" t="s">
        <v>26951</v>
      </c>
      <c r="C1397" t="s">
        <v>3620</v>
      </c>
      <c r="D1397" t="s">
        <v>3619</v>
      </c>
      <c r="E1397" s="2" t="s">
        <v>517</v>
      </c>
      <c r="F1397" t="s">
        <v>3618</v>
      </c>
      <c r="G1397" t="str">
        <f>HYPERLINK("https://golfhankook.hankooki.com/news/articleView.html?idxno=20016427")</f>
        <v>https://golfhankook.hankooki.com/news/articleView.html?idxno=20016427</v>
      </c>
      <c r="H1397">
        <v>0.35599999999999998</v>
      </c>
    </row>
    <row r="1398" spans="1:8" x14ac:dyDescent="0.3">
      <c r="A1398" t="s">
        <v>3284</v>
      </c>
      <c r="B1398" t="s">
        <v>26951</v>
      </c>
      <c r="C1398" t="s">
        <v>3623</v>
      </c>
      <c r="D1398" t="s">
        <v>3622</v>
      </c>
      <c r="E1398" s="2" t="s">
        <v>517</v>
      </c>
      <c r="F1398" t="s">
        <v>3621</v>
      </c>
      <c r="G1398" t="str">
        <f>HYPERLINK("https://weekly.hankooki.com/news/articleView.html?idxno=7096359")</f>
        <v>https://weekly.hankooki.com/news/articleView.html?idxno=7096359</v>
      </c>
      <c r="H1398">
        <v>0.27</v>
      </c>
    </row>
    <row r="1399" spans="1:8" x14ac:dyDescent="0.3">
      <c r="A1399" t="s">
        <v>3284</v>
      </c>
      <c r="B1399" t="s">
        <v>26951</v>
      </c>
      <c r="C1399" t="s">
        <v>3626</v>
      </c>
      <c r="D1399" t="s">
        <v>3625</v>
      </c>
      <c r="E1399" s="2" t="s">
        <v>517</v>
      </c>
      <c r="F1399" t="s">
        <v>3624</v>
      </c>
      <c r="G1399" t="str">
        <f>HYPERLINK("http://www.enewstoday.co.kr/news/articleView.html?idxno=2290400")</f>
        <v>http://www.enewstoday.co.kr/news/articleView.html?idxno=2290400</v>
      </c>
      <c r="H1399">
        <v>0.57499999999999996</v>
      </c>
    </row>
    <row r="1400" spans="1:8" x14ac:dyDescent="0.3">
      <c r="A1400" t="s">
        <v>3284</v>
      </c>
      <c r="B1400" t="s">
        <v>26951</v>
      </c>
      <c r="C1400" t="s">
        <v>3629</v>
      </c>
      <c r="D1400" t="s">
        <v>3628</v>
      </c>
      <c r="E1400" s="2" t="s">
        <v>517</v>
      </c>
      <c r="F1400" t="s">
        <v>3627</v>
      </c>
      <c r="G1400" t="str">
        <f>HYPERLINK("https://n.news.naver.com/mnews/article/052/0002209396?sid=101")</f>
        <v>https://n.news.naver.com/mnews/article/052/0002209396?sid=101</v>
      </c>
      <c r="H1400">
        <v>0.224</v>
      </c>
    </row>
    <row r="1401" spans="1:8" x14ac:dyDescent="0.3">
      <c r="A1401" t="s">
        <v>3284</v>
      </c>
      <c r="B1401" t="s">
        <v>26951</v>
      </c>
      <c r="C1401" t="s">
        <v>3631</v>
      </c>
      <c r="D1401" t="s">
        <v>3630</v>
      </c>
      <c r="E1401" s="2" t="s">
        <v>517</v>
      </c>
      <c r="F1401" t="s">
        <v>505</v>
      </c>
      <c r="G1401" t="str">
        <f>HYPERLINK("http://www.sisaon.co.kr/news/articleView.html?idxno=172250")</f>
        <v>http://www.sisaon.co.kr/news/articleView.html?idxno=172250</v>
      </c>
      <c r="H1401">
        <v>0.39900000000000002</v>
      </c>
    </row>
    <row r="1402" spans="1:8" x14ac:dyDescent="0.3">
      <c r="A1402" t="s">
        <v>3284</v>
      </c>
      <c r="B1402" t="s">
        <v>26951</v>
      </c>
      <c r="C1402" t="s">
        <v>3634</v>
      </c>
      <c r="D1402" t="s">
        <v>3633</v>
      </c>
      <c r="E1402" s="2" t="s">
        <v>517</v>
      </c>
      <c r="F1402" t="s">
        <v>3632</v>
      </c>
      <c r="G1402" t="str">
        <f>HYPERLINK("https://n.news.naver.com/mnews/article/011/0004496490?sid=101")</f>
        <v>https://n.news.naver.com/mnews/article/011/0004496490?sid=101</v>
      </c>
      <c r="H1402">
        <v>0.20799999999999999</v>
      </c>
    </row>
    <row r="1403" spans="1:8" x14ac:dyDescent="0.3">
      <c r="A1403" t="s">
        <v>3284</v>
      </c>
      <c r="B1403" t="s">
        <v>26951</v>
      </c>
      <c r="C1403" t="s">
        <v>3636</v>
      </c>
      <c r="D1403" t="s">
        <v>3635</v>
      </c>
      <c r="E1403" s="2" t="s">
        <v>538</v>
      </c>
      <c r="F1403" t="s">
        <v>197</v>
      </c>
      <c r="G1403" t="str">
        <f>HYPERLINK("https://www.apnews.kr/news/articleView.html?idxno=3008189")</f>
        <v>https://www.apnews.kr/news/articleView.html?idxno=3008189</v>
      </c>
      <c r="H1403">
        <v>0.35399999999999998</v>
      </c>
    </row>
    <row r="1404" spans="1:8" x14ac:dyDescent="0.3">
      <c r="A1404" t="s">
        <v>3284</v>
      </c>
      <c r="B1404" t="s">
        <v>26951</v>
      </c>
      <c r="C1404" t="s">
        <v>3638</v>
      </c>
      <c r="D1404" t="s">
        <v>3637</v>
      </c>
      <c r="E1404" s="2" t="s">
        <v>538</v>
      </c>
      <c r="F1404" t="s">
        <v>197</v>
      </c>
      <c r="G1404" t="str">
        <f>HYPERLINK("https://n.news.naver.com/mnews/article/052/0001748911?sid=100")</f>
        <v>https://n.news.naver.com/mnews/article/052/0001748911?sid=100</v>
      </c>
      <c r="H1404">
        <v>0.25</v>
      </c>
    </row>
    <row r="1405" spans="1:8" x14ac:dyDescent="0.3">
      <c r="A1405" t="s">
        <v>3284</v>
      </c>
      <c r="B1405" t="s">
        <v>26951</v>
      </c>
      <c r="C1405" t="s">
        <v>3641</v>
      </c>
      <c r="D1405" t="s">
        <v>3640</v>
      </c>
      <c r="E1405" s="2" t="s">
        <v>538</v>
      </c>
      <c r="F1405" t="s">
        <v>3639</v>
      </c>
      <c r="G1405" t="str">
        <f>HYPERLINK("http://www.ifs.or.kr/bbs/board.php?bo_table=News&amp;wr_id=55037")</f>
        <v>http://www.ifs.or.kr/bbs/board.php?bo_table=News&amp;wr_id=55037</v>
      </c>
      <c r="H1405">
        <v>0.54400000000000004</v>
      </c>
    </row>
    <row r="1406" spans="1:8" x14ac:dyDescent="0.3">
      <c r="A1406" t="s">
        <v>3284</v>
      </c>
      <c r="B1406" t="s">
        <v>26951</v>
      </c>
      <c r="C1406" t="s">
        <v>3644</v>
      </c>
      <c r="D1406" t="s">
        <v>3643</v>
      </c>
      <c r="E1406" s="2" t="s">
        <v>538</v>
      </c>
      <c r="F1406" t="s">
        <v>3642</v>
      </c>
      <c r="G1406" t="str">
        <f>HYPERLINK("https://www.paxnetnews.com/articles/85174")</f>
        <v>https://www.paxnetnews.com/articles/85174</v>
      </c>
      <c r="H1406">
        <v>0.495</v>
      </c>
    </row>
    <row r="1407" spans="1:8" x14ac:dyDescent="0.3">
      <c r="A1407" t="s">
        <v>3284</v>
      </c>
      <c r="B1407" t="s">
        <v>26951</v>
      </c>
      <c r="C1407" t="s">
        <v>3647</v>
      </c>
      <c r="D1407" t="s">
        <v>3646</v>
      </c>
      <c r="E1407" s="2" t="s">
        <v>538</v>
      </c>
      <c r="F1407" t="s">
        <v>3645</v>
      </c>
      <c r="G1407" t="str">
        <f>HYPERLINK("https://www.etoday.co.kr/news/view/2469564")</f>
        <v>https://www.etoday.co.kr/news/view/2469564</v>
      </c>
      <c r="H1407">
        <v>0.4</v>
      </c>
    </row>
    <row r="1408" spans="1:8" x14ac:dyDescent="0.3">
      <c r="A1408" t="s">
        <v>3284</v>
      </c>
      <c r="B1408" t="s">
        <v>26951</v>
      </c>
      <c r="C1408" t="s">
        <v>3650</v>
      </c>
      <c r="D1408" t="s">
        <v>3649</v>
      </c>
      <c r="E1408" s="2" t="s">
        <v>538</v>
      </c>
      <c r="F1408" t="s">
        <v>3648</v>
      </c>
      <c r="G1408" t="str">
        <f>HYPERLINK("http://theviewers.co.kr/View.aspx?No=2180964")</f>
        <v>http://theviewers.co.kr/View.aspx?No=2180964</v>
      </c>
      <c r="H1408">
        <v>0.32600000000000001</v>
      </c>
    </row>
    <row r="1409" spans="1:8" x14ac:dyDescent="0.3">
      <c r="A1409" t="s">
        <v>3284</v>
      </c>
      <c r="B1409" t="s">
        <v>26951</v>
      </c>
      <c r="C1409" t="s">
        <v>3652</v>
      </c>
      <c r="D1409" t="s">
        <v>3651</v>
      </c>
      <c r="E1409" s="2" t="s">
        <v>538</v>
      </c>
      <c r="F1409" t="s">
        <v>3291</v>
      </c>
      <c r="G1409" t="str">
        <f>HYPERLINK("http://www.ktnews.com/news/articleView.html?idxno=139475")</f>
        <v>http://www.ktnews.com/news/articleView.html?idxno=139475</v>
      </c>
      <c r="H1409">
        <v>0.78700000000000003</v>
      </c>
    </row>
    <row r="1410" spans="1:8" x14ac:dyDescent="0.3">
      <c r="A1410" t="s">
        <v>3284</v>
      </c>
      <c r="B1410" t="s">
        <v>26951</v>
      </c>
      <c r="C1410" t="s">
        <v>3655</v>
      </c>
      <c r="D1410" t="s">
        <v>3654</v>
      </c>
      <c r="E1410" s="2" t="s">
        <v>538</v>
      </c>
      <c r="F1410" t="s">
        <v>3653</v>
      </c>
      <c r="G1410" t="str">
        <f>HYPERLINK("http://www.00news.co.kr/news/articleView.html?idxno=92860")</f>
        <v>http://www.00news.co.kr/news/articleView.html?idxno=92860</v>
      </c>
      <c r="H1410">
        <v>0.5</v>
      </c>
    </row>
    <row r="1411" spans="1:8" x14ac:dyDescent="0.3">
      <c r="A1411" t="s">
        <v>3284</v>
      </c>
      <c r="B1411" t="s">
        <v>26951</v>
      </c>
      <c r="C1411" t="s">
        <v>3657</v>
      </c>
      <c r="D1411" t="s">
        <v>3656</v>
      </c>
      <c r="E1411" s="2" t="s">
        <v>538</v>
      </c>
      <c r="F1411" t="s">
        <v>3470</v>
      </c>
      <c r="G1411" t="str">
        <f>HYPERLINK("http://www.newsmp.com/news/articleView.html?idxno=247196")</f>
        <v>http://www.newsmp.com/news/articleView.html?idxno=247196</v>
      </c>
      <c r="H1411">
        <v>0.505</v>
      </c>
    </row>
    <row r="1412" spans="1:8" x14ac:dyDescent="0.3">
      <c r="A1412" t="s">
        <v>3284</v>
      </c>
      <c r="B1412" t="s">
        <v>26951</v>
      </c>
      <c r="C1412" t="s">
        <v>3659</v>
      </c>
      <c r="D1412" t="s">
        <v>3658</v>
      </c>
      <c r="E1412" s="2" t="s">
        <v>538</v>
      </c>
      <c r="F1412" t="s">
        <v>411</v>
      </c>
      <c r="G1412" t="str">
        <f>HYPERLINK("http://www.newspim.com/news/view/20220728000067")</f>
        <v>http://www.newspim.com/news/view/20220728000067</v>
      </c>
      <c r="H1412">
        <v>0.36499999999999999</v>
      </c>
    </row>
    <row r="1413" spans="1:8" x14ac:dyDescent="0.3">
      <c r="A1413" t="s">
        <v>3284</v>
      </c>
      <c r="B1413" t="s">
        <v>26951</v>
      </c>
      <c r="C1413" t="s">
        <v>3662</v>
      </c>
      <c r="D1413" t="s">
        <v>3661</v>
      </c>
      <c r="E1413" s="2" t="s">
        <v>538</v>
      </c>
      <c r="F1413" t="s">
        <v>3660</v>
      </c>
      <c r="G1413" t="str">
        <f>HYPERLINK("https://n.news.naver.com/mnews/article/011/0004502891?sid=104")</f>
        <v>https://n.news.naver.com/mnews/article/011/0004502891?sid=104</v>
      </c>
      <c r="H1413">
        <v>0.107</v>
      </c>
    </row>
    <row r="1414" spans="1:8" x14ac:dyDescent="0.3">
      <c r="A1414" t="s">
        <v>3284</v>
      </c>
      <c r="B1414" t="s">
        <v>26951</v>
      </c>
      <c r="C1414" t="s">
        <v>3665</v>
      </c>
      <c r="D1414" t="s">
        <v>3664</v>
      </c>
      <c r="E1414" s="2" t="s">
        <v>538</v>
      </c>
      <c r="F1414" t="s">
        <v>3663</v>
      </c>
      <c r="G1414" t="str">
        <f>HYPERLINK("http://www.ggilbo.com/news/articleView.html?idxno=885684")</f>
        <v>http://www.ggilbo.com/news/articleView.html?idxno=885684</v>
      </c>
      <c r="H1414">
        <v>0.32900000000000001</v>
      </c>
    </row>
    <row r="1415" spans="1:8" x14ac:dyDescent="0.3">
      <c r="A1415" t="s">
        <v>3284</v>
      </c>
      <c r="B1415" t="s">
        <v>26951</v>
      </c>
      <c r="C1415" t="s">
        <v>3668</v>
      </c>
      <c r="D1415" t="s">
        <v>3667</v>
      </c>
      <c r="E1415" s="2" t="s">
        <v>538</v>
      </c>
      <c r="F1415" t="s">
        <v>3666</v>
      </c>
      <c r="G1415" t="str">
        <f>HYPERLINK("http://www.jeonmin.co.kr/news/articleView.html?idxno=418481")</f>
        <v>http://www.jeonmin.co.kr/news/articleView.html?idxno=418481</v>
      </c>
      <c r="H1415">
        <v>0.52700000000000002</v>
      </c>
    </row>
    <row r="1416" spans="1:8" x14ac:dyDescent="0.3">
      <c r="A1416" t="s">
        <v>3284</v>
      </c>
      <c r="B1416" t="s">
        <v>26951</v>
      </c>
      <c r="C1416" t="s">
        <v>3670</v>
      </c>
      <c r="D1416" t="s">
        <v>3669</v>
      </c>
      <c r="E1416" s="2" t="s">
        <v>538</v>
      </c>
      <c r="F1416" t="s">
        <v>3624</v>
      </c>
      <c r="G1416" t="str">
        <f>HYPERLINK("http://www.ttlnews.com/article/travel_report/17366")</f>
        <v>http://www.ttlnews.com/article/travel_report/17366</v>
      </c>
      <c r="H1416">
        <v>0.38900000000000001</v>
      </c>
    </row>
    <row r="1417" spans="1:8" x14ac:dyDescent="0.3">
      <c r="A1417" t="s">
        <v>3284</v>
      </c>
      <c r="B1417" t="s">
        <v>26951</v>
      </c>
      <c r="C1417" t="s">
        <v>3672</v>
      </c>
      <c r="D1417" t="s">
        <v>3671</v>
      </c>
      <c r="E1417" s="2" t="s">
        <v>538</v>
      </c>
      <c r="F1417" t="s">
        <v>505</v>
      </c>
      <c r="G1417" t="str">
        <f>HYPERLINK("http://www.sisaon.co.kr/news/articleView.html?idxno=172250")</f>
        <v>http://www.sisaon.co.kr/news/articleView.html?idxno=172250</v>
      </c>
      <c r="H1417">
        <v>0.38400000000000001</v>
      </c>
    </row>
    <row r="1418" spans="1:8" x14ac:dyDescent="0.3">
      <c r="A1418" t="s">
        <v>3284</v>
      </c>
      <c r="B1418" t="s">
        <v>26951</v>
      </c>
      <c r="C1418" t="s">
        <v>3675</v>
      </c>
      <c r="D1418" t="s">
        <v>3674</v>
      </c>
      <c r="E1418" s="2" t="s">
        <v>481</v>
      </c>
      <c r="F1418" t="s">
        <v>3673</v>
      </c>
      <c r="G1418" t="str">
        <f>HYPERLINK("https://news.bbsi.co.kr/news/articleView.html?idxno=4036061")</f>
        <v>https://news.bbsi.co.kr/news/articleView.html?idxno=4036061</v>
      </c>
      <c r="H1418">
        <v>0.61099999999999999</v>
      </c>
    </row>
    <row r="1419" spans="1:8" x14ac:dyDescent="0.3">
      <c r="A1419" t="s">
        <v>3284</v>
      </c>
      <c r="B1419" t="s">
        <v>26951</v>
      </c>
      <c r="C1419" t="s">
        <v>3678</v>
      </c>
      <c r="D1419" t="s">
        <v>3677</v>
      </c>
      <c r="E1419" s="2" t="s">
        <v>481</v>
      </c>
      <c r="F1419" t="s">
        <v>3676</v>
      </c>
      <c r="G1419" t="str">
        <f>HYPERLINK("https://n.news.naver.com/mnews/article/018/0002546264?sid=101")</f>
        <v>https://n.news.naver.com/mnews/article/018/0002546264?sid=101</v>
      </c>
      <c r="H1419">
        <v>0.24199999999999999</v>
      </c>
    </row>
    <row r="1420" spans="1:8" x14ac:dyDescent="0.3">
      <c r="A1420" t="s">
        <v>3284</v>
      </c>
      <c r="B1420" t="s">
        <v>26951</v>
      </c>
      <c r="C1420" t="s">
        <v>3681</v>
      </c>
      <c r="D1420" t="s">
        <v>3680</v>
      </c>
      <c r="E1420" s="2" t="s">
        <v>481</v>
      </c>
      <c r="F1420" t="s">
        <v>3679</v>
      </c>
      <c r="G1420" t="str">
        <f>HYPERLINK("http://www.naeil.com/news_view/?id_art=455483")</f>
        <v>http://www.naeil.com/news_view/?id_art=455483</v>
      </c>
      <c r="H1420">
        <v>0.47799999999999998</v>
      </c>
    </row>
    <row r="1421" spans="1:8" x14ac:dyDescent="0.3">
      <c r="A1421" t="s">
        <v>3284</v>
      </c>
      <c r="B1421" t="s">
        <v>26951</v>
      </c>
      <c r="C1421" t="s">
        <v>3683</v>
      </c>
      <c r="D1421" t="s">
        <v>3682</v>
      </c>
      <c r="E1421" s="2" t="s">
        <v>481</v>
      </c>
      <c r="F1421" t="s">
        <v>1882</v>
      </c>
      <c r="G1421" t="str">
        <f>HYPERLINK("https://n.news.naver.com/mnews/article/011/0003865494?sid=101")</f>
        <v>https://n.news.naver.com/mnews/article/011/0003865494?sid=101</v>
      </c>
      <c r="H1421">
        <v>0.16800000000000001</v>
      </c>
    </row>
    <row r="1422" spans="1:8" x14ac:dyDescent="0.3">
      <c r="A1422" t="s">
        <v>3284</v>
      </c>
      <c r="B1422" t="s">
        <v>26951</v>
      </c>
      <c r="C1422" t="s">
        <v>3685</v>
      </c>
      <c r="D1422" t="s">
        <v>3684</v>
      </c>
      <c r="E1422" s="2" t="s">
        <v>481</v>
      </c>
      <c r="F1422" t="s">
        <v>332</v>
      </c>
      <c r="G1422" t="str">
        <f>HYPERLINK("https://www.etoday.co.kr/news/view/2473332")</f>
        <v>https://www.etoday.co.kr/news/view/2473332</v>
      </c>
      <c r="H1422">
        <v>0.69899999999999995</v>
      </c>
    </row>
    <row r="1423" spans="1:8" x14ac:dyDescent="0.3">
      <c r="A1423" t="s">
        <v>3284</v>
      </c>
      <c r="B1423" t="s">
        <v>26951</v>
      </c>
      <c r="C1423" t="s">
        <v>3687</v>
      </c>
      <c r="D1423" t="s">
        <v>3686</v>
      </c>
      <c r="E1423" s="2" t="s">
        <v>481</v>
      </c>
      <c r="F1423" t="s">
        <v>411</v>
      </c>
      <c r="G1423" t="str">
        <f>HYPERLINK("https://n.news.naver.com/mnews/article/081/0003552929?sid=102")</f>
        <v>https://n.news.naver.com/mnews/article/081/0003552929?sid=102</v>
      </c>
      <c r="H1423">
        <v>0.34899999999999998</v>
      </c>
    </row>
    <row r="1424" spans="1:8" x14ac:dyDescent="0.3">
      <c r="A1424" t="s">
        <v>3284</v>
      </c>
      <c r="B1424" t="s">
        <v>26951</v>
      </c>
      <c r="C1424" t="s">
        <v>3690</v>
      </c>
      <c r="D1424" t="s">
        <v>3689</v>
      </c>
      <c r="E1424" s="2" t="s">
        <v>481</v>
      </c>
      <c r="F1424" t="s">
        <v>3688</v>
      </c>
      <c r="G1424" t="str">
        <f>HYPERLINK("https://n.news.naver.com/mnews/article/079/0004032382?sid=104")</f>
        <v>https://n.news.naver.com/mnews/article/079/0004032382?sid=104</v>
      </c>
      <c r="H1424">
        <v>0.23300000000000001</v>
      </c>
    </row>
    <row r="1425" spans="1:8" x14ac:dyDescent="0.3">
      <c r="A1425" t="s">
        <v>3284</v>
      </c>
      <c r="B1425" t="s">
        <v>26951</v>
      </c>
      <c r="C1425" t="s">
        <v>3693</v>
      </c>
      <c r="D1425" t="s">
        <v>3692</v>
      </c>
      <c r="E1425" s="2" t="s">
        <v>481</v>
      </c>
      <c r="F1425" t="s">
        <v>3691</v>
      </c>
      <c r="G1425" t="str">
        <f>HYPERLINK("http://www.housingherald.co.kr/news/articleView.html?idxno=50271")</f>
        <v>http://www.housingherald.co.kr/news/articleView.html?idxno=50271</v>
      </c>
      <c r="H1425">
        <v>0.52200000000000002</v>
      </c>
    </row>
    <row r="1426" spans="1:8" x14ac:dyDescent="0.3">
      <c r="A1426" t="s">
        <v>3284</v>
      </c>
      <c r="B1426" t="s">
        <v>26951</v>
      </c>
      <c r="C1426" t="s">
        <v>3695</v>
      </c>
      <c r="D1426" t="s">
        <v>3694</v>
      </c>
      <c r="E1426" s="2" t="s">
        <v>502</v>
      </c>
      <c r="F1426" t="s">
        <v>137</v>
      </c>
      <c r="G1426" t="str">
        <f>HYPERLINK("https://n.news.naver.com/mnews/article/056/0010852302?sid=102")</f>
        <v>https://n.news.naver.com/mnews/article/056/0010852302?sid=102</v>
      </c>
      <c r="H1426">
        <v>0.129</v>
      </c>
    </row>
    <row r="1427" spans="1:8" x14ac:dyDescent="0.3">
      <c r="A1427" t="s">
        <v>3284</v>
      </c>
      <c r="B1427" t="s">
        <v>26951</v>
      </c>
      <c r="C1427" t="s">
        <v>3697</v>
      </c>
      <c r="D1427" t="s">
        <v>3696</v>
      </c>
      <c r="E1427" s="2" t="s">
        <v>502</v>
      </c>
      <c r="F1427" t="s">
        <v>737</v>
      </c>
      <c r="G1427" t="str">
        <f>HYPERLINK("https://www.theguru.co.kr/news/article.html?no=85200")</f>
        <v>https://www.theguru.co.kr/news/article.html?no=85200</v>
      </c>
      <c r="H1427">
        <v>0.28799999999999998</v>
      </c>
    </row>
    <row r="1428" spans="1:8" x14ac:dyDescent="0.3">
      <c r="A1428" t="s">
        <v>3284</v>
      </c>
      <c r="B1428" t="s">
        <v>26951</v>
      </c>
      <c r="C1428" t="s">
        <v>3699</v>
      </c>
      <c r="D1428" t="s">
        <v>3698</v>
      </c>
      <c r="E1428" s="2" t="s">
        <v>502</v>
      </c>
      <c r="F1428" t="s">
        <v>2385</v>
      </c>
      <c r="G1428" t="str">
        <f>HYPERLINK("https://jhealthmedia.joins.com/news/articleView.html?idxno=30576")</f>
        <v>https://jhealthmedia.joins.com/news/articleView.html?idxno=30576</v>
      </c>
      <c r="H1428">
        <v>0.28599999999999998</v>
      </c>
    </row>
    <row r="1429" spans="1:8" x14ac:dyDescent="0.3">
      <c r="A1429" t="s">
        <v>3284</v>
      </c>
      <c r="B1429" t="s">
        <v>26951</v>
      </c>
      <c r="C1429" t="s">
        <v>3701</v>
      </c>
      <c r="D1429" t="s">
        <v>3700</v>
      </c>
      <c r="E1429" s="2" t="s">
        <v>502</v>
      </c>
      <c r="F1429" t="s">
        <v>1579</v>
      </c>
      <c r="G1429" t="str">
        <f>HYPERLINK("https://www.gokorea.kr/news/articleView.html?idxno=824057")</f>
        <v>https://www.gokorea.kr/news/articleView.html?idxno=824057</v>
      </c>
      <c r="H1429">
        <v>0.314</v>
      </c>
    </row>
    <row r="1430" spans="1:8" x14ac:dyDescent="0.3">
      <c r="A1430" t="s">
        <v>3284</v>
      </c>
      <c r="B1430" t="s">
        <v>26951</v>
      </c>
      <c r="C1430" t="s">
        <v>3703</v>
      </c>
      <c r="D1430" t="s">
        <v>3702</v>
      </c>
      <c r="E1430" s="2" t="s">
        <v>502</v>
      </c>
      <c r="F1430" t="s">
        <v>1625</v>
      </c>
      <c r="G1430" t="str">
        <f>HYPERLINK("https://www.jjan.kr/article/20250629580012")</f>
        <v>https://www.jjan.kr/article/20250629580012</v>
      </c>
      <c r="H1430">
        <v>0.23699999999999999</v>
      </c>
    </row>
    <row r="1431" spans="1:8" x14ac:dyDescent="0.3">
      <c r="A1431" t="s">
        <v>3284</v>
      </c>
      <c r="B1431" t="s">
        <v>26951</v>
      </c>
      <c r="C1431" t="s">
        <v>3706</v>
      </c>
      <c r="D1431" t="s">
        <v>3705</v>
      </c>
      <c r="E1431" s="2" t="s">
        <v>502</v>
      </c>
      <c r="F1431" t="s">
        <v>3704</v>
      </c>
      <c r="G1431" t="str">
        <f>HYPERLINK("http://www.biztribune.co.kr/news/articleView.html?idxno=331070")</f>
        <v>http://www.biztribune.co.kr/news/articleView.html?idxno=331070</v>
      </c>
      <c r="H1431">
        <v>0.48799999999999999</v>
      </c>
    </row>
    <row r="1432" spans="1:8" x14ac:dyDescent="0.3">
      <c r="A1432" t="s">
        <v>3284</v>
      </c>
      <c r="B1432" t="s">
        <v>26951</v>
      </c>
      <c r="C1432" t="s">
        <v>3708</v>
      </c>
      <c r="D1432" t="s">
        <v>3707</v>
      </c>
      <c r="E1432" s="2" t="s">
        <v>502</v>
      </c>
      <c r="F1432" t="s">
        <v>411</v>
      </c>
      <c r="G1432" t="str">
        <f>HYPERLINK("https://n.news.naver.com/mnews/article/011/0004171218?sid=101")</f>
        <v>https://n.news.naver.com/mnews/article/011/0004171218?sid=101</v>
      </c>
      <c r="H1432">
        <v>0.315</v>
      </c>
    </row>
    <row r="1433" spans="1:8" x14ac:dyDescent="0.3">
      <c r="A1433" t="s">
        <v>3284</v>
      </c>
      <c r="B1433" t="s">
        <v>26951</v>
      </c>
      <c r="C1433" t="s">
        <v>3710</v>
      </c>
      <c r="D1433" t="s">
        <v>3709</v>
      </c>
      <c r="E1433" s="2" t="s">
        <v>502</v>
      </c>
      <c r="F1433" t="s">
        <v>1957</v>
      </c>
      <c r="G1433" t="str">
        <f>HYPERLINK("https://n.news.naver.com/mnews/article/018/0006048760?sid=102")</f>
        <v>https://n.news.naver.com/mnews/article/018/0006048760?sid=102</v>
      </c>
      <c r="H1433">
        <v>0.26100000000000001</v>
      </c>
    </row>
    <row r="1434" spans="1:8" x14ac:dyDescent="0.3">
      <c r="A1434" t="s">
        <v>3284</v>
      </c>
      <c r="B1434" t="s">
        <v>26951</v>
      </c>
      <c r="C1434" t="s">
        <v>3712</v>
      </c>
      <c r="D1434" t="s">
        <v>3711</v>
      </c>
      <c r="E1434" s="2" t="s">
        <v>502</v>
      </c>
      <c r="F1434" t="s">
        <v>1622</v>
      </c>
      <c r="G1434" t="str">
        <f>HYPERLINK("https://n.news.naver.com/mnews/article/277/0005607404?sid=105")</f>
        <v>https://n.news.naver.com/mnews/article/277/0005607404?sid=105</v>
      </c>
      <c r="H1434">
        <v>0.224</v>
      </c>
    </row>
    <row r="1435" spans="1:8" x14ac:dyDescent="0.3">
      <c r="A1435" t="s">
        <v>3284</v>
      </c>
      <c r="B1435" t="s">
        <v>26951</v>
      </c>
      <c r="C1435" t="s">
        <v>3715</v>
      </c>
      <c r="D1435" t="s">
        <v>3714</v>
      </c>
      <c r="E1435" s="2" t="s">
        <v>502</v>
      </c>
      <c r="F1435" t="s">
        <v>3713</v>
      </c>
      <c r="G1435" t="str">
        <f>HYPERLINK("http://www.00news.co.kr/news/articleView.html?idxno=92916")</f>
        <v>http://www.00news.co.kr/news/articleView.html?idxno=92916</v>
      </c>
      <c r="H1435">
        <v>0.438</v>
      </c>
    </row>
    <row r="1436" spans="1:8" x14ac:dyDescent="0.3">
      <c r="A1436" t="s">
        <v>3284</v>
      </c>
      <c r="B1436" t="s">
        <v>26951</v>
      </c>
      <c r="C1436" t="s">
        <v>3717</v>
      </c>
      <c r="D1436" t="s">
        <v>3716</v>
      </c>
      <c r="E1436" s="2" t="s">
        <v>418</v>
      </c>
      <c r="F1436" t="s">
        <v>197</v>
      </c>
      <c r="G1436" t="str">
        <f>HYPERLINK("https://n.news.naver.com/mnews/article/011/0003303089?sid=100")</f>
        <v>https://n.news.naver.com/mnews/article/011/0003303089?sid=100</v>
      </c>
      <c r="H1436">
        <v>0.25900000000000001</v>
      </c>
    </row>
    <row r="1437" spans="1:8" x14ac:dyDescent="0.3">
      <c r="A1437" t="s">
        <v>3284</v>
      </c>
      <c r="B1437" t="s">
        <v>26951</v>
      </c>
      <c r="C1437" t="s">
        <v>3719</v>
      </c>
      <c r="D1437" t="s">
        <v>3718</v>
      </c>
      <c r="E1437" s="2" t="s">
        <v>418</v>
      </c>
      <c r="F1437" t="s">
        <v>197</v>
      </c>
      <c r="G1437" t="str">
        <f>HYPERLINK("http://www.newspim.com/news/view/20211213000701")</f>
        <v>http://www.newspim.com/news/view/20211213000701</v>
      </c>
      <c r="H1437">
        <v>0.56200000000000006</v>
      </c>
    </row>
    <row r="1438" spans="1:8" x14ac:dyDescent="0.3">
      <c r="A1438" t="s">
        <v>3284</v>
      </c>
      <c r="B1438" t="s">
        <v>26951</v>
      </c>
      <c r="C1438" t="s">
        <v>3721</v>
      </c>
      <c r="D1438" t="s">
        <v>3720</v>
      </c>
      <c r="E1438" s="2" t="s">
        <v>418</v>
      </c>
      <c r="F1438" t="s">
        <v>689</v>
      </c>
      <c r="G1438" t="str">
        <f>HYPERLINK("https://n.news.naver.com/mnews/article/052/0002210525?sid=100")</f>
        <v>https://n.news.naver.com/mnews/article/052/0002210525?sid=100</v>
      </c>
      <c r="H1438">
        <v>0.24</v>
      </c>
    </row>
    <row r="1439" spans="1:8" x14ac:dyDescent="0.3">
      <c r="A1439" t="s">
        <v>3284</v>
      </c>
      <c r="B1439" t="s">
        <v>26951</v>
      </c>
      <c r="C1439" t="s">
        <v>3724</v>
      </c>
      <c r="D1439" t="s">
        <v>3723</v>
      </c>
      <c r="E1439" s="2" t="s">
        <v>418</v>
      </c>
      <c r="F1439" t="s">
        <v>3676</v>
      </c>
      <c r="G1439" t="str">
        <f>HYPERLINK("https://n.news.naver.com/mnews/article/011/0004498039?sid=101")</f>
        <v>https://n.news.naver.com/mnews/article/011/0004498039?sid=101</v>
      </c>
      <c r="H1439">
        <v>0.19700000000000001</v>
      </c>
    </row>
    <row r="1440" spans="1:8" x14ac:dyDescent="0.3">
      <c r="A1440" t="s">
        <v>3284</v>
      </c>
      <c r="B1440" t="s">
        <v>26951</v>
      </c>
      <c r="C1440" t="s">
        <v>3727</v>
      </c>
      <c r="D1440" t="s">
        <v>3726</v>
      </c>
      <c r="E1440" s="2" t="s">
        <v>418</v>
      </c>
      <c r="F1440" t="s">
        <v>3725</v>
      </c>
      <c r="G1440" t="str">
        <f>HYPERLINK("https://www.sentv.co.kr/article/view/sentv202506230134")</f>
        <v>https://www.sentv.co.kr/article/view/sentv202506230134</v>
      </c>
      <c r="H1440">
        <v>5.1999999999999998E-2</v>
      </c>
    </row>
    <row r="1441" spans="1:8" x14ac:dyDescent="0.3">
      <c r="A1441" t="s">
        <v>3284</v>
      </c>
      <c r="B1441" t="s">
        <v>26951</v>
      </c>
      <c r="C1441" t="s">
        <v>3730</v>
      </c>
      <c r="D1441" t="s">
        <v>3729</v>
      </c>
      <c r="E1441" s="2" t="s">
        <v>418</v>
      </c>
      <c r="F1441" t="s">
        <v>3728</v>
      </c>
      <c r="G1441" t="str">
        <f>HYPERLINK("https://n.news.naver.com/mnews/article/011/0003799374?sid=102")</f>
        <v>https://n.news.naver.com/mnews/article/011/0003799374?sid=102</v>
      </c>
      <c r="H1441">
        <v>0.19700000000000001</v>
      </c>
    </row>
    <row r="1442" spans="1:8" x14ac:dyDescent="0.3">
      <c r="A1442" t="s">
        <v>3284</v>
      </c>
      <c r="B1442" t="s">
        <v>26951</v>
      </c>
      <c r="C1442" t="s">
        <v>3733</v>
      </c>
      <c r="D1442" t="s">
        <v>3732</v>
      </c>
      <c r="E1442" s="2" t="s">
        <v>418</v>
      </c>
      <c r="F1442" t="s">
        <v>3731</v>
      </c>
      <c r="G1442" t="str">
        <f>HYPERLINK("https://daily.hankooki.com/news/articleView.html?idxno=1230298")</f>
        <v>https://daily.hankooki.com/news/articleView.html?idxno=1230298</v>
      </c>
      <c r="H1442">
        <v>0.83099999999999996</v>
      </c>
    </row>
    <row r="1443" spans="1:8" x14ac:dyDescent="0.3">
      <c r="A1443" t="s">
        <v>3284</v>
      </c>
      <c r="B1443" t="s">
        <v>26951</v>
      </c>
      <c r="C1443" t="s">
        <v>3735</v>
      </c>
      <c r="D1443" t="s">
        <v>3734</v>
      </c>
      <c r="E1443" s="2" t="s">
        <v>418</v>
      </c>
      <c r="F1443" t="s">
        <v>14</v>
      </c>
      <c r="G1443" t="str">
        <f>HYPERLINK("https://n.news.naver.com/mnews/article/011/0004497697?sid=101")</f>
        <v>https://n.news.naver.com/mnews/article/011/0004497697?sid=101</v>
      </c>
      <c r="H1443">
        <v>0.115</v>
      </c>
    </row>
    <row r="1444" spans="1:8" x14ac:dyDescent="0.3">
      <c r="A1444" t="s">
        <v>3284</v>
      </c>
      <c r="B1444" t="s">
        <v>26951</v>
      </c>
      <c r="C1444" t="s">
        <v>3737</v>
      </c>
      <c r="D1444" t="s">
        <v>3736</v>
      </c>
      <c r="E1444" s="2" t="s">
        <v>418</v>
      </c>
      <c r="F1444" t="s">
        <v>1645</v>
      </c>
      <c r="G1444" t="str">
        <f>HYPERLINK("https://n.news.naver.com/mnews/article/011/0004497773?sid=101")</f>
        <v>https://n.news.naver.com/mnews/article/011/0004497773?sid=101</v>
      </c>
      <c r="H1444">
        <v>0.14499999999999999</v>
      </c>
    </row>
    <row r="1445" spans="1:8" x14ac:dyDescent="0.3">
      <c r="A1445" t="s">
        <v>3284</v>
      </c>
      <c r="B1445" t="s">
        <v>26951</v>
      </c>
      <c r="C1445" t="s">
        <v>3740</v>
      </c>
      <c r="D1445" t="s">
        <v>3739</v>
      </c>
      <c r="E1445" s="2" t="s">
        <v>418</v>
      </c>
      <c r="F1445" t="s">
        <v>3738</v>
      </c>
      <c r="G1445" t="str">
        <f>HYPERLINK("https://n.news.naver.com/mnews/article/011/0002835691?sid=101")</f>
        <v>https://n.news.naver.com/mnews/article/011/0002835691?sid=101</v>
      </c>
      <c r="H1445">
        <v>0.38400000000000001</v>
      </c>
    </row>
    <row r="1446" spans="1:8" x14ac:dyDescent="0.3">
      <c r="A1446" t="s">
        <v>3284</v>
      </c>
      <c r="B1446" t="s">
        <v>26951</v>
      </c>
      <c r="C1446" t="s">
        <v>3742</v>
      </c>
      <c r="D1446" t="s">
        <v>3741</v>
      </c>
      <c r="E1446" s="2" t="s">
        <v>418</v>
      </c>
      <c r="F1446" t="s">
        <v>411</v>
      </c>
      <c r="G1446" t="str">
        <f>HYPERLINK("http://www.newspim.com/news/view/20220517000036")</f>
        <v>http://www.newspim.com/news/view/20220517000036</v>
      </c>
      <c r="H1446">
        <v>0.313</v>
      </c>
    </row>
    <row r="1447" spans="1:8" x14ac:dyDescent="0.3">
      <c r="A1447" t="s">
        <v>3284</v>
      </c>
      <c r="B1447" t="s">
        <v>26951</v>
      </c>
      <c r="C1447" t="s">
        <v>3744</v>
      </c>
      <c r="D1447" t="s">
        <v>3743</v>
      </c>
      <c r="E1447" s="2" t="s">
        <v>418</v>
      </c>
      <c r="F1447" t="s">
        <v>1242</v>
      </c>
      <c r="G1447" t="str">
        <f>HYPERLINK("http://www.biztribune.co.kr/news/articleView.html?idxno=336163")</f>
        <v>http://www.biztribune.co.kr/news/articleView.html?idxno=336163</v>
      </c>
      <c r="H1447">
        <v>0.314</v>
      </c>
    </row>
    <row r="1448" spans="1:8" x14ac:dyDescent="0.3">
      <c r="A1448" t="s">
        <v>3284</v>
      </c>
      <c r="B1448" t="s">
        <v>26951</v>
      </c>
      <c r="C1448" t="s">
        <v>3747</v>
      </c>
      <c r="D1448" t="s">
        <v>3746</v>
      </c>
      <c r="E1448" s="2" t="s">
        <v>418</v>
      </c>
      <c r="F1448" t="s">
        <v>3745</v>
      </c>
      <c r="G1448" t="str">
        <f>HYPERLINK("https://www.jeonmae.co.kr/news/articleView.html?idxno=1156900")</f>
        <v>https://www.jeonmae.co.kr/news/articleView.html?idxno=1156900</v>
      </c>
      <c r="H1448">
        <v>0.997</v>
      </c>
    </row>
    <row r="1449" spans="1:8" x14ac:dyDescent="0.3">
      <c r="A1449" t="s">
        <v>3284</v>
      </c>
      <c r="B1449" t="s">
        <v>26951</v>
      </c>
      <c r="C1449" t="s">
        <v>3749</v>
      </c>
      <c r="D1449" t="s">
        <v>3748</v>
      </c>
      <c r="E1449" s="2" t="s">
        <v>418</v>
      </c>
      <c r="F1449" t="s">
        <v>642</v>
      </c>
      <c r="G1449" t="str">
        <f>HYPERLINK("https://www.sisajournal-e.com/news/articleView.html?idxno=402653")</f>
        <v>https://www.sisajournal-e.com/news/articleView.html?idxno=402653</v>
      </c>
      <c r="H1449">
        <v>0.57999999999999996</v>
      </c>
    </row>
    <row r="1450" spans="1:8" x14ac:dyDescent="0.3">
      <c r="A1450" t="s">
        <v>3284</v>
      </c>
      <c r="B1450" t="s">
        <v>26951</v>
      </c>
      <c r="C1450" t="s">
        <v>3751</v>
      </c>
      <c r="D1450" t="s">
        <v>3750</v>
      </c>
      <c r="E1450" s="2" t="s">
        <v>418</v>
      </c>
      <c r="F1450" t="s">
        <v>256</v>
      </c>
      <c r="G1450" t="str">
        <f>HYPERLINK("https://weekly.hankooki.com/news/articleView.html?idxno=7117239")</f>
        <v>https://weekly.hankooki.com/news/articleView.html?idxno=7117239</v>
      </c>
      <c r="H1450">
        <v>0.14399999999999999</v>
      </c>
    </row>
    <row r="1451" spans="1:8" x14ac:dyDescent="0.3">
      <c r="A1451" t="s">
        <v>3284</v>
      </c>
      <c r="B1451" t="s">
        <v>26951</v>
      </c>
      <c r="C1451" t="s">
        <v>3753</v>
      </c>
      <c r="D1451" t="s">
        <v>3752</v>
      </c>
      <c r="E1451" s="2" t="s">
        <v>418</v>
      </c>
      <c r="F1451" t="s">
        <v>1660</v>
      </c>
      <c r="G1451" t="str">
        <f>HYPERLINK("https://n.news.naver.com/mnews/article/055/0000693051?sid=101")</f>
        <v>https://n.news.naver.com/mnews/article/055/0000693051?sid=101</v>
      </c>
      <c r="H1451">
        <v>0.36</v>
      </c>
    </row>
    <row r="1452" spans="1:8" x14ac:dyDescent="0.3">
      <c r="A1452" t="s">
        <v>3284</v>
      </c>
      <c r="B1452" t="s">
        <v>26951</v>
      </c>
      <c r="C1452" t="s">
        <v>3755</v>
      </c>
      <c r="D1452" t="s">
        <v>3754</v>
      </c>
      <c r="E1452" s="2" t="s">
        <v>418</v>
      </c>
      <c r="F1452" t="s">
        <v>1169</v>
      </c>
      <c r="G1452" t="str">
        <f>HYPERLINK("https://www.etoday.co.kr/news/view/2369636")</f>
        <v>https://www.etoday.co.kr/news/view/2369636</v>
      </c>
      <c r="H1452">
        <v>0.28000000000000003</v>
      </c>
    </row>
    <row r="1453" spans="1:8" x14ac:dyDescent="0.3">
      <c r="A1453" t="s">
        <v>3284</v>
      </c>
      <c r="B1453" t="s">
        <v>26951</v>
      </c>
      <c r="C1453" t="s">
        <v>3757</v>
      </c>
      <c r="D1453" t="s">
        <v>3756</v>
      </c>
      <c r="E1453" s="2" t="s">
        <v>418</v>
      </c>
      <c r="F1453" t="s">
        <v>505</v>
      </c>
      <c r="G1453" t="str">
        <f>HYPERLINK("http://www.sisaon.co.kr/news/articleView.html?idxno=172250")</f>
        <v>http://www.sisaon.co.kr/news/articleView.html?idxno=172250</v>
      </c>
      <c r="H1453">
        <v>0.435</v>
      </c>
    </row>
    <row r="1454" spans="1:8" x14ac:dyDescent="0.3">
      <c r="A1454" t="s">
        <v>3284</v>
      </c>
      <c r="B1454" t="s">
        <v>26951</v>
      </c>
      <c r="C1454" t="s">
        <v>3760</v>
      </c>
      <c r="D1454" t="s">
        <v>3759</v>
      </c>
      <c r="E1454" s="2" t="s">
        <v>418</v>
      </c>
      <c r="F1454" t="s">
        <v>3758</v>
      </c>
      <c r="G1454" t="str">
        <f>HYPERLINK("https://n.news.naver.com/mnews/article/002/0002315278?sid=101")</f>
        <v>https://n.news.naver.com/mnews/article/002/0002315278?sid=101</v>
      </c>
      <c r="H1454">
        <v>0.28100000000000003</v>
      </c>
    </row>
    <row r="1455" spans="1:8" x14ac:dyDescent="0.3">
      <c r="A1455" t="s">
        <v>3284</v>
      </c>
      <c r="B1455" t="s">
        <v>26951</v>
      </c>
      <c r="C1455" t="s">
        <v>3762</v>
      </c>
      <c r="D1455" t="s">
        <v>3761</v>
      </c>
      <c r="E1455" s="2" t="s">
        <v>418</v>
      </c>
      <c r="F1455" t="s">
        <v>1705</v>
      </c>
      <c r="G1455" t="str">
        <f>HYPERLINK("https://www.danbinews.com/news/articleView.html?idxno=30962")</f>
        <v>https://www.danbinews.com/news/articleView.html?idxno=30962</v>
      </c>
      <c r="H1455">
        <v>0.23200000000000001</v>
      </c>
    </row>
    <row r="1456" spans="1:8" x14ac:dyDescent="0.3">
      <c r="A1456" t="s">
        <v>3284</v>
      </c>
      <c r="B1456" t="s">
        <v>26951</v>
      </c>
      <c r="C1456" t="s">
        <v>3764</v>
      </c>
      <c r="D1456" t="s">
        <v>3763</v>
      </c>
      <c r="E1456" s="2" t="s">
        <v>452</v>
      </c>
      <c r="F1456" t="s">
        <v>914</v>
      </c>
      <c r="G1456" t="str">
        <f>HYPERLINK("https://www.tokenpost.kr/news/briefing/251509")</f>
        <v>https://www.tokenpost.kr/news/briefing/251509</v>
      </c>
      <c r="H1456">
        <v>0.56299999999999994</v>
      </c>
    </row>
    <row r="1457" spans="1:8" x14ac:dyDescent="0.3">
      <c r="A1457" t="s">
        <v>3284</v>
      </c>
      <c r="B1457" t="s">
        <v>26951</v>
      </c>
      <c r="C1457" t="s">
        <v>3766</v>
      </c>
      <c r="D1457" t="s">
        <v>3765</v>
      </c>
      <c r="E1457" s="2" t="s">
        <v>452</v>
      </c>
      <c r="F1457" t="s">
        <v>1660</v>
      </c>
      <c r="G1457" t="str">
        <f>HYPERLINK("http://www.jjan.kr/news/articleView.html?idxno=2061763&amp;sc_section_code=S1N36&amp;sc_sub_section_code=S2N71")</f>
        <v>http://www.jjan.kr/news/articleView.html?idxno=2061763&amp;sc_section_code=S1N36&amp;sc_sub_section_code=S2N71</v>
      </c>
      <c r="H1457">
        <v>0.45300000000000001</v>
      </c>
    </row>
    <row r="1458" spans="1:8" x14ac:dyDescent="0.3">
      <c r="A1458" t="s">
        <v>3284</v>
      </c>
      <c r="B1458" t="s">
        <v>26951</v>
      </c>
      <c r="C1458" t="s">
        <v>3769</v>
      </c>
      <c r="D1458" t="s">
        <v>3768</v>
      </c>
      <c r="E1458" s="2" t="s">
        <v>452</v>
      </c>
      <c r="F1458" t="s">
        <v>3767</v>
      </c>
      <c r="G1458" t="str">
        <f>HYPERLINK("http://www.ktnews.com/news/articleView.html?idxno=139753")</f>
        <v>http://www.ktnews.com/news/articleView.html?idxno=139753</v>
      </c>
      <c r="H1458">
        <v>0.27</v>
      </c>
    </row>
    <row r="1459" spans="1:8" x14ac:dyDescent="0.3">
      <c r="A1459" t="s">
        <v>3284</v>
      </c>
      <c r="B1459" t="s">
        <v>26951</v>
      </c>
      <c r="C1459" t="s">
        <v>3772</v>
      </c>
      <c r="D1459" t="s">
        <v>3771</v>
      </c>
      <c r="E1459" s="2" t="s">
        <v>452</v>
      </c>
      <c r="F1459" t="s">
        <v>3770</v>
      </c>
      <c r="G1459" t="str">
        <f>HYPERLINK("https://www.kidshankook.kr/news/articleView.html?idxno=14178")</f>
        <v>https://www.kidshankook.kr/news/articleView.html?idxno=14178</v>
      </c>
      <c r="H1459">
        <v>0.23699999999999999</v>
      </c>
    </row>
    <row r="1460" spans="1:8" x14ac:dyDescent="0.3">
      <c r="A1460" t="s">
        <v>3284</v>
      </c>
      <c r="B1460" t="s">
        <v>26951</v>
      </c>
      <c r="C1460" t="s">
        <v>3775</v>
      </c>
      <c r="D1460" t="s">
        <v>3774</v>
      </c>
      <c r="E1460" s="2" t="s">
        <v>452</v>
      </c>
      <c r="F1460" t="s">
        <v>3773</v>
      </c>
      <c r="G1460" t="str">
        <f>HYPERLINK("http://www.fintechpost.co.kr/news/articleView.html?idxno=118562")</f>
        <v>http://www.fintechpost.co.kr/news/articleView.html?idxno=118562</v>
      </c>
      <c r="H1460">
        <v>0.32700000000000001</v>
      </c>
    </row>
    <row r="1461" spans="1:8" x14ac:dyDescent="0.3">
      <c r="A1461" t="s">
        <v>3284</v>
      </c>
      <c r="B1461" t="s">
        <v>26951</v>
      </c>
      <c r="C1461" t="s">
        <v>3778</v>
      </c>
      <c r="D1461" t="s">
        <v>3777</v>
      </c>
      <c r="E1461" s="2" t="s">
        <v>452</v>
      </c>
      <c r="F1461" t="s">
        <v>3776</v>
      </c>
      <c r="G1461" t="str">
        <f>HYPERLINK("https://n.news.naver.com/mnews/article/018/0005482456?sid=101")</f>
        <v>https://n.news.naver.com/mnews/article/018/0005482456?sid=101</v>
      </c>
      <c r="H1461">
        <v>0.255</v>
      </c>
    </row>
    <row r="1462" spans="1:8" x14ac:dyDescent="0.3">
      <c r="A1462" t="s">
        <v>3284</v>
      </c>
      <c r="B1462" t="s">
        <v>26951</v>
      </c>
      <c r="C1462" t="s">
        <v>3780</v>
      </c>
      <c r="D1462" t="s">
        <v>3779</v>
      </c>
      <c r="E1462" s="2" t="s">
        <v>452</v>
      </c>
      <c r="F1462" t="s">
        <v>2687</v>
      </c>
      <c r="G1462" t="str">
        <f>HYPERLINK("http://www.fntoday.co.kr/news/articleView.html?idxno=339557")</f>
        <v>http://www.fntoday.co.kr/news/articleView.html?idxno=339557</v>
      </c>
      <c r="H1462">
        <v>0.55400000000000005</v>
      </c>
    </row>
    <row r="1463" spans="1:8" x14ac:dyDescent="0.3">
      <c r="A1463" t="s">
        <v>3284</v>
      </c>
      <c r="B1463" t="s">
        <v>26951</v>
      </c>
      <c r="C1463" t="s">
        <v>3782</v>
      </c>
      <c r="D1463" t="s">
        <v>3781</v>
      </c>
      <c r="E1463" s="2" t="s">
        <v>452</v>
      </c>
      <c r="F1463" t="s">
        <v>197</v>
      </c>
      <c r="G1463" t="str">
        <f>HYPERLINK("https://www.etoday.co.kr/news/view/2478572")</f>
        <v>https://www.etoday.co.kr/news/view/2478572</v>
      </c>
      <c r="H1463">
        <v>0.501</v>
      </c>
    </row>
    <row r="1464" spans="1:8" x14ac:dyDescent="0.3">
      <c r="A1464" t="s">
        <v>3284</v>
      </c>
      <c r="B1464" t="s">
        <v>26951</v>
      </c>
      <c r="C1464" t="s">
        <v>3784</v>
      </c>
      <c r="D1464" t="s">
        <v>3783</v>
      </c>
      <c r="E1464" s="2" t="s">
        <v>452</v>
      </c>
      <c r="F1464" t="s">
        <v>628</v>
      </c>
      <c r="G1464" t="str">
        <f>HYPERLINK("http://www.sisaon.co.kr/news/articleView.html?idxno=172677")</f>
        <v>http://www.sisaon.co.kr/news/articleView.html?idxno=172677</v>
      </c>
      <c r="H1464">
        <v>0.52700000000000002</v>
      </c>
    </row>
    <row r="1465" spans="1:8" x14ac:dyDescent="0.3">
      <c r="A1465" t="s">
        <v>3284</v>
      </c>
      <c r="B1465" t="s">
        <v>26951</v>
      </c>
      <c r="C1465" t="s">
        <v>3786</v>
      </c>
      <c r="D1465" t="s">
        <v>3785</v>
      </c>
      <c r="E1465" s="2" t="s">
        <v>452</v>
      </c>
      <c r="F1465" t="s">
        <v>2868</v>
      </c>
      <c r="G1465" t="str">
        <f>HYPERLINK("https://www.safetimes.co.kr/news/articleView.html?idxno=215234")</f>
        <v>https://www.safetimes.co.kr/news/articleView.html?idxno=215234</v>
      </c>
      <c r="H1465">
        <v>8.2000000000000003E-2</v>
      </c>
    </row>
    <row r="1466" spans="1:8" x14ac:dyDescent="0.3">
      <c r="A1466" t="s">
        <v>3284</v>
      </c>
      <c r="B1466" t="s">
        <v>26951</v>
      </c>
      <c r="C1466" t="s">
        <v>3789</v>
      </c>
      <c r="D1466" t="s">
        <v>3788</v>
      </c>
      <c r="E1466" s="2" t="s">
        <v>452</v>
      </c>
      <c r="F1466" t="s">
        <v>3787</v>
      </c>
      <c r="G1466" t="str">
        <f>HYPERLINK("https://www.greened.kr/news/articleView.html?idxno=312365")</f>
        <v>https://www.greened.kr/news/articleView.html?idxno=312365</v>
      </c>
      <c r="H1466">
        <v>0.38800000000000001</v>
      </c>
    </row>
    <row r="1467" spans="1:8" x14ac:dyDescent="0.3">
      <c r="A1467" t="s">
        <v>3284</v>
      </c>
      <c r="B1467" t="s">
        <v>26951</v>
      </c>
      <c r="C1467" t="s">
        <v>3791</v>
      </c>
      <c r="D1467" t="s">
        <v>3790</v>
      </c>
      <c r="E1467" s="2" t="s">
        <v>452</v>
      </c>
      <c r="F1467" t="s">
        <v>1242</v>
      </c>
      <c r="G1467" t="str">
        <f>HYPERLINK("https://sports.hankooki.com/news/articleView.html?idxno=6900972")</f>
        <v>https://sports.hankooki.com/news/articleView.html?idxno=6900972</v>
      </c>
      <c r="H1467">
        <v>0.78900000000000003</v>
      </c>
    </row>
    <row r="1468" spans="1:8" x14ac:dyDescent="0.3">
      <c r="A1468" t="s">
        <v>3284</v>
      </c>
      <c r="B1468" t="s">
        <v>26951</v>
      </c>
      <c r="C1468" t="s">
        <v>3793</v>
      </c>
      <c r="D1468" t="s">
        <v>3792</v>
      </c>
      <c r="E1468" s="2" t="s">
        <v>452</v>
      </c>
      <c r="F1468" t="s">
        <v>826</v>
      </c>
      <c r="G1468" t="str">
        <f>HYPERLINK("https://n.news.naver.com/mnews/article/011/0002809565?sid=105")</f>
        <v>https://n.news.naver.com/mnews/article/011/0002809565?sid=105</v>
      </c>
      <c r="H1468">
        <v>0.115</v>
      </c>
    </row>
    <row r="1469" spans="1:8" x14ac:dyDescent="0.3">
      <c r="A1469" t="s">
        <v>3284</v>
      </c>
      <c r="B1469" t="s">
        <v>26951</v>
      </c>
      <c r="C1469" t="s">
        <v>3795</v>
      </c>
      <c r="D1469" t="s">
        <v>3794</v>
      </c>
      <c r="E1469" s="2" t="s">
        <v>452</v>
      </c>
      <c r="F1469" t="s">
        <v>1960</v>
      </c>
      <c r="G1469" t="str">
        <f>HYPERLINK("http://worknworld.kctu.org/news/articleView.html?idxno=507138")</f>
        <v>http://worknworld.kctu.org/news/articleView.html?idxno=507138</v>
      </c>
      <c r="H1469">
        <v>0.67300000000000004</v>
      </c>
    </row>
    <row r="1470" spans="1:8" x14ac:dyDescent="0.3">
      <c r="A1470" t="s">
        <v>3284</v>
      </c>
      <c r="B1470" t="s">
        <v>26951</v>
      </c>
      <c r="C1470" t="s">
        <v>3797</v>
      </c>
      <c r="D1470" t="s">
        <v>3796</v>
      </c>
      <c r="E1470" s="2" t="s">
        <v>452</v>
      </c>
      <c r="F1470" t="s">
        <v>505</v>
      </c>
      <c r="G1470" t="str">
        <f>HYPERLINK("http://www.sisaon.co.kr/news/articleView.html?idxno=172250")</f>
        <v>http://www.sisaon.co.kr/news/articleView.html?idxno=172250</v>
      </c>
      <c r="H1470">
        <v>0.40699999999999997</v>
      </c>
    </row>
    <row r="1471" spans="1:8" x14ac:dyDescent="0.3">
      <c r="A1471" t="s">
        <v>3284</v>
      </c>
      <c r="B1471" t="s">
        <v>26951</v>
      </c>
      <c r="C1471" t="s">
        <v>3800</v>
      </c>
      <c r="D1471" t="s">
        <v>3799</v>
      </c>
      <c r="E1471" s="2" t="s">
        <v>452</v>
      </c>
      <c r="F1471" t="s">
        <v>3798</v>
      </c>
      <c r="G1471" t="str">
        <f>HYPERLINK("http://www.laborplus.co.kr/news/articleView.html?idxno=31340")</f>
        <v>http://www.laborplus.co.kr/news/articleView.html?idxno=31340</v>
      </c>
      <c r="H1471">
        <v>0.70199999999999996</v>
      </c>
    </row>
    <row r="1472" spans="1:8" x14ac:dyDescent="0.3">
      <c r="A1472" t="s">
        <v>3284</v>
      </c>
      <c r="B1472" t="s">
        <v>26951</v>
      </c>
      <c r="C1472" t="s">
        <v>3802</v>
      </c>
      <c r="D1472" t="s">
        <v>3801</v>
      </c>
      <c r="E1472" s="2" t="s">
        <v>356</v>
      </c>
      <c r="F1472" t="s">
        <v>208</v>
      </c>
      <c r="G1472" t="str">
        <f>HYPERLINK("https://www.ajunews.com/view/20250523142943341")</f>
        <v>https://www.ajunews.com/view/20250523142943341</v>
      </c>
      <c r="H1472">
        <v>0.27400000000000002</v>
      </c>
    </row>
    <row r="1473" spans="1:8" x14ac:dyDescent="0.3">
      <c r="A1473" t="s">
        <v>3284</v>
      </c>
      <c r="B1473" t="s">
        <v>26951</v>
      </c>
      <c r="C1473" t="s">
        <v>3804</v>
      </c>
      <c r="D1473" t="s">
        <v>3803</v>
      </c>
      <c r="E1473" s="2" t="s">
        <v>356</v>
      </c>
      <c r="F1473" t="s">
        <v>208</v>
      </c>
      <c r="G1473" t="str">
        <f>HYPERLINK("https://n.news.naver.com/mnews/article/011/0004501065?sid=101")</f>
        <v>https://n.news.naver.com/mnews/article/011/0004501065?sid=101</v>
      </c>
      <c r="H1473">
        <v>0.20399999999999999</v>
      </c>
    </row>
    <row r="1474" spans="1:8" x14ac:dyDescent="0.3">
      <c r="A1474" t="s">
        <v>3284</v>
      </c>
      <c r="B1474" t="s">
        <v>26951</v>
      </c>
      <c r="C1474" t="s">
        <v>3806</v>
      </c>
      <c r="D1474" t="s">
        <v>3805</v>
      </c>
      <c r="E1474" s="2" t="s">
        <v>356</v>
      </c>
      <c r="F1474" t="s">
        <v>1274</v>
      </c>
      <c r="G1474" t="str">
        <f>HYPERLINK("https://n.news.naver.com/mnews/article/119/0002965941?sid=101")</f>
        <v>https://n.news.naver.com/mnews/article/119/0002965941?sid=101</v>
      </c>
      <c r="H1474">
        <v>0.375</v>
      </c>
    </row>
    <row r="1475" spans="1:8" x14ac:dyDescent="0.3">
      <c r="A1475" t="s">
        <v>3284</v>
      </c>
      <c r="B1475" t="s">
        <v>26951</v>
      </c>
      <c r="C1475" t="s">
        <v>3808</v>
      </c>
      <c r="D1475" t="s">
        <v>3807</v>
      </c>
      <c r="E1475" s="2" t="s">
        <v>356</v>
      </c>
      <c r="F1475" t="s">
        <v>914</v>
      </c>
      <c r="G1475" t="str">
        <f>HYPERLINK("https://www.tokenpost.kr/news/briefing/251509")</f>
        <v>https://www.tokenpost.kr/news/briefing/251509</v>
      </c>
      <c r="H1475">
        <v>0.52800000000000002</v>
      </c>
    </row>
    <row r="1476" spans="1:8" x14ac:dyDescent="0.3">
      <c r="A1476" t="s">
        <v>3284</v>
      </c>
      <c r="B1476" t="s">
        <v>26951</v>
      </c>
      <c r="C1476" t="s">
        <v>3810</v>
      </c>
      <c r="D1476" t="s">
        <v>3809</v>
      </c>
      <c r="E1476" s="2" t="s">
        <v>356</v>
      </c>
      <c r="F1476" t="s">
        <v>197</v>
      </c>
      <c r="G1476" t="str">
        <f>HYPERLINK("http://www.newmanagement.co.kr/?p=10331")</f>
        <v>http://www.newmanagement.co.kr/?p=10331</v>
      </c>
      <c r="H1476">
        <v>0.60499999999999998</v>
      </c>
    </row>
    <row r="1477" spans="1:8" x14ac:dyDescent="0.3">
      <c r="A1477" t="s">
        <v>3284</v>
      </c>
      <c r="B1477" t="s">
        <v>26951</v>
      </c>
      <c r="C1477" t="s">
        <v>3812</v>
      </c>
      <c r="D1477" t="s">
        <v>3811</v>
      </c>
      <c r="E1477" s="2" t="s">
        <v>356</v>
      </c>
      <c r="F1477" t="s">
        <v>197</v>
      </c>
      <c r="G1477" t="str">
        <f>HYPERLINK("http://www.biztribune.co.kr/news/articleView.html?idxno=334926")</f>
        <v>http://www.biztribune.co.kr/news/articleView.html?idxno=334926</v>
      </c>
      <c r="H1477">
        <v>0.54500000000000004</v>
      </c>
    </row>
    <row r="1478" spans="1:8" x14ac:dyDescent="0.3">
      <c r="A1478" t="s">
        <v>3284</v>
      </c>
      <c r="B1478" t="s">
        <v>26951</v>
      </c>
      <c r="C1478" t="s">
        <v>3814</v>
      </c>
      <c r="D1478" t="s">
        <v>3813</v>
      </c>
      <c r="E1478" s="2" t="s">
        <v>356</v>
      </c>
      <c r="F1478" t="s">
        <v>197</v>
      </c>
      <c r="G1478" t="str">
        <f>HYPERLINK("http://www.veritas-a.com/news/articleView.html?idxno=400227")</f>
        <v>http://www.veritas-a.com/news/articleView.html?idxno=400227</v>
      </c>
      <c r="H1478">
        <v>0.48699999999999999</v>
      </c>
    </row>
    <row r="1479" spans="1:8" x14ac:dyDescent="0.3">
      <c r="A1479" t="s">
        <v>3284</v>
      </c>
      <c r="B1479" t="s">
        <v>26951</v>
      </c>
      <c r="C1479" t="s">
        <v>3816</v>
      </c>
      <c r="D1479" t="s">
        <v>3815</v>
      </c>
      <c r="E1479" s="2" t="s">
        <v>356</v>
      </c>
      <c r="F1479" t="s">
        <v>1252</v>
      </c>
      <c r="G1479" t="str">
        <f>HYPERLINK("https://www.newspim.com/news/view/20250625000900")</f>
        <v>https://www.newspim.com/news/view/20250625000900</v>
      </c>
      <c r="H1479">
        <v>0.52500000000000002</v>
      </c>
    </row>
    <row r="1480" spans="1:8" x14ac:dyDescent="0.3">
      <c r="A1480" t="s">
        <v>3284</v>
      </c>
      <c r="B1480" t="s">
        <v>26951</v>
      </c>
      <c r="C1480" t="s">
        <v>3819</v>
      </c>
      <c r="D1480" t="s">
        <v>3818</v>
      </c>
      <c r="E1480" s="2" t="s">
        <v>356</v>
      </c>
      <c r="F1480" t="s">
        <v>3817</v>
      </c>
      <c r="G1480" t="str">
        <f>HYPERLINK("https://www.lcnews.co.kr/news/articleView.html?idxno=103959")</f>
        <v>https://www.lcnews.co.kr/news/articleView.html?idxno=103959</v>
      </c>
      <c r="H1480">
        <v>0.247</v>
      </c>
    </row>
    <row r="1481" spans="1:8" x14ac:dyDescent="0.3">
      <c r="A1481" t="s">
        <v>3284</v>
      </c>
      <c r="B1481" t="s">
        <v>26951</v>
      </c>
      <c r="C1481" t="s">
        <v>3821</v>
      </c>
      <c r="D1481" t="s">
        <v>3820</v>
      </c>
      <c r="E1481" s="2" t="s">
        <v>356</v>
      </c>
      <c r="F1481" t="s">
        <v>148</v>
      </c>
      <c r="G1481" t="str">
        <f>HYPERLINK("https://www.straightnews.co.kr/news/articleView.html?idxno=274532")</f>
        <v>https://www.straightnews.co.kr/news/articleView.html?idxno=274532</v>
      </c>
      <c r="H1481">
        <v>0.35299999999999998</v>
      </c>
    </row>
    <row r="1482" spans="1:8" x14ac:dyDescent="0.3">
      <c r="A1482" t="s">
        <v>3284</v>
      </c>
      <c r="B1482" t="s">
        <v>26951</v>
      </c>
      <c r="C1482" t="s">
        <v>3824</v>
      </c>
      <c r="D1482" t="s">
        <v>3823</v>
      </c>
      <c r="E1482" s="2" t="s">
        <v>356</v>
      </c>
      <c r="F1482" t="s">
        <v>3822</v>
      </c>
      <c r="G1482" t="str">
        <f>HYPERLINK("https://www.naeil.com/news/read/552707?ref=naver")</f>
        <v>https://www.naeil.com/news/read/552707?ref=naver</v>
      </c>
      <c r="H1482">
        <v>0.28999999999999998</v>
      </c>
    </row>
    <row r="1483" spans="1:8" x14ac:dyDescent="0.3">
      <c r="A1483" t="s">
        <v>3284</v>
      </c>
      <c r="B1483" t="s">
        <v>26951</v>
      </c>
      <c r="C1483" t="s">
        <v>3826</v>
      </c>
      <c r="D1483" t="s">
        <v>3825</v>
      </c>
      <c r="E1483" s="2" t="s">
        <v>356</v>
      </c>
      <c r="F1483" t="s">
        <v>3291</v>
      </c>
      <c r="G1483" t="str">
        <f>HYPERLINK("https://kr.aving.net/news/articleView.html?idxno=1801332")</f>
        <v>https://kr.aving.net/news/articleView.html?idxno=1801332</v>
      </c>
      <c r="H1483">
        <v>0.88200000000000001</v>
      </c>
    </row>
    <row r="1484" spans="1:8" x14ac:dyDescent="0.3">
      <c r="A1484" t="s">
        <v>3284</v>
      </c>
      <c r="B1484" t="s">
        <v>26951</v>
      </c>
      <c r="C1484" t="s">
        <v>3828</v>
      </c>
      <c r="D1484" t="s">
        <v>3827</v>
      </c>
      <c r="E1484" s="2" t="s">
        <v>356</v>
      </c>
      <c r="F1484" t="s">
        <v>805</v>
      </c>
      <c r="G1484" t="str">
        <f>HYPERLINK("https://www.etoday.co.kr/news/view/2480134")</f>
        <v>https://www.etoday.co.kr/news/view/2480134</v>
      </c>
      <c r="H1484">
        <v>0.51800000000000002</v>
      </c>
    </row>
    <row r="1485" spans="1:8" x14ac:dyDescent="0.3">
      <c r="A1485" t="s">
        <v>3284</v>
      </c>
      <c r="B1485" t="s">
        <v>26951</v>
      </c>
      <c r="C1485" t="s">
        <v>3830</v>
      </c>
      <c r="D1485" t="s">
        <v>3825</v>
      </c>
      <c r="E1485" s="2" t="s">
        <v>356</v>
      </c>
      <c r="F1485" t="s">
        <v>3829</v>
      </c>
      <c r="G1485" t="str">
        <f>HYPERLINK("https://kr.aving.net/news/articleView.html?idxno=1801332")</f>
        <v>https://kr.aving.net/news/articleView.html?idxno=1801332</v>
      </c>
      <c r="H1485">
        <v>0.96199999999999997</v>
      </c>
    </row>
    <row r="1486" spans="1:8" x14ac:dyDescent="0.3">
      <c r="A1486" t="s">
        <v>3284</v>
      </c>
      <c r="B1486" t="s">
        <v>26951</v>
      </c>
      <c r="C1486" t="s">
        <v>3832</v>
      </c>
      <c r="D1486" t="s">
        <v>3831</v>
      </c>
      <c r="E1486" s="2" t="s">
        <v>356</v>
      </c>
      <c r="F1486" t="s">
        <v>1038</v>
      </c>
      <c r="G1486" t="str">
        <f>HYPERLINK("https://www.ggilbo.com/news/articleView.html?idxno=1043872")</f>
        <v>https://www.ggilbo.com/news/articleView.html?idxno=1043872</v>
      </c>
      <c r="H1486">
        <v>0.47199999999999998</v>
      </c>
    </row>
    <row r="1487" spans="1:8" x14ac:dyDescent="0.3">
      <c r="A1487" t="s">
        <v>3284</v>
      </c>
      <c r="B1487" t="s">
        <v>26951</v>
      </c>
      <c r="C1487" t="s">
        <v>3835</v>
      </c>
      <c r="D1487" t="s">
        <v>3834</v>
      </c>
      <c r="E1487" s="2" t="s">
        <v>356</v>
      </c>
      <c r="F1487" t="s">
        <v>3833</v>
      </c>
      <c r="G1487" t="str">
        <f>HYPERLINK("https://n.news.naver.com/mnews/article/011/0004485146?sid=100")</f>
        <v>https://n.news.naver.com/mnews/article/011/0004485146?sid=100</v>
      </c>
      <c r="H1487">
        <v>0.20499999999999999</v>
      </c>
    </row>
    <row r="1488" spans="1:8" x14ac:dyDescent="0.3">
      <c r="A1488" t="s">
        <v>3284</v>
      </c>
      <c r="B1488" t="s">
        <v>26951</v>
      </c>
      <c r="C1488" t="s">
        <v>3839</v>
      </c>
      <c r="D1488" t="s">
        <v>3838</v>
      </c>
      <c r="E1488" s="2" t="s">
        <v>356</v>
      </c>
      <c r="F1488" t="s">
        <v>3837</v>
      </c>
      <c r="G1488" t="str">
        <f>HYPERLINK("https://n.news.naver.com/mnews/article/011/0004498766?sid=101")</f>
        <v>https://n.news.naver.com/mnews/article/011/0004498766?sid=101</v>
      </c>
      <c r="H1488">
        <v>0.27300000000000002</v>
      </c>
    </row>
    <row r="1489" spans="1:8" x14ac:dyDescent="0.3">
      <c r="A1489" t="s">
        <v>3284</v>
      </c>
      <c r="B1489" t="s">
        <v>26951</v>
      </c>
      <c r="C1489" t="s">
        <v>3841</v>
      </c>
      <c r="D1489" t="s">
        <v>3840</v>
      </c>
      <c r="E1489" s="2" t="s">
        <v>356</v>
      </c>
      <c r="F1489" t="s">
        <v>505</v>
      </c>
      <c r="G1489" t="str">
        <f>HYPERLINK("http://www.sisaon.co.kr/news/articleView.html?idxno=172250")</f>
        <v>http://www.sisaon.co.kr/news/articleView.html?idxno=172250</v>
      </c>
      <c r="H1489">
        <v>0.41099999999999998</v>
      </c>
    </row>
    <row r="1490" spans="1:8" x14ac:dyDescent="0.3">
      <c r="A1490" t="s">
        <v>3284</v>
      </c>
      <c r="B1490" t="s">
        <v>26951</v>
      </c>
      <c r="C1490" t="s">
        <v>3844</v>
      </c>
      <c r="D1490" t="s">
        <v>3843</v>
      </c>
      <c r="E1490" s="2" t="s">
        <v>394</v>
      </c>
      <c r="F1490" t="s">
        <v>3842</v>
      </c>
      <c r="G1490" t="str">
        <f>HYPERLINK("https://www.pennmike.com/news/articleView.html?idxno=103886")</f>
        <v>https://www.pennmike.com/news/articleView.html?idxno=103886</v>
      </c>
      <c r="H1490">
        <v>0.14000000000000001</v>
      </c>
    </row>
    <row r="1491" spans="1:8" x14ac:dyDescent="0.3">
      <c r="A1491" t="s">
        <v>3284</v>
      </c>
      <c r="B1491" t="s">
        <v>26951</v>
      </c>
      <c r="C1491" t="s">
        <v>3846</v>
      </c>
      <c r="D1491" t="s">
        <v>3845</v>
      </c>
      <c r="E1491" s="2" t="s">
        <v>394</v>
      </c>
      <c r="F1491" t="s">
        <v>3613</v>
      </c>
      <c r="G1491" t="str">
        <f>HYPERLINK("http://www.greened.kr/news/articleView.html?idxno=302042")</f>
        <v>http://www.greened.kr/news/articleView.html?idxno=302042</v>
      </c>
      <c r="H1491">
        <v>0.55300000000000005</v>
      </c>
    </row>
    <row r="1492" spans="1:8" x14ac:dyDescent="0.3">
      <c r="A1492" t="s">
        <v>3284</v>
      </c>
      <c r="B1492" t="s">
        <v>26951</v>
      </c>
      <c r="C1492" t="s">
        <v>3848</v>
      </c>
      <c r="D1492" t="s">
        <v>3847</v>
      </c>
      <c r="E1492" s="2" t="s">
        <v>394</v>
      </c>
      <c r="F1492" t="s">
        <v>1060</v>
      </c>
      <c r="G1492" t="str">
        <f>HYPERLINK("http://www.nongaek.com/news/articleView.html?idxno=88396")</f>
        <v>http://www.nongaek.com/news/articleView.html?idxno=88396</v>
      </c>
      <c r="H1492">
        <v>0.41</v>
      </c>
    </row>
    <row r="1493" spans="1:8" x14ac:dyDescent="0.3">
      <c r="A1493" t="s">
        <v>3284</v>
      </c>
      <c r="B1493" t="s">
        <v>26951</v>
      </c>
      <c r="C1493" t="s">
        <v>3851</v>
      </c>
      <c r="D1493" t="s">
        <v>3850</v>
      </c>
      <c r="E1493" s="2" t="s">
        <v>394</v>
      </c>
      <c r="F1493" t="s">
        <v>3849</v>
      </c>
      <c r="G1493" t="str">
        <f>HYPERLINK("http://jmagazine.joins.com/forbes/view/332092")</f>
        <v>http://jmagazine.joins.com/forbes/view/332092</v>
      </c>
      <c r="H1493">
        <v>0.314</v>
      </c>
    </row>
    <row r="1494" spans="1:8" x14ac:dyDescent="0.3">
      <c r="A1494" t="s">
        <v>3284</v>
      </c>
      <c r="B1494" t="s">
        <v>26951</v>
      </c>
      <c r="C1494" t="s">
        <v>3856</v>
      </c>
      <c r="D1494" t="s">
        <v>3855</v>
      </c>
      <c r="E1494" s="2" t="s">
        <v>394</v>
      </c>
      <c r="F1494" t="s">
        <v>3599</v>
      </c>
      <c r="G1494" t="str">
        <f>HYPERLINK("https://n.news.naver.com/mnews/article/022/0004047866?sid=102")</f>
        <v>https://n.news.naver.com/mnews/article/022/0004047866?sid=102</v>
      </c>
      <c r="H1494">
        <v>0.18</v>
      </c>
    </row>
    <row r="1495" spans="1:8" x14ac:dyDescent="0.3">
      <c r="A1495" t="s">
        <v>3284</v>
      </c>
      <c r="B1495" t="s">
        <v>26951</v>
      </c>
      <c r="C1495" t="s">
        <v>3858</v>
      </c>
      <c r="D1495" t="s">
        <v>3857</v>
      </c>
      <c r="E1495" s="2" t="s">
        <v>394</v>
      </c>
      <c r="F1495" t="s">
        <v>3291</v>
      </c>
      <c r="G1495" t="str">
        <f>HYPERLINK("http://www.newslock.co.kr/news/articleView.html?idxno=110502")</f>
        <v>http://www.newslock.co.kr/news/articleView.html?idxno=110502</v>
      </c>
      <c r="H1495">
        <v>0.88400000000000001</v>
      </c>
    </row>
    <row r="1496" spans="1:8" x14ac:dyDescent="0.3">
      <c r="A1496" t="s">
        <v>3284</v>
      </c>
      <c r="B1496" t="s">
        <v>26951</v>
      </c>
      <c r="C1496" t="s">
        <v>3860</v>
      </c>
      <c r="D1496" t="s">
        <v>3859</v>
      </c>
      <c r="E1496" s="2" t="s">
        <v>394</v>
      </c>
      <c r="F1496" t="s">
        <v>3291</v>
      </c>
      <c r="G1496" t="str">
        <f>HYPERLINK("https://kr.aving.net/news/articleView.html?idxno=1801289")</f>
        <v>https://kr.aving.net/news/articleView.html?idxno=1801289</v>
      </c>
      <c r="H1496">
        <v>0.94499999999999995</v>
      </c>
    </row>
    <row r="1497" spans="1:8" x14ac:dyDescent="0.3">
      <c r="A1497" t="s">
        <v>3284</v>
      </c>
      <c r="B1497" t="s">
        <v>26951</v>
      </c>
      <c r="C1497" t="s">
        <v>3862</v>
      </c>
      <c r="D1497" t="s">
        <v>3861</v>
      </c>
      <c r="E1497" s="2" t="s">
        <v>394</v>
      </c>
      <c r="F1497" t="s">
        <v>3300</v>
      </c>
      <c r="G1497" t="str">
        <f>HYPERLINK("https://kr.aving.net/news/articleView.html?idxno=1801289")</f>
        <v>https://kr.aving.net/news/articleView.html?idxno=1801289</v>
      </c>
      <c r="H1497">
        <v>0.97799999999999998</v>
      </c>
    </row>
    <row r="1498" spans="1:8" x14ac:dyDescent="0.3">
      <c r="A1498" t="s">
        <v>3284</v>
      </c>
      <c r="B1498" t="s">
        <v>26951</v>
      </c>
      <c r="C1498" t="s">
        <v>3863</v>
      </c>
      <c r="D1498" t="s">
        <v>3859</v>
      </c>
      <c r="E1498" s="2" t="s">
        <v>394</v>
      </c>
      <c r="F1498" t="s">
        <v>3829</v>
      </c>
      <c r="G1498" t="str">
        <f>HYPERLINK("https://kr.aving.net/news/articleView.html?idxno=1801289")</f>
        <v>https://kr.aving.net/news/articleView.html?idxno=1801289</v>
      </c>
      <c r="H1498">
        <v>0.94499999999999995</v>
      </c>
    </row>
    <row r="1499" spans="1:8" x14ac:dyDescent="0.3">
      <c r="A1499" t="s">
        <v>3284</v>
      </c>
      <c r="B1499" t="s">
        <v>26951</v>
      </c>
      <c r="C1499" t="s">
        <v>3865</v>
      </c>
      <c r="D1499" t="s">
        <v>3864</v>
      </c>
      <c r="E1499" s="2" t="s">
        <v>394</v>
      </c>
      <c r="F1499" t="s">
        <v>256</v>
      </c>
      <c r="G1499" t="str">
        <f>HYPERLINK("http://www.opinionnews.co.kr/news/articleView.html?idxno=119312")</f>
        <v>http://www.opinionnews.co.kr/news/articleView.html?idxno=119312</v>
      </c>
      <c r="H1499">
        <v>0.113</v>
      </c>
    </row>
    <row r="1500" spans="1:8" x14ac:dyDescent="0.3">
      <c r="A1500" t="s">
        <v>3284</v>
      </c>
      <c r="B1500" t="s">
        <v>26951</v>
      </c>
      <c r="C1500" t="s">
        <v>3867</v>
      </c>
      <c r="D1500" t="s">
        <v>3866</v>
      </c>
      <c r="E1500" s="2" t="s">
        <v>394</v>
      </c>
      <c r="F1500" t="s">
        <v>505</v>
      </c>
      <c r="G1500" t="str">
        <f>HYPERLINK("http://www.sisaon.co.kr/news/articleView.html?idxno=172250")</f>
        <v>http://www.sisaon.co.kr/news/articleView.html?idxno=172250</v>
      </c>
      <c r="H1500">
        <v>0.40500000000000003</v>
      </c>
    </row>
    <row r="1501" spans="1:8" x14ac:dyDescent="0.3">
      <c r="A1501" t="s">
        <v>3284</v>
      </c>
      <c r="B1501" t="s">
        <v>26951</v>
      </c>
      <c r="C1501" t="s">
        <v>3869</v>
      </c>
      <c r="D1501" t="s">
        <v>3868</v>
      </c>
      <c r="E1501" s="2" t="s">
        <v>267</v>
      </c>
      <c r="F1501" t="s">
        <v>1731</v>
      </c>
      <c r="G1501" t="str">
        <f>HYPERLINK("http://www.nongaek.com/news/articleView.html?idxno=91799")</f>
        <v>http://www.nongaek.com/news/articleView.html?idxno=91799</v>
      </c>
      <c r="H1501">
        <v>0.44400000000000001</v>
      </c>
    </row>
    <row r="1502" spans="1:8" x14ac:dyDescent="0.3">
      <c r="A1502" t="s">
        <v>3284</v>
      </c>
      <c r="B1502" t="s">
        <v>26951</v>
      </c>
      <c r="C1502" t="s">
        <v>3871</v>
      </c>
      <c r="D1502" t="s">
        <v>3870</v>
      </c>
      <c r="E1502" s="2" t="s">
        <v>267</v>
      </c>
      <c r="F1502" t="s">
        <v>160</v>
      </c>
      <c r="G1502" t="str">
        <f>HYPERLINK("https://n.news.naver.com/mnews/article/011/0004499867?sid=104")</f>
        <v>https://n.news.naver.com/mnews/article/011/0004499867?sid=104</v>
      </c>
      <c r="H1502">
        <v>0.28199999999999997</v>
      </c>
    </row>
    <row r="1503" spans="1:8" x14ac:dyDescent="0.3">
      <c r="A1503" t="s">
        <v>3284</v>
      </c>
      <c r="B1503" t="s">
        <v>26951</v>
      </c>
      <c r="C1503" t="s">
        <v>3874</v>
      </c>
      <c r="D1503" t="s">
        <v>3873</v>
      </c>
      <c r="E1503" s="2" t="s">
        <v>267</v>
      </c>
      <c r="F1503" t="s">
        <v>3872</v>
      </c>
      <c r="G1503" t="str">
        <f>HYPERLINK("https://daily.hankooki.com/news/articleView.html?idxno=1236854")</f>
        <v>https://daily.hankooki.com/news/articleView.html?idxno=1236854</v>
      </c>
      <c r="H1503">
        <v>0.67800000000000005</v>
      </c>
    </row>
    <row r="1504" spans="1:8" x14ac:dyDescent="0.3">
      <c r="A1504" t="s">
        <v>3284</v>
      </c>
      <c r="B1504" t="s">
        <v>26951</v>
      </c>
      <c r="C1504" t="s">
        <v>3876</v>
      </c>
      <c r="D1504" t="s">
        <v>3875</v>
      </c>
      <c r="E1504" s="2" t="s">
        <v>267</v>
      </c>
      <c r="F1504" t="s">
        <v>2710</v>
      </c>
      <c r="G1504" t="str">
        <f>HYPERLINK("http://www.kukinews.com/newsView/kuk202207100028")</f>
        <v>http://www.kukinews.com/newsView/kuk202207100028</v>
      </c>
      <c r="H1504">
        <v>0.23400000000000001</v>
      </c>
    </row>
    <row r="1505" spans="1:8" x14ac:dyDescent="0.3">
      <c r="A1505" t="s">
        <v>3284</v>
      </c>
      <c r="B1505" t="s">
        <v>26951</v>
      </c>
      <c r="C1505" t="s">
        <v>3878</v>
      </c>
      <c r="D1505" t="s">
        <v>3877</v>
      </c>
      <c r="E1505" s="2" t="s">
        <v>267</v>
      </c>
      <c r="F1505" t="s">
        <v>411</v>
      </c>
      <c r="G1505" t="str">
        <f>HYPERLINK("https://n.news.naver.com/mnews/article/081/0003552929?sid=102")</f>
        <v>https://n.news.naver.com/mnews/article/081/0003552929?sid=102</v>
      </c>
      <c r="H1505">
        <v>0.24</v>
      </c>
    </row>
    <row r="1506" spans="1:8" x14ac:dyDescent="0.3">
      <c r="A1506" t="s">
        <v>3284</v>
      </c>
      <c r="B1506" t="s">
        <v>26951</v>
      </c>
      <c r="C1506" t="s">
        <v>3881</v>
      </c>
      <c r="D1506" t="s">
        <v>3880</v>
      </c>
      <c r="E1506" s="2" t="s">
        <v>267</v>
      </c>
      <c r="F1506" t="s">
        <v>3879</v>
      </c>
      <c r="G1506" t="str">
        <f>HYPERLINK("https://n.news.naver.com/mnews/article/011/0004499762?sid=100")</f>
        <v>https://n.news.naver.com/mnews/article/011/0004499762?sid=100</v>
      </c>
      <c r="H1506">
        <v>0.20399999999999999</v>
      </c>
    </row>
    <row r="1507" spans="1:8" x14ac:dyDescent="0.3">
      <c r="A1507" t="s">
        <v>3284</v>
      </c>
      <c r="B1507" t="s">
        <v>26951</v>
      </c>
      <c r="C1507" t="s">
        <v>3884</v>
      </c>
      <c r="D1507" t="s">
        <v>3883</v>
      </c>
      <c r="E1507" s="2" t="s">
        <v>267</v>
      </c>
      <c r="F1507" t="s">
        <v>3882</v>
      </c>
      <c r="G1507" t="str">
        <f>HYPERLINK("https://n.news.naver.com/mnews/article/011/0004499740?sid=104")</f>
        <v>https://n.news.naver.com/mnews/article/011/0004499740?sid=104</v>
      </c>
      <c r="H1507">
        <v>0.26100000000000001</v>
      </c>
    </row>
    <row r="1508" spans="1:8" x14ac:dyDescent="0.3">
      <c r="A1508" t="s">
        <v>3284</v>
      </c>
      <c r="B1508" t="s">
        <v>26951</v>
      </c>
      <c r="C1508" t="s">
        <v>3890</v>
      </c>
      <c r="D1508" t="s">
        <v>3889</v>
      </c>
      <c r="E1508" s="2" t="s">
        <v>280</v>
      </c>
      <c r="F1508" t="s">
        <v>197</v>
      </c>
      <c r="G1508" t="str">
        <f>HYPERLINK("http://www.nongaek.com/news/articleView.html?idxno=91661")</f>
        <v>http://www.nongaek.com/news/articleView.html?idxno=91661</v>
      </c>
      <c r="H1508">
        <v>0.60499999999999998</v>
      </c>
    </row>
    <row r="1509" spans="1:8" x14ac:dyDescent="0.3">
      <c r="A1509" t="s">
        <v>3284</v>
      </c>
      <c r="B1509" t="s">
        <v>26951</v>
      </c>
      <c r="C1509" t="s">
        <v>3894</v>
      </c>
      <c r="D1509" t="s">
        <v>3893</v>
      </c>
      <c r="E1509" s="2" t="s">
        <v>280</v>
      </c>
      <c r="F1509" t="s">
        <v>208</v>
      </c>
      <c r="G1509" t="str">
        <f>HYPERLINK("https://n.news.naver.com/mnews/article/119/0002973907?sid=101")</f>
        <v>https://n.news.naver.com/mnews/article/119/0002973907?sid=101</v>
      </c>
      <c r="H1509">
        <v>0.193</v>
      </c>
    </row>
    <row r="1510" spans="1:8" x14ac:dyDescent="0.3">
      <c r="A1510" t="s">
        <v>3284</v>
      </c>
      <c r="B1510" t="s">
        <v>26951</v>
      </c>
      <c r="C1510" t="s">
        <v>3896</v>
      </c>
      <c r="D1510" t="s">
        <v>3895</v>
      </c>
      <c r="E1510" s="2" t="s">
        <v>280</v>
      </c>
      <c r="F1510" t="s">
        <v>914</v>
      </c>
      <c r="G1510" t="str">
        <f>HYPERLINK("https://www.youthdaily.co.kr/news/article.html?no=187865")</f>
        <v>https://www.youthdaily.co.kr/news/article.html?no=187865</v>
      </c>
      <c r="H1510">
        <v>0.628</v>
      </c>
    </row>
    <row r="1511" spans="1:8" x14ac:dyDescent="0.3">
      <c r="A1511" t="s">
        <v>3284</v>
      </c>
      <c r="B1511" t="s">
        <v>26951</v>
      </c>
      <c r="C1511" t="s">
        <v>3898</v>
      </c>
      <c r="D1511" t="s">
        <v>3897</v>
      </c>
      <c r="E1511" s="2" t="s">
        <v>280</v>
      </c>
      <c r="F1511" t="s">
        <v>1098</v>
      </c>
      <c r="G1511" t="str">
        <f>HYPERLINK("http://ppss.kr/archives/149256")</f>
        <v>http://ppss.kr/archives/149256</v>
      </c>
      <c r="H1511">
        <v>0.436</v>
      </c>
    </row>
    <row r="1512" spans="1:8" x14ac:dyDescent="0.3">
      <c r="A1512" t="s">
        <v>3284</v>
      </c>
      <c r="B1512" t="s">
        <v>26951</v>
      </c>
      <c r="C1512" t="s">
        <v>3901</v>
      </c>
      <c r="D1512" t="s">
        <v>3900</v>
      </c>
      <c r="E1512" s="2" t="s">
        <v>280</v>
      </c>
      <c r="F1512" t="s">
        <v>3899</v>
      </c>
      <c r="G1512" t="str">
        <f>HYPERLINK("https://n.news.naver.com/mnews/article/011/0002989451?sid=101")</f>
        <v>https://n.news.naver.com/mnews/article/011/0002989451?sid=101</v>
      </c>
      <c r="H1512">
        <v>0.21199999999999999</v>
      </c>
    </row>
    <row r="1513" spans="1:8" x14ac:dyDescent="0.3">
      <c r="A1513" t="s">
        <v>3284</v>
      </c>
      <c r="B1513" t="s">
        <v>26951</v>
      </c>
      <c r="C1513" t="s">
        <v>3903</v>
      </c>
      <c r="D1513" t="s">
        <v>3902</v>
      </c>
      <c r="E1513" s="2" t="s">
        <v>280</v>
      </c>
      <c r="F1513" t="s">
        <v>505</v>
      </c>
      <c r="G1513" t="str">
        <f>HYPERLINK("http://www.sisaon.co.kr/news/articleView.html?idxno=172250")</f>
        <v>http://www.sisaon.co.kr/news/articleView.html?idxno=172250</v>
      </c>
      <c r="H1513">
        <v>0.41499999999999998</v>
      </c>
    </row>
    <row r="1514" spans="1:8" x14ac:dyDescent="0.3">
      <c r="A1514" t="s">
        <v>3284</v>
      </c>
      <c r="B1514" t="s">
        <v>26951</v>
      </c>
      <c r="C1514" t="s">
        <v>3905</v>
      </c>
      <c r="D1514" t="s">
        <v>3904</v>
      </c>
      <c r="E1514" s="2" t="s">
        <v>280</v>
      </c>
      <c r="F1514" t="s">
        <v>3663</v>
      </c>
      <c r="G1514" t="str">
        <f>HYPERLINK("https://n.news.naver.com/mnews/article/028/0002750101?sid=102")</f>
        <v>https://n.news.naver.com/mnews/article/028/0002750101?sid=102</v>
      </c>
      <c r="H1514">
        <v>0.28100000000000003</v>
      </c>
    </row>
    <row r="1515" spans="1:8" x14ac:dyDescent="0.3">
      <c r="A1515" t="s">
        <v>3284</v>
      </c>
      <c r="B1515" t="s">
        <v>26951</v>
      </c>
      <c r="C1515" t="s">
        <v>3908</v>
      </c>
      <c r="D1515" t="s">
        <v>3907</v>
      </c>
      <c r="E1515" s="2" t="s">
        <v>313</v>
      </c>
      <c r="F1515" t="s">
        <v>200</v>
      </c>
      <c r="G1515" t="str">
        <f>HYPERLINK("http://www.apnews.kr/news/articleView.html?idxno=3000971")</f>
        <v>http://www.apnews.kr/news/articleView.html?idxno=3000971</v>
      </c>
      <c r="H1515">
        <v>0.55700000000000005</v>
      </c>
    </row>
    <row r="1516" spans="1:8" x14ac:dyDescent="0.3">
      <c r="A1516" t="s">
        <v>3284</v>
      </c>
      <c r="B1516" t="s">
        <v>26951</v>
      </c>
      <c r="C1516" t="s">
        <v>3910</v>
      </c>
      <c r="D1516" t="s">
        <v>3909</v>
      </c>
      <c r="E1516" s="2" t="s">
        <v>313</v>
      </c>
      <c r="F1516" t="s">
        <v>3666</v>
      </c>
      <c r="G1516" t="str">
        <f>HYPERLINK("https://www.geconomy.co.kr/news/article.html?no=301326")</f>
        <v>https://www.geconomy.co.kr/news/article.html?no=301326</v>
      </c>
      <c r="H1516">
        <v>0.93300000000000005</v>
      </c>
    </row>
    <row r="1517" spans="1:8" x14ac:dyDescent="0.3">
      <c r="A1517" t="s">
        <v>3284</v>
      </c>
      <c r="B1517" t="s">
        <v>26951</v>
      </c>
      <c r="C1517" t="s">
        <v>321</v>
      </c>
      <c r="D1517" t="s">
        <v>320</v>
      </c>
      <c r="E1517" s="2" t="s">
        <v>313</v>
      </c>
      <c r="F1517" t="s">
        <v>197</v>
      </c>
      <c r="G1517" t="str">
        <f>HYPERLINK("https://n.news.naver.com/mnews/article/002/0002315278?sid=101")</f>
        <v>https://n.news.naver.com/mnews/article/002/0002315278?sid=101</v>
      </c>
      <c r="H1517">
        <v>0.26300000000000001</v>
      </c>
    </row>
    <row r="1518" spans="1:8" x14ac:dyDescent="0.3">
      <c r="A1518" t="s">
        <v>3284</v>
      </c>
      <c r="B1518" t="s">
        <v>26951</v>
      </c>
      <c r="C1518" t="s">
        <v>3912</v>
      </c>
      <c r="D1518" t="s">
        <v>3911</v>
      </c>
      <c r="E1518" s="2" t="s">
        <v>313</v>
      </c>
      <c r="F1518" t="s">
        <v>89</v>
      </c>
      <c r="G1518" t="str">
        <f>HYPERLINK("https://n.news.naver.com/mnews/article/011/0003197902?sid=101")</f>
        <v>https://n.news.naver.com/mnews/article/011/0003197902?sid=101</v>
      </c>
      <c r="H1518">
        <v>0.27300000000000002</v>
      </c>
    </row>
    <row r="1519" spans="1:8" x14ac:dyDescent="0.3">
      <c r="A1519" t="s">
        <v>3284</v>
      </c>
      <c r="B1519" t="s">
        <v>26951</v>
      </c>
      <c r="C1519" t="s">
        <v>3914</v>
      </c>
      <c r="D1519" t="s">
        <v>3913</v>
      </c>
      <c r="E1519" s="2" t="s">
        <v>313</v>
      </c>
      <c r="F1519" t="s">
        <v>411</v>
      </c>
      <c r="G1519" t="str">
        <f>HYPERLINK("http://www.newspim.com/news/view/20210917000829")</f>
        <v>http://www.newspim.com/news/view/20210917000829</v>
      </c>
      <c r="H1519">
        <v>0.34</v>
      </c>
    </row>
    <row r="1520" spans="1:8" x14ac:dyDescent="0.3">
      <c r="A1520" t="s">
        <v>3284</v>
      </c>
      <c r="B1520" t="s">
        <v>26951</v>
      </c>
      <c r="C1520" t="s">
        <v>3917</v>
      </c>
      <c r="D1520" t="s">
        <v>3916</v>
      </c>
      <c r="E1520" s="2" t="s">
        <v>313</v>
      </c>
      <c r="F1520" t="s">
        <v>3915</v>
      </c>
      <c r="G1520" t="str">
        <f>HYPERLINK("http://weeklytrade.co.kr/news/view.html?section=1&amp;category=81&amp;item=&amp;no=18325")</f>
        <v>http://weeklytrade.co.kr/news/view.html?section=1&amp;category=81&amp;item=&amp;no=18325</v>
      </c>
      <c r="H1520">
        <v>0.25700000000000001</v>
      </c>
    </row>
    <row r="1521" spans="1:8" x14ac:dyDescent="0.3">
      <c r="A1521" t="s">
        <v>3284</v>
      </c>
      <c r="B1521" t="s">
        <v>26951</v>
      </c>
      <c r="C1521" t="s">
        <v>3919</v>
      </c>
      <c r="D1521" t="s">
        <v>3918</v>
      </c>
      <c r="E1521" s="2" t="s">
        <v>313</v>
      </c>
      <c r="F1521" t="s">
        <v>246</v>
      </c>
      <c r="G1521" t="str">
        <f>HYPERLINK("https://www.financialpost.co.kr/news/articleView.html?idxno=228352")</f>
        <v>https://www.financialpost.co.kr/news/articleView.html?idxno=228352</v>
      </c>
      <c r="H1521">
        <v>0.44500000000000001</v>
      </c>
    </row>
    <row r="1522" spans="1:8" x14ac:dyDescent="0.3">
      <c r="A1522" t="s">
        <v>3284</v>
      </c>
      <c r="B1522" t="s">
        <v>26951</v>
      </c>
      <c r="C1522" t="s">
        <v>3921</v>
      </c>
      <c r="D1522" t="s">
        <v>3920</v>
      </c>
      <c r="E1522" s="2" t="s">
        <v>313</v>
      </c>
      <c r="F1522" t="s">
        <v>14</v>
      </c>
      <c r="G1522" t="str">
        <f>HYPERLINK("https://n.news.naver.com/mnews/article/011/0004495523?sid=101")</f>
        <v>https://n.news.naver.com/mnews/article/011/0004495523?sid=101</v>
      </c>
      <c r="H1522">
        <v>7.0999999999999994E-2</v>
      </c>
    </row>
    <row r="1523" spans="1:8" x14ac:dyDescent="0.3">
      <c r="A1523" t="s">
        <v>3284</v>
      </c>
      <c r="B1523" t="s">
        <v>26951</v>
      </c>
      <c r="C1523" t="s">
        <v>3924</v>
      </c>
      <c r="D1523" t="s">
        <v>3923</v>
      </c>
      <c r="E1523" s="2" t="s">
        <v>313</v>
      </c>
      <c r="F1523" t="s">
        <v>3922</v>
      </c>
      <c r="G1523" t="str">
        <f>HYPERLINK("http://www.meconomynews.com/news/articleView.html?idxno=49757")</f>
        <v>http://www.meconomynews.com/news/articleView.html?idxno=49757</v>
      </c>
      <c r="H1523">
        <v>0.23799999999999999</v>
      </c>
    </row>
    <row r="1524" spans="1:8" x14ac:dyDescent="0.3">
      <c r="A1524" t="s">
        <v>3284</v>
      </c>
      <c r="B1524" t="s">
        <v>26951</v>
      </c>
      <c r="C1524" t="s">
        <v>3926</v>
      </c>
      <c r="D1524" t="s">
        <v>3925</v>
      </c>
      <c r="E1524" s="2" t="s">
        <v>313</v>
      </c>
      <c r="F1524" t="s">
        <v>1908</v>
      </c>
      <c r="G1524" t="str">
        <f>HYPERLINK("https://www.apnews.kr/news/articleView.html?idxno=3022945")</f>
        <v>https://www.apnews.kr/news/articleView.html?idxno=3022945</v>
      </c>
      <c r="H1524">
        <v>0.48399999999999999</v>
      </c>
    </row>
    <row r="1525" spans="1:8" x14ac:dyDescent="0.3">
      <c r="A1525" t="s">
        <v>3284</v>
      </c>
      <c r="B1525" t="s">
        <v>26951</v>
      </c>
      <c r="C1525" t="s">
        <v>3928</v>
      </c>
      <c r="D1525" t="s">
        <v>3927</v>
      </c>
      <c r="E1525" s="2" t="s">
        <v>313</v>
      </c>
      <c r="F1525" t="s">
        <v>1546</v>
      </c>
      <c r="G1525" t="str">
        <f>HYPERLINK("http://www.metroseoul.co.kr/article/20250625500546")</f>
        <v>http://www.metroseoul.co.kr/article/20250625500546</v>
      </c>
      <c r="H1525">
        <v>0.35499999999999998</v>
      </c>
    </row>
    <row r="1526" spans="1:8" x14ac:dyDescent="0.3">
      <c r="A1526" t="s">
        <v>3284</v>
      </c>
      <c r="B1526" t="s">
        <v>26951</v>
      </c>
      <c r="C1526" t="s">
        <v>3930</v>
      </c>
      <c r="D1526" t="s">
        <v>3929</v>
      </c>
      <c r="E1526" s="2" t="s">
        <v>313</v>
      </c>
      <c r="F1526" t="s">
        <v>505</v>
      </c>
      <c r="G1526" t="str">
        <f>HYPERLINK("http://www.sisaon.co.kr/news/articleView.html?idxno=172250")</f>
        <v>http://www.sisaon.co.kr/news/articleView.html?idxno=172250</v>
      </c>
      <c r="H1526">
        <v>0.377</v>
      </c>
    </row>
    <row r="1527" spans="1:8" x14ac:dyDescent="0.3">
      <c r="A1527" t="s">
        <v>3284</v>
      </c>
      <c r="B1527" t="s">
        <v>26951</v>
      </c>
      <c r="C1527" t="s">
        <v>3933</v>
      </c>
      <c r="D1527" t="s">
        <v>3932</v>
      </c>
      <c r="E1527" s="2" t="s">
        <v>196</v>
      </c>
      <c r="F1527" t="s">
        <v>3931</v>
      </c>
      <c r="G1527" t="str">
        <f>HYPERLINK("https://www.idaegu.com/news/articleView.html?idxno=636039")</f>
        <v>https://www.idaegu.com/news/articleView.html?idxno=636039</v>
      </c>
      <c r="H1527">
        <v>0.40799999999999997</v>
      </c>
    </row>
    <row r="1528" spans="1:8" x14ac:dyDescent="0.3">
      <c r="A1528" t="s">
        <v>3284</v>
      </c>
      <c r="B1528" t="s">
        <v>26951</v>
      </c>
      <c r="C1528" t="s">
        <v>3936</v>
      </c>
      <c r="D1528" t="s">
        <v>3935</v>
      </c>
      <c r="E1528" s="2" t="s">
        <v>196</v>
      </c>
      <c r="F1528" t="s">
        <v>3934</v>
      </c>
      <c r="G1528" t="str">
        <f>HYPERLINK("http://news.lghellovision.net/news/articleView.html?idxno=510065")</f>
        <v>http://news.lghellovision.net/news/articleView.html?idxno=510065</v>
      </c>
      <c r="H1528">
        <v>0.31</v>
      </c>
    </row>
    <row r="1529" spans="1:8" x14ac:dyDescent="0.3">
      <c r="A1529" t="s">
        <v>3284</v>
      </c>
      <c r="B1529" t="s">
        <v>26951</v>
      </c>
      <c r="C1529" t="s">
        <v>3938</v>
      </c>
      <c r="D1529" t="s">
        <v>3937</v>
      </c>
      <c r="E1529" s="2" t="s">
        <v>196</v>
      </c>
      <c r="F1529" t="s">
        <v>148</v>
      </c>
      <c r="G1529" t="str">
        <f>HYPERLINK("https://www.straightnews.co.kr/news/articleView.html?idxno=274532")</f>
        <v>https://www.straightnews.co.kr/news/articleView.html?idxno=274532</v>
      </c>
      <c r="H1529">
        <v>0.21099999999999999</v>
      </c>
    </row>
    <row r="1530" spans="1:8" x14ac:dyDescent="0.3">
      <c r="A1530" t="s">
        <v>3284</v>
      </c>
      <c r="B1530" t="s">
        <v>26951</v>
      </c>
      <c r="C1530" t="s">
        <v>3941</v>
      </c>
      <c r="D1530" t="s">
        <v>3940</v>
      </c>
      <c r="E1530" s="2" t="s">
        <v>196</v>
      </c>
      <c r="F1530" t="s">
        <v>3939</v>
      </c>
      <c r="G1530" t="str">
        <f>HYPERLINK("http://www.finomy.com/news/articleView.html?idxno=231764")</f>
        <v>http://www.finomy.com/news/articleView.html?idxno=231764</v>
      </c>
      <c r="H1530">
        <v>0.52400000000000002</v>
      </c>
    </row>
    <row r="1531" spans="1:8" x14ac:dyDescent="0.3">
      <c r="A1531" t="s">
        <v>3284</v>
      </c>
      <c r="B1531" t="s">
        <v>26951</v>
      </c>
      <c r="C1531" t="s">
        <v>3944</v>
      </c>
      <c r="D1531" t="s">
        <v>3943</v>
      </c>
      <c r="E1531" s="2" t="s">
        <v>196</v>
      </c>
      <c r="F1531" t="s">
        <v>3942</v>
      </c>
      <c r="G1531" t="str">
        <f>HYPERLINK("https://n.news.naver.com/mnews/article/022/0004027336?sid=100")</f>
        <v>https://n.news.naver.com/mnews/article/022/0004027336?sid=100</v>
      </c>
      <c r="H1531">
        <v>9.0999999999999998E-2</v>
      </c>
    </row>
    <row r="1532" spans="1:8" x14ac:dyDescent="0.3">
      <c r="A1532" t="s">
        <v>3284</v>
      </c>
      <c r="B1532" t="s">
        <v>26951</v>
      </c>
      <c r="C1532" t="s">
        <v>3946</v>
      </c>
      <c r="D1532" t="s">
        <v>3945</v>
      </c>
      <c r="E1532" s="2" t="s">
        <v>196</v>
      </c>
      <c r="F1532" t="s">
        <v>625</v>
      </c>
      <c r="G1532" t="str">
        <f>HYPERLINK("https://n.news.naver.com/mnews/article/011/0004503419?sid=101")</f>
        <v>https://n.news.naver.com/mnews/article/011/0004503419?sid=101</v>
      </c>
      <c r="H1532">
        <v>0.21</v>
      </c>
    </row>
    <row r="1533" spans="1:8" x14ac:dyDescent="0.3">
      <c r="A1533" t="s">
        <v>3284</v>
      </c>
      <c r="B1533" t="s">
        <v>26951</v>
      </c>
      <c r="C1533" t="s">
        <v>3948</v>
      </c>
      <c r="D1533" t="s">
        <v>3947</v>
      </c>
      <c r="E1533" s="2" t="s">
        <v>196</v>
      </c>
      <c r="F1533" t="s">
        <v>3291</v>
      </c>
      <c r="G1533" t="str">
        <f>HYPERLINK("https://kr.aving.net/news/articleView.html?idxno=1801465")</f>
        <v>https://kr.aving.net/news/articleView.html?idxno=1801465</v>
      </c>
      <c r="H1533">
        <v>0.81899999999999995</v>
      </c>
    </row>
    <row r="1534" spans="1:8" x14ac:dyDescent="0.3">
      <c r="A1534" t="s">
        <v>3284</v>
      </c>
      <c r="B1534" t="s">
        <v>26951</v>
      </c>
      <c r="C1534" t="s">
        <v>3950</v>
      </c>
      <c r="D1534" t="s">
        <v>3949</v>
      </c>
      <c r="E1534" s="2" t="s">
        <v>196</v>
      </c>
      <c r="F1534" t="s">
        <v>148</v>
      </c>
      <c r="G1534" t="str">
        <f>HYPERLINK("https://www.straightnews.co.kr/news/articleView.html?idxno=274532")</f>
        <v>https://www.straightnews.co.kr/news/articleView.html?idxno=274532</v>
      </c>
      <c r="H1534">
        <v>0.21299999999999999</v>
      </c>
    </row>
    <row r="1535" spans="1:8" x14ac:dyDescent="0.3">
      <c r="A1535" t="s">
        <v>3284</v>
      </c>
      <c r="B1535" t="s">
        <v>26951</v>
      </c>
      <c r="C1535" t="s">
        <v>3952</v>
      </c>
      <c r="D1535" t="s">
        <v>3951</v>
      </c>
      <c r="E1535" s="2" t="s">
        <v>196</v>
      </c>
      <c r="F1535" t="s">
        <v>3349</v>
      </c>
      <c r="G1535" t="str">
        <f>HYPERLINK("https://n.news.naver.com/mnews/article/011/0004500775?sid=100")</f>
        <v>https://n.news.naver.com/mnews/article/011/0004500775?sid=100</v>
      </c>
      <c r="H1535">
        <v>0.126</v>
      </c>
    </row>
    <row r="1536" spans="1:8" x14ac:dyDescent="0.3">
      <c r="A1536" t="s">
        <v>3284</v>
      </c>
      <c r="B1536" t="s">
        <v>26951</v>
      </c>
      <c r="C1536" t="s">
        <v>3956</v>
      </c>
      <c r="D1536" t="s">
        <v>3955</v>
      </c>
      <c r="E1536" s="2" t="s">
        <v>196</v>
      </c>
      <c r="F1536" t="s">
        <v>243</v>
      </c>
      <c r="G1536" t="str">
        <f>HYPERLINK("https://www.cnbnews.com/news/article.html?no=734833")</f>
        <v>https://www.cnbnews.com/news/article.html?no=734833</v>
      </c>
      <c r="H1536">
        <v>0.32100000000000001</v>
      </c>
    </row>
    <row r="1537" spans="1:8" x14ac:dyDescent="0.3">
      <c r="A1537" t="s">
        <v>3284</v>
      </c>
      <c r="B1537" t="s">
        <v>26951</v>
      </c>
      <c r="C1537" t="s">
        <v>3959</v>
      </c>
      <c r="D1537" t="s">
        <v>3958</v>
      </c>
      <c r="E1537" s="2" t="s">
        <v>196</v>
      </c>
      <c r="F1537" t="s">
        <v>3957</v>
      </c>
      <c r="G1537" t="str">
        <f>HYPERLINK("https://www.greened.kr/news/articleView.html?idxno=311631")</f>
        <v>https://www.greened.kr/news/articleView.html?idxno=311631</v>
      </c>
      <c r="H1537">
        <v>0.41299999999999998</v>
      </c>
    </row>
    <row r="1538" spans="1:8" x14ac:dyDescent="0.3">
      <c r="A1538" t="s">
        <v>3284</v>
      </c>
      <c r="B1538" t="s">
        <v>26951</v>
      </c>
      <c r="C1538" t="s">
        <v>3961</v>
      </c>
      <c r="D1538" t="s">
        <v>3960</v>
      </c>
      <c r="E1538" s="2" t="s">
        <v>196</v>
      </c>
      <c r="F1538" t="s">
        <v>1908</v>
      </c>
      <c r="G1538" t="str">
        <f>HYPERLINK("http://www.newspim.com/news/view/20190820000046")</f>
        <v>http://www.newspim.com/news/view/20190820000046</v>
      </c>
      <c r="H1538">
        <v>0.54700000000000004</v>
      </c>
    </row>
    <row r="1539" spans="1:8" x14ac:dyDescent="0.3">
      <c r="A1539" t="s">
        <v>3284</v>
      </c>
      <c r="B1539" t="s">
        <v>26951</v>
      </c>
      <c r="C1539" t="s">
        <v>3963</v>
      </c>
      <c r="D1539" t="s">
        <v>3962</v>
      </c>
      <c r="E1539" s="2" t="s">
        <v>196</v>
      </c>
      <c r="F1539" t="s">
        <v>190</v>
      </c>
      <c r="G1539" t="str">
        <f>HYPERLINK("https://www.safetynews.co.kr/news/articleView.html?idxno=239867")</f>
        <v>https://www.safetynews.co.kr/news/articleView.html?idxno=239867</v>
      </c>
      <c r="H1539">
        <v>0.58599999999999997</v>
      </c>
    </row>
    <row r="1540" spans="1:8" x14ac:dyDescent="0.3">
      <c r="A1540" t="s">
        <v>3284</v>
      </c>
      <c r="B1540" t="s">
        <v>26951</v>
      </c>
      <c r="C1540" t="s">
        <v>3965</v>
      </c>
      <c r="D1540" t="s">
        <v>3964</v>
      </c>
      <c r="E1540" s="2" t="s">
        <v>196</v>
      </c>
      <c r="F1540" t="s">
        <v>505</v>
      </c>
      <c r="G1540" t="str">
        <f>HYPERLINK("http://www.sisaon.co.kr/news/articleView.html?idxno=172250")</f>
        <v>http://www.sisaon.co.kr/news/articleView.html?idxno=172250</v>
      </c>
      <c r="H1540">
        <v>0.44800000000000001</v>
      </c>
    </row>
    <row r="1541" spans="1:8" x14ac:dyDescent="0.3">
      <c r="A1541" t="s">
        <v>3284</v>
      </c>
      <c r="B1541" t="s">
        <v>26951</v>
      </c>
      <c r="C1541" t="s">
        <v>3967</v>
      </c>
      <c r="D1541" t="s">
        <v>3966</v>
      </c>
      <c r="E1541" s="2" t="s">
        <v>230</v>
      </c>
      <c r="F1541" t="s">
        <v>3574</v>
      </c>
      <c r="G1541" t="str">
        <f>HYPERLINK("http://www.kukinews.com/news/article.html?no=762254")</f>
        <v>http://www.kukinews.com/news/article.html?no=762254</v>
      </c>
      <c r="H1541">
        <v>0.36</v>
      </c>
    </row>
    <row r="1542" spans="1:8" x14ac:dyDescent="0.3">
      <c r="A1542" t="s">
        <v>3284</v>
      </c>
      <c r="B1542" t="s">
        <v>26951</v>
      </c>
      <c r="C1542" t="s">
        <v>3969</v>
      </c>
      <c r="D1542" t="s">
        <v>3968</v>
      </c>
      <c r="E1542" s="2" t="s">
        <v>230</v>
      </c>
      <c r="F1542" t="s">
        <v>3872</v>
      </c>
      <c r="G1542" t="str">
        <f>HYPERLINK("https://n.news.naver.com/mnews/article/011/0004496881?sid=101")</f>
        <v>https://n.news.naver.com/mnews/article/011/0004496881?sid=101</v>
      </c>
      <c r="H1542">
        <v>6.5000000000000002E-2</v>
      </c>
    </row>
    <row r="1543" spans="1:8" x14ac:dyDescent="0.3">
      <c r="A1543" t="s">
        <v>3284</v>
      </c>
      <c r="B1543" t="s">
        <v>26951</v>
      </c>
      <c r="C1543" t="s">
        <v>3972</v>
      </c>
      <c r="D1543" t="s">
        <v>3971</v>
      </c>
      <c r="E1543" s="2" t="s">
        <v>230</v>
      </c>
      <c r="F1543" t="s">
        <v>3970</v>
      </c>
      <c r="G1543" t="str">
        <f>HYPERLINK("https://n.news.naver.com/mnews/article/081/0003550970?sid=102")</f>
        <v>https://n.news.naver.com/mnews/article/081/0003550970?sid=102</v>
      </c>
      <c r="H1543">
        <v>0.161</v>
      </c>
    </row>
    <row r="1544" spans="1:8" x14ac:dyDescent="0.3">
      <c r="A1544" t="s">
        <v>3284</v>
      </c>
      <c r="B1544" t="s">
        <v>26951</v>
      </c>
      <c r="C1544" t="s">
        <v>3975</v>
      </c>
      <c r="D1544" t="s">
        <v>3974</v>
      </c>
      <c r="E1544" s="2" t="s">
        <v>230</v>
      </c>
      <c r="F1544" t="s">
        <v>3973</v>
      </c>
      <c r="G1544" t="str">
        <f>HYPERLINK("http://www.seoulwire.com/news/articleView.html?idxno=253601")</f>
        <v>http://www.seoulwire.com/news/articleView.html?idxno=253601</v>
      </c>
      <c r="H1544">
        <v>0.44400000000000001</v>
      </c>
    </row>
    <row r="1545" spans="1:8" x14ac:dyDescent="0.3">
      <c r="A1545" t="s">
        <v>3284</v>
      </c>
      <c r="B1545" t="s">
        <v>26951</v>
      </c>
      <c r="C1545" t="s">
        <v>3978</v>
      </c>
      <c r="D1545" t="s">
        <v>3977</v>
      </c>
      <c r="E1545" s="2" t="s">
        <v>230</v>
      </c>
      <c r="F1545" t="s">
        <v>3976</v>
      </c>
      <c r="G1545" t="str">
        <f>HYPERLINK("http://www.bosa.co.kr/news/articleView.html?idxno=2251595")</f>
        <v>http://www.bosa.co.kr/news/articleView.html?idxno=2251595</v>
      </c>
      <c r="H1545">
        <v>0.96699999999999997</v>
      </c>
    </row>
    <row r="1546" spans="1:8" x14ac:dyDescent="0.3">
      <c r="A1546" t="s">
        <v>3284</v>
      </c>
      <c r="B1546" t="s">
        <v>26951</v>
      </c>
      <c r="C1546" t="s">
        <v>3981</v>
      </c>
      <c r="D1546" t="s">
        <v>3980</v>
      </c>
      <c r="E1546" s="2" t="s">
        <v>230</v>
      </c>
      <c r="F1546" t="s">
        <v>3979</v>
      </c>
      <c r="G1546" t="str">
        <f>HYPERLINK("https://n.news.naver.com/mnews/article/008/0004810995?sid=101")</f>
        <v>https://n.news.naver.com/mnews/article/008/0004810995?sid=101</v>
      </c>
      <c r="H1546">
        <v>0.26300000000000001</v>
      </c>
    </row>
    <row r="1547" spans="1:8" x14ac:dyDescent="0.3">
      <c r="A1547" t="s">
        <v>3284</v>
      </c>
      <c r="B1547" t="s">
        <v>26951</v>
      </c>
      <c r="C1547" t="s">
        <v>3983</v>
      </c>
      <c r="D1547" t="s">
        <v>3982</v>
      </c>
      <c r="E1547" s="2" t="s">
        <v>230</v>
      </c>
      <c r="F1547" t="s">
        <v>3822</v>
      </c>
      <c r="G1547" t="str">
        <f>HYPERLINK("https://www.newspim.com/news/view/20250124000137")</f>
        <v>https://www.newspim.com/news/view/20250124000137</v>
      </c>
      <c r="H1547">
        <v>0.35099999999999998</v>
      </c>
    </row>
    <row r="1548" spans="1:8" x14ac:dyDescent="0.3">
      <c r="A1548" t="s">
        <v>3284</v>
      </c>
      <c r="B1548" t="s">
        <v>26951</v>
      </c>
      <c r="C1548" t="s">
        <v>3985</v>
      </c>
      <c r="D1548" t="s">
        <v>3984</v>
      </c>
      <c r="E1548" s="2" t="s">
        <v>230</v>
      </c>
      <c r="F1548" t="s">
        <v>625</v>
      </c>
      <c r="G1548" t="str">
        <f>HYPERLINK("https://n.news.naver.com/mnews/article/011/0004503419?sid=101")</f>
        <v>https://n.news.naver.com/mnews/article/011/0004503419?sid=101</v>
      </c>
      <c r="H1548">
        <v>0.157</v>
      </c>
    </row>
    <row r="1549" spans="1:8" x14ac:dyDescent="0.3">
      <c r="A1549" t="s">
        <v>3284</v>
      </c>
      <c r="B1549" t="s">
        <v>26951</v>
      </c>
      <c r="C1549" t="s">
        <v>3987</v>
      </c>
      <c r="D1549" t="s">
        <v>3986</v>
      </c>
      <c r="E1549" s="2" t="s">
        <v>230</v>
      </c>
      <c r="F1549" t="s">
        <v>3829</v>
      </c>
      <c r="G1549" t="str">
        <f>HYPERLINK("http://www.mhj21.com/167736")</f>
        <v>http://www.mhj21.com/167736</v>
      </c>
      <c r="H1549">
        <v>0.76700000000000002</v>
      </c>
    </row>
    <row r="1550" spans="1:8" x14ac:dyDescent="0.3">
      <c r="A1550" t="s">
        <v>3284</v>
      </c>
      <c r="B1550" t="s">
        <v>26951</v>
      </c>
      <c r="C1550" t="s">
        <v>3991</v>
      </c>
      <c r="D1550" t="s">
        <v>3990</v>
      </c>
      <c r="E1550" s="2" t="s">
        <v>230</v>
      </c>
      <c r="F1550" t="s">
        <v>3291</v>
      </c>
      <c r="G1550" t="str">
        <f>HYPERLINK("http://www.enewstoday.co.kr/news/articleView.html?idxno=2293234")</f>
        <v>http://www.enewstoday.co.kr/news/articleView.html?idxno=2293234</v>
      </c>
      <c r="H1550">
        <v>0.88</v>
      </c>
    </row>
    <row r="1551" spans="1:8" x14ac:dyDescent="0.3">
      <c r="A1551" t="s">
        <v>3284</v>
      </c>
      <c r="B1551" t="s">
        <v>26951</v>
      </c>
      <c r="C1551" t="s">
        <v>3993</v>
      </c>
      <c r="D1551" t="s">
        <v>3992</v>
      </c>
      <c r="E1551" s="2" t="s">
        <v>230</v>
      </c>
      <c r="F1551" t="s">
        <v>805</v>
      </c>
      <c r="G1551" t="str">
        <f>HYPERLINK("https://jhealthmedia.joins.com/news/articleView.html?idxno=30576")</f>
        <v>https://jhealthmedia.joins.com/news/articleView.html?idxno=30576</v>
      </c>
      <c r="H1551">
        <v>0.26</v>
      </c>
    </row>
    <row r="1552" spans="1:8" x14ac:dyDescent="0.3">
      <c r="A1552" t="s">
        <v>3284</v>
      </c>
      <c r="B1552" t="s">
        <v>26951</v>
      </c>
      <c r="C1552" t="s">
        <v>3995</v>
      </c>
      <c r="D1552" t="s">
        <v>3994</v>
      </c>
      <c r="E1552" s="2" t="s">
        <v>230</v>
      </c>
      <c r="F1552" t="s">
        <v>3300</v>
      </c>
      <c r="G1552" t="str">
        <f>HYPERLINK("http://www.mhj21.com/167736")</f>
        <v>http://www.mhj21.com/167736</v>
      </c>
      <c r="H1552">
        <v>0.77900000000000003</v>
      </c>
    </row>
    <row r="1553" spans="1:8" x14ac:dyDescent="0.3">
      <c r="A1553" t="s">
        <v>3284</v>
      </c>
      <c r="B1553" t="s">
        <v>26951</v>
      </c>
      <c r="C1553" t="s">
        <v>3997</v>
      </c>
      <c r="D1553" t="s">
        <v>3996</v>
      </c>
      <c r="E1553" s="2" t="s">
        <v>230</v>
      </c>
      <c r="F1553" t="s">
        <v>3366</v>
      </c>
      <c r="G1553" t="str">
        <f>HYPERLINK("http://www.sentv.co.kr/news/view/689160")</f>
        <v>http://www.sentv.co.kr/news/view/689160</v>
      </c>
      <c r="H1553">
        <v>0.504</v>
      </c>
    </row>
    <row r="1554" spans="1:8" x14ac:dyDescent="0.3">
      <c r="A1554" t="s">
        <v>3284</v>
      </c>
      <c r="B1554" t="s">
        <v>26951</v>
      </c>
      <c r="C1554" t="s">
        <v>3999</v>
      </c>
      <c r="D1554" t="s">
        <v>3998</v>
      </c>
      <c r="E1554" s="2" t="s">
        <v>230</v>
      </c>
      <c r="F1554" t="s">
        <v>3366</v>
      </c>
      <c r="G1554" t="str">
        <f>HYPERLINK("http://www.greened.kr/news/articleView.html?idxno=298218")</f>
        <v>http://www.greened.kr/news/articleView.html?idxno=298218</v>
      </c>
      <c r="H1554">
        <v>0.49099999999999999</v>
      </c>
    </row>
    <row r="1555" spans="1:8" x14ac:dyDescent="0.3">
      <c r="A1555" t="s">
        <v>3284</v>
      </c>
      <c r="B1555" t="s">
        <v>26951</v>
      </c>
      <c r="C1555" t="s">
        <v>4001</v>
      </c>
      <c r="D1555" t="s">
        <v>4000</v>
      </c>
      <c r="E1555" s="2" t="s">
        <v>230</v>
      </c>
      <c r="F1555" t="s">
        <v>1908</v>
      </c>
      <c r="G1555" t="str">
        <f>HYPERLINK("https://www.apnews.kr/news/articleView.html?idxno=3022945")</f>
        <v>https://www.apnews.kr/news/articleView.html?idxno=3022945</v>
      </c>
      <c r="H1555">
        <v>0.46200000000000002</v>
      </c>
    </row>
    <row r="1556" spans="1:8" x14ac:dyDescent="0.3">
      <c r="A1556" t="s">
        <v>3284</v>
      </c>
      <c r="B1556" t="s">
        <v>26951</v>
      </c>
      <c r="C1556" t="s">
        <v>4003</v>
      </c>
      <c r="D1556" t="s">
        <v>4002</v>
      </c>
      <c r="E1556" s="2" t="s">
        <v>230</v>
      </c>
      <c r="F1556" t="s">
        <v>1328</v>
      </c>
      <c r="G1556" t="str">
        <f>HYPERLINK("http://news.lghellovision.net/news/articleView.html?idxno=510065")</f>
        <v>http://news.lghellovision.net/news/articleView.html?idxno=510065</v>
      </c>
      <c r="H1556">
        <v>0.125</v>
      </c>
    </row>
    <row r="1557" spans="1:8" x14ac:dyDescent="0.3">
      <c r="A1557" t="s">
        <v>3284</v>
      </c>
      <c r="B1557" t="s">
        <v>26951</v>
      </c>
      <c r="C1557" t="s">
        <v>4006</v>
      </c>
      <c r="D1557" t="s">
        <v>4005</v>
      </c>
      <c r="E1557" s="2" t="s">
        <v>230</v>
      </c>
      <c r="F1557" t="s">
        <v>4004</v>
      </c>
      <c r="G1557" t="str">
        <f>HYPERLINK("https://kr.aving.net/news/articleView.html?idxno=1799944")</f>
        <v>https://kr.aving.net/news/articleView.html?idxno=1799944</v>
      </c>
      <c r="H1557">
        <v>0.28299999999999997</v>
      </c>
    </row>
    <row r="1558" spans="1:8" x14ac:dyDescent="0.3">
      <c r="A1558" t="s">
        <v>3284</v>
      </c>
      <c r="B1558" t="s">
        <v>26951</v>
      </c>
      <c r="C1558" t="s">
        <v>4008</v>
      </c>
      <c r="D1558" t="s">
        <v>4007</v>
      </c>
      <c r="E1558" s="2" t="s">
        <v>230</v>
      </c>
      <c r="F1558" t="s">
        <v>505</v>
      </c>
      <c r="G1558" t="str">
        <f>HYPERLINK("http://www.sisaon.co.kr/news/articleView.html?idxno=172250")</f>
        <v>http://www.sisaon.co.kr/news/articleView.html?idxno=172250</v>
      </c>
      <c r="H1558">
        <v>0.41199999999999998</v>
      </c>
    </row>
    <row r="1559" spans="1:8" x14ac:dyDescent="0.3">
      <c r="A1559" t="s">
        <v>3284</v>
      </c>
      <c r="B1559" t="s">
        <v>26951</v>
      </c>
      <c r="C1559" t="s">
        <v>4011</v>
      </c>
      <c r="D1559" t="s">
        <v>4010</v>
      </c>
      <c r="E1559" s="2" t="s">
        <v>230</v>
      </c>
      <c r="F1559" t="s">
        <v>4009</v>
      </c>
      <c r="G1559" t="str">
        <f>HYPERLINK("http://www.seoulwire.com/news/articleView.html?idxno=261024")</f>
        <v>http://www.seoulwire.com/news/articleView.html?idxno=261024</v>
      </c>
      <c r="H1559">
        <v>0.46800000000000003</v>
      </c>
    </row>
    <row r="1560" spans="1:8" x14ac:dyDescent="0.3">
      <c r="A1560" t="s">
        <v>3284</v>
      </c>
      <c r="B1560" t="s">
        <v>26951</v>
      </c>
      <c r="C1560" t="s">
        <v>4014</v>
      </c>
      <c r="D1560" t="s">
        <v>4013</v>
      </c>
      <c r="E1560" s="2" t="s">
        <v>133</v>
      </c>
      <c r="F1560" t="s">
        <v>4012</v>
      </c>
      <c r="G1560" t="str">
        <f>HYPERLINK("https://www.greened.kr/news/articleView.html?idxno=327687")</f>
        <v>https://www.greened.kr/news/articleView.html?idxno=327687</v>
      </c>
      <c r="H1560">
        <v>0.38500000000000001</v>
      </c>
    </row>
    <row r="1561" spans="1:8" x14ac:dyDescent="0.3">
      <c r="A1561" t="s">
        <v>3284</v>
      </c>
      <c r="B1561" t="s">
        <v>26951</v>
      </c>
      <c r="C1561" t="s">
        <v>4017</v>
      </c>
      <c r="D1561" t="s">
        <v>4016</v>
      </c>
      <c r="E1561" s="2" t="s">
        <v>133</v>
      </c>
      <c r="F1561" t="s">
        <v>4015</v>
      </c>
      <c r="G1561" t="str">
        <f>HYPERLINK("https://n.news.naver.com/mnews/article/018/0002399084?sid=102")</f>
        <v>https://n.news.naver.com/mnews/article/018/0002399084?sid=102</v>
      </c>
      <c r="H1561">
        <v>0.27100000000000002</v>
      </c>
    </row>
    <row r="1562" spans="1:8" x14ac:dyDescent="0.3">
      <c r="A1562" t="s">
        <v>3284</v>
      </c>
      <c r="B1562" t="s">
        <v>26951</v>
      </c>
      <c r="C1562" t="s">
        <v>4020</v>
      </c>
      <c r="D1562" t="s">
        <v>4019</v>
      </c>
      <c r="E1562" s="2" t="s">
        <v>133</v>
      </c>
      <c r="F1562" t="s">
        <v>4018</v>
      </c>
      <c r="G1562" t="str">
        <f>HYPERLINK("https://kr.aving.net/news/articleView.html?idxno=1778040")</f>
        <v>https://kr.aving.net/news/articleView.html?idxno=1778040</v>
      </c>
      <c r="H1562">
        <v>0.34100000000000003</v>
      </c>
    </row>
    <row r="1563" spans="1:8" x14ac:dyDescent="0.3">
      <c r="A1563" t="s">
        <v>3284</v>
      </c>
      <c r="B1563" t="s">
        <v>26951</v>
      </c>
      <c r="C1563" t="s">
        <v>4022</v>
      </c>
      <c r="D1563" t="s">
        <v>4021</v>
      </c>
      <c r="E1563" s="2" t="s">
        <v>133</v>
      </c>
      <c r="F1563" t="s">
        <v>1327</v>
      </c>
      <c r="G1563" t="str">
        <f>HYPERLINK("http://www.nongaek.com/news/articleView.html?idxno=91747")</f>
        <v>http://www.nongaek.com/news/articleView.html?idxno=91747</v>
      </c>
      <c r="H1563">
        <v>0.58499999999999996</v>
      </c>
    </row>
    <row r="1564" spans="1:8" x14ac:dyDescent="0.3">
      <c r="A1564" t="s">
        <v>3284</v>
      </c>
      <c r="B1564" t="s">
        <v>26951</v>
      </c>
      <c r="C1564" t="s">
        <v>4025</v>
      </c>
      <c r="D1564" t="s">
        <v>4024</v>
      </c>
      <c r="E1564" s="2" t="s">
        <v>133</v>
      </c>
      <c r="F1564" t="s">
        <v>4023</v>
      </c>
      <c r="G1564" t="str">
        <f>HYPERLINK("http://www.fntoday.co.kr/news/articleView.html?idxno=162669")</f>
        <v>http://www.fntoday.co.kr/news/articleView.html?idxno=162669</v>
      </c>
      <c r="H1564">
        <v>0.33100000000000002</v>
      </c>
    </row>
    <row r="1565" spans="1:8" x14ac:dyDescent="0.3">
      <c r="A1565" t="s">
        <v>3284</v>
      </c>
      <c r="B1565" t="s">
        <v>26951</v>
      </c>
      <c r="C1565" t="s">
        <v>4027</v>
      </c>
      <c r="D1565" t="s">
        <v>4026</v>
      </c>
      <c r="E1565" s="2" t="s">
        <v>133</v>
      </c>
      <c r="F1565" t="s">
        <v>3676</v>
      </c>
      <c r="G1565" t="str">
        <f>HYPERLINK("https://n.news.naver.com/mnews/article/081/0003262449?sid=101")</f>
        <v>https://n.news.naver.com/mnews/article/081/0003262449?sid=101</v>
      </c>
      <c r="H1565">
        <v>0.217</v>
      </c>
    </row>
    <row r="1566" spans="1:8" x14ac:dyDescent="0.3">
      <c r="A1566" t="s">
        <v>3284</v>
      </c>
      <c r="B1566" t="s">
        <v>26951</v>
      </c>
      <c r="C1566" t="s">
        <v>4029</v>
      </c>
      <c r="D1566" t="s">
        <v>4028</v>
      </c>
      <c r="E1566" s="2" t="s">
        <v>133</v>
      </c>
      <c r="F1566" t="s">
        <v>73</v>
      </c>
      <c r="G1566" t="str">
        <f>HYPERLINK("https://n.news.naver.com/mnews/article/011/0004488237?sid=101")</f>
        <v>https://n.news.naver.com/mnews/article/011/0004488237?sid=101</v>
      </c>
      <c r="H1566">
        <v>0.32900000000000001</v>
      </c>
    </row>
    <row r="1567" spans="1:8" x14ac:dyDescent="0.3">
      <c r="A1567" t="s">
        <v>3284</v>
      </c>
      <c r="B1567" t="s">
        <v>26951</v>
      </c>
      <c r="C1567" t="s">
        <v>4031</v>
      </c>
      <c r="D1567" t="s">
        <v>4030</v>
      </c>
      <c r="E1567" s="2" t="s">
        <v>133</v>
      </c>
      <c r="F1567" t="s">
        <v>3291</v>
      </c>
      <c r="G1567" t="str">
        <f>HYPERLINK("https://kr.aving.net/news/articleView.html?idxno=1801578")</f>
        <v>https://kr.aving.net/news/articleView.html?idxno=1801578</v>
      </c>
      <c r="H1567">
        <v>0.90500000000000003</v>
      </c>
    </row>
    <row r="1568" spans="1:8" x14ac:dyDescent="0.3">
      <c r="A1568" t="s">
        <v>3284</v>
      </c>
      <c r="B1568" t="s">
        <v>26951</v>
      </c>
      <c r="C1568" t="s">
        <v>4033</v>
      </c>
      <c r="D1568" t="s">
        <v>4032</v>
      </c>
      <c r="E1568" s="2" t="s">
        <v>133</v>
      </c>
      <c r="F1568" t="s">
        <v>3311</v>
      </c>
      <c r="G1568" t="str">
        <f>HYPERLINK("http://amenews.kr/news/view.php?idx=57985")</f>
        <v>http://amenews.kr/news/view.php?idx=57985</v>
      </c>
      <c r="H1568">
        <v>0.442</v>
      </c>
    </row>
    <row r="1569" spans="1:8" x14ac:dyDescent="0.3">
      <c r="A1569" t="s">
        <v>3284</v>
      </c>
      <c r="B1569" t="s">
        <v>26951</v>
      </c>
      <c r="C1569" t="s">
        <v>4035</v>
      </c>
      <c r="D1569" t="s">
        <v>4034</v>
      </c>
      <c r="E1569" s="2" t="s">
        <v>133</v>
      </c>
      <c r="F1569" t="s">
        <v>3311</v>
      </c>
      <c r="G1569" t="str">
        <f>HYPERLINK("https://n.news.naver.com/mnews/article/011/0004498126?sid=110")</f>
        <v>https://n.news.naver.com/mnews/article/011/0004498126?sid=110</v>
      </c>
      <c r="H1569">
        <v>0.25900000000000001</v>
      </c>
    </row>
    <row r="1570" spans="1:8" x14ac:dyDescent="0.3">
      <c r="A1570" t="s">
        <v>3284</v>
      </c>
      <c r="B1570" t="s">
        <v>26951</v>
      </c>
      <c r="C1570" t="s">
        <v>4038</v>
      </c>
      <c r="D1570" t="s">
        <v>4037</v>
      </c>
      <c r="E1570" s="2" t="s">
        <v>133</v>
      </c>
      <c r="F1570" t="s">
        <v>4036</v>
      </c>
      <c r="G1570" t="str">
        <f>HYPERLINK("https://www.pointdaily.co.kr/news/articleView.html?idxno=236771")</f>
        <v>https://www.pointdaily.co.kr/news/articleView.html?idxno=236771</v>
      </c>
      <c r="H1570">
        <v>0.57399999999999995</v>
      </c>
    </row>
    <row r="1571" spans="1:8" x14ac:dyDescent="0.3">
      <c r="A1571" t="s">
        <v>3284</v>
      </c>
      <c r="B1571" t="s">
        <v>26951</v>
      </c>
      <c r="C1571" t="s">
        <v>4040</v>
      </c>
      <c r="D1571" t="s">
        <v>4039</v>
      </c>
      <c r="E1571" s="2" t="s">
        <v>133</v>
      </c>
      <c r="F1571" t="s">
        <v>160</v>
      </c>
      <c r="G1571" t="str">
        <f>HYPERLINK("https://www.jemin.com/news/articleView.html?idxno=818336")</f>
        <v>https://www.jemin.com/news/articleView.html?idxno=818336</v>
      </c>
      <c r="H1571">
        <v>0.629</v>
      </c>
    </row>
    <row r="1572" spans="1:8" x14ac:dyDescent="0.3">
      <c r="A1572" t="s">
        <v>3284</v>
      </c>
      <c r="B1572" t="s">
        <v>26951</v>
      </c>
      <c r="C1572" t="s">
        <v>4042</v>
      </c>
      <c r="D1572" t="s">
        <v>4041</v>
      </c>
      <c r="E1572" s="2" t="s">
        <v>133</v>
      </c>
      <c r="F1572" t="s">
        <v>2814</v>
      </c>
      <c r="G1572" t="str">
        <f>HYPERLINK("https://www.tokenpost.kr/article-131262")</f>
        <v>https://www.tokenpost.kr/article-131262</v>
      </c>
      <c r="H1572">
        <v>0.40600000000000003</v>
      </c>
    </row>
    <row r="1573" spans="1:8" x14ac:dyDescent="0.3">
      <c r="A1573" t="s">
        <v>3284</v>
      </c>
      <c r="B1573" t="s">
        <v>26951</v>
      </c>
      <c r="C1573" t="s">
        <v>4044</v>
      </c>
      <c r="D1573" t="s">
        <v>4043</v>
      </c>
      <c r="E1573" s="2" t="s">
        <v>133</v>
      </c>
      <c r="F1573" t="s">
        <v>505</v>
      </c>
      <c r="G1573" t="str">
        <f>HYPERLINK("http://www.sisaon.co.kr/news/articleView.html?idxno=172250")</f>
        <v>http://www.sisaon.co.kr/news/articleView.html?idxno=172250</v>
      </c>
      <c r="H1573">
        <v>0.36199999999999999</v>
      </c>
    </row>
    <row r="1574" spans="1:8" x14ac:dyDescent="0.3">
      <c r="A1574" t="s">
        <v>3284</v>
      </c>
      <c r="B1574" t="s">
        <v>26951</v>
      </c>
      <c r="C1574" t="s">
        <v>4046</v>
      </c>
      <c r="D1574" t="s">
        <v>4045</v>
      </c>
      <c r="E1574" s="2" t="s">
        <v>172</v>
      </c>
      <c r="F1574" t="s">
        <v>1327</v>
      </c>
      <c r="G1574" t="str">
        <f>HYPERLINK("https://www.beminor.com/news/articleView.html?idxno=27027")</f>
        <v>https://www.beminor.com/news/articleView.html?idxno=27027</v>
      </c>
      <c r="H1574">
        <v>0.39500000000000002</v>
      </c>
    </row>
    <row r="1575" spans="1:8" x14ac:dyDescent="0.3">
      <c r="A1575" t="s">
        <v>3284</v>
      </c>
      <c r="B1575" t="s">
        <v>26951</v>
      </c>
      <c r="C1575" t="s">
        <v>4048</v>
      </c>
      <c r="D1575" t="s">
        <v>4047</v>
      </c>
      <c r="E1575" s="2" t="s">
        <v>172</v>
      </c>
      <c r="F1575" t="s">
        <v>1622</v>
      </c>
      <c r="G1575" t="str">
        <f>HYPERLINK("https://www.newspim.com/news/view/20250630000557")</f>
        <v>https://www.newspim.com/news/view/20250630000557</v>
      </c>
      <c r="H1575">
        <v>0.41199999999999998</v>
      </c>
    </row>
    <row r="1576" spans="1:8" x14ac:dyDescent="0.3">
      <c r="A1576" t="s">
        <v>3284</v>
      </c>
      <c r="B1576" t="s">
        <v>26951</v>
      </c>
      <c r="C1576" t="s">
        <v>4051</v>
      </c>
      <c r="D1576" t="s">
        <v>4050</v>
      </c>
      <c r="E1576" s="2" t="s">
        <v>172</v>
      </c>
      <c r="F1576" t="s">
        <v>4049</v>
      </c>
      <c r="G1576" t="str">
        <f>HYPERLINK("https://n.news.naver.com/mnews/article/081/0003549478?sid=102")</f>
        <v>https://n.news.naver.com/mnews/article/081/0003549478?sid=102</v>
      </c>
      <c r="H1576">
        <v>0.123</v>
      </c>
    </row>
    <row r="1577" spans="1:8" x14ac:dyDescent="0.3">
      <c r="A1577" t="s">
        <v>3284</v>
      </c>
      <c r="B1577" t="s">
        <v>26951</v>
      </c>
      <c r="C1577" t="s">
        <v>4054</v>
      </c>
      <c r="D1577" t="s">
        <v>4053</v>
      </c>
      <c r="E1577" s="2" t="s">
        <v>172</v>
      </c>
      <c r="F1577" t="s">
        <v>4052</v>
      </c>
      <c r="G1577" t="str">
        <f>HYPERLINK("http://www.newstnt.com/news/articleView.html?idxno=490943")</f>
        <v>http://www.newstnt.com/news/articleView.html?idxno=490943</v>
      </c>
      <c r="H1577">
        <v>0.622</v>
      </c>
    </row>
    <row r="1578" spans="1:8" x14ac:dyDescent="0.3">
      <c r="A1578" t="s">
        <v>3284</v>
      </c>
      <c r="B1578" t="s">
        <v>26951</v>
      </c>
      <c r="C1578" t="s">
        <v>4056</v>
      </c>
      <c r="D1578" t="s">
        <v>4055</v>
      </c>
      <c r="E1578" s="2" t="s">
        <v>172</v>
      </c>
      <c r="F1578" t="s">
        <v>3291</v>
      </c>
      <c r="G1578" t="str">
        <f>HYPERLINK("https://kr.aving.net/news/articleView.html?idxno=1801491")</f>
        <v>https://kr.aving.net/news/articleView.html?idxno=1801491</v>
      </c>
      <c r="H1578">
        <v>0.80500000000000005</v>
      </c>
    </row>
    <row r="1579" spans="1:8" x14ac:dyDescent="0.3">
      <c r="A1579" t="s">
        <v>3284</v>
      </c>
      <c r="B1579" t="s">
        <v>26951</v>
      </c>
      <c r="C1579" t="s">
        <v>4059</v>
      </c>
      <c r="D1579" t="s">
        <v>4058</v>
      </c>
      <c r="E1579" s="2" t="s">
        <v>172</v>
      </c>
      <c r="F1579" t="s">
        <v>4057</v>
      </c>
      <c r="G1579" t="str">
        <f>HYPERLINK("https://n.news.naver.com/mnews/article/011/0004501059?sid=101")</f>
        <v>https://n.news.naver.com/mnews/article/011/0004501059?sid=101</v>
      </c>
      <c r="H1579">
        <v>0.31</v>
      </c>
    </row>
    <row r="1580" spans="1:8" x14ac:dyDescent="0.3">
      <c r="A1580" t="s">
        <v>3284</v>
      </c>
      <c r="B1580" t="s">
        <v>26951</v>
      </c>
      <c r="C1580" t="s">
        <v>4062</v>
      </c>
      <c r="D1580" t="s">
        <v>4061</v>
      </c>
      <c r="E1580" s="2" t="s">
        <v>172</v>
      </c>
      <c r="F1580" t="s">
        <v>4060</v>
      </c>
      <c r="G1580" t="str">
        <f>HYPERLINK("https://www.sentv.co.kr/article/view/sentv202506180068")</f>
        <v>https://www.sentv.co.kr/article/view/sentv202506180068</v>
      </c>
      <c r="H1580">
        <v>0.03</v>
      </c>
    </row>
    <row r="1581" spans="1:8" x14ac:dyDescent="0.3">
      <c r="A1581" t="s">
        <v>3284</v>
      </c>
      <c r="B1581" t="s">
        <v>26951</v>
      </c>
      <c r="C1581" t="s">
        <v>4064</v>
      </c>
      <c r="D1581" t="s">
        <v>4063</v>
      </c>
      <c r="E1581" s="2" t="s">
        <v>172</v>
      </c>
      <c r="F1581" t="s">
        <v>3311</v>
      </c>
      <c r="G1581" t="str">
        <f>HYPERLINK("https://n.news.naver.com/mnews/article/011/0004495383?sid=110")</f>
        <v>https://n.news.naver.com/mnews/article/011/0004495383?sid=110</v>
      </c>
      <c r="H1581">
        <v>0.26500000000000001</v>
      </c>
    </row>
    <row r="1582" spans="1:8" x14ac:dyDescent="0.3">
      <c r="A1582" t="s">
        <v>3284</v>
      </c>
      <c r="B1582" t="s">
        <v>26951</v>
      </c>
      <c r="C1582" t="s">
        <v>4066</v>
      </c>
      <c r="D1582" t="s">
        <v>4065</v>
      </c>
      <c r="E1582" s="2" t="s">
        <v>172</v>
      </c>
      <c r="F1582" t="s">
        <v>3311</v>
      </c>
      <c r="G1582" t="str">
        <f>HYPERLINK("https://n.news.naver.com/mnews/article/011/0004497158?sid=110")</f>
        <v>https://n.news.naver.com/mnews/article/011/0004497158?sid=110</v>
      </c>
      <c r="H1582">
        <v>0.22700000000000001</v>
      </c>
    </row>
    <row r="1583" spans="1:8" x14ac:dyDescent="0.3">
      <c r="A1583" t="s">
        <v>3284</v>
      </c>
      <c r="B1583" t="s">
        <v>26951</v>
      </c>
      <c r="C1583" t="s">
        <v>4068</v>
      </c>
      <c r="D1583" t="s">
        <v>4067</v>
      </c>
      <c r="E1583" s="2" t="s">
        <v>172</v>
      </c>
      <c r="F1583" t="s">
        <v>3311</v>
      </c>
      <c r="G1583" t="str">
        <f>HYPERLINK("https://n.news.naver.com/mnews/article/469/0000842065?sid=100")</f>
        <v>https://n.news.naver.com/mnews/article/469/0000842065?sid=100</v>
      </c>
      <c r="H1583">
        <v>0.20799999999999999</v>
      </c>
    </row>
    <row r="1584" spans="1:8" x14ac:dyDescent="0.3">
      <c r="A1584" t="s">
        <v>3284</v>
      </c>
      <c r="B1584" t="s">
        <v>26951</v>
      </c>
      <c r="C1584" t="s">
        <v>4070</v>
      </c>
      <c r="D1584" t="s">
        <v>4069</v>
      </c>
      <c r="E1584" s="2" t="s">
        <v>172</v>
      </c>
      <c r="F1584" t="s">
        <v>3660</v>
      </c>
      <c r="G1584" t="str">
        <f>HYPERLINK("https://n.news.naver.com/mnews/article/011/0004502891?sid=104")</f>
        <v>https://n.news.naver.com/mnews/article/011/0004502891?sid=104</v>
      </c>
      <c r="H1584">
        <v>0.104</v>
      </c>
    </row>
    <row r="1585" spans="1:8" x14ac:dyDescent="0.3">
      <c r="A1585" t="s">
        <v>3284</v>
      </c>
      <c r="B1585" t="s">
        <v>26951</v>
      </c>
      <c r="C1585" t="s">
        <v>4072</v>
      </c>
      <c r="D1585" t="s">
        <v>4071</v>
      </c>
      <c r="E1585" s="2" t="s">
        <v>172</v>
      </c>
      <c r="F1585" t="s">
        <v>205</v>
      </c>
      <c r="G1585" t="str">
        <f>HYPERLINK("https://www.viva100.com/article/20250625500629")</f>
        <v>https://www.viva100.com/article/20250625500629</v>
      </c>
      <c r="H1585">
        <v>0.71499999999999997</v>
      </c>
    </row>
    <row r="1586" spans="1:8" x14ac:dyDescent="0.3">
      <c r="A1586" t="s">
        <v>3284</v>
      </c>
      <c r="B1586" t="s">
        <v>26951</v>
      </c>
      <c r="C1586" t="s">
        <v>4074</v>
      </c>
      <c r="D1586" t="s">
        <v>4073</v>
      </c>
      <c r="E1586" s="2" t="s">
        <v>172</v>
      </c>
      <c r="F1586" t="s">
        <v>3679</v>
      </c>
      <c r="G1586" t="str">
        <f>HYPERLINK("https://www.apnews.kr/news/articleView.html?idxno=3034262")</f>
        <v>https://www.apnews.kr/news/articleView.html?idxno=3034262</v>
      </c>
      <c r="H1586">
        <v>0.34899999999999998</v>
      </c>
    </row>
    <row r="1587" spans="1:8" x14ac:dyDescent="0.3">
      <c r="A1587" t="s">
        <v>3284</v>
      </c>
      <c r="B1587" t="s">
        <v>26951</v>
      </c>
      <c r="C1587" t="s">
        <v>4076</v>
      </c>
      <c r="D1587" t="s">
        <v>4075</v>
      </c>
      <c r="E1587" s="2" t="s">
        <v>172</v>
      </c>
      <c r="F1587" t="s">
        <v>96</v>
      </c>
      <c r="G1587" t="str">
        <f>HYPERLINK("https://www.etoday.co.kr/news/view/2482557")</f>
        <v>https://www.etoday.co.kr/news/view/2482557</v>
      </c>
      <c r="H1587">
        <v>0.23499999999999999</v>
      </c>
    </row>
    <row r="1588" spans="1:8" x14ac:dyDescent="0.3">
      <c r="A1588" t="s">
        <v>3284</v>
      </c>
      <c r="B1588" t="s">
        <v>26951</v>
      </c>
      <c r="C1588" t="s">
        <v>4078</v>
      </c>
      <c r="D1588" t="s">
        <v>4077</v>
      </c>
      <c r="E1588" s="2" t="s">
        <v>172</v>
      </c>
      <c r="F1588" t="s">
        <v>505</v>
      </c>
      <c r="G1588" t="str">
        <f>HYPERLINK("http://www.sisaon.co.kr/news/articleView.html?idxno=172250")</f>
        <v>http://www.sisaon.co.kr/news/articleView.html?idxno=172250</v>
      </c>
      <c r="H1588">
        <v>0.42199999999999999</v>
      </c>
    </row>
    <row r="1589" spans="1:8" x14ac:dyDescent="0.3">
      <c r="A1589" t="s">
        <v>3284</v>
      </c>
      <c r="B1589" t="s">
        <v>26951</v>
      </c>
      <c r="C1589" t="s">
        <v>4081</v>
      </c>
      <c r="D1589" t="s">
        <v>4080</v>
      </c>
      <c r="E1589" s="2" t="s">
        <v>172</v>
      </c>
      <c r="F1589" t="s">
        <v>4079</v>
      </c>
      <c r="G1589" t="str">
        <f>HYPERLINK("https://www.iusm.co.kr/news/articleView.html?idxno=1039902")</f>
        <v>https://www.iusm.co.kr/news/articleView.html?idxno=1039902</v>
      </c>
      <c r="H1589">
        <v>0.54100000000000004</v>
      </c>
    </row>
    <row r="1590" spans="1:8" x14ac:dyDescent="0.3">
      <c r="A1590" t="s">
        <v>3284</v>
      </c>
      <c r="B1590" t="s">
        <v>26951</v>
      </c>
      <c r="C1590" t="s">
        <v>4084</v>
      </c>
      <c r="D1590" t="s">
        <v>4083</v>
      </c>
      <c r="E1590" s="2" t="s">
        <v>74</v>
      </c>
      <c r="F1590" t="s">
        <v>4082</v>
      </c>
      <c r="G1590" t="str">
        <f>HYPERLINK("https://www.newsway.co.kr/news/view?tp=1&amp;ud=2023010415445506052")</f>
        <v>https://www.newsway.co.kr/news/view?tp=1&amp;ud=2023010415445506052</v>
      </c>
      <c r="H1590">
        <v>0.35299999999999998</v>
      </c>
    </row>
    <row r="1591" spans="1:8" x14ac:dyDescent="0.3">
      <c r="A1591" t="s">
        <v>3284</v>
      </c>
      <c r="B1591" t="s">
        <v>26951</v>
      </c>
      <c r="C1591" t="s">
        <v>4086</v>
      </c>
      <c r="D1591" t="s">
        <v>4085</v>
      </c>
      <c r="E1591" s="2" t="s">
        <v>74</v>
      </c>
      <c r="F1591" t="s">
        <v>197</v>
      </c>
      <c r="G1591" t="str">
        <f>HYPERLINK("http://www.nongaek.com/news/articleView.html?idxno=91811")</f>
        <v>http://www.nongaek.com/news/articleView.html?idxno=91811</v>
      </c>
      <c r="H1591">
        <v>0.70299999999999996</v>
      </c>
    </row>
    <row r="1592" spans="1:8" x14ac:dyDescent="0.3">
      <c r="A1592" t="s">
        <v>3284</v>
      </c>
      <c r="B1592" t="s">
        <v>26951</v>
      </c>
      <c r="C1592" t="s">
        <v>4088</v>
      </c>
      <c r="D1592" t="s">
        <v>4087</v>
      </c>
      <c r="E1592" s="2" t="s">
        <v>74</v>
      </c>
      <c r="F1592" t="s">
        <v>505</v>
      </c>
      <c r="G1592" t="str">
        <f>HYPERLINK("http://www.sisaon.co.kr/news/articleView.html?idxno=172250")</f>
        <v>http://www.sisaon.co.kr/news/articleView.html?idxno=172250</v>
      </c>
      <c r="H1592">
        <v>0.40600000000000003</v>
      </c>
    </row>
    <row r="1593" spans="1:8" x14ac:dyDescent="0.3">
      <c r="A1593" t="s">
        <v>3284</v>
      </c>
      <c r="B1593" t="s">
        <v>26951</v>
      </c>
      <c r="C1593" t="s">
        <v>4090</v>
      </c>
      <c r="D1593" t="s">
        <v>4089</v>
      </c>
      <c r="E1593" s="2" t="s">
        <v>74</v>
      </c>
      <c r="F1593" t="s">
        <v>31</v>
      </c>
      <c r="G1593" t="str">
        <f>HYPERLINK("https://n.news.naver.com/mnews/article/011/0004502167?sid=101")</f>
        <v>https://n.news.naver.com/mnews/article/011/0004502167?sid=101</v>
      </c>
      <c r="H1593">
        <v>0.221</v>
      </c>
    </row>
    <row r="1594" spans="1:8" x14ac:dyDescent="0.3">
      <c r="A1594" t="s">
        <v>3284</v>
      </c>
      <c r="B1594" t="s">
        <v>26951</v>
      </c>
      <c r="C1594" t="s">
        <v>4093</v>
      </c>
      <c r="D1594" t="s">
        <v>4092</v>
      </c>
      <c r="E1594" s="2" t="s">
        <v>74</v>
      </c>
      <c r="F1594" t="s">
        <v>4091</v>
      </c>
      <c r="G1594" t="str">
        <f>HYPERLINK("http://www.smedaily.co.kr/news/articleView.html?idxno=329237")</f>
        <v>http://www.smedaily.co.kr/news/articleView.html?idxno=329237</v>
      </c>
      <c r="H1594">
        <v>0.86699999999999999</v>
      </c>
    </row>
    <row r="1595" spans="1:8" x14ac:dyDescent="0.3">
      <c r="A1595" t="s">
        <v>3284</v>
      </c>
      <c r="B1595" t="s">
        <v>26951</v>
      </c>
      <c r="C1595" t="s">
        <v>4096</v>
      </c>
      <c r="D1595" t="s">
        <v>4095</v>
      </c>
      <c r="E1595" s="2" t="s">
        <v>74</v>
      </c>
      <c r="F1595" t="s">
        <v>197</v>
      </c>
      <c r="G1595" t="str">
        <f>HYPERLINK("http://www.jbsori.com/news/articleView.html?idxno=13682")</f>
        <v>http://www.jbsori.com/news/articleView.html?idxno=13682</v>
      </c>
      <c r="H1595">
        <v>0.55200000000000005</v>
      </c>
    </row>
    <row r="1596" spans="1:8" x14ac:dyDescent="0.3">
      <c r="A1596" t="s">
        <v>3284</v>
      </c>
      <c r="B1596" t="s">
        <v>26951</v>
      </c>
      <c r="C1596" t="s">
        <v>4098</v>
      </c>
      <c r="D1596" t="s">
        <v>4097</v>
      </c>
      <c r="E1596" s="2" t="s">
        <v>74</v>
      </c>
      <c r="F1596" t="s">
        <v>197</v>
      </c>
      <c r="G1596" t="str">
        <f>HYPERLINK("https://www.safetimes.co.kr/news/articleView.html?idxno=215305")</f>
        <v>https://www.safetimes.co.kr/news/articleView.html?idxno=215305</v>
      </c>
      <c r="H1596">
        <v>0.126</v>
      </c>
    </row>
    <row r="1597" spans="1:8" x14ac:dyDescent="0.3">
      <c r="A1597" t="s">
        <v>3284</v>
      </c>
      <c r="B1597" t="s">
        <v>26951</v>
      </c>
      <c r="C1597" t="s">
        <v>4101</v>
      </c>
      <c r="D1597" t="s">
        <v>4100</v>
      </c>
      <c r="E1597" s="2" t="s">
        <v>105</v>
      </c>
      <c r="F1597" t="s">
        <v>4099</v>
      </c>
      <c r="G1597" t="str">
        <f>HYPERLINK("http://www.suhyupnews.co.kr/news/articleView.html?idxno=27875")</f>
        <v>http://www.suhyupnews.co.kr/news/articleView.html?idxno=27875</v>
      </c>
      <c r="H1597">
        <v>0.55800000000000005</v>
      </c>
    </row>
    <row r="1598" spans="1:8" x14ac:dyDescent="0.3">
      <c r="A1598" t="s">
        <v>3284</v>
      </c>
      <c r="B1598" t="s">
        <v>26951</v>
      </c>
      <c r="C1598" t="s">
        <v>4103</v>
      </c>
      <c r="D1598" t="s">
        <v>4102</v>
      </c>
      <c r="E1598" s="2" t="s">
        <v>105</v>
      </c>
      <c r="F1598" t="s">
        <v>3679</v>
      </c>
      <c r="G1598" t="str">
        <f>HYPERLINK("https://kbench.com/?q=node/268816")</f>
        <v>https://kbench.com/?q=node/268816</v>
      </c>
      <c r="H1598">
        <v>0.77</v>
      </c>
    </row>
    <row r="1599" spans="1:8" x14ac:dyDescent="0.3">
      <c r="A1599" t="s">
        <v>3284</v>
      </c>
      <c r="B1599" t="s">
        <v>26951</v>
      </c>
      <c r="C1599" t="s">
        <v>4105</v>
      </c>
      <c r="D1599" t="s">
        <v>4104</v>
      </c>
      <c r="E1599" s="2" t="s">
        <v>105</v>
      </c>
      <c r="F1599" t="s">
        <v>70</v>
      </c>
      <c r="G1599" t="str">
        <f>HYPERLINK("https://www.greened.kr/news/articleView.html?idxno=314970")</f>
        <v>https://www.greened.kr/news/articleView.html?idxno=314970</v>
      </c>
      <c r="H1599">
        <v>0.439</v>
      </c>
    </row>
    <row r="1600" spans="1:8" x14ac:dyDescent="0.3">
      <c r="A1600" t="s">
        <v>3284</v>
      </c>
      <c r="B1600" t="s">
        <v>26951</v>
      </c>
      <c r="C1600" t="s">
        <v>4107</v>
      </c>
      <c r="D1600" t="s">
        <v>4106</v>
      </c>
      <c r="E1600" s="2" t="s">
        <v>105</v>
      </c>
      <c r="F1600" t="s">
        <v>31</v>
      </c>
      <c r="G1600" t="str">
        <f>HYPERLINK("https://n.news.naver.com/mnews/article/011/0004501901?sid=103")</f>
        <v>https://n.news.naver.com/mnews/article/011/0004501901?sid=103</v>
      </c>
      <c r="H1600">
        <v>0.14699999999999999</v>
      </c>
    </row>
    <row r="1601" spans="1:8" x14ac:dyDescent="0.3">
      <c r="A1601" t="s">
        <v>3284</v>
      </c>
      <c r="B1601" t="s">
        <v>26951</v>
      </c>
      <c r="C1601" t="s">
        <v>4110</v>
      </c>
      <c r="D1601" t="s">
        <v>4109</v>
      </c>
      <c r="E1601" s="2" t="s">
        <v>105</v>
      </c>
      <c r="F1601" t="s">
        <v>4108</v>
      </c>
      <c r="G1601" t="str">
        <f>HYPERLINK("https://n.news.naver.com/mnews/article/008/0005150470?sid=101")</f>
        <v>https://n.news.naver.com/mnews/article/008/0005150470?sid=101</v>
      </c>
      <c r="H1601">
        <v>0.26300000000000001</v>
      </c>
    </row>
    <row r="1602" spans="1:8" x14ac:dyDescent="0.3">
      <c r="A1602" t="s">
        <v>3284</v>
      </c>
      <c r="B1602" t="s">
        <v>26951</v>
      </c>
      <c r="C1602" t="s">
        <v>4112</v>
      </c>
      <c r="D1602" t="s">
        <v>4111</v>
      </c>
      <c r="E1602" s="2" t="s">
        <v>105</v>
      </c>
      <c r="F1602" t="s">
        <v>89</v>
      </c>
      <c r="G1602" t="str">
        <f>HYPERLINK("https://www.greened.kr/news/articleView.html?idxno=312365")</f>
        <v>https://www.greened.kr/news/articleView.html?idxno=312365</v>
      </c>
      <c r="H1602">
        <v>0.58199999999999996</v>
      </c>
    </row>
    <row r="1603" spans="1:8" x14ac:dyDescent="0.3">
      <c r="A1603" t="s">
        <v>3284</v>
      </c>
      <c r="B1603" t="s">
        <v>26951</v>
      </c>
      <c r="C1603" t="s">
        <v>4114</v>
      </c>
      <c r="D1603" t="s">
        <v>4113</v>
      </c>
      <c r="E1603" s="2" t="s">
        <v>105</v>
      </c>
      <c r="F1603" t="s">
        <v>505</v>
      </c>
      <c r="G1603" t="str">
        <f>HYPERLINK("http://www.sisaon.co.kr/news/articleView.html?idxno=172250")</f>
        <v>http://www.sisaon.co.kr/news/articleView.html?idxno=172250</v>
      </c>
      <c r="H1603">
        <v>0.48899999999999999</v>
      </c>
    </row>
    <row r="1604" spans="1:8" x14ac:dyDescent="0.3">
      <c r="A1604" t="s">
        <v>3284</v>
      </c>
      <c r="B1604" t="s">
        <v>26951</v>
      </c>
      <c r="C1604" t="s">
        <v>4118</v>
      </c>
      <c r="D1604" t="s">
        <v>4117</v>
      </c>
      <c r="E1604" s="2" t="s">
        <v>105</v>
      </c>
      <c r="F1604" t="s">
        <v>4116</v>
      </c>
      <c r="G1604" t="str">
        <f>HYPERLINK("https://www.tokenpost.kr/news/briefing/251509")</f>
        <v>https://www.tokenpost.kr/news/briefing/251509</v>
      </c>
      <c r="H1604">
        <v>0.56200000000000006</v>
      </c>
    </row>
    <row r="1605" spans="1:8" x14ac:dyDescent="0.3">
      <c r="A1605" t="s">
        <v>3284</v>
      </c>
      <c r="B1605" t="s">
        <v>26951</v>
      </c>
      <c r="C1605" t="s">
        <v>4121</v>
      </c>
      <c r="D1605" t="s">
        <v>4120</v>
      </c>
      <c r="E1605" s="2" t="s">
        <v>7</v>
      </c>
      <c r="F1605" t="s">
        <v>4119</v>
      </c>
      <c r="G1605" t="str">
        <f>HYPERLINK("https://www.tokenpost.kr/article-194349")</f>
        <v>https://www.tokenpost.kr/article-194349</v>
      </c>
      <c r="H1605">
        <v>0.39700000000000002</v>
      </c>
    </row>
    <row r="1606" spans="1:8" x14ac:dyDescent="0.3">
      <c r="A1606" t="s">
        <v>3284</v>
      </c>
      <c r="B1606" t="s">
        <v>26951</v>
      </c>
      <c r="C1606" t="s">
        <v>4124</v>
      </c>
      <c r="D1606" t="s">
        <v>4123</v>
      </c>
      <c r="E1606" s="2" t="s">
        <v>7</v>
      </c>
      <c r="F1606" t="s">
        <v>4122</v>
      </c>
      <c r="G1606" t="str">
        <f>HYPERLINK("http://www.enewstoday.co.kr/news/articleView.html?idxno=2296346")</f>
        <v>http://www.enewstoday.co.kr/news/articleView.html?idxno=2296346</v>
      </c>
      <c r="H1606">
        <v>0.76100000000000001</v>
      </c>
    </row>
    <row r="1607" spans="1:8" x14ac:dyDescent="0.3">
      <c r="A1607" t="s">
        <v>3284</v>
      </c>
      <c r="B1607" t="s">
        <v>26951</v>
      </c>
      <c r="C1607" t="s">
        <v>4126</v>
      </c>
      <c r="D1607" t="s">
        <v>4125</v>
      </c>
      <c r="E1607" s="2" t="s">
        <v>7</v>
      </c>
      <c r="F1607" t="s">
        <v>914</v>
      </c>
      <c r="G1607" t="str">
        <f>HYPERLINK("http://www.nongaek.com/news/articleView.html?idxno=91690")</f>
        <v>http://www.nongaek.com/news/articleView.html?idxno=91690</v>
      </c>
      <c r="H1607">
        <v>0.46700000000000003</v>
      </c>
    </row>
    <row r="1608" spans="1:8" x14ac:dyDescent="0.3">
      <c r="A1608" t="s">
        <v>3284</v>
      </c>
      <c r="B1608" t="s">
        <v>26951</v>
      </c>
      <c r="C1608" t="s">
        <v>4129</v>
      </c>
      <c r="D1608" t="s">
        <v>4128</v>
      </c>
      <c r="E1608" s="2" t="s">
        <v>7</v>
      </c>
      <c r="F1608" t="s">
        <v>4127</v>
      </c>
      <c r="G1608" t="str">
        <f>HYPERLINK("http://www.enewstoday.co.kr/news/articleView.html?idxno=2297152")</f>
        <v>http://www.enewstoday.co.kr/news/articleView.html?idxno=2297152</v>
      </c>
      <c r="H1608">
        <v>0.45800000000000002</v>
      </c>
    </row>
    <row r="1609" spans="1:8" x14ac:dyDescent="0.3">
      <c r="A1609" t="s">
        <v>3284</v>
      </c>
      <c r="B1609" t="s">
        <v>26951</v>
      </c>
      <c r="C1609" t="s">
        <v>4132</v>
      </c>
      <c r="D1609" t="s">
        <v>4131</v>
      </c>
      <c r="E1609" s="2" t="s">
        <v>7</v>
      </c>
      <c r="F1609" t="s">
        <v>3582</v>
      </c>
      <c r="G1609" t="str">
        <f>HYPERLINK("https://www.straightnews.co.kr/news/articleView.html?idxno=263006")</f>
        <v>https://www.straightnews.co.kr/news/articleView.html?idxno=263006</v>
      </c>
      <c r="H1609">
        <v>0.44600000000000001</v>
      </c>
    </row>
    <row r="1610" spans="1:8" x14ac:dyDescent="0.3">
      <c r="A1610" t="s">
        <v>3284</v>
      </c>
      <c r="B1610" t="s">
        <v>26951</v>
      </c>
      <c r="C1610" t="s">
        <v>4135</v>
      </c>
      <c r="D1610" t="s">
        <v>4134</v>
      </c>
      <c r="E1610" s="2" t="s">
        <v>7</v>
      </c>
      <c r="F1610" t="s">
        <v>4133</v>
      </c>
      <c r="G1610" t="str">
        <f>HYPERLINK("https://n.news.naver.com/mnews/article/011/0004502782?sid=103")</f>
        <v>https://n.news.naver.com/mnews/article/011/0004502782?sid=103</v>
      </c>
      <c r="H1610">
        <v>0.161</v>
      </c>
    </row>
    <row r="1611" spans="1:8" x14ac:dyDescent="0.3">
      <c r="A1611" t="s">
        <v>3284</v>
      </c>
      <c r="B1611" t="s">
        <v>26951</v>
      </c>
      <c r="C1611" t="s">
        <v>4137</v>
      </c>
      <c r="D1611" t="s">
        <v>4136</v>
      </c>
      <c r="E1611" s="2" t="s">
        <v>7</v>
      </c>
      <c r="F1611" t="s">
        <v>1402</v>
      </c>
      <c r="G1611" t="str">
        <f>HYPERLINK("http://jmagazine.joins.com/forbes/view/332092")</f>
        <v>http://jmagazine.joins.com/forbes/view/332092</v>
      </c>
      <c r="H1611">
        <v>0.23699999999999999</v>
      </c>
    </row>
    <row r="1612" spans="1:8" x14ac:dyDescent="0.3">
      <c r="A1612" t="s">
        <v>3284</v>
      </c>
      <c r="B1612" t="s">
        <v>26951</v>
      </c>
      <c r="C1612" t="s">
        <v>4139</v>
      </c>
      <c r="D1612" t="s">
        <v>4138</v>
      </c>
      <c r="E1612" s="2" t="s">
        <v>7</v>
      </c>
      <c r="F1612" t="s">
        <v>3829</v>
      </c>
      <c r="G1612" t="str">
        <f>HYPERLINK("http://www.enewstoday.co.kr/news/articleView.html?idxno=2296346")</f>
        <v>http://www.enewstoday.co.kr/news/articleView.html?idxno=2296346</v>
      </c>
      <c r="H1612">
        <v>0.78100000000000003</v>
      </c>
    </row>
    <row r="1613" spans="1:8" x14ac:dyDescent="0.3">
      <c r="A1613" t="s">
        <v>3284</v>
      </c>
      <c r="B1613" t="s">
        <v>26951</v>
      </c>
      <c r="C1613" t="s">
        <v>4141</v>
      </c>
      <c r="D1613" t="s">
        <v>4140</v>
      </c>
      <c r="E1613" s="2" t="s">
        <v>7</v>
      </c>
      <c r="F1613" t="s">
        <v>3291</v>
      </c>
      <c r="G1613" t="str">
        <f>HYPERLINK("http://www.enewstoday.co.kr/news/articleView.html?idxno=2296346")</f>
        <v>http://www.enewstoday.co.kr/news/articleView.html?idxno=2296346</v>
      </c>
      <c r="H1613">
        <v>0.77600000000000002</v>
      </c>
    </row>
    <row r="1614" spans="1:8" x14ac:dyDescent="0.3">
      <c r="A1614" t="s">
        <v>3284</v>
      </c>
      <c r="B1614" t="s">
        <v>26951</v>
      </c>
      <c r="C1614" t="s">
        <v>4143</v>
      </c>
      <c r="D1614" t="s">
        <v>4142</v>
      </c>
      <c r="E1614" s="2" t="s">
        <v>7</v>
      </c>
      <c r="F1614" t="s">
        <v>805</v>
      </c>
      <c r="G1614" t="str">
        <f>HYPERLINK("http://www.iminju.net/news/articleView.html?idxno=132507")</f>
        <v>http://www.iminju.net/news/articleView.html?idxno=132507</v>
      </c>
      <c r="H1614">
        <v>0.72099999999999997</v>
      </c>
    </row>
    <row r="1615" spans="1:8" x14ac:dyDescent="0.3">
      <c r="A1615" t="s">
        <v>3284</v>
      </c>
      <c r="B1615" t="s">
        <v>26951</v>
      </c>
      <c r="C1615" t="s">
        <v>4146</v>
      </c>
      <c r="D1615" t="s">
        <v>4145</v>
      </c>
      <c r="E1615" s="2" t="s">
        <v>7</v>
      </c>
      <c r="F1615" t="s">
        <v>4144</v>
      </c>
      <c r="G1615" t="str">
        <f>HYPERLINK("https://n.news.naver.com/mnews/article/016/0002461403?sid=102")</f>
        <v>https://n.news.naver.com/mnews/article/016/0002461403?sid=102</v>
      </c>
      <c r="H1615">
        <v>0.27600000000000002</v>
      </c>
    </row>
    <row r="1616" spans="1:8" x14ac:dyDescent="0.3">
      <c r="A1616" t="s">
        <v>3284</v>
      </c>
      <c r="B1616" t="s">
        <v>26951</v>
      </c>
      <c r="C1616" t="s">
        <v>4148</v>
      </c>
      <c r="D1616" t="s">
        <v>4147</v>
      </c>
      <c r="E1616" s="2" t="s">
        <v>7</v>
      </c>
      <c r="F1616" t="s">
        <v>505</v>
      </c>
      <c r="G1616" t="str">
        <f>HYPERLINK("http://www.sisaon.co.kr/news/articleView.html?idxno=172250")</f>
        <v>http://www.sisaon.co.kr/news/articleView.html?idxno=172250</v>
      </c>
      <c r="H1616">
        <v>0.40100000000000002</v>
      </c>
    </row>
    <row r="1617" spans="1:8" x14ac:dyDescent="0.3">
      <c r="A1617" t="s">
        <v>3284</v>
      </c>
      <c r="B1617" t="s">
        <v>26951</v>
      </c>
      <c r="C1617" t="s">
        <v>4150</v>
      </c>
      <c r="D1617" t="s">
        <v>4149</v>
      </c>
      <c r="E1617" s="2" t="s">
        <v>7</v>
      </c>
      <c r="F1617" t="s">
        <v>3666</v>
      </c>
      <c r="G1617" t="str">
        <f>HYPERLINK("http://www.lawleader.co.kr/news/articleView.html?idxno=3989")</f>
        <v>http://www.lawleader.co.kr/news/articleView.html?idxno=3989</v>
      </c>
      <c r="H1617">
        <v>0.28599999999999998</v>
      </c>
    </row>
    <row r="1618" spans="1:8" x14ac:dyDescent="0.3">
      <c r="A1618" t="s">
        <v>3284</v>
      </c>
      <c r="B1618" t="s">
        <v>26951</v>
      </c>
      <c r="C1618" t="s">
        <v>4153</v>
      </c>
      <c r="D1618" t="s">
        <v>4152</v>
      </c>
      <c r="E1618" s="2" t="s">
        <v>7</v>
      </c>
      <c r="F1618" t="s">
        <v>4151</v>
      </c>
      <c r="G1618" t="str">
        <f>HYPERLINK("http://www.biztribune.co.kr/news/articleView.html?idxno=332691")</f>
        <v>http://www.biztribune.co.kr/news/articleView.html?idxno=332691</v>
      </c>
      <c r="H1618">
        <v>0.44600000000000001</v>
      </c>
    </row>
    <row r="1619" spans="1:8" x14ac:dyDescent="0.3">
      <c r="A1619" t="s">
        <v>3284</v>
      </c>
      <c r="B1619" t="s">
        <v>26951</v>
      </c>
      <c r="C1619" t="s">
        <v>4156</v>
      </c>
      <c r="D1619" t="s">
        <v>4155</v>
      </c>
      <c r="E1619" s="2" t="s">
        <v>66</v>
      </c>
      <c r="F1619" t="s">
        <v>4154</v>
      </c>
      <c r="G1619" t="str">
        <f>HYPERLINK("http://dream.kotra.or.kr/kotranews/cms/news/actionKotraBoardDetail.do?SITE_NO=3&amp;MENU_ID=190&amp;CONTENTS_NO=2&amp;bbsGbn=254&amp;bbsSn=254&amp;pNttSn=229760")</f>
        <v>http://dream.kotra.or.kr/kotranews/cms/news/actionKotraBoardDetail.do?SITE_NO=3&amp;MENU_ID=190&amp;CONTENTS_NO=2&amp;bbsGbn=254&amp;bbsSn=254&amp;pNttSn=229760</v>
      </c>
      <c r="H1619">
        <v>0.69899999999999995</v>
      </c>
    </row>
    <row r="1620" spans="1:8" x14ac:dyDescent="0.3">
      <c r="A1620" t="s">
        <v>3284</v>
      </c>
      <c r="B1620" t="s">
        <v>26951</v>
      </c>
      <c r="C1620" t="s">
        <v>4159</v>
      </c>
      <c r="D1620" t="s">
        <v>4158</v>
      </c>
      <c r="E1620" s="2" t="s">
        <v>66</v>
      </c>
      <c r="F1620" t="s">
        <v>4157</v>
      </c>
      <c r="G1620" t="str">
        <f>HYPERLINK("https://news.bbsi.co.kr/news/articleView.html?idxno=4036625")</f>
        <v>https://news.bbsi.co.kr/news/articleView.html?idxno=4036625</v>
      </c>
      <c r="H1620">
        <v>0.35</v>
      </c>
    </row>
    <row r="1621" spans="1:8" x14ac:dyDescent="0.3">
      <c r="A1621" t="s">
        <v>4160</v>
      </c>
      <c r="B1621" t="s">
        <v>26951</v>
      </c>
      <c r="C1621" t="s">
        <v>4162</v>
      </c>
      <c r="D1621" t="s">
        <v>4161</v>
      </c>
      <c r="E1621" s="2" t="s">
        <v>7</v>
      </c>
      <c r="F1621" t="s">
        <v>677</v>
      </c>
      <c r="G1621" t="str">
        <f>HYPERLINK("https://www.incheonilbo.com/news/articleView.html?idxno=1285215")</f>
        <v>https://www.incheonilbo.com/news/articleView.html?idxno=1285215</v>
      </c>
      <c r="H1621">
        <v>0.30599999999999999</v>
      </c>
    </row>
    <row r="1622" spans="1:8" x14ac:dyDescent="0.3">
      <c r="A1622" t="s">
        <v>4160</v>
      </c>
      <c r="B1622" t="s">
        <v>26951</v>
      </c>
      <c r="C1622" t="s">
        <v>4164</v>
      </c>
      <c r="D1622" t="s">
        <v>4163</v>
      </c>
      <c r="E1622" s="2" t="s">
        <v>66</v>
      </c>
      <c r="F1622" t="s">
        <v>3078</v>
      </c>
      <c r="G1622" t="str">
        <f>HYPERLINK("https://www.newspim.com/news/view/20250626000950")</f>
        <v>https://www.newspim.com/news/view/20250626000950</v>
      </c>
      <c r="H1622">
        <v>0.55800000000000005</v>
      </c>
    </row>
    <row r="1623" spans="1:8" x14ac:dyDescent="0.3">
      <c r="A1623" t="s">
        <v>4160</v>
      </c>
      <c r="B1623" t="s">
        <v>26951</v>
      </c>
      <c r="C1623" t="s">
        <v>4166</v>
      </c>
      <c r="D1623" t="s">
        <v>4165</v>
      </c>
      <c r="E1623" s="2" t="s">
        <v>66</v>
      </c>
      <c r="F1623" t="s">
        <v>2166</v>
      </c>
      <c r="G1623" t="str">
        <f>HYPERLINK("https://n.news.naver.com/mnews/article/032/0003233050?sid=102")</f>
        <v>https://n.news.naver.com/mnews/article/032/0003233050?sid=102</v>
      </c>
      <c r="H1623">
        <v>0.111</v>
      </c>
    </row>
    <row r="1624" spans="1:8" x14ac:dyDescent="0.3">
      <c r="A1624" t="s">
        <v>4160</v>
      </c>
      <c r="B1624" t="s">
        <v>26951</v>
      </c>
      <c r="C1624" t="s">
        <v>4168</v>
      </c>
      <c r="D1624" t="s">
        <v>4167</v>
      </c>
      <c r="E1624" s="2" t="s">
        <v>74</v>
      </c>
      <c r="F1624" t="s">
        <v>73</v>
      </c>
      <c r="G1624" t="str">
        <f>HYPERLINK("https://n.news.naver.com/mnews/article/119/0002967325?sid=100")</f>
        <v>https://n.news.naver.com/mnews/article/119/0002967325?sid=100</v>
      </c>
      <c r="H1624">
        <v>0.20699999999999999</v>
      </c>
    </row>
    <row r="1625" spans="1:8" x14ac:dyDescent="0.3">
      <c r="A1625" t="s">
        <v>4160</v>
      </c>
      <c r="B1625" t="s">
        <v>26951</v>
      </c>
      <c r="C1625" t="s">
        <v>4171</v>
      </c>
      <c r="D1625" t="s">
        <v>4170</v>
      </c>
      <c r="E1625" s="2" t="s">
        <v>74</v>
      </c>
      <c r="F1625" t="s">
        <v>4169</v>
      </c>
      <c r="G1625" t="str">
        <f>HYPERLINK("https://www.vogue.co.kr/2023/10/16/%ec%9d%bc%ed%95%98%eb%8a%94-%eb%aa%b8-%eb%aa%b8%ec%97%90-%ec%83%88%ea%b2%a8%ec%a7%84-%ed%9d%94%ec%a0%81%ec%97%90-%eb%8c%80%ed%95%98%ec%97%ac/?utm_source=naver&amp;utm_medium=partnership")</f>
        <v>https://www.vogue.co.kr/2023/10/16/%ec%9d%bc%ed%95%98%eb%8a%94-%eb%aa%b8-%eb%aa%b8%ec%97%90-%ec%83%88%ea%b2%a8%ec%a7%84-%ed%9d%94%ec%a0%81%ec%97%90-%eb%8c%80%ed%95%98%ec%97%ac/?utm_source=naver&amp;utm_medium=partnership</v>
      </c>
      <c r="H1625">
        <v>0.124</v>
      </c>
    </row>
    <row r="1626" spans="1:8" x14ac:dyDescent="0.3">
      <c r="A1626" t="s">
        <v>4160</v>
      </c>
      <c r="B1626" t="s">
        <v>26951</v>
      </c>
      <c r="C1626" t="s">
        <v>4174</v>
      </c>
      <c r="D1626" t="s">
        <v>4173</v>
      </c>
      <c r="E1626" s="2" t="s">
        <v>74</v>
      </c>
      <c r="F1626" t="s">
        <v>4172</v>
      </c>
      <c r="G1626" t="str">
        <f>HYPERLINK("http://www.newspenguin.com/news/articleView.html?idxno=18465")</f>
        <v>http://www.newspenguin.com/news/articleView.html?idxno=18465</v>
      </c>
      <c r="H1626">
        <v>7.8E-2</v>
      </c>
    </row>
    <row r="1627" spans="1:8" x14ac:dyDescent="0.3">
      <c r="A1627" t="s">
        <v>4160</v>
      </c>
      <c r="B1627" t="s">
        <v>26951</v>
      </c>
      <c r="C1627" t="s">
        <v>4176</v>
      </c>
      <c r="D1627" t="s">
        <v>4175</v>
      </c>
      <c r="E1627" s="2" t="s">
        <v>74</v>
      </c>
      <c r="F1627" t="s">
        <v>1995</v>
      </c>
      <c r="G1627" t="str">
        <f>HYPERLINK("https://n.news.naver.com/mnews/article/119/0002971628?sid=100")</f>
        <v>https://n.news.naver.com/mnews/article/119/0002971628?sid=100</v>
      </c>
      <c r="H1627">
        <v>0.14699999999999999</v>
      </c>
    </row>
    <row r="1628" spans="1:8" x14ac:dyDescent="0.3">
      <c r="A1628" t="s">
        <v>4160</v>
      </c>
      <c r="B1628" t="s">
        <v>26951</v>
      </c>
      <c r="C1628" t="s">
        <v>4178</v>
      </c>
      <c r="D1628" t="s">
        <v>4177</v>
      </c>
      <c r="E1628" s="2" t="s">
        <v>105</v>
      </c>
      <c r="F1628" t="s">
        <v>106</v>
      </c>
      <c r="G1628" t="str">
        <f>HYPERLINK("https://www.jeonmae.co.kr/news/articleView.html?idxno=1160784")</f>
        <v>https://www.jeonmae.co.kr/news/articleView.html?idxno=1160784</v>
      </c>
      <c r="H1628">
        <v>0.80300000000000005</v>
      </c>
    </row>
    <row r="1629" spans="1:8" x14ac:dyDescent="0.3">
      <c r="A1629" t="s">
        <v>4160</v>
      </c>
      <c r="B1629" t="s">
        <v>26951</v>
      </c>
      <c r="C1629" t="s">
        <v>4180</v>
      </c>
      <c r="D1629" t="s">
        <v>4179</v>
      </c>
      <c r="E1629" s="2" t="s">
        <v>105</v>
      </c>
      <c r="F1629" t="s">
        <v>625</v>
      </c>
      <c r="G1629" t="str">
        <f>HYPERLINK("https://n.news.naver.com/mnews/article/119/0002973347?sid=102")</f>
        <v>https://n.news.naver.com/mnews/article/119/0002973347?sid=102</v>
      </c>
      <c r="H1629">
        <v>0.14799999999999999</v>
      </c>
    </row>
    <row r="1630" spans="1:8" x14ac:dyDescent="0.3">
      <c r="A1630" t="s">
        <v>4160</v>
      </c>
      <c r="B1630" t="s">
        <v>26951</v>
      </c>
      <c r="C1630" t="s">
        <v>4182</v>
      </c>
      <c r="D1630" t="s">
        <v>4181</v>
      </c>
      <c r="E1630" s="2" t="s">
        <v>105</v>
      </c>
      <c r="F1630" t="s">
        <v>1639</v>
      </c>
      <c r="G1630" t="str">
        <f>HYPERLINK("https://n.news.naver.com/mnews/article/018/0006053386?sid=101")</f>
        <v>https://n.news.naver.com/mnews/article/018/0006053386?sid=101</v>
      </c>
      <c r="H1630">
        <v>0.159</v>
      </c>
    </row>
    <row r="1631" spans="1:8" x14ac:dyDescent="0.3">
      <c r="A1631" t="s">
        <v>4160</v>
      </c>
      <c r="B1631" t="s">
        <v>26951</v>
      </c>
      <c r="C1631" t="s">
        <v>4185</v>
      </c>
      <c r="D1631" t="s">
        <v>4184</v>
      </c>
      <c r="E1631" s="2" t="s">
        <v>105</v>
      </c>
      <c r="F1631" t="s">
        <v>106</v>
      </c>
      <c r="G1631" t="str">
        <f>HYPERLINK("https://n.news.naver.com/mnews/article/057/0001894196?sid=102")</f>
        <v>https://n.news.naver.com/mnews/article/057/0001894196?sid=102</v>
      </c>
      <c r="H1631">
        <v>0.32500000000000001</v>
      </c>
    </row>
    <row r="1632" spans="1:8" x14ac:dyDescent="0.3">
      <c r="A1632" t="s">
        <v>4160</v>
      </c>
      <c r="B1632" t="s">
        <v>26951</v>
      </c>
      <c r="C1632" t="s">
        <v>4189</v>
      </c>
      <c r="D1632" t="s">
        <v>4188</v>
      </c>
      <c r="E1632" s="2" t="s">
        <v>133</v>
      </c>
      <c r="F1632" t="s">
        <v>996</v>
      </c>
      <c r="G1632" t="str">
        <f>HYPERLINK("https://mdtoday.co.kr/news/view/1065574805533926")</f>
        <v>https://mdtoday.co.kr/news/view/1065574805533926</v>
      </c>
      <c r="H1632">
        <v>0.10199999999999999</v>
      </c>
    </row>
    <row r="1633" spans="1:8" x14ac:dyDescent="0.3">
      <c r="A1633" t="s">
        <v>4160</v>
      </c>
      <c r="B1633" t="s">
        <v>26951</v>
      </c>
      <c r="C1633" t="s">
        <v>4191</v>
      </c>
      <c r="D1633" t="s">
        <v>4190</v>
      </c>
      <c r="E1633" s="2" t="s">
        <v>133</v>
      </c>
      <c r="F1633" t="s">
        <v>805</v>
      </c>
      <c r="G1633" t="str">
        <f>HYPERLINK("https://n.news.naver.com/mnews/article/119/0002972298?sid=102")</f>
        <v>https://n.news.naver.com/mnews/article/119/0002972298?sid=102</v>
      </c>
      <c r="H1633">
        <v>0.189</v>
      </c>
    </row>
    <row r="1634" spans="1:8" x14ac:dyDescent="0.3">
      <c r="A1634" t="s">
        <v>4160</v>
      </c>
      <c r="B1634" t="s">
        <v>26951</v>
      </c>
      <c r="C1634" t="s">
        <v>4193</v>
      </c>
      <c r="D1634" t="s">
        <v>4192</v>
      </c>
      <c r="E1634" s="2" t="s">
        <v>133</v>
      </c>
      <c r="F1634" t="s">
        <v>89</v>
      </c>
      <c r="G1634" t="str">
        <f>HYPERLINK("http://www.dailian.co.kr/news/news_view.htm?id=265597&amp;sc=naver&amp;kind=menu_code&amp;keys=6")</f>
        <v>http://www.dailian.co.kr/news/news_view.htm?id=265597&amp;sc=naver&amp;kind=menu_code&amp;keys=6</v>
      </c>
      <c r="H1634">
        <v>0.42599999999999999</v>
      </c>
    </row>
    <row r="1635" spans="1:8" x14ac:dyDescent="0.3">
      <c r="A1635" t="s">
        <v>4160</v>
      </c>
      <c r="B1635" t="s">
        <v>26951</v>
      </c>
      <c r="C1635" t="s">
        <v>4196</v>
      </c>
      <c r="D1635" t="s">
        <v>4195</v>
      </c>
      <c r="E1635" s="2" t="s">
        <v>133</v>
      </c>
      <c r="F1635" t="s">
        <v>4194</v>
      </c>
      <c r="G1635" t="str">
        <f>HYPERLINK("http://weekly.hankooki.com/lpage/opinion/202010/wk20201012151439146960.htm?s_ref=nv")</f>
        <v>http://weekly.hankooki.com/lpage/opinion/202010/wk20201012151439146960.htm?s_ref=nv</v>
      </c>
      <c r="H1635">
        <v>0.61699999999999999</v>
      </c>
    </row>
    <row r="1636" spans="1:8" x14ac:dyDescent="0.3">
      <c r="A1636" t="s">
        <v>4160</v>
      </c>
      <c r="B1636" t="s">
        <v>26951</v>
      </c>
      <c r="C1636" t="s">
        <v>4199</v>
      </c>
      <c r="D1636" t="s">
        <v>4198</v>
      </c>
      <c r="E1636" s="2" t="s">
        <v>172</v>
      </c>
      <c r="F1636" t="s">
        <v>4197</v>
      </c>
      <c r="G1636" t="str">
        <f>HYPERLINK("https://n.news.naver.com/mnews/article/119/0001961175?sid=103")</f>
        <v>https://n.news.naver.com/mnews/article/119/0001961175?sid=103</v>
      </c>
      <c r="H1636">
        <v>0.315</v>
      </c>
    </row>
    <row r="1637" spans="1:8" x14ac:dyDescent="0.3">
      <c r="A1637" t="s">
        <v>4160</v>
      </c>
      <c r="B1637" t="s">
        <v>26951</v>
      </c>
      <c r="C1637" t="s">
        <v>4201</v>
      </c>
      <c r="D1637" t="s">
        <v>4200</v>
      </c>
      <c r="E1637" s="2" t="s">
        <v>172</v>
      </c>
      <c r="F1637" t="s">
        <v>490</v>
      </c>
      <c r="G1637" t="str">
        <f>HYPERLINK("https://n.news.naver.com/mnews/article/079/0004027873?sid=100")</f>
        <v>https://n.news.naver.com/mnews/article/079/0004027873?sid=100</v>
      </c>
      <c r="H1637">
        <v>0.19500000000000001</v>
      </c>
    </row>
    <row r="1638" spans="1:8" x14ac:dyDescent="0.3">
      <c r="A1638" t="s">
        <v>4160</v>
      </c>
      <c r="B1638" t="s">
        <v>26951</v>
      </c>
      <c r="C1638" t="s">
        <v>4203</v>
      </c>
      <c r="D1638" t="s">
        <v>4202</v>
      </c>
      <c r="E1638" s="2" t="s">
        <v>196</v>
      </c>
      <c r="F1638" t="s">
        <v>208</v>
      </c>
      <c r="G1638" t="str">
        <f>HYPERLINK("https://n.news.naver.com/mnews/article/119/0002973907?sid=101")</f>
        <v>https://n.news.naver.com/mnews/article/119/0002973907?sid=101</v>
      </c>
      <c r="H1638">
        <v>0.20499999999999999</v>
      </c>
    </row>
    <row r="1639" spans="1:8" x14ac:dyDescent="0.3">
      <c r="A1639" t="s">
        <v>4160</v>
      </c>
      <c r="B1639" t="s">
        <v>26951</v>
      </c>
      <c r="C1639" t="s">
        <v>4206</v>
      </c>
      <c r="D1639" t="s">
        <v>4205</v>
      </c>
      <c r="E1639" s="2" t="s">
        <v>196</v>
      </c>
      <c r="F1639" t="s">
        <v>4204</v>
      </c>
      <c r="G1639" t="str">
        <f>HYPERLINK("https://n.news.naver.com/mnews/article/119/0000027272?sid=102")</f>
        <v>https://n.news.naver.com/mnews/article/119/0000027272?sid=102</v>
      </c>
      <c r="H1639">
        <v>0.26700000000000002</v>
      </c>
    </row>
    <row r="1640" spans="1:8" x14ac:dyDescent="0.3">
      <c r="A1640" t="s">
        <v>4160</v>
      </c>
      <c r="B1640" t="s">
        <v>26951</v>
      </c>
      <c r="C1640" t="s">
        <v>4209</v>
      </c>
      <c r="D1640" t="s">
        <v>4208</v>
      </c>
      <c r="E1640" s="2" t="s">
        <v>230</v>
      </c>
      <c r="F1640" t="s">
        <v>4207</v>
      </c>
      <c r="G1640" t="str">
        <f>HYPERLINK("https://news.bbsi.co.kr/news/articleView.html?idxno=4036805")</f>
        <v>https://news.bbsi.co.kr/news/articleView.html?idxno=4036805</v>
      </c>
      <c r="H1640">
        <v>0.56299999999999994</v>
      </c>
    </row>
    <row r="1641" spans="1:8" x14ac:dyDescent="0.3">
      <c r="A1641" t="s">
        <v>4160</v>
      </c>
      <c r="B1641" t="s">
        <v>26951</v>
      </c>
      <c r="C1641" t="s">
        <v>4212</v>
      </c>
      <c r="D1641" t="s">
        <v>4211</v>
      </c>
      <c r="E1641" s="2" t="s">
        <v>230</v>
      </c>
      <c r="F1641" t="s">
        <v>4210</v>
      </c>
      <c r="G1641" t="str">
        <f>HYPERLINK("https://www.safetimes.co.kr/news/articleView.html?idxno=231959")</f>
        <v>https://www.safetimes.co.kr/news/articleView.html?idxno=231959</v>
      </c>
      <c r="H1641">
        <v>0.47299999999999998</v>
      </c>
    </row>
    <row r="1642" spans="1:8" x14ac:dyDescent="0.3">
      <c r="A1642" t="s">
        <v>4160</v>
      </c>
      <c r="B1642" t="s">
        <v>26951</v>
      </c>
      <c r="C1642" t="s">
        <v>4214</v>
      </c>
      <c r="D1642" t="s">
        <v>4213</v>
      </c>
      <c r="E1642" s="2" t="s">
        <v>230</v>
      </c>
      <c r="F1642" t="s">
        <v>3349</v>
      </c>
      <c r="G1642" t="str">
        <f>HYPERLINK("http://www.safetimes.co.kr/news/articleView.html?idxno=211086")</f>
        <v>http://www.safetimes.co.kr/news/articleView.html?idxno=211086</v>
      </c>
      <c r="H1642">
        <v>0.1</v>
      </c>
    </row>
    <row r="1643" spans="1:8" x14ac:dyDescent="0.3">
      <c r="A1643" t="s">
        <v>4160</v>
      </c>
      <c r="B1643" t="s">
        <v>26951</v>
      </c>
      <c r="C1643" t="s">
        <v>4216</v>
      </c>
      <c r="D1643" t="s">
        <v>4215</v>
      </c>
      <c r="E1643" s="2" t="s">
        <v>267</v>
      </c>
      <c r="F1643" t="s">
        <v>96</v>
      </c>
      <c r="G1643" t="str">
        <f>HYPERLINK("http://www.dailian.co.kr/news/news_view.htm?id=310337&amp;sc=naver&amp;kind=menu_code&amp;keys=75")</f>
        <v>http://www.dailian.co.kr/news/news_view.htm?id=310337&amp;sc=naver&amp;kind=menu_code&amp;keys=75</v>
      </c>
      <c r="H1643">
        <v>0.44900000000000001</v>
      </c>
    </row>
    <row r="1644" spans="1:8" x14ac:dyDescent="0.3">
      <c r="A1644" t="s">
        <v>4160</v>
      </c>
      <c r="B1644" t="s">
        <v>26951</v>
      </c>
      <c r="C1644" t="s">
        <v>4218</v>
      </c>
      <c r="D1644" t="s">
        <v>4217</v>
      </c>
      <c r="E1644" s="2" t="s">
        <v>280</v>
      </c>
      <c r="F1644" t="s">
        <v>96</v>
      </c>
      <c r="G1644" t="str">
        <f>HYPERLINK("http://daily.hankooki.com/lpage/column/201910/dh20191024172703140410.htm")</f>
        <v>http://daily.hankooki.com/lpage/column/201910/dh20191024172703140410.htm</v>
      </c>
      <c r="H1644">
        <v>0.35299999999999998</v>
      </c>
    </row>
    <row r="1645" spans="1:8" x14ac:dyDescent="0.3">
      <c r="A1645" t="s">
        <v>4160</v>
      </c>
      <c r="B1645" t="s">
        <v>26951</v>
      </c>
      <c r="C1645" t="s">
        <v>4221</v>
      </c>
      <c r="D1645" t="s">
        <v>4220</v>
      </c>
      <c r="E1645" s="2" t="s">
        <v>280</v>
      </c>
      <c r="F1645" t="s">
        <v>4219</v>
      </c>
      <c r="G1645" t="str">
        <f>HYPERLINK("https://n.news.naver.com/mnews/article/119/0000034860?sid=102")</f>
        <v>https://n.news.naver.com/mnews/article/119/0000034860?sid=102</v>
      </c>
      <c r="H1645">
        <v>0.32500000000000001</v>
      </c>
    </row>
    <row r="1646" spans="1:8" x14ac:dyDescent="0.3">
      <c r="A1646" t="s">
        <v>4160</v>
      </c>
      <c r="B1646" t="s">
        <v>26951</v>
      </c>
      <c r="C1646" t="s">
        <v>4223</v>
      </c>
      <c r="D1646" t="s">
        <v>4222</v>
      </c>
      <c r="E1646" s="2" t="s">
        <v>313</v>
      </c>
      <c r="F1646" t="s">
        <v>1094</v>
      </c>
      <c r="G1646" t="str">
        <f>HYPERLINK("http://www.wikileaks-kr.org/news/articleView.html?idxno=170662")</f>
        <v>http://www.wikileaks-kr.org/news/articleView.html?idxno=170662</v>
      </c>
      <c r="H1646">
        <v>0.64400000000000002</v>
      </c>
    </row>
    <row r="1647" spans="1:8" x14ac:dyDescent="0.3">
      <c r="A1647" t="s">
        <v>4160</v>
      </c>
      <c r="B1647" t="s">
        <v>26951</v>
      </c>
      <c r="C1647" t="s">
        <v>4226</v>
      </c>
      <c r="D1647" t="s">
        <v>4225</v>
      </c>
      <c r="E1647" s="2" t="s">
        <v>313</v>
      </c>
      <c r="F1647" t="s">
        <v>4224</v>
      </c>
      <c r="G1647" t="str">
        <f>HYPERLINK("https://www.kyeongin.com/article/1742797")</f>
        <v>https://www.kyeongin.com/article/1742797</v>
      </c>
      <c r="H1647">
        <v>0.80200000000000005</v>
      </c>
    </row>
    <row r="1648" spans="1:8" x14ac:dyDescent="0.3">
      <c r="A1648" t="s">
        <v>4160</v>
      </c>
      <c r="B1648" t="s">
        <v>26951</v>
      </c>
      <c r="C1648" t="s">
        <v>4229</v>
      </c>
      <c r="D1648" t="s">
        <v>4228</v>
      </c>
      <c r="E1648" s="2" t="s">
        <v>313</v>
      </c>
      <c r="F1648" t="s">
        <v>4227</v>
      </c>
      <c r="G1648" t="str">
        <f>HYPERLINK("http://www.cfnews.kr/news.aspx/92722")</f>
        <v>http://www.cfnews.kr/news.aspx/92722</v>
      </c>
      <c r="H1648">
        <v>0.38500000000000001</v>
      </c>
    </row>
    <row r="1649" spans="1:8" x14ac:dyDescent="0.3">
      <c r="A1649" t="s">
        <v>4160</v>
      </c>
      <c r="B1649" t="s">
        <v>26951</v>
      </c>
      <c r="C1649" t="s">
        <v>4231</v>
      </c>
      <c r="D1649" t="s">
        <v>4230</v>
      </c>
      <c r="E1649" s="2" t="s">
        <v>313</v>
      </c>
      <c r="F1649" t="s">
        <v>73</v>
      </c>
      <c r="G1649" t="str">
        <f>HYPERLINK("https://n.news.naver.com/mnews/article/119/0002112268?sid=101")</f>
        <v>https://n.news.naver.com/mnews/article/119/0002112268?sid=101</v>
      </c>
      <c r="H1649">
        <v>0.29599999999999999</v>
      </c>
    </row>
    <row r="1650" spans="1:8" x14ac:dyDescent="0.3">
      <c r="A1650" t="s">
        <v>4160</v>
      </c>
      <c r="B1650" t="s">
        <v>26951</v>
      </c>
      <c r="C1650" t="s">
        <v>4234</v>
      </c>
      <c r="D1650" t="s">
        <v>4233</v>
      </c>
      <c r="E1650" s="2" t="s">
        <v>313</v>
      </c>
      <c r="F1650" t="s">
        <v>4232</v>
      </c>
      <c r="G1650" t="str">
        <f>HYPERLINK("https://daily.hankooki.com/news/articleView.html?idxno=1232215")</f>
        <v>https://daily.hankooki.com/news/articleView.html?idxno=1232215</v>
      </c>
      <c r="H1650">
        <v>0.84699999999999998</v>
      </c>
    </row>
    <row r="1651" spans="1:8" x14ac:dyDescent="0.3">
      <c r="A1651" t="s">
        <v>4160</v>
      </c>
      <c r="B1651" t="s">
        <v>26951</v>
      </c>
      <c r="C1651" t="s">
        <v>4236</v>
      </c>
      <c r="D1651" t="s">
        <v>4235</v>
      </c>
      <c r="E1651" s="2" t="s">
        <v>356</v>
      </c>
      <c r="F1651" t="s">
        <v>779</v>
      </c>
      <c r="G1651" t="str">
        <f>HYPERLINK("https://n.news.naver.com/mnews/article/119/0002969741?sid=102")</f>
        <v>https://n.news.naver.com/mnews/article/119/0002969741?sid=102</v>
      </c>
      <c r="H1651">
        <v>0.24399999999999999</v>
      </c>
    </row>
    <row r="1652" spans="1:8" x14ac:dyDescent="0.3">
      <c r="A1652" t="s">
        <v>4160</v>
      </c>
      <c r="B1652" t="s">
        <v>26951</v>
      </c>
      <c r="C1652" t="s">
        <v>4238</v>
      </c>
      <c r="D1652" t="s">
        <v>4237</v>
      </c>
      <c r="E1652" s="2" t="s">
        <v>356</v>
      </c>
      <c r="F1652" t="s">
        <v>73</v>
      </c>
      <c r="G1652" t="str">
        <f>HYPERLINK("http://www.nongaek.com/news/articleView.html?idxno=87670")</f>
        <v>http://www.nongaek.com/news/articleView.html?idxno=87670</v>
      </c>
      <c r="H1652">
        <v>0.35799999999999998</v>
      </c>
    </row>
    <row r="1653" spans="1:8" x14ac:dyDescent="0.3">
      <c r="A1653" t="s">
        <v>4160</v>
      </c>
      <c r="B1653" t="s">
        <v>26951</v>
      </c>
      <c r="C1653" t="s">
        <v>4240</v>
      </c>
      <c r="D1653" t="s">
        <v>4239</v>
      </c>
      <c r="E1653" s="2" t="s">
        <v>356</v>
      </c>
      <c r="F1653" t="s">
        <v>4232</v>
      </c>
      <c r="G1653" t="str">
        <f>HYPERLINK("https://n.news.naver.com/mnews/article/119/0002969546?sid=103")</f>
        <v>https://n.news.naver.com/mnews/article/119/0002969546?sid=103</v>
      </c>
      <c r="H1653">
        <v>0.17199999999999999</v>
      </c>
    </row>
    <row r="1654" spans="1:8" x14ac:dyDescent="0.3">
      <c r="A1654" t="s">
        <v>4160</v>
      </c>
      <c r="B1654" t="s">
        <v>26951</v>
      </c>
      <c r="C1654" t="s">
        <v>4242</v>
      </c>
      <c r="D1654" t="s">
        <v>4241</v>
      </c>
      <c r="E1654" s="2" t="s">
        <v>356</v>
      </c>
      <c r="F1654" t="s">
        <v>1908</v>
      </c>
      <c r="G1654" t="str">
        <f>HYPERLINK("http://www.newspim.com/news/view/20200806000078")</f>
        <v>http://www.newspim.com/news/view/20200806000078</v>
      </c>
      <c r="H1654">
        <v>0.50700000000000001</v>
      </c>
    </row>
    <row r="1655" spans="1:8" x14ac:dyDescent="0.3">
      <c r="A1655" t="s">
        <v>4160</v>
      </c>
      <c r="B1655" t="s">
        <v>26951</v>
      </c>
      <c r="C1655" t="s">
        <v>4245</v>
      </c>
      <c r="D1655" t="s">
        <v>4244</v>
      </c>
      <c r="E1655" s="2" t="s">
        <v>356</v>
      </c>
      <c r="F1655" t="s">
        <v>4243</v>
      </c>
      <c r="G1655" t="str">
        <f>HYPERLINK("http://www.dailian.co.kr/news/news_view.htm?id=266961&amp;sc=naver&amp;kind=menu_code&amp;keys=3")</f>
        <v>http://www.dailian.co.kr/news/news_view.htm?id=266961&amp;sc=naver&amp;kind=menu_code&amp;keys=3</v>
      </c>
      <c r="H1655">
        <v>0.29299999999999998</v>
      </c>
    </row>
    <row r="1656" spans="1:8" x14ac:dyDescent="0.3">
      <c r="A1656" t="s">
        <v>4160</v>
      </c>
      <c r="B1656" t="s">
        <v>26951</v>
      </c>
      <c r="C1656" t="s">
        <v>4247</v>
      </c>
      <c r="D1656" t="s">
        <v>4246</v>
      </c>
      <c r="E1656" s="2" t="s">
        <v>394</v>
      </c>
      <c r="F1656" t="s">
        <v>4232</v>
      </c>
      <c r="G1656" t="str">
        <f>HYPERLINK("http://news.lghellovision.net/news/articleView.html?idxno=509269")</f>
        <v>http://news.lghellovision.net/news/articleView.html?idxno=509269</v>
      </c>
      <c r="H1656">
        <v>0.20200000000000001</v>
      </c>
    </row>
    <row r="1657" spans="1:8" x14ac:dyDescent="0.3">
      <c r="A1657" t="s">
        <v>4160</v>
      </c>
      <c r="B1657" t="s">
        <v>26951</v>
      </c>
      <c r="C1657" t="s">
        <v>4250</v>
      </c>
      <c r="D1657" t="s">
        <v>4249</v>
      </c>
      <c r="E1657" s="2" t="s">
        <v>394</v>
      </c>
      <c r="F1657" t="s">
        <v>4248</v>
      </c>
      <c r="G1657" t="str">
        <f>HYPERLINK("https://n.news.naver.com/mnews/article/119/0002326515?sid=101")</f>
        <v>https://n.news.naver.com/mnews/article/119/0002326515?sid=101</v>
      </c>
      <c r="H1657">
        <v>0.08</v>
      </c>
    </row>
    <row r="1658" spans="1:8" x14ac:dyDescent="0.3">
      <c r="A1658" t="s">
        <v>4160</v>
      </c>
      <c r="B1658" t="s">
        <v>26951</v>
      </c>
      <c r="C1658" t="s">
        <v>4252</v>
      </c>
      <c r="D1658" t="s">
        <v>4251</v>
      </c>
      <c r="E1658" s="2" t="s">
        <v>394</v>
      </c>
      <c r="F1658" t="s">
        <v>677</v>
      </c>
      <c r="G1658" t="str">
        <f>HYPERLINK("http://www.kyongbuk.co.kr/news/articleView.html?idxno=2117830")</f>
        <v>http://www.kyongbuk.co.kr/news/articleView.html?idxno=2117830</v>
      </c>
      <c r="H1658">
        <v>0.38500000000000001</v>
      </c>
    </row>
    <row r="1659" spans="1:8" x14ac:dyDescent="0.3">
      <c r="A1659" t="s">
        <v>4160</v>
      </c>
      <c r="B1659" t="s">
        <v>26951</v>
      </c>
      <c r="C1659" t="s">
        <v>4254</v>
      </c>
      <c r="D1659" t="s">
        <v>4253</v>
      </c>
      <c r="E1659" s="2" t="s">
        <v>394</v>
      </c>
      <c r="F1659" t="s">
        <v>96</v>
      </c>
      <c r="G1659" t="str">
        <f>HYPERLINK("https://n.news.naver.com/mnews/article/119/0002860308?sid=101")</f>
        <v>https://n.news.naver.com/mnews/article/119/0002860308?sid=101</v>
      </c>
      <c r="H1659">
        <v>0.27500000000000002</v>
      </c>
    </row>
    <row r="1660" spans="1:8" x14ac:dyDescent="0.3">
      <c r="A1660" t="s">
        <v>4160</v>
      </c>
      <c r="B1660" t="s">
        <v>26951</v>
      </c>
      <c r="C1660" t="s">
        <v>4256</v>
      </c>
      <c r="D1660" t="s">
        <v>4255</v>
      </c>
      <c r="E1660" s="2" t="s">
        <v>394</v>
      </c>
      <c r="F1660" t="s">
        <v>96</v>
      </c>
      <c r="G1660" t="str">
        <f>HYPERLINK("https://n.news.naver.com/mnews/article/119/0002973034?sid=101")</f>
        <v>https://n.news.naver.com/mnews/article/119/0002973034?sid=101</v>
      </c>
      <c r="H1660">
        <v>0.17199999999999999</v>
      </c>
    </row>
    <row r="1661" spans="1:8" x14ac:dyDescent="0.3">
      <c r="A1661" t="s">
        <v>4160</v>
      </c>
      <c r="B1661" t="s">
        <v>26951</v>
      </c>
      <c r="C1661" t="s">
        <v>4258</v>
      </c>
      <c r="D1661" t="s">
        <v>4257</v>
      </c>
      <c r="E1661" s="2" t="s">
        <v>418</v>
      </c>
      <c r="F1661" t="s">
        <v>3470</v>
      </c>
      <c r="G1661" t="str">
        <f>HYPERLINK("http://news.lghellovision.net/news/articleView.html?idxno=509269")</f>
        <v>http://news.lghellovision.net/news/articleView.html?idxno=509269</v>
      </c>
      <c r="H1661">
        <v>0.109</v>
      </c>
    </row>
    <row r="1662" spans="1:8" x14ac:dyDescent="0.3">
      <c r="A1662" t="s">
        <v>4160</v>
      </c>
      <c r="B1662" t="s">
        <v>26951</v>
      </c>
      <c r="C1662" t="s">
        <v>4260</v>
      </c>
      <c r="D1662" t="s">
        <v>4259</v>
      </c>
      <c r="E1662" s="2" t="s">
        <v>452</v>
      </c>
      <c r="F1662" t="s">
        <v>197</v>
      </c>
      <c r="G1662" t="str">
        <f>HYPERLINK("https://n.news.naver.com/mnews/article/119/0002449773?sid=101")</f>
        <v>https://n.news.naver.com/mnews/article/119/0002449773?sid=101</v>
      </c>
      <c r="H1662">
        <v>0.29299999999999998</v>
      </c>
    </row>
    <row r="1663" spans="1:8" x14ac:dyDescent="0.3">
      <c r="A1663" t="s">
        <v>4160</v>
      </c>
      <c r="B1663" t="s">
        <v>26951</v>
      </c>
      <c r="C1663" t="s">
        <v>4264</v>
      </c>
      <c r="D1663" t="s">
        <v>4263</v>
      </c>
      <c r="E1663" s="2" t="s">
        <v>452</v>
      </c>
      <c r="F1663" t="s">
        <v>4262</v>
      </c>
      <c r="G1663" t="str">
        <f>HYPERLINK("http://www.pennmike.com/news/articleView.html?idxno=74550")</f>
        <v>http://www.pennmike.com/news/articleView.html?idxno=74550</v>
      </c>
      <c r="H1663">
        <v>0.55200000000000005</v>
      </c>
    </row>
    <row r="1664" spans="1:8" x14ac:dyDescent="0.3">
      <c r="A1664" t="s">
        <v>4160</v>
      </c>
      <c r="B1664" t="s">
        <v>26951</v>
      </c>
      <c r="C1664" t="s">
        <v>4266</v>
      </c>
      <c r="D1664" t="s">
        <v>4265</v>
      </c>
      <c r="E1664" s="2" t="s">
        <v>481</v>
      </c>
      <c r="F1664" t="s">
        <v>776</v>
      </c>
      <c r="G1664" t="str">
        <f>HYPERLINK("https://n.news.naver.com/mnews/article/119/0002883431?sid=101")</f>
        <v>https://n.news.naver.com/mnews/article/119/0002883431?sid=101</v>
      </c>
      <c r="H1664">
        <v>0.35899999999999999</v>
      </c>
    </row>
    <row r="1665" spans="1:8" x14ac:dyDescent="0.3">
      <c r="A1665" t="s">
        <v>4160</v>
      </c>
      <c r="B1665" t="s">
        <v>26951</v>
      </c>
      <c r="C1665" t="s">
        <v>4268</v>
      </c>
      <c r="D1665" t="s">
        <v>4267</v>
      </c>
      <c r="E1665" s="2" t="s">
        <v>481</v>
      </c>
      <c r="F1665" t="s">
        <v>2166</v>
      </c>
      <c r="G1665" t="str">
        <f>HYPERLINK("http://www.econovill.com/news/articleView.html?idxno=262703")</f>
        <v>http://www.econovill.com/news/articleView.html?idxno=262703</v>
      </c>
      <c r="H1665">
        <v>9.4E-2</v>
      </c>
    </row>
    <row r="1666" spans="1:8" x14ac:dyDescent="0.3">
      <c r="A1666" t="s">
        <v>4160</v>
      </c>
      <c r="B1666" t="s">
        <v>26951</v>
      </c>
      <c r="C1666" t="s">
        <v>4270</v>
      </c>
      <c r="D1666" t="s">
        <v>4269</v>
      </c>
      <c r="E1666" s="2" t="s">
        <v>502</v>
      </c>
      <c r="F1666" t="s">
        <v>73</v>
      </c>
      <c r="G1666" t="str">
        <f>HYPERLINK("https://daily.hankooki.com/news/articleView.html?idxno=1229057")</f>
        <v>https://daily.hankooki.com/news/articleView.html?idxno=1229057</v>
      </c>
      <c r="H1666">
        <v>0.65300000000000002</v>
      </c>
    </row>
    <row r="1667" spans="1:8" x14ac:dyDescent="0.3">
      <c r="A1667" t="s">
        <v>4160</v>
      </c>
      <c r="B1667" t="s">
        <v>26951</v>
      </c>
      <c r="C1667" t="s">
        <v>4272</v>
      </c>
      <c r="D1667" t="s">
        <v>4271</v>
      </c>
      <c r="E1667" s="2" t="s">
        <v>502</v>
      </c>
      <c r="F1667" t="s">
        <v>1960</v>
      </c>
      <c r="G1667" t="str">
        <f>HYPERLINK("https://n.news.naver.com/mnews/article/002/0001972710?sid=103")</f>
        <v>https://n.news.naver.com/mnews/article/002/0001972710?sid=103</v>
      </c>
      <c r="H1667">
        <v>0.122</v>
      </c>
    </row>
    <row r="1668" spans="1:8" x14ac:dyDescent="0.3">
      <c r="A1668" t="s">
        <v>4160</v>
      </c>
      <c r="B1668" t="s">
        <v>26951</v>
      </c>
      <c r="C1668" t="s">
        <v>4274</v>
      </c>
      <c r="D1668" t="s">
        <v>4273</v>
      </c>
      <c r="E1668" s="2" t="s">
        <v>517</v>
      </c>
      <c r="F1668" t="s">
        <v>490</v>
      </c>
      <c r="G1668" t="str">
        <f>HYPERLINK("https://n.news.naver.com/mnews/article/119/0002967762?sid=101")</f>
        <v>https://n.news.naver.com/mnews/article/119/0002967762?sid=101</v>
      </c>
      <c r="H1668">
        <v>0.255</v>
      </c>
    </row>
    <row r="1669" spans="1:8" x14ac:dyDescent="0.3">
      <c r="A1669" t="s">
        <v>4160</v>
      </c>
      <c r="B1669" t="s">
        <v>26951</v>
      </c>
      <c r="C1669" t="s">
        <v>4276</v>
      </c>
      <c r="D1669" t="s">
        <v>4275</v>
      </c>
      <c r="E1669" s="2" t="s">
        <v>538</v>
      </c>
      <c r="F1669" t="s">
        <v>148</v>
      </c>
      <c r="G1669" t="str">
        <f>HYPERLINK("http://www.fntoday.co.kr/news/articleView.html?idxno=352760")</f>
        <v>http://www.fntoday.co.kr/news/articleView.html?idxno=352760</v>
      </c>
      <c r="H1669">
        <v>0.249</v>
      </c>
    </row>
    <row r="1670" spans="1:8" x14ac:dyDescent="0.3">
      <c r="A1670" t="s">
        <v>4160</v>
      </c>
      <c r="B1670" t="s">
        <v>26951</v>
      </c>
      <c r="C1670" t="s">
        <v>4278</v>
      </c>
      <c r="D1670" t="s">
        <v>4277</v>
      </c>
      <c r="E1670" s="2" t="s">
        <v>538</v>
      </c>
      <c r="F1670" t="s">
        <v>1799</v>
      </c>
      <c r="G1670" t="str">
        <f>HYPERLINK("https://radio.ytn.co.kr/program/?f=2&amp;id=86577&amp;s_mcd=0452&amp;s_hcd=01")</f>
        <v>https://radio.ytn.co.kr/program/?f=2&amp;id=86577&amp;s_mcd=0452&amp;s_hcd=01</v>
      </c>
      <c r="H1670">
        <v>0.443</v>
      </c>
    </row>
    <row r="1671" spans="1:8" x14ac:dyDescent="0.3">
      <c r="A1671" t="s">
        <v>4160</v>
      </c>
      <c r="B1671" t="s">
        <v>26951</v>
      </c>
      <c r="C1671" t="s">
        <v>4280</v>
      </c>
      <c r="D1671" t="s">
        <v>4279</v>
      </c>
      <c r="E1671" s="2" t="s">
        <v>538</v>
      </c>
      <c r="F1671" t="s">
        <v>1527</v>
      </c>
      <c r="G1671" t="str">
        <f>HYPERLINK("https://n.news.naver.com/mnews/article/119/0002844647?sid=100")</f>
        <v>https://n.news.naver.com/mnews/article/119/0002844647?sid=100</v>
      </c>
      <c r="H1671">
        <v>0.22600000000000001</v>
      </c>
    </row>
    <row r="1672" spans="1:8" x14ac:dyDescent="0.3">
      <c r="A1672" t="s">
        <v>4160</v>
      </c>
      <c r="B1672" t="s">
        <v>26951</v>
      </c>
      <c r="C1672" t="s">
        <v>4283</v>
      </c>
      <c r="D1672" t="s">
        <v>4282</v>
      </c>
      <c r="E1672" s="2" t="s">
        <v>572</v>
      </c>
      <c r="F1672" t="s">
        <v>4281</v>
      </c>
      <c r="G1672" t="str">
        <f>HYPERLINK("https://www.apnews.kr/news/articleView.html?idxno=3031392")</f>
        <v>https://www.apnews.kr/news/articleView.html?idxno=3031392</v>
      </c>
      <c r="H1672">
        <v>8.8999999999999996E-2</v>
      </c>
    </row>
    <row r="1673" spans="1:8" x14ac:dyDescent="0.3">
      <c r="A1673" t="s">
        <v>4160</v>
      </c>
      <c r="B1673" t="s">
        <v>26951</v>
      </c>
      <c r="C1673" t="s">
        <v>4285</v>
      </c>
      <c r="D1673" t="s">
        <v>4284</v>
      </c>
      <c r="E1673" s="2" t="s">
        <v>572</v>
      </c>
      <c r="F1673" t="s">
        <v>359</v>
      </c>
      <c r="G1673" t="str">
        <f>HYPERLINK("https://n.news.naver.com/mnews/article/214/0001430362?sid=100")</f>
        <v>https://n.news.naver.com/mnews/article/214/0001430362?sid=100</v>
      </c>
      <c r="H1673">
        <v>0.29799999999999999</v>
      </c>
    </row>
    <row r="1674" spans="1:8" x14ac:dyDescent="0.3">
      <c r="A1674" t="s">
        <v>4160</v>
      </c>
      <c r="B1674" t="s">
        <v>26951</v>
      </c>
      <c r="C1674" t="s">
        <v>4287</v>
      </c>
      <c r="D1674" t="s">
        <v>4286</v>
      </c>
      <c r="E1674" s="2" t="s">
        <v>572</v>
      </c>
      <c r="F1674" t="s">
        <v>1546</v>
      </c>
      <c r="G1674" t="str">
        <f>HYPERLINK("https://n.news.naver.com/mnews/article/119/0002966553?sid=100")</f>
        <v>https://n.news.naver.com/mnews/article/119/0002966553?sid=100</v>
      </c>
      <c r="H1674">
        <v>0.26300000000000001</v>
      </c>
    </row>
    <row r="1675" spans="1:8" x14ac:dyDescent="0.3">
      <c r="A1675" t="s">
        <v>4160</v>
      </c>
      <c r="B1675" t="s">
        <v>26951</v>
      </c>
      <c r="C1675" t="s">
        <v>4289</v>
      </c>
      <c r="D1675" t="s">
        <v>4288</v>
      </c>
      <c r="E1675" s="2" t="s">
        <v>609</v>
      </c>
      <c r="F1675" t="s">
        <v>1908</v>
      </c>
      <c r="G1675" t="str">
        <f>HYPERLINK("http://www.newspim.com/news/view/20190820000046")</f>
        <v>http://www.newspim.com/news/view/20190820000046</v>
      </c>
      <c r="H1675">
        <v>0.51400000000000001</v>
      </c>
    </row>
    <row r="1676" spans="1:8" x14ac:dyDescent="0.3">
      <c r="A1676" t="s">
        <v>4160</v>
      </c>
      <c r="B1676" t="s">
        <v>26951</v>
      </c>
      <c r="C1676" t="s">
        <v>4291</v>
      </c>
      <c r="D1676" t="s">
        <v>4290</v>
      </c>
      <c r="E1676" s="2" t="s">
        <v>609</v>
      </c>
      <c r="F1676" t="s">
        <v>779</v>
      </c>
      <c r="G1676" t="str">
        <f>HYPERLINK("https://www.getnews.co.kr/news/articleView.html?idxno=824176")</f>
        <v>https://www.getnews.co.kr/news/articleView.html?idxno=824176</v>
      </c>
      <c r="H1676">
        <v>0.65500000000000003</v>
      </c>
    </row>
    <row r="1677" spans="1:8" x14ac:dyDescent="0.3">
      <c r="A1677" t="s">
        <v>4160</v>
      </c>
      <c r="B1677" t="s">
        <v>26951</v>
      </c>
      <c r="C1677" t="s">
        <v>4293</v>
      </c>
      <c r="D1677" t="s">
        <v>4292</v>
      </c>
      <c r="E1677" s="2" t="s">
        <v>609</v>
      </c>
      <c r="F1677" t="s">
        <v>779</v>
      </c>
      <c r="G1677" t="str">
        <f>HYPERLINK("https://n.news.naver.com/mnews/article/119/0002966128?sid=103")</f>
        <v>https://n.news.naver.com/mnews/article/119/0002966128?sid=103</v>
      </c>
      <c r="H1677">
        <v>0.28399999999999997</v>
      </c>
    </row>
    <row r="1678" spans="1:8" x14ac:dyDescent="0.3">
      <c r="A1678" t="s">
        <v>4160</v>
      </c>
      <c r="B1678" t="s">
        <v>26951</v>
      </c>
      <c r="C1678" t="s">
        <v>4295</v>
      </c>
      <c r="D1678" t="s">
        <v>4294</v>
      </c>
      <c r="E1678" s="2" t="s">
        <v>609</v>
      </c>
      <c r="F1678" t="s">
        <v>175</v>
      </c>
      <c r="G1678" t="str">
        <f>HYPERLINK("https://n.news.naver.com/mnews/article/079/0004033125?sid=102")</f>
        <v>https://n.news.naver.com/mnews/article/079/0004033125?sid=102</v>
      </c>
      <c r="H1678">
        <v>0.34699999999999998</v>
      </c>
    </row>
    <row r="1679" spans="1:8" x14ac:dyDescent="0.3">
      <c r="A1679" t="s">
        <v>4160</v>
      </c>
      <c r="B1679" t="s">
        <v>26951</v>
      </c>
      <c r="C1679" t="s">
        <v>4297</v>
      </c>
      <c r="D1679" t="s">
        <v>4296</v>
      </c>
      <c r="E1679" s="2" t="s">
        <v>609</v>
      </c>
      <c r="F1679" t="s">
        <v>1546</v>
      </c>
      <c r="G1679" t="str">
        <f>HYPERLINK("https://n.news.naver.com/mnews/article/119/0002973894?sid=100")</f>
        <v>https://n.news.naver.com/mnews/article/119/0002973894?sid=100</v>
      </c>
      <c r="H1679">
        <v>0.19700000000000001</v>
      </c>
    </row>
    <row r="1680" spans="1:8" x14ac:dyDescent="0.3">
      <c r="A1680" t="s">
        <v>4160</v>
      </c>
      <c r="B1680" t="s">
        <v>26951</v>
      </c>
      <c r="C1680" t="s">
        <v>4299</v>
      </c>
      <c r="D1680" t="s">
        <v>4298</v>
      </c>
      <c r="E1680" s="2" t="s">
        <v>653</v>
      </c>
      <c r="F1680" t="s">
        <v>1942</v>
      </c>
      <c r="G1680" t="str">
        <f>HYPERLINK("https://n.news.naver.com/mnews/article/119/0002965719?sid=102")</f>
        <v>https://n.news.naver.com/mnews/article/119/0002965719?sid=102</v>
      </c>
      <c r="H1680">
        <v>0.217</v>
      </c>
    </row>
    <row r="1681" spans="1:8" x14ac:dyDescent="0.3">
      <c r="A1681" t="s">
        <v>4160</v>
      </c>
      <c r="B1681" t="s">
        <v>26951</v>
      </c>
      <c r="C1681" t="s">
        <v>4301</v>
      </c>
      <c r="D1681" t="s">
        <v>4300</v>
      </c>
      <c r="E1681" s="2" t="s">
        <v>653</v>
      </c>
      <c r="F1681" t="s">
        <v>3470</v>
      </c>
      <c r="G1681" t="str">
        <f>HYPERLINK("https://n.news.naver.com/mnews/article/119/0002965736?sid=101")</f>
        <v>https://n.news.naver.com/mnews/article/119/0002965736?sid=101</v>
      </c>
      <c r="H1681">
        <v>0.16800000000000001</v>
      </c>
    </row>
    <row r="1682" spans="1:8" x14ac:dyDescent="0.3">
      <c r="A1682" t="s">
        <v>4160</v>
      </c>
      <c r="B1682" t="s">
        <v>26951</v>
      </c>
      <c r="C1682" t="s">
        <v>4303</v>
      </c>
      <c r="D1682" t="s">
        <v>4302</v>
      </c>
      <c r="E1682" s="2" t="s">
        <v>692</v>
      </c>
      <c r="F1682" t="s">
        <v>332</v>
      </c>
      <c r="G1682" t="str">
        <f>HYPERLINK("http://www.sisaon.co.kr/news/articleView.html?idxno=170345")</f>
        <v>http://www.sisaon.co.kr/news/articleView.html?idxno=170345</v>
      </c>
      <c r="H1682">
        <v>0.29599999999999999</v>
      </c>
    </row>
    <row r="1683" spans="1:8" x14ac:dyDescent="0.3">
      <c r="A1683" t="s">
        <v>4160</v>
      </c>
      <c r="B1683" t="s">
        <v>26951</v>
      </c>
      <c r="C1683" t="s">
        <v>3502</v>
      </c>
      <c r="D1683" t="s">
        <v>4304</v>
      </c>
      <c r="E1683" s="2" t="s">
        <v>692</v>
      </c>
      <c r="F1683" t="s">
        <v>3501</v>
      </c>
      <c r="G1683" t="str">
        <f>HYPERLINK("http://www.domin.co.kr/news/articleView.html?idxno=1386337")</f>
        <v>http://www.domin.co.kr/news/articleView.html?idxno=1386337</v>
      </c>
      <c r="H1683">
        <v>0.39500000000000002</v>
      </c>
    </row>
    <row r="1684" spans="1:8" x14ac:dyDescent="0.3">
      <c r="A1684" t="s">
        <v>4160</v>
      </c>
      <c r="B1684" t="s">
        <v>26951</v>
      </c>
      <c r="C1684" t="s">
        <v>4307</v>
      </c>
      <c r="D1684" t="s">
        <v>4306</v>
      </c>
      <c r="E1684" s="2" t="s">
        <v>711</v>
      </c>
      <c r="F1684" t="s">
        <v>4305</v>
      </c>
      <c r="G1684" t="str">
        <f>HYPERLINK("https://www.greened.kr/news/articleView.html?idxno=322495")</f>
        <v>https://www.greened.kr/news/articleView.html?idxno=322495</v>
      </c>
      <c r="H1684">
        <v>0.503</v>
      </c>
    </row>
    <row r="1685" spans="1:8" x14ac:dyDescent="0.3">
      <c r="A1685" t="s">
        <v>4160</v>
      </c>
      <c r="B1685" t="s">
        <v>26951</v>
      </c>
      <c r="C1685" t="s">
        <v>4309</v>
      </c>
      <c r="D1685" t="s">
        <v>4308</v>
      </c>
      <c r="E1685" s="2" t="s">
        <v>725</v>
      </c>
      <c r="F1685" t="s">
        <v>1546</v>
      </c>
      <c r="G1685" t="str">
        <f>HYPERLINK("https://n.news.naver.com/mnews/article/119/0002973882?sid=100")</f>
        <v>https://n.news.naver.com/mnews/article/119/0002973882?sid=100</v>
      </c>
      <c r="H1685">
        <v>0.23499999999999999</v>
      </c>
    </row>
    <row r="1686" spans="1:8" x14ac:dyDescent="0.3">
      <c r="A1686" t="s">
        <v>4160</v>
      </c>
      <c r="B1686" t="s">
        <v>26951</v>
      </c>
      <c r="C1686" t="s">
        <v>4312</v>
      </c>
      <c r="D1686" t="s">
        <v>4311</v>
      </c>
      <c r="E1686" s="2" t="s">
        <v>742</v>
      </c>
      <c r="F1686" t="s">
        <v>4310</v>
      </c>
      <c r="G1686" t="str">
        <f>HYPERLINK("https://n.news.naver.com/mnews/article/119/0002650640?sid=101")</f>
        <v>https://n.news.naver.com/mnews/article/119/0002650640?sid=101</v>
      </c>
      <c r="H1686">
        <v>0.11700000000000001</v>
      </c>
    </row>
    <row r="1687" spans="1:8" x14ac:dyDescent="0.3">
      <c r="A1687" t="s">
        <v>4160</v>
      </c>
      <c r="B1687" t="s">
        <v>26951</v>
      </c>
      <c r="C1687" t="s">
        <v>4314</v>
      </c>
      <c r="D1687" t="s">
        <v>4313</v>
      </c>
      <c r="E1687" s="2" t="s">
        <v>742</v>
      </c>
      <c r="F1687" t="s">
        <v>1615</v>
      </c>
      <c r="G1687" t="str">
        <f>HYPERLINK("https://www.gokorea.kr/news/articleView.html?idxno=830384")</f>
        <v>https://www.gokorea.kr/news/articleView.html?idxno=830384</v>
      </c>
      <c r="H1687">
        <v>0.29399999999999998</v>
      </c>
    </row>
    <row r="1688" spans="1:8" x14ac:dyDescent="0.3">
      <c r="A1688" t="s">
        <v>4160</v>
      </c>
      <c r="B1688" t="s">
        <v>26951</v>
      </c>
      <c r="C1688" t="s">
        <v>4317</v>
      </c>
      <c r="D1688" t="s">
        <v>4316</v>
      </c>
      <c r="E1688" s="2" t="s">
        <v>742</v>
      </c>
      <c r="F1688" t="s">
        <v>4315</v>
      </c>
      <c r="G1688" t="str">
        <f>HYPERLINK("https://n.news.naver.com/mnews/article/119/0002965244?sid=101")</f>
        <v>https://n.news.naver.com/mnews/article/119/0002965244?sid=101</v>
      </c>
      <c r="H1688">
        <v>0.311</v>
      </c>
    </row>
    <row r="1689" spans="1:8" x14ac:dyDescent="0.3">
      <c r="A1689" t="s">
        <v>4160</v>
      </c>
      <c r="B1689" t="s">
        <v>26951</v>
      </c>
      <c r="C1689" t="s">
        <v>4320</v>
      </c>
      <c r="D1689" t="s">
        <v>4319</v>
      </c>
      <c r="E1689" s="2" t="s">
        <v>799</v>
      </c>
      <c r="F1689" t="s">
        <v>73</v>
      </c>
      <c r="G1689" t="str">
        <f>HYPERLINK("http://www.ccnnews.co.kr/news/articleView.html?idxno=373581")</f>
        <v>http://www.ccnnews.co.kr/news/articleView.html?idxno=373581</v>
      </c>
      <c r="H1689">
        <v>0.85399999999999998</v>
      </c>
    </row>
    <row r="1690" spans="1:8" x14ac:dyDescent="0.3">
      <c r="A1690" t="s">
        <v>4160</v>
      </c>
      <c r="B1690" t="s">
        <v>26951</v>
      </c>
      <c r="C1690" t="s">
        <v>4323</v>
      </c>
      <c r="D1690" t="s">
        <v>4322</v>
      </c>
      <c r="E1690" s="2" t="s">
        <v>799</v>
      </c>
      <c r="F1690" t="s">
        <v>1038</v>
      </c>
      <c r="G1690" t="str">
        <f>HYPERLINK("http://www.newspim.com/news/view/20210202000824")</f>
        <v>http://www.newspim.com/news/view/20210202000824</v>
      </c>
      <c r="H1690">
        <v>0.436</v>
      </c>
    </row>
    <row r="1691" spans="1:8" x14ac:dyDescent="0.3">
      <c r="A1691" t="s">
        <v>4160</v>
      </c>
      <c r="B1691" t="s">
        <v>26951</v>
      </c>
      <c r="C1691" t="s">
        <v>4325</v>
      </c>
      <c r="D1691" t="s">
        <v>4324</v>
      </c>
      <c r="E1691" s="2" t="s">
        <v>799</v>
      </c>
      <c r="F1691" t="s">
        <v>642</v>
      </c>
      <c r="G1691" t="str">
        <f>HYPERLINK("https://n.news.naver.com/mnews/article/119/0002402868?sid=101")</f>
        <v>https://n.news.naver.com/mnews/article/119/0002402868?sid=101</v>
      </c>
      <c r="H1691">
        <v>0.33500000000000002</v>
      </c>
    </row>
    <row r="1692" spans="1:8" x14ac:dyDescent="0.3">
      <c r="A1692" t="s">
        <v>4160</v>
      </c>
      <c r="B1692" t="s">
        <v>26951</v>
      </c>
      <c r="C1692" t="s">
        <v>4327</v>
      </c>
      <c r="D1692" t="s">
        <v>4326</v>
      </c>
      <c r="E1692" s="2" t="s">
        <v>799</v>
      </c>
      <c r="F1692" t="s">
        <v>73</v>
      </c>
      <c r="G1692" t="str">
        <f>HYPERLINK("https://n.news.naver.com/mnews/article/016/0002481731?sid=105")</f>
        <v>https://n.news.naver.com/mnews/article/016/0002481731?sid=105</v>
      </c>
      <c r="H1692">
        <v>0.29899999999999999</v>
      </c>
    </row>
    <row r="1693" spans="1:8" x14ac:dyDescent="0.3">
      <c r="A1693" t="s">
        <v>4160</v>
      </c>
      <c r="B1693" t="s">
        <v>26951</v>
      </c>
      <c r="C1693" t="s">
        <v>4329</v>
      </c>
      <c r="D1693" t="s">
        <v>4328</v>
      </c>
      <c r="E1693" s="2" t="s">
        <v>840</v>
      </c>
      <c r="F1693" t="s">
        <v>111</v>
      </c>
      <c r="G1693" t="str">
        <f>HYPERLINK("https://n.news.naver.com/mnews/article/119/0002964200?sid=103")</f>
        <v>https://n.news.naver.com/mnews/article/119/0002964200?sid=103</v>
      </c>
      <c r="H1693">
        <v>0.26300000000000001</v>
      </c>
    </row>
    <row r="1694" spans="1:8" x14ac:dyDescent="0.3">
      <c r="A1694" t="s">
        <v>4160</v>
      </c>
      <c r="B1694" t="s">
        <v>26951</v>
      </c>
      <c r="C1694" t="s">
        <v>4332</v>
      </c>
      <c r="D1694" t="s">
        <v>4331</v>
      </c>
      <c r="E1694" s="2" t="s">
        <v>840</v>
      </c>
      <c r="F1694" t="s">
        <v>4330</v>
      </c>
      <c r="G1694" t="str">
        <f>HYPERLINK("https://n.news.naver.com/mnews/article/119/0002490240?sid=101")</f>
        <v>https://n.news.naver.com/mnews/article/119/0002490240?sid=101</v>
      </c>
      <c r="H1694">
        <v>0.16800000000000001</v>
      </c>
    </row>
    <row r="1695" spans="1:8" x14ac:dyDescent="0.3">
      <c r="A1695" t="s">
        <v>4160</v>
      </c>
      <c r="B1695" t="s">
        <v>26951</v>
      </c>
      <c r="C1695" t="s">
        <v>4334</v>
      </c>
      <c r="D1695" t="s">
        <v>4333</v>
      </c>
      <c r="E1695" s="2" t="s">
        <v>860</v>
      </c>
      <c r="F1695" t="s">
        <v>205</v>
      </c>
      <c r="G1695" t="str">
        <f>HYPERLINK("https://www.traveltimes.co.kr/news/articleView.html?idxno=410550")</f>
        <v>https://www.traveltimes.co.kr/news/articleView.html?idxno=410550</v>
      </c>
      <c r="H1695">
        <v>0.432</v>
      </c>
    </row>
    <row r="1696" spans="1:8" x14ac:dyDescent="0.3">
      <c r="A1696" t="s">
        <v>4160</v>
      </c>
      <c r="B1696" t="s">
        <v>26951</v>
      </c>
      <c r="C1696" t="s">
        <v>4336</v>
      </c>
      <c r="D1696" t="s">
        <v>4335</v>
      </c>
      <c r="E1696" s="2" t="s">
        <v>860</v>
      </c>
      <c r="F1696" t="s">
        <v>805</v>
      </c>
      <c r="G1696" t="str">
        <f>HYPERLINK("http://www.sisafocus.co.kr/news/articleView.html?idxno=297538")</f>
        <v>http://www.sisafocus.co.kr/news/articleView.html?idxno=297538</v>
      </c>
      <c r="H1696">
        <v>0.42899999999999999</v>
      </c>
    </row>
    <row r="1697" spans="1:8" x14ac:dyDescent="0.3">
      <c r="A1697" t="s">
        <v>4160</v>
      </c>
      <c r="B1697" t="s">
        <v>26951</v>
      </c>
      <c r="C1697" t="s">
        <v>4339</v>
      </c>
      <c r="D1697" t="s">
        <v>4338</v>
      </c>
      <c r="E1697" s="2" t="s">
        <v>860</v>
      </c>
      <c r="F1697" t="s">
        <v>4337</v>
      </c>
      <c r="G1697" t="str">
        <f>HYPERLINK("https://n.news.naver.com/mnews/article/032/0003378476?sid=102")</f>
        <v>https://n.news.naver.com/mnews/article/032/0003378476?sid=102</v>
      </c>
      <c r="H1697">
        <v>0.26100000000000001</v>
      </c>
    </row>
    <row r="1698" spans="1:8" x14ac:dyDescent="0.3">
      <c r="A1698" t="s">
        <v>4341</v>
      </c>
      <c r="B1698" t="s">
        <v>26951</v>
      </c>
      <c r="C1698" t="s">
        <v>4343</v>
      </c>
      <c r="D1698" t="s">
        <v>4342</v>
      </c>
      <c r="E1698" s="2" t="s">
        <v>74</v>
      </c>
      <c r="F1698" t="s">
        <v>89</v>
      </c>
      <c r="G1698" t="str">
        <f>HYPERLINK("https://www.apnews.kr/news/articleView.html?idxno=3014252")</f>
        <v>https://www.apnews.kr/news/articleView.html?idxno=3014252</v>
      </c>
      <c r="H1698">
        <v>0.34499999999999997</v>
      </c>
    </row>
    <row r="1699" spans="1:8" x14ac:dyDescent="0.3">
      <c r="A1699" t="s">
        <v>4341</v>
      </c>
      <c r="B1699" t="s">
        <v>26951</v>
      </c>
      <c r="C1699" t="s">
        <v>4346</v>
      </c>
      <c r="D1699" t="s">
        <v>4345</v>
      </c>
      <c r="E1699" s="2" t="s">
        <v>280</v>
      </c>
      <c r="F1699" t="s">
        <v>4344</v>
      </c>
      <c r="G1699" t="str">
        <f>HYPERLINK("http://www.newsdream.kr/news/articleView.html?idxno=88327")</f>
        <v>http://www.newsdream.kr/news/articleView.html?idxno=88327</v>
      </c>
      <c r="H1699">
        <v>0.40300000000000002</v>
      </c>
    </row>
    <row r="1700" spans="1:8" x14ac:dyDescent="0.3">
      <c r="A1700" t="s">
        <v>4341</v>
      </c>
      <c r="B1700" t="s">
        <v>26951</v>
      </c>
      <c r="C1700" t="s">
        <v>4348</v>
      </c>
      <c r="D1700" t="s">
        <v>4347</v>
      </c>
      <c r="E1700" s="2" t="s">
        <v>313</v>
      </c>
      <c r="F1700" t="s">
        <v>332</v>
      </c>
      <c r="G1700" t="str">
        <f>HYPERLINK("https://n.news.naver.com/mnews/article/018/0006053386?sid=101")</f>
        <v>https://n.news.naver.com/mnews/article/018/0006053386?sid=101</v>
      </c>
      <c r="H1700">
        <v>0.21199999999999999</v>
      </c>
    </row>
    <row r="1701" spans="1:8" x14ac:dyDescent="0.3">
      <c r="A1701" t="s">
        <v>4341</v>
      </c>
      <c r="B1701" t="s">
        <v>26951</v>
      </c>
      <c r="C1701" t="s">
        <v>4352</v>
      </c>
      <c r="D1701" t="s">
        <v>4351</v>
      </c>
      <c r="E1701" s="2" t="s">
        <v>418</v>
      </c>
      <c r="F1701" t="s">
        <v>1908</v>
      </c>
      <c r="G1701" t="str">
        <f>HYPERLINK("https://n.news.naver.com/mnews/article/022/0004047866?sid=102")</f>
        <v>https://n.news.naver.com/mnews/article/022/0004047866?sid=102</v>
      </c>
      <c r="H1701">
        <v>0.34300000000000003</v>
      </c>
    </row>
    <row r="1702" spans="1:8" x14ac:dyDescent="0.3">
      <c r="A1702" t="s">
        <v>4341</v>
      </c>
      <c r="B1702" t="s">
        <v>26951</v>
      </c>
      <c r="C1702" t="s">
        <v>4354</v>
      </c>
      <c r="D1702" t="s">
        <v>4353</v>
      </c>
      <c r="E1702" s="2" t="s">
        <v>481</v>
      </c>
      <c r="F1702" t="s">
        <v>1908</v>
      </c>
      <c r="G1702" t="str">
        <f>HYPERLINK("https://n.news.naver.com/mnews/article/022/0004047866?sid=102")</f>
        <v>https://n.news.naver.com/mnews/article/022/0004047866?sid=102</v>
      </c>
      <c r="H1702">
        <v>0.34699999999999998</v>
      </c>
    </row>
    <row r="1703" spans="1:8" x14ac:dyDescent="0.3">
      <c r="A1703" t="s">
        <v>4341</v>
      </c>
      <c r="B1703" t="s">
        <v>26951</v>
      </c>
      <c r="C1703" t="s">
        <v>4356</v>
      </c>
      <c r="D1703" t="s">
        <v>4355</v>
      </c>
      <c r="E1703" s="2" t="s">
        <v>692</v>
      </c>
      <c r="F1703" t="s">
        <v>332</v>
      </c>
      <c r="G1703" t="str">
        <f>HYPERLINK("https://n.news.naver.com/mnews/article/022/0004047866?sid=102")</f>
        <v>https://n.news.naver.com/mnews/article/022/0004047866?sid=102</v>
      </c>
      <c r="H1703">
        <v>0.29199999999999998</v>
      </c>
    </row>
    <row r="1704" spans="1:8" x14ac:dyDescent="0.3">
      <c r="A1704" t="s">
        <v>4341</v>
      </c>
      <c r="B1704" t="s">
        <v>26951</v>
      </c>
      <c r="C1704" t="s">
        <v>4358</v>
      </c>
      <c r="D1704" t="s">
        <v>4357</v>
      </c>
      <c r="E1704" s="2" t="s">
        <v>711</v>
      </c>
      <c r="F1704" t="s">
        <v>305</v>
      </c>
      <c r="G1704" t="str">
        <f>HYPERLINK("https://www.econovill.com/news/articleView.html?idxno=701685")</f>
        <v>https://www.econovill.com/news/articleView.html?idxno=701685</v>
      </c>
      <c r="H1704">
        <v>0.32500000000000001</v>
      </c>
    </row>
    <row r="1705" spans="1:8" x14ac:dyDescent="0.3">
      <c r="A1705" t="s">
        <v>4361</v>
      </c>
      <c r="B1705" t="s">
        <v>26951</v>
      </c>
      <c r="C1705" t="s">
        <v>4364</v>
      </c>
      <c r="D1705" t="s">
        <v>4363</v>
      </c>
      <c r="E1705" s="2" t="s">
        <v>725</v>
      </c>
      <c r="F1705" t="s">
        <v>4362</v>
      </c>
      <c r="G1705" t="str">
        <f>HYPERLINK("https://n.news.naver.com/mnews/article/277/0005603936?sid=104")</f>
        <v>https://n.news.naver.com/mnews/article/277/0005603936?sid=104</v>
      </c>
      <c r="H1705">
        <v>0.14000000000000001</v>
      </c>
    </row>
    <row r="1706" spans="1:8" x14ac:dyDescent="0.3">
      <c r="A1706" t="s">
        <v>4361</v>
      </c>
      <c r="B1706" t="s">
        <v>26951</v>
      </c>
      <c r="C1706" t="s">
        <v>4369</v>
      </c>
      <c r="D1706" t="s">
        <v>4368</v>
      </c>
      <c r="E1706" s="2" t="s">
        <v>725</v>
      </c>
      <c r="F1706" t="s">
        <v>4367</v>
      </c>
      <c r="G1706" t="str">
        <f>HYPERLINK("https://n.news.naver.com/mnews/article/018/0005410470?sid=101")</f>
        <v>https://n.news.naver.com/mnews/article/018/0005410470?sid=101</v>
      </c>
      <c r="H1706">
        <v>0.217</v>
      </c>
    </row>
    <row r="1707" spans="1:8" x14ac:dyDescent="0.3">
      <c r="A1707" t="s">
        <v>4361</v>
      </c>
      <c r="B1707" t="s">
        <v>26951</v>
      </c>
      <c r="C1707" t="s">
        <v>4372</v>
      </c>
      <c r="D1707" t="s">
        <v>4371</v>
      </c>
      <c r="E1707" s="2" t="s">
        <v>725</v>
      </c>
      <c r="F1707" t="s">
        <v>4370</v>
      </c>
      <c r="G1707" t="str">
        <f>HYPERLINK("https://www.eroun.net/news/articleView.html?idxno=57618")</f>
        <v>https://www.eroun.net/news/articleView.html?idxno=57618</v>
      </c>
      <c r="H1707">
        <v>0.74399999999999999</v>
      </c>
    </row>
    <row r="1708" spans="1:8" x14ac:dyDescent="0.3">
      <c r="A1708" t="s">
        <v>4361</v>
      </c>
      <c r="B1708" t="s">
        <v>26951</v>
      </c>
      <c r="C1708" t="s">
        <v>4374</v>
      </c>
      <c r="D1708" t="s">
        <v>4373</v>
      </c>
      <c r="E1708" s="2" t="s">
        <v>725</v>
      </c>
      <c r="F1708" t="s">
        <v>3660</v>
      </c>
      <c r="G1708" t="str">
        <f>HYPERLINK("https://n.news.naver.com/mnews/article/011/0004502891?sid=104")</f>
        <v>https://n.news.naver.com/mnews/article/011/0004502891?sid=104</v>
      </c>
      <c r="H1708">
        <v>0.121</v>
      </c>
    </row>
    <row r="1709" spans="1:8" x14ac:dyDescent="0.3">
      <c r="A1709" t="s">
        <v>4361</v>
      </c>
      <c r="B1709" t="s">
        <v>26951</v>
      </c>
      <c r="C1709" t="s">
        <v>4377</v>
      </c>
      <c r="D1709" t="s">
        <v>4376</v>
      </c>
      <c r="E1709" s="2" t="s">
        <v>742</v>
      </c>
      <c r="F1709" t="s">
        <v>2417</v>
      </c>
      <c r="G1709" t="str">
        <f>HYPERLINK("https://n.news.naver.com/mnews/article/081/0003553999?sid=104")</f>
        <v>https://n.news.naver.com/mnews/article/081/0003553999?sid=104</v>
      </c>
      <c r="H1709">
        <v>0.28899999999999998</v>
      </c>
    </row>
    <row r="1710" spans="1:8" x14ac:dyDescent="0.3">
      <c r="A1710" t="s">
        <v>4361</v>
      </c>
      <c r="B1710" t="s">
        <v>26951</v>
      </c>
      <c r="C1710" t="s">
        <v>4380</v>
      </c>
      <c r="D1710" t="s">
        <v>4379</v>
      </c>
      <c r="E1710" s="2" t="s">
        <v>742</v>
      </c>
      <c r="F1710" t="s">
        <v>419</v>
      </c>
      <c r="G1710" t="str">
        <f>HYPERLINK("https://www.ggilbo.com/news/articleView.html?idxno=1097238")</f>
        <v>https://www.ggilbo.com/news/articleView.html?idxno=1097238</v>
      </c>
      <c r="H1710">
        <v>0.51</v>
      </c>
    </row>
    <row r="1711" spans="1:8" x14ac:dyDescent="0.3">
      <c r="A1711" t="s">
        <v>4361</v>
      </c>
      <c r="B1711" t="s">
        <v>26951</v>
      </c>
      <c r="C1711" t="s">
        <v>4383</v>
      </c>
      <c r="D1711" t="s">
        <v>4382</v>
      </c>
      <c r="E1711" s="2" t="s">
        <v>742</v>
      </c>
      <c r="F1711" t="s">
        <v>4381</v>
      </c>
      <c r="G1711" t="str">
        <f>HYPERLINK("https://n.news.naver.com/mnews/article/277/0005602841?sid=101")</f>
        <v>https://n.news.naver.com/mnews/article/277/0005602841?sid=101</v>
      </c>
      <c r="H1711">
        <v>5.0999999999999997E-2</v>
      </c>
    </row>
    <row r="1712" spans="1:8" x14ac:dyDescent="0.3">
      <c r="A1712" t="s">
        <v>4361</v>
      </c>
      <c r="B1712" t="s">
        <v>26951</v>
      </c>
      <c r="C1712" t="s">
        <v>4386</v>
      </c>
      <c r="D1712" t="s">
        <v>4385</v>
      </c>
      <c r="E1712" s="2" t="s">
        <v>742</v>
      </c>
      <c r="F1712" t="s">
        <v>4384</v>
      </c>
      <c r="G1712" t="str">
        <f>HYPERLINK("https://daily.hankooki.com/news/articleView.html?idxno=1225614")</f>
        <v>https://daily.hankooki.com/news/articleView.html?idxno=1225614</v>
      </c>
      <c r="H1712">
        <v>0.56999999999999995</v>
      </c>
    </row>
    <row r="1713" spans="1:8" x14ac:dyDescent="0.3">
      <c r="A1713" t="s">
        <v>4361</v>
      </c>
      <c r="B1713" t="s">
        <v>26951</v>
      </c>
      <c r="C1713" t="s">
        <v>4389</v>
      </c>
      <c r="D1713" t="s">
        <v>4388</v>
      </c>
      <c r="E1713" s="2" t="s">
        <v>742</v>
      </c>
      <c r="F1713" t="s">
        <v>4387</v>
      </c>
      <c r="G1713" t="str">
        <f>HYPERLINK("https://www.ltn.kr/news/articleView.html?idxno=48716")</f>
        <v>https://www.ltn.kr/news/articleView.html?idxno=48716</v>
      </c>
      <c r="H1713">
        <v>0.34699999999999998</v>
      </c>
    </row>
    <row r="1714" spans="1:8" x14ac:dyDescent="0.3">
      <c r="A1714" t="s">
        <v>4361</v>
      </c>
      <c r="B1714" t="s">
        <v>26951</v>
      </c>
      <c r="C1714" t="s">
        <v>4391</v>
      </c>
      <c r="D1714" t="s">
        <v>4390</v>
      </c>
      <c r="E1714" s="2" t="s">
        <v>742</v>
      </c>
      <c r="F1714" t="s">
        <v>1038</v>
      </c>
      <c r="G1714" t="str">
        <f>HYPERLINK("https://n.news.naver.com/mnews/article/018/0006053386?sid=101")</f>
        <v>https://n.news.naver.com/mnews/article/018/0006053386?sid=101</v>
      </c>
      <c r="H1714">
        <v>0.27600000000000002</v>
      </c>
    </row>
    <row r="1715" spans="1:8" x14ac:dyDescent="0.3">
      <c r="A1715" t="s">
        <v>4361</v>
      </c>
      <c r="B1715" t="s">
        <v>26951</v>
      </c>
      <c r="C1715" t="s">
        <v>4393</v>
      </c>
      <c r="D1715" t="s">
        <v>4392</v>
      </c>
      <c r="E1715" s="2" t="s">
        <v>742</v>
      </c>
      <c r="F1715" t="s">
        <v>2658</v>
      </c>
      <c r="G1715" t="str">
        <f>HYPERLINK("https://n.news.naver.com/mnews/article/052/0002201834?sid=100")</f>
        <v>https://n.news.naver.com/mnews/article/052/0002201834?sid=100</v>
      </c>
      <c r="H1715">
        <v>0.16200000000000001</v>
      </c>
    </row>
    <row r="1716" spans="1:8" x14ac:dyDescent="0.3">
      <c r="A1716" t="s">
        <v>4361</v>
      </c>
      <c r="B1716" t="s">
        <v>26951</v>
      </c>
      <c r="C1716" t="s">
        <v>4395</v>
      </c>
      <c r="D1716" t="s">
        <v>4394</v>
      </c>
      <c r="E1716" s="2" t="s">
        <v>742</v>
      </c>
      <c r="F1716" t="s">
        <v>197</v>
      </c>
      <c r="G1716" t="str">
        <f>HYPERLINK("https://n.news.naver.com/mnews/article/079/0003967023?sid=101")</f>
        <v>https://n.news.naver.com/mnews/article/079/0003967023?sid=101</v>
      </c>
      <c r="H1716">
        <v>0.36399999999999999</v>
      </c>
    </row>
    <row r="1717" spans="1:8" x14ac:dyDescent="0.3">
      <c r="A1717" t="s">
        <v>4361</v>
      </c>
      <c r="B1717" t="s">
        <v>26951</v>
      </c>
      <c r="C1717" t="s">
        <v>4398</v>
      </c>
      <c r="D1717" t="s">
        <v>4397</v>
      </c>
      <c r="E1717" s="2" t="s">
        <v>742</v>
      </c>
      <c r="F1717" t="s">
        <v>4396</v>
      </c>
      <c r="G1717" t="str">
        <f>HYPERLINK("http://jedam15.koreafree.co.kr/news/view.html?section=1&amp;category=3&amp;item=&amp;no=51786")</f>
        <v>http://jedam15.koreafree.co.kr/news/view.html?section=1&amp;category=3&amp;item=&amp;no=51786</v>
      </c>
      <c r="H1717">
        <v>0.63400000000000001</v>
      </c>
    </row>
    <row r="1718" spans="1:8" x14ac:dyDescent="0.3">
      <c r="A1718" t="s">
        <v>4361</v>
      </c>
      <c r="B1718" t="s">
        <v>26951</v>
      </c>
      <c r="C1718" t="s">
        <v>4401</v>
      </c>
      <c r="D1718" t="s">
        <v>4400</v>
      </c>
      <c r="E1718" s="2" t="s">
        <v>742</v>
      </c>
      <c r="F1718" t="s">
        <v>4399</v>
      </c>
      <c r="G1718" t="str">
        <f>HYPERLINK("https://n.news.naver.com/mnews/article/277/0005073855?sid=100")</f>
        <v>https://n.news.naver.com/mnews/article/277/0005073855?sid=100</v>
      </c>
      <c r="H1718">
        <v>0.29899999999999999</v>
      </c>
    </row>
    <row r="1719" spans="1:8" x14ac:dyDescent="0.3">
      <c r="A1719" t="s">
        <v>4361</v>
      </c>
      <c r="B1719" t="s">
        <v>26951</v>
      </c>
      <c r="C1719" t="s">
        <v>4403</v>
      </c>
      <c r="D1719" t="s">
        <v>4402</v>
      </c>
      <c r="E1719" s="2" t="s">
        <v>742</v>
      </c>
      <c r="F1719" t="s">
        <v>1018</v>
      </c>
      <c r="G1719" t="str">
        <f>HYPERLINK("http://www.youthdaily.co.kr/news/article.html?no=72444")</f>
        <v>http://www.youthdaily.co.kr/news/article.html?no=72444</v>
      </c>
      <c r="H1719">
        <v>0.44600000000000001</v>
      </c>
    </row>
    <row r="1720" spans="1:8" x14ac:dyDescent="0.3">
      <c r="A1720" t="s">
        <v>4361</v>
      </c>
      <c r="B1720" t="s">
        <v>26951</v>
      </c>
      <c r="C1720" t="s">
        <v>4406</v>
      </c>
      <c r="D1720" t="s">
        <v>4405</v>
      </c>
      <c r="E1720" s="2" t="s">
        <v>799</v>
      </c>
      <c r="F1720" t="s">
        <v>4404</v>
      </c>
      <c r="G1720" t="str">
        <f>HYPERLINK("http://www.biztribune.co.kr/news/articleView.html?idxno=335645")</f>
        <v>http://www.biztribune.co.kr/news/articleView.html?idxno=335645</v>
      </c>
      <c r="H1720">
        <v>0.54800000000000004</v>
      </c>
    </row>
    <row r="1721" spans="1:8" x14ac:dyDescent="0.3">
      <c r="A1721" t="s">
        <v>4361</v>
      </c>
      <c r="B1721" t="s">
        <v>26951</v>
      </c>
      <c r="C1721" t="s">
        <v>4411</v>
      </c>
      <c r="D1721" t="s">
        <v>4410</v>
      </c>
      <c r="E1721" s="2" t="s">
        <v>799</v>
      </c>
      <c r="F1721" t="s">
        <v>4409</v>
      </c>
      <c r="G1721" t="str">
        <f>HYPERLINK("https://www.econovill.com/news/articleView.html?idxno=672169")</f>
        <v>https://www.econovill.com/news/articleView.html?idxno=672169</v>
      </c>
      <c r="H1721">
        <v>0.45300000000000001</v>
      </c>
    </row>
    <row r="1722" spans="1:8" x14ac:dyDescent="0.3">
      <c r="A1722" t="s">
        <v>4361</v>
      </c>
      <c r="B1722" t="s">
        <v>26951</v>
      </c>
      <c r="C1722" t="s">
        <v>4413</v>
      </c>
      <c r="D1722" t="s">
        <v>4412</v>
      </c>
      <c r="E1722" s="2" t="s">
        <v>799</v>
      </c>
      <c r="F1722" t="s">
        <v>4409</v>
      </c>
      <c r="G1722" t="str">
        <f>HYPERLINK("http://www.itdaily.kr/news/articleView.html?idxno=228271")</f>
        <v>http://www.itdaily.kr/news/articleView.html?idxno=228271</v>
      </c>
      <c r="H1722">
        <v>0.64500000000000002</v>
      </c>
    </row>
    <row r="1723" spans="1:8" x14ac:dyDescent="0.3">
      <c r="A1723" t="s">
        <v>4361</v>
      </c>
      <c r="B1723" t="s">
        <v>26951</v>
      </c>
      <c r="C1723" t="s">
        <v>4415</v>
      </c>
      <c r="D1723" t="s">
        <v>4414</v>
      </c>
      <c r="E1723" s="2" t="s">
        <v>799</v>
      </c>
      <c r="F1723" t="s">
        <v>957</v>
      </c>
      <c r="G1723" t="str">
        <f>HYPERLINK("https://www.hellot.net/news/article.html?no=102786")</f>
        <v>https://www.hellot.net/news/article.html?no=102786</v>
      </c>
      <c r="H1723">
        <v>0.47</v>
      </c>
    </row>
    <row r="1724" spans="1:8" x14ac:dyDescent="0.3">
      <c r="A1724" t="s">
        <v>4361</v>
      </c>
      <c r="B1724" t="s">
        <v>26951</v>
      </c>
      <c r="C1724" t="s">
        <v>4418</v>
      </c>
      <c r="D1724" t="s">
        <v>4417</v>
      </c>
      <c r="E1724" s="2" t="s">
        <v>799</v>
      </c>
      <c r="F1724" t="s">
        <v>4416</v>
      </c>
      <c r="G1724" t="str">
        <f>HYPERLINK("https://n.news.naver.com/mnews/article/277/0005615239?sid=102")</f>
        <v>https://n.news.naver.com/mnews/article/277/0005615239?sid=102</v>
      </c>
      <c r="H1724">
        <v>0.28499999999999998</v>
      </c>
    </row>
    <row r="1725" spans="1:8" x14ac:dyDescent="0.3">
      <c r="A1725" t="s">
        <v>4361</v>
      </c>
      <c r="B1725" t="s">
        <v>26951</v>
      </c>
      <c r="C1725" t="s">
        <v>4420</v>
      </c>
      <c r="D1725" t="s">
        <v>4419</v>
      </c>
      <c r="E1725" s="2" t="s">
        <v>799</v>
      </c>
      <c r="F1725" t="s">
        <v>205</v>
      </c>
      <c r="G1725" t="str">
        <f>HYPERLINK("https://www.bbc.com/korean/articles/cr7z1274zgvo?xtor=AL-73-%5Bpartner%5D-%5Bnaver%5D-%5Bheadline%5D-%5Bkorean%5D-%5Bbizdev%5D-%5Bisapi%5D")</f>
        <v>https://www.bbc.com/korean/articles/cr7z1274zgvo?xtor=AL-73-%5Bpartner%5D-%5Bnaver%5D-%5Bheadline%5D-%5Bkorean%5D-%5Bbizdev%5D-%5Bisapi%5D</v>
      </c>
      <c r="H1725">
        <v>0.50800000000000001</v>
      </c>
    </row>
    <row r="1726" spans="1:8" x14ac:dyDescent="0.3">
      <c r="A1726" t="s">
        <v>4361</v>
      </c>
      <c r="B1726" t="s">
        <v>26951</v>
      </c>
      <c r="C1726" t="s">
        <v>4422</v>
      </c>
      <c r="D1726" t="s">
        <v>4421</v>
      </c>
      <c r="E1726" s="2" t="s">
        <v>799</v>
      </c>
      <c r="F1726" t="s">
        <v>4004</v>
      </c>
      <c r="G1726" t="str">
        <f>HYPERLINK("https://n.news.naver.com/mnews/article/277/0003366862?sid=102")</f>
        <v>https://n.news.naver.com/mnews/article/277/0003366862?sid=102</v>
      </c>
      <c r="H1726">
        <v>0.112</v>
      </c>
    </row>
    <row r="1727" spans="1:8" x14ac:dyDescent="0.3">
      <c r="A1727" t="s">
        <v>4361</v>
      </c>
      <c r="B1727" t="s">
        <v>26951</v>
      </c>
      <c r="C1727" t="s">
        <v>4424</v>
      </c>
      <c r="D1727" t="s">
        <v>4423</v>
      </c>
      <c r="E1727" s="2" t="s">
        <v>840</v>
      </c>
      <c r="F1727" t="s">
        <v>1558</v>
      </c>
      <c r="G1727" t="str">
        <f>HYPERLINK("https://n.news.naver.com/mnews/article/088/0000955216?sid=101")</f>
        <v>https://n.news.naver.com/mnews/article/088/0000955216?sid=101</v>
      </c>
      <c r="H1727">
        <v>0.254</v>
      </c>
    </row>
    <row r="1728" spans="1:8" x14ac:dyDescent="0.3">
      <c r="A1728" t="s">
        <v>4361</v>
      </c>
      <c r="B1728" t="s">
        <v>26951</v>
      </c>
      <c r="C1728" t="s">
        <v>4427</v>
      </c>
      <c r="D1728" t="s">
        <v>4426</v>
      </c>
      <c r="E1728" s="2" t="s">
        <v>840</v>
      </c>
      <c r="F1728" t="s">
        <v>4425</v>
      </c>
      <c r="G1728" t="str">
        <f>HYPERLINK("https://www.pinpointnews.co.kr/news/articleView.html?idxno=355314")</f>
        <v>https://www.pinpointnews.co.kr/news/articleView.html?idxno=355314</v>
      </c>
      <c r="H1728">
        <v>0.47599999999999998</v>
      </c>
    </row>
    <row r="1729" spans="1:8" x14ac:dyDescent="0.3">
      <c r="A1729" t="s">
        <v>4361</v>
      </c>
      <c r="B1729" t="s">
        <v>26951</v>
      </c>
      <c r="C1729" t="s">
        <v>4432</v>
      </c>
      <c r="D1729" t="s">
        <v>4431</v>
      </c>
      <c r="E1729" s="2" t="s">
        <v>840</v>
      </c>
      <c r="F1729" t="s">
        <v>4430</v>
      </c>
      <c r="G1729" t="str">
        <f>HYPERLINK("http://www.worldkorean.net/news/articleView.html?idxno=44710")</f>
        <v>http://www.worldkorean.net/news/articleView.html?idxno=44710</v>
      </c>
      <c r="H1729">
        <v>0.42599999999999999</v>
      </c>
    </row>
    <row r="1730" spans="1:8" x14ac:dyDescent="0.3">
      <c r="A1730" t="s">
        <v>4361</v>
      </c>
      <c r="B1730" t="s">
        <v>26951</v>
      </c>
      <c r="C1730" t="s">
        <v>4435</v>
      </c>
      <c r="D1730" t="s">
        <v>4434</v>
      </c>
      <c r="E1730" s="2" t="s">
        <v>860</v>
      </c>
      <c r="F1730" t="s">
        <v>4433</v>
      </c>
      <c r="G1730" t="str">
        <f>HYPERLINK("https://n.news.naver.com/mnews/article/018/0006053741?sid=101")</f>
        <v>https://n.news.naver.com/mnews/article/018/0006053741?sid=101</v>
      </c>
      <c r="H1730">
        <v>0.219</v>
      </c>
    </row>
    <row r="1731" spans="1:8" x14ac:dyDescent="0.3">
      <c r="A1731" t="s">
        <v>4361</v>
      </c>
      <c r="B1731" t="s">
        <v>26951</v>
      </c>
      <c r="C1731" t="s">
        <v>4438</v>
      </c>
      <c r="D1731" t="s">
        <v>4437</v>
      </c>
      <c r="E1731" s="2" t="s">
        <v>860</v>
      </c>
      <c r="F1731" t="s">
        <v>4436</v>
      </c>
      <c r="G1731" t="str">
        <f>HYPERLINK("http://www.ifs.or.kr/bbs/board.php?bo_table=News&amp;wr_id=53897")</f>
        <v>http://www.ifs.or.kr/bbs/board.php?bo_table=News&amp;wr_id=53897</v>
      </c>
      <c r="H1731">
        <v>0.44500000000000001</v>
      </c>
    </row>
    <row r="1732" spans="1:8" x14ac:dyDescent="0.3">
      <c r="A1732" t="s">
        <v>4361</v>
      </c>
      <c r="B1732" t="s">
        <v>26951</v>
      </c>
      <c r="C1732" t="s">
        <v>4441</v>
      </c>
      <c r="D1732" t="s">
        <v>4440</v>
      </c>
      <c r="E1732" s="2" t="s">
        <v>860</v>
      </c>
      <c r="F1732" t="s">
        <v>4439</v>
      </c>
      <c r="G1732" t="str">
        <f>HYPERLINK("https://www.tokenpost.kr/article-119417")</f>
        <v>https://www.tokenpost.kr/article-119417</v>
      </c>
      <c r="H1732">
        <v>0.26600000000000001</v>
      </c>
    </row>
    <row r="1733" spans="1:8" x14ac:dyDescent="0.3">
      <c r="A1733" t="s">
        <v>4361</v>
      </c>
      <c r="B1733" t="s">
        <v>26951</v>
      </c>
      <c r="C1733" t="s">
        <v>4444</v>
      </c>
      <c r="D1733" t="s">
        <v>4443</v>
      </c>
      <c r="E1733" s="2" t="s">
        <v>860</v>
      </c>
      <c r="F1733" t="s">
        <v>4442</v>
      </c>
      <c r="G1733" t="str">
        <f>HYPERLINK("https://www.ltn.kr/news/articleView.html?idxno=48716")</f>
        <v>https://www.ltn.kr/news/articleView.html?idxno=48716</v>
      </c>
      <c r="H1733">
        <v>0.17299999999999999</v>
      </c>
    </row>
    <row r="1734" spans="1:8" x14ac:dyDescent="0.3">
      <c r="A1734" t="s">
        <v>4361</v>
      </c>
      <c r="B1734" t="s">
        <v>26951</v>
      </c>
      <c r="C1734" t="s">
        <v>4446</v>
      </c>
      <c r="D1734" t="s">
        <v>4445</v>
      </c>
      <c r="E1734" s="2" t="s">
        <v>860</v>
      </c>
      <c r="F1734" t="s">
        <v>1465</v>
      </c>
      <c r="G1734" t="str">
        <f>HYPERLINK("http://www.incheonilbo.com/news/articleView.html?idxno=1144376")</f>
        <v>http://www.incheonilbo.com/news/articleView.html?idxno=1144376</v>
      </c>
      <c r="H1734">
        <v>0.19800000000000001</v>
      </c>
    </row>
    <row r="1735" spans="1:8" x14ac:dyDescent="0.3">
      <c r="A1735" t="s">
        <v>4361</v>
      </c>
      <c r="B1735" t="s">
        <v>26951</v>
      </c>
      <c r="C1735" t="s">
        <v>4448</v>
      </c>
      <c r="D1735" t="s">
        <v>4447</v>
      </c>
      <c r="E1735" s="2" t="s">
        <v>860</v>
      </c>
      <c r="F1735" t="s">
        <v>957</v>
      </c>
      <c r="G1735" t="str">
        <f>HYPERLINK("http://www.ccreview.co.kr/news/articleView.html?idxno=282180")</f>
        <v>http://www.ccreview.co.kr/news/articleView.html?idxno=282180</v>
      </c>
      <c r="H1735">
        <v>0.62</v>
      </c>
    </row>
    <row r="1736" spans="1:8" x14ac:dyDescent="0.3">
      <c r="A1736" t="s">
        <v>4361</v>
      </c>
      <c r="B1736" t="s">
        <v>26951</v>
      </c>
      <c r="C1736" t="s">
        <v>4450</v>
      </c>
      <c r="D1736" t="s">
        <v>4449</v>
      </c>
      <c r="E1736" s="2" t="s">
        <v>860</v>
      </c>
      <c r="F1736" t="s">
        <v>4409</v>
      </c>
      <c r="G1736" t="str">
        <f>HYPERLINK("http://www.greened.kr/news/articleView.html?idxno=300116")</f>
        <v>http://www.greened.kr/news/articleView.html?idxno=300116</v>
      </c>
      <c r="H1736">
        <v>0.45</v>
      </c>
    </row>
    <row r="1737" spans="1:8" x14ac:dyDescent="0.3">
      <c r="A1737" t="s">
        <v>4361</v>
      </c>
      <c r="B1737" t="s">
        <v>26951</v>
      </c>
      <c r="C1737" t="s">
        <v>4452</v>
      </c>
      <c r="D1737" t="s">
        <v>4451</v>
      </c>
      <c r="E1737" s="2" t="s">
        <v>860</v>
      </c>
      <c r="F1737" t="s">
        <v>1939</v>
      </c>
      <c r="G1737" t="str">
        <f>HYPERLINK("https://www.goodkyung.com/news/articleView.html?idxno=263311")</f>
        <v>https://www.goodkyung.com/news/articleView.html?idxno=263311</v>
      </c>
      <c r="H1737">
        <v>0.51300000000000001</v>
      </c>
    </row>
    <row r="1738" spans="1:8" x14ac:dyDescent="0.3">
      <c r="A1738" t="s">
        <v>4361</v>
      </c>
      <c r="B1738" t="s">
        <v>26951</v>
      </c>
      <c r="C1738" t="s">
        <v>4454</v>
      </c>
      <c r="D1738" t="s">
        <v>4453</v>
      </c>
      <c r="E1738" s="2" t="s">
        <v>860</v>
      </c>
      <c r="F1738" t="s">
        <v>4409</v>
      </c>
      <c r="G1738" t="str">
        <f>HYPERLINK("http://www.lifein.news/news/articleView.html?idxno=15189")</f>
        <v>http://www.lifein.news/news/articleView.html?idxno=15189</v>
      </c>
      <c r="H1738">
        <v>0.28899999999999998</v>
      </c>
    </row>
    <row r="1739" spans="1:8" x14ac:dyDescent="0.3">
      <c r="A1739" t="s">
        <v>4361</v>
      </c>
      <c r="B1739" t="s">
        <v>26951</v>
      </c>
      <c r="C1739" t="s">
        <v>4457</v>
      </c>
      <c r="D1739" t="s">
        <v>4456</v>
      </c>
      <c r="E1739" s="2" t="s">
        <v>860</v>
      </c>
      <c r="F1739" t="s">
        <v>4455</v>
      </c>
      <c r="G1739" t="str">
        <f>HYPERLINK("http://www.breaknews.com/sub_read.html?uid=448333&amp;section=sc5")</f>
        <v>http://www.breaknews.com/sub_read.html?uid=448333&amp;section=sc5</v>
      </c>
      <c r="H1739">
        <v>0.47199999999999998</v>
      </c>
    </row>
    <row r="1740" spans="1:8" x14ac:dyDescent="0.3">
      <c r="A1740" t="s">
        <v>4361</v>
      </c>
      <c r="B1740" t="s">
        <v>26951</v>
      </c>
      <c r="C1740" t="s">
        <v>4460</v>
      </c>
      <c r="D1740" t="s">
        <v>4459</v>
      </c>
      <c r="E1740" s="2" t="s">
        <v>860</v>
      </c>
      <c r="F1740" t="s">
        <v>4458</v>
      </c>
      <c r="G1740" t="str">
        <f>HYPERLINK("http://www.4th.kr/news/articleView.html?idxno=2053822")</f>
        <v>http://www.4th.kr/news/articleView.html?idxno=2053822</v>
      </c>
      <c r="H1740">
        <v>0.248</v>
      </c>
    </row>
    <row r="1741" spans="1:8" x14ac:dyDescent="0.3">
      <c r="A1741" t="s">
        <v>4361</v>
      </c>
      <c r="B1741" t="s">
        <v>26951</v>
      </c>
      <c r="C1741" t="s">
        <v>4462</v>
      </c>
      <c r="D1741" t="s">
        <v>4461</v>
      </c>
      <c r="E1741" s="2" t="s">
        <v>860</v>
      </c>
      <c r="F1741" t="s">
        <v>625</v>
      </c>
      <c r="G1741" t="str">
        <f>HYPERLINK("https://news.einfomax.co.kr/news/articleView.html?idxno=4324027")</f>
        <v>https://news.einfomax.co.kr/news/articleView.html?idxno=4324027</v>
      </c>
      <c r="H1741">
        <v>0.39700000000000002</v>
      </c>
    </row>
    <row r="1742" spans="1:8" x14ac:dyDescent="0.3">
      <c r="A1742" t="s">
        <v>4361</v>
      </c>
      <c r="B1742" t="s">
        <v>26951</v>
      </c>
      <c r="C1742" t="s">
        <v>4464</v>
      </c>
      <c r="D1742" t="s">
        <v>4463</v>
      </c>
      <c r="E1742" s="2" t="s">
        <v>860</v>
      </c>
      <c r="F1742" t="s">
        <v>642</v>
      </c>
      <c r="G1742" t="str">
        <f>HYPERLINK("http://www.ggilbo.com/news/articleView.html?idxno=841876")</f>
        <v>http://www.ggilbo.com/news/articleView.html?idxno=841876</v>
      </c>
      <c r="H1742">
        <v>0.42099999999999999</v>
      </c>
    </row>
    <row r="1743" spans="1:8" x14ac:dyDescent="0.3">
      <c r="A1743" t="s">
        <v>4361</v>
      </c>
      <c r="B1743" t="s">
        <v>26951</v>
      </c>
      <c r="C1743" t="s">
        <v>4466</v>
      </c>
      <c r="D1743" t="s">
        <v>4465</v>
      </c>
      <c r="E1743" s="2" t="s">
        <v>903</v>
      </c>
      <c r="F1743" t="s">
        <v>2030</v>
      </c>
      <c r="G1743" t="str">
        <f>HYPERLINK("https://www.medicopharma.co.kr/news/articleView.html?idxno=62406")</f>
        <v>https://www.medicopharma.co.kr/news/articleView.html?idxno=62406</v>
      </c>
      <c r="H1743">
        <v>0.26800000000000002</v>
      </c>
    </row>
    <row r="1744" spans="1:8" x14ac:dyDescent="0.3">
      <c r="A1744" t="s">
        <v>4361</v>
      </c>
      <c r="B1744" t="s">
        <v>26951</v>
      </c>
      <c r="C1744" t="s">
        <v>4469</v>
      </c>
      <c r="D1744" t="s">
        <v>4468</v>
      </c>
      <c r="E1744" s="2" t="s">
        <v>903</v>
      </c>
      <c r="F1744" t="s">
        <v>4467</v>
      </c>
      <c r="G1744" t="str">
        <f>HYPERLINK("https://n.news.naver.com/mnews/article/032/0003217368?sid=102")</f>
        <v>https://n.news.naver.com/mnews/article/032/0003217368?sid=102</v>
      </c>
      <c r="H1744">
        <v>0.34799999999999998</v>
      </c>
    </row>
    <row r="1745" spans="1:8" x14ac:dyDescent="0.3">
      <c r="A1745" t="s">
        <v>4361</v>
      </c>
      <c r="B1745" t="s">
        <v>26951</v>
      </c>
      <c r="C1745" t="s">
        <v>4472</v>
      </c>
      <c r="D1745" t="s">
        <v>4471</v>
      </c>
      <c r="E1745" s="2" t="s">
        <v>903</v>
      </c>
      <c r="F1745" t="s">
        <v>4470</v>
      </c>
      <c r="G1745" t="str">
        <f>HYPERLINK("https://www.aitimes.com/news/articleView.html?idxno=159370")</f>
        <v>https://www.aitimes.com/news/articleView.html?idxno=159370</v>
      </c>
      <c r="H1745">
        <v>0.45400000000000001</v>
      </c>
    </row>
    <row r="1746" spans="1:8" x14ac:dyDescent="0.3">
      <c r="A1746" t="s">
        <v>4361</v>
      </c>
      <c r="B1746" t="s">
        <v>26951</v>
      </c>
      <c r="C1746" t="s">
        <v>4475</v>
      </c>
      <c r="D1746" t="s">
        <v>4474</v>
      </c>
      <c r="E1746" s="2" t="s">
        <v>903</v>
      </c>
      <c r="F1746" t="s">
        <v>4473</v>
      </c>
      <c r="G1746" t="str">
        <f>HYPERLINK("https://www.pennmike.com/news/articleView.html?idxno=102213")</f>
        <v>https://www.pennmike.com/news/articleView.html?idxno=102213</v>
      </c>
      <c r="H1746">
        <v>0.122</v>
      </c>
    </row>
    <row r="1747" spans="1:8" x14ac:dyDescent="0.3">
      <c r="A1747" t="s">
        <v>4361</v>
      </c>
      <c r="B1747" t="s">
        <v>26951</v>
      </c>
      <c r="C1747" t="s">
        <v>4479</v>
      </c>
      <c r="D1747" t="s">
        <v>4478</v>
      </c>
      <c r="E1747" s="2" t="s">
        <v>903</v>
      </c>
      <c r="F1747" t="s">
        <v>4477</v>
      </c>
      <c r="G1747" t="str">
        <f>HYPERLINK("http://www.gnmaeil.com/news/articleView.html?idxno=565604")</f>
        <v>http://www.gnmaeil.com/news/articleView.html?idxno=565604</v>
      </c>
      <c r="H1747">
        <v>0.27900000000000003</v>
      </c>
    </row>
    <row r="1748" spans="1:8" x14ac:dyDescent="0.3">
      <c r="A1748" t="s">
        <v>4361</v>
      </c>
      <c r="B1748" t="s">
        <v>26951</v>
      </c>
      <c r="C1748" t="s">
        <v>4481</v>
      </c>
      <c r="D1748" t="s">
        <v>4480</v>
      </c>
      <c r="E1748" s="2" t="s">
        <v>538</v>
      </c>
      <c r="F1748" t="s">
        <v>67</v>
      </c>
      <c r="G1748" t="str">
        <f>HYPERLINK("https://n.news.naver.com/mnews/article/081/0003553999?sid=104")</f>
        <v>https://n.news.naver.com/mnews/article/081/0003553999?sid=104</v>
      </c>
      <c r="H1748">
        <v>0.32100000000000001</v>
      </c>
    </row>
    <row r="1749" spans="1:8" x14ac:dyDescent="0.3">
      <c r="A1749" t="s">
        <v>4361</v>
      </c>
      <c r="B1749" t="s">
        <v>26951</v>
      </c>
      <c r="C1749" t="s">
        <v>4483</v>
      </c>
      <c r="D1749" t="s">
        <v>4482</v>
      </c>
      <c r="E1749" s="2" t="s">
        <v>538</v>
      </c>
      <c r="F1749" t="s">
        <v>4409</v>
      </c>
      <c r="G1749" t="str">
        <f>HYPERLINK("http://www.choicenews.co.kr/news/articleView.html?idxno=148700")</f>
        <v>http://www.choicenews.co.kr/news/articleView.html?idxno=148700</v>
      </c>
      <c r="H1749">
        <v>0.74399999999999999</v>
      </c>
    </row>
    <row r="1750" spans="1:8" x14ac:dyDescent="0.3">
      <c r="A1750" t="s">
        <v>4361</v>
      </c>
      <c r="B1750" t="s">
        <v>26951</v>
      </c>
      <c r="C1750" t="s">
        <v>4485</v>
      </c>
      <c r="D1750" t="s">
        <v>4484</v>
      </c>
      <c r="E1750" s="2" t="s">
        <v>538</v>
      </c>
      <c r="F1750" t="s">
        <v>4384</v>
      </c>
      <c r="G1750" t="str">
        <f>HYPERLINK("http://www.metroseoul.co.kr/article/20250625500100")</f>
        <v>http://www.metroseoul.co.kr/article/20250625500100</v>
      </c>
      <c r="H1750">
        <v>0.40200000000000002</v>
      </c>
    </row>
    <row r="1751" spans="1:8" x14ac:dyDescent="0.3">
      <c r="A1751" t="s">
        <v>4361</v>
      </c>
      <c r="B1751" t="s">
        <v>26951</v>
      </c>
      <c r="C1751" t="s">
        <v>4488</v>
      </c>
      <c r="D1751" t="s">
        <v>4487</v>
      </c>
      <c r="E1751" s="2" t="s">
        <v>538</v>
      </c>
      <c r="F1751" t="s">
        <v>4486</v>
      </c>
      <c r="G1751" t="str">
        <f>HYPERLINK("http://www.gnmaeil.com/news/articleView.html?idxno=564987")</f>
        <v>http://www.gnmaeil.com/news/articleView.html?idxno=564987</v>
      </c>
      <c r="H1751">
        <v>0.85899999999999999</v>
      </c>
    </row>
    <row r="1752" spans="1:8" x14ac:dyDescent="0.3">
      <c r="A1752" t="s">
        <v>4361</v>
      </c>
      <c r="B1752" t="s">
        <v>26951</v>
      </c>
      <c r="C1752" t="s">
        <v>4491</v>
      </c>
      <c r="D1752" t="s">
        <v>4490</v>
      </c>
      <c r="E1752" s="2" t="s">
        <v>538</v>
      </c>
      <c r="F1752" t="s">
        <v>4489</v>
      </c>
      <c r="G1752" t="str">
        <f>HYPERLINK("https://n.news.naver.com/mnews/article/277/0005295707?sid=101")</f>
        <v>https://n.news.naver.com/mnews/article/277/0005295707?sid=101</v>
      </c>
      <c r="H1752">
        <v>0.17</v>
      </c>
    </row>
    <row r="1753" spans="1:8" x14ac:dyDescent="0.3">
      <c r="A1753" t="s">
        <v>4361</v>
      </c>
      <c r="B1753" t="s">
        <v>26951</v>
      </c>
      <c r="C1753" t="s">
        <v>4494</v>
      </c>
      <c r="D1753" t="s">
        <v>4493</v>
      </c>
      <c r="E1753" s="2" t="s">
        <v>538</v>
      </c>
      <c r="F1753" t="s">
        <v>4492</v>
      </c>
      <c r="G1753" t="str">
        <f>HYPERLINK("https://n.news.naver.com/mnews/article/018/0006053386?sid=101")</f>
        <v>https://n.news.naver.com/mnews/article/018/0006053386?sid=101</v>
      </c>
      <c r="H1753">
        <v>0.21</v>
      </c>
    </row>
    <row r="1754" spans="1:8" x14ac:dyDescent="0.3">
      <c r="A1754" t="s">
        <v>4361</v>
      </c>
      <c r="B1754" t="s">
        <v>26951</v>
      </c>
      <c r="C1754" t="s">
        <v>4496</v>
      </c>
      <c r="D1754" t="s">
        <v>4495</v>
      </c>
      <c r="E1754" s="2" t="s">
        <v>538</v>
      </c>
      <c r="F1754" t="s">
        <v>530</v>
      </c>
      <c r="G1754" t="str">
        <f>HYPERLINK("https://www.newsquest.co.kr/news/articleView.html?idxno=247210")</f>
        <v>https://www.newsquest.co.kr/news/articleView.html?idxno=247210</v>
      </c>
      <c r="H1754">
        <v>0.46200000000000002</v>
      </c>
    </row>
    <row r="1755" spans="1:8" x14ac:dyDescent="0.3">
      <c r="A1755" t="s">
        <v>4361</v>
      </c>
      <c r="B1755" t="s">
        <v>26951</v>
      </c>
      <c r="C1755" t="s">
        <v>4498</v>
      </c>
      <c r="D1755" t="s">
        <v>4497</v>
      </c>
      <c r="E1755" s="2" t="s">
        <v>538</v>
      </c>
      <c r="F1755" t="s">
        <v>4430</v>
      </c>
      <c r="G1755" t="str">
        <f>HYPERLINK("http://kor.theasian.asia/archives/371039")</f>
        <v>http://kor.theasian.asia/archives/371039</v>
      </c>
      <c r="H1755">
        <v>0.32800000000000001</v>
      </c>
    </row>
    <row r="1756" spans="1:8" x14ac:dyDescent="0.3">
      <c r="A1756" t="s">
        <v>4361</v>
      </c>
      <c r="B1756" t="s">
        <v>26951</v>
      </c>
      <c r="C1756" t="s">
        <v>4501</v>
      </c>
      <c r="D1756" t="s">
        <v>4500</v>
      </c>
      <c r="E1756" s="2" t="s">
        <v>538</v>
      </c>
      <c r="F1756" t="s">
        <v>4499</v>
      </c>
      <c r="G1756" t="str">
        <f>HYPERLINK("http://www.koit.co.kr/news/articleView.html?idxno=129764")</f>
        <v>http://www.koit.co.kr/news/articleView.html?idxno=129764</v>
      </c>
      <c r="H1756">
        <v>0.40899999999999997</v>
      </c>
    </row>
    <row r="1757" spans="1:8" x14ac:dyDescent="0.3">
      <c r="A1757" t="s">
        <v>4361</v>
      </c>
      <c r="B1757" t="s">
        <v>26951</v>
      </c>
      <c r="C1757" t="s">
        <v>4503</v>
      </c>
      <c r="D1757" t="s">
        <v>4502</v>
      </c>
      <c r="E1757" s="2" t="s">
        <v>572</v>
      </c>
      <c r="F1757" t="s">
        <v>4</v>
      </c>
      <c r="G1757" t="str">
        <f>HYPERLINK("http://www.newsmp.com/news/articleView.html?idxno=246091")</f>
        <v>http://www.newsmp.com/news/articleView.html?idxno=246091</v>
      </c>
      <c r="H1757">
        <v>0.28899999999999998</v>
      </c>
    </row>
    <row r="1758" spans="1:8" x14ac:dyDescent="0.3">
      <c r="A1758" t="s">
        <v>4361</v>
      </c>
      <c r="B1758" t="s">
        <v>26951</v>
      </c>
      <c r="C1758" t="s">
        <v>4505</v>
      </c>
      <c r="D1758" t="s">
        <v>4504</v>
      </c>
      <c r="E1758" s="2" t="s">
        <v>572</v>
      </c>
      <c r="F1758" t="s">
        <v>981</v>
      </c>
      <c r="G1758" t="str">
        <f>HYPERLINK("https://n.news.naver.com/mnews/article/011/0004503269?sid=104")</f>
        <v>https://n.news.naver.com/mnews/article/011/0004503269?sid=104</v>
      </c>
      <c r="H1758">
        <v>0.28599999999999998</v>
      </c>
    </row>
    <row r="1759" spans="1:8" x14ac:dyDescent="0.3">
      <c r="A1759" t="s">
        <v>4361</v>
      </c>
      <c r="B1759" t="s">
        <v>26951</v>
      </c>
      <c r="C1759" t="s">
        <v>4507</v>
      </c>
      <c r="D1759" t="s">
        <v>4506</v>
      </c>
      <c r="E1759" s="2" t="s">
        <v>572</v>
      </c>
      <c r="F1759" t="s">
        <v>4409</v>
      </c>
      <c r="G1759" t="str">
        <f>HYPERLINK("https://news.einfomax.co.kr/news/articleView.html?idxno=4356336")</f>
        <v>https://news.einfomax.co.kr/news/articleView.html?idxno=4356336</v>
      </c>
      <c r="H1759">
        <v>0.58499999999999996</v>
      </c>
    </row>
    <row r="1760" spans="1:8" x14ac:dyDescent="0.3">
      <c r="A1760" t="s">
        <v>4361</v>
      </c>
      <c r="B1760" t="s">
        <v>26951</v>
      </c>
      <c r="C1760" t="s">
        <v>4510</v>
      </c>
      <c r="D1760" t="s">
        <v>4509</v>
      </c>
      <c r="E1760" s="2" t="s">
        <v>572</v>
      </c>
      <c r="F1760" t="s">
        <v>967</v>
      </c>
      <c r="G1760" t="str">
        <f>HYPERLINK("http://ch.yes24.com/Article/View/33308")</f>
        <v>http://ch.yes24.com/Article/View/33308</v>
      </c>
      <c r="H1760">
        <v>0.34599999999999997</v>
      </c>
    </row>
    <row r="1761" spans="1:8" x14ac:dyDescent="0.3">
      <c r="A1761" t="s">
        <v>4361</v>
      </c>
      <c r="B1761" t="s">
        <v>26951</v>
      </c>
      <c r="C1761" t="s">
        <v>4512</v>
      </c>
      <c r="D1761" t="s">
        <v>4511</v>
      </c>
      <c r="E1761" s="2" t="s">
        <v>609</v>
      </c>
      <c r="F1761" t="s">
        <v>866</v>
      </c>
      <c r="G1761" t="str">
        <f>HYPERLINK("https://www.tokenpost.kr/news/briefing/261234")</f>
        <v>https://www.tokenpost.kr/news/briefing/261234</v>
      </c>
      <c r="H1761">
        <v>0.755</v>
      </c>
    </row>
    <row r="1762" spans="1:8" x14ac:dyDescent="0.3">
      <c r="A1762" t="s">
        <v>4361</v>
      </c>
      <c r="B1762" t="s">
        <v>26951</v>
      </c>
      <c r="C1762" t="s">
        <v>4514</v>
      </c>
      <c r="D1762" t="s">
        <v>4513</v>
      </c>
      <c r="E1762" s="2" t="s">
        <v>609</v>
      </c>
      <c r="F1762" t="s">
        <v>4409</v>
      </c>
      <c r="G1762" t="str">
        <f>HYPERLINK("http://dream.kotra.or.kr/kotranews/cms/news/actionKotraBoardDetail.do?SITE_NO=3&amp;MENU_ID=180&amp;CONTENTS_NO=1&amp;bbsGbn=243&amp;bbsSn=243&amp;pNttSn=227538")</f>
        <v>http://dream.kotra.or.kr/kotranews/cms/news/actionKotraBoardDetail.do?SITE_NO=3&amp;MENU_ID=180&amp;CONTENTS_NO=1&amp;bbsGbn=243&amp;bbsSn=243&amp;pNttSn=227538</v>
      </c>
      <c r="H1762">
        <v>0.47799999999999998</v>
      </c>
    </row>
    <row r="1763" spans="1:8" x14ac:dyDescent="0.3">
      <c r="A1763" t="s">
        <v>4361</v>
      </c>
      <c r="B1763" t="s">
        <v>26951</v>
      </c>
      <c r="C1763" t="s">
        <v>4517</v>
      </c>
      <c r="D1763" t="s">
        <v>4516</v>
      </c>
      <c r="E1763" s="2" t="s">
        <v>609</v>
      </c>
      <c r="F1763" t="s">
        <v>4515</v>
      </c>
      <c r="G1763" t="str">
        <f>HYPERLINK("http://www.greenpostkorea.co.kr/news/articleView.html?idxno=126942")</f>
        <v>http://www.greenpostkorea.co.kr/news/articleView.html?idxno=126942</v>
      </c>
      <c r="H1763">
        <v>0.65200000000000002</v>
      </c>
    </row>
    <row r="1764" spans="1:8" x14ac:dyDescent="0.3">
      <c r="A1764" t="s">
        <v>4361</v>
      </c>
      <c r="B1764" t="s">
        <v>26951</v>
      </c>
      <c r="C1764" t="s">
        <v>4519</v>
      </c>
      <c r="D1764" t="s">
        <v>4518</v>
      </c>
      <c r="E1764" s="2" t="s">
        <v>609</v>
      </c>
      <c r="F1764" t="s">
        <v>957</v>
      </c>
      <c r="G1764" t="str">
        <f>HYPERLINK("http://www.ccreview.co.kr/news/articleView.html?idxno=282180")</f>
        <v>http://www.ccreview.co.kr/news/articleView.html?idxno=282180</v>
      </c>
      <c r="H1764">
        <v>0.51200000000000001</v>
      </c>
    </row>
    <row r="1765" spans="1:8" x14ac:dyDescent="0.3">
      <c r="A1765" t="s">
        <v>4361</v>
      </c>
      <c r="B1765" t="s">
        <v>26951</v>
      </c>
      <c r="C1765" t="s">
        <v>4521</v>
      </c>
      <c r="D1765" t="s">
        <v>4520</v>
      </c>
      <c r="E1765" s="2" t="s">
        <v>609</v>
      </c>
      <c r="F1765" t="s">
        <v>148</v>
      </c>
      <c r="G1765" t="str">
        <f>HYPERLINK("https://n.news.naver.com/mnews/article/277/0005615828?sid=102")</f>
        <v>https://n.news.naver.com/mnews/article/277/0005615828?sid=102</v>
      </c>
      <c r="H1765">
        <v>0.2</v>
      </c>
    </row>
    <row r="1766" spans="1:8" x14ac:dyDescent="0.3">
      <c r="A1766" t="s">
        <v>4361</v>
      </c>
      <c r="B1766" t="s">
        <v>26951</v>
      </c>
      <c r="C1766" t="s">
        <v>4523</v>
      </c>
      <c r="D1766" t="s">
        <v>4522</v>
      </c>
      <c r="E1766" s="2" t="s">
        <v>609</v>
      </c>
      <c r="F1766" t="s">
        <v>658</v>
      </c>
      <c r="G1766" t="str">
        <f>HYPERLINK("https://n.news.naver.com/mnews/article/277/0004193789?sid=102")</f>
        <v>https://n.news.naver.com/mnews/article/277/0004193789?sid=102</v>
      </c>
      <c r="H1766">
        <v>0.255</v>
      </c>
    </row>
    <row r="1767" spans="1:8" x14ac:dyDescent="0.3">
      <c r="A1767" t="s">
        <v>4361</v>
      </c>
      <c r="B1767" t="s">
        <v>26951</v>
      </c>
      <c r="C1767" t="s">
        <v>4525</v>
      </c>
      <c r="D1767" t="s">
        <v>4524</v>
      </c>
      <c r="E1767" s="2" t="s">
        <v>609</v>
      </c>
      <c r="F1767" t="s">
        <v>4384</v>
      </c>
      <c r="G1767" t="str">
        <f>HYPERLINK("https://www.newsway.co.kr/news/view?ud=2025042809291811587")</f>
        <v>https://www.newsway.co.kr/news/view?ud=2025042809291811587</v>
      </c>
      <c r="H1767">
        <v>0.42399999999999999</v>
      </c>
    </row>
    <row r="1768" spans="1:8" x14ac:dyDescent="0.3">
      <c r="A1768" t="s">
        <v>4361</v>
      </c>
      <c r="B1768" t="s">
        <v>26951</v>
      </c>
      <c r="C1768" t="s">
        <v>4527</v>
      </c>
      <c r="D1768" t="s">
        <v>4526</v>
      </c>
      <c r="E1768" s="2" t="s">
        <v>609</v>
      </c>
      <c r="F1768" t="s">
        <v>4362</v>
      </c>
      <c r="G1768" t="str">
        <f>HYPERLINK("http://www.newspim.com/news/view/20210825000857")</f>
        <v>http://www.newspim.com/news/view/20210825000857</v>
      </c>
      <c r="H1768">
        <v>0.19500000000000001</v>
      </c>
    </row>
    <row r="1769" spans="1:8" x14ac:dyDescent="0.3">
      <c r="A1769" t="s">
        <v>4361</v>
      </c>
      <c r="B1769" t="s">
        <v>26951</v>
      </c>
      <c r="C1769" t="s">
        <v>4529</v>
      </c>
      <c r="D1769" t="s">
        <v>4528</v>
      </c>
      <c r="E1769" s="2" t="s">
        <v>609</v>
      </c>
      <c r="F1769" t="s">
        <v>2647</v>
      </c>
      <c r="G1769" t="str">
        <f>HYPERLINK("https://www.inthenews.co.kr/news/article.html?no=43693")</f>
        <v>https://www.inthenews.co.kr/news/article.html?no=43693</v>
      </c>
      <c r="H1769">
        <v>0.379</v>
      </c>
    </row>
    <row r="1770" spans="1:8" x14ac:dyDescent="0.3">
      <c r="A1770" t="s">
        <v>4361</v>
      </c>
      <c r="B1770" t="s">
        <v>26951</v>
      </c>
      <c r="C1770" t="s">
        <v>4532</v>
      </c>
      <c r="D1770" t="s">
        <v>4531</v>
      </c>
      <c r="E1770" s="2" t="s">
        <v>609</v>
      </c>
      <c r="F1770" t="s">
        <v>4530</v>
      </c>
      <c r="G1770" t="str">
        <f>HYPERLINK("https://www.asiatoday.co.kr/view.php?key=20250625010012559")</f>
        <v>https://www.asiatoday.co.kr/view.php?key=20250625010012559</v>
      </c>
      <c r="H1770">
        <v>0.19600000000000001</v>
      </c>
    </row>
    <row r="1771" spans="1:8" x14ac:dyDescent="0.3">
      <c r="A1771" t="s">
        <v>4361</v>
      </c>
      <c r="B1771" t="s">
        <v>26951</v>
      </c>
      <c r="C1771" t="s">
        <v>4535</v>
      </c>
      <c r="D1771" t="s">
        <v>4534</v>
      </c>
      <c r="E1771" s="2" t="s">
        <v>653</v>
      </c>
      <c r="F1771" t="s">
        <v>4533</v>
      </c>
      <c r="G1771" t="str">
        <f>HYPERLINK("http://www.newswatch.kr/news/articleView.html?idxno=69774")</f>
        <v>http://www.newswatch.kr/news/articleView.html?idxno=69774</v>
      </c>
      <c r="H1771">
        <v>0.499</v>
      </c>
    </row>
    <row r="1772" spans="1:8" x14ac:dyDescent="0.3">
      <c r="A1772" t="s">
        <v>4361</v>
      </c>
      <c r="B1772" t="s">
        <v>26951</v>
      </c>
      <c r="C1772" t="s">
        <v>4537</v>
      </c>
      <c r="D1772" t="s">
        <v>4536</v>
      </c>
      <c r="E1772" s="2" t="s">
        <v>653</v>
      </c>
      <c r="F1772" t="s">
        <v>197</v>
      </c>
      <c r="G1772" t="str">
        <f>HYPERLINK("http://www.ilemonde.com/news/articleView.html?idxno=19009")</f>
        <v>http://www.ilemonde.com/news/articleView.html?idxno=19009</v>
      </c>
      <c r="H1772">
        <v>0.58199999999999996</v>
      </c>
    </row>
    <row r="1773" spans="1:8" x14ac:dyDescent="0.3">
      <c r="A1773" t="s">
        <v>4361</v>
      </c>
      <c r="B1773" t="s">
        <v>26951</v>
      </c>
      <c r="C1773" t="s">
        <v>4540</v>
      </c>
      <c r="D1773" t="s">
        <v>4539</v>
      </c>
      <c r="E1773" s="2" t="s">
        <v>653</v>
      </c>
      <c r="F1773" t="s">
        <v>4538</v>
      </c>
      <c r="G1773" t="str">
        <f>HYPERLINK("https://n.news.naver.com/mnews/article/277/0004248098?sid=101")</f>
        <v>https://n.news.naver.com/mnews/article/277/0004248098?sid=101</v>
      </c>
      <c r="H1773">
        <v>0.312</v>
      </c>
    </row>
    <row r="1774" spans="1:8" x14ac:dyDescent="0.3">
      <c r="A1774" t="s">
        <v>4361</v>
      </c>
      <c r="B1774" t="s">
        <v>26951</v>
      </c>
      <c r="C1774" t="s">
        <v>4542</v>
      </c>
      <c r="D1774" t="s">
        <v>4541</v>
      </c>
      <c r="E1774" s="2" t="s">
        <v>653</v>
      </c>
      <c r="F1774" t="s">
        <v>208</v>
      </c>
      <c r="G1774" t="str">
        <f>HYPERLINK("http://kor.theasian.asia/archives/343435")</f>
        <v>http://kor.theasian.asia/archives/343435</v>
      </c>
      <c r="H1774">
        <v>0.26600000000000001</v>
      </c>
    </row>
    <row r="1775" spans="1:8" x14ac:dyDescent="0.3">
      <c r="A1775" t="s">
        <v>4361</v>
      </c>
      <c r="B1775" t="s">
        <v>26951</v>
      </c>
      <c r="C1775" t="s">
        <v>4544</v>
      </c>
      <c r="D1775" t="s">
        <v>4543</v>
      </c>
      <c r="E1775" s="2" t="s">
        <v>653</v>
      </c>
      <c r="F1775" t="s">
        <v>658</v>
      </c>
      <c r="G1775" t="str">
        <f>HYPERLINK("https://news.dealsitetv.com/articles/155972")</f>
        <v>https://news.dealsitetv.com/articles/155972</v>
      </c>
      <c r="H1775">
        <v>0.41499999999999998</v>
      </c>
    </row>
    <row r="1776" spans="1:8" x14ac:dyDescent="0.3">
      <c r="A1776" t="s">
        <v>4361</v>
      </c>
      <c r="B1776" t="s">
        <v>26951</v>
      </c>
      <c r="C1776" t="s">
        <v>4546</v>
      </c>
      <c r="D1776" t="s">
        <v>4545</v>
      </c>
      <c r="E1776" s="2" t="s">
        <v>653</v>
      </c>
      <c r="F1776" t="s">
        <v>4409</v>
      </c>
      <c r="G1776" t="str">
        <f>HYPERLINK("https://n.news.naver.com/mnews/article/277/0005553444?sid=101")</f>
        <v>https://n.news.naver.com/mnews/article/277/0005553444?sid=101</v>
      </c>
      <c r="H1776">
        <v>0.23799999999999999</v>
      </c>
    </row>
    <row r="1777" spans="1:8" x14ac:dyDescent="0.3">
      <c r="A1777" t="s">
        <v>4361</v>
      </c>
      <c r="B1777" t="s">
        <v>26951</v>
      </c>
      <c r="C1777" t="s">
        <v>4548</v>
      </c>
      <c r="D1777" t="s">
        <v>4547</v>
      </c>
      <c r="E1777" s="2" t="s">
        <v>653</v>
      </c>
      <c r="F1777" t="s">
        <v>4384</v>
      </c>
      <c r="G1777" t="str">
        <f>HYPERLINK("https://www.financialpost.co.kr/news/articleView.html?idxno=227740")</f>
        <v>https://www.financialpost.co.kr/news/articleView.html?idxno=227740</v>
      </c>
      <c r="H1777">
        <v>0.57399999999999995</v>
      </c>
    </row>
    <row r="1778" spans="1:8" x14ac:dyDescent="0.3">
      <c r="A1778" t="s">
        <v>4361</v>
      </c>
      <c r="B1778" t="s">
        <v>26951</v>
      </c>
      <c r="C1778" t="s">
        <v>4551</v>
      </c>
      <c r="D1778" t="s">
        <v>4550</v>
      </c>
      <c r="E1778" s="2" t="s">
        <v>653</v>
      </c>
      <c r="F1778" t="s">
        <v>4549</v>
      </c>
      <c r="G1778" t="str">
        <f>HYPERLINK("https://www.idaegu.co.kr/news/articleView.html?idxno=470260")</f>
        <v>https://www.idaegu.co.kr/news/articleView.html?idxno=470260</v>
      </c>
      <c r="H1778">
        <v>0.26800000000000002</v>
      </c>
    </row>
    <row r="1779" spans="1:8" x14ac:dyDescent="0.3">
      <c r="A1779" t="s">
        <v>4361</v>
      </c>
      <c r="B1779" t="s">
        <v>26951</v>
      </c>
      <c r="C1779" t="s">
        <v>4553</v>
      </c>
      <c r="D1779" t="s">
        <v>4552</v>
      </c>
      <c r="E1779" s="2" t="s">
        <v>653</v>
      </c>
      <c r="F1779" t="s">
        <v>1960</v>
      </c>
      <c r="G1779" t="str">
        <f>HYPERLINK("http://www.newsian.co.kr/news/articleView.html?idxno=80469")</f>
        <v>http://www.newsian.co.kr/news/articleView.html?idxno=80469</v>
      </c>
      <c r="H1779">
        <v>0.35699999999999998</v>
      </c>
    </row>
    <row r="1780" spans="1:8" x14ac:dyDescent="0.3">
      <c r="A1780" t="s">
        <v>4361</v>
      </c>
      <c r="B1780" t="s">
        <v>26951</v>
      </c>
      <c r="C1780" t="s">
        <v>4555</v>
      </c>
      <c r="D1780" t="s">
        <v>4554</v>
      </c>
      <c r="E1780" s="2" t="s">
        <v>692</v>
      </c>
      <c r="F1780" t="s">
        <v>332</v>
      </c>
      <c r="G1780" t="str">
        <f>HYPERLINK("https://www.ulsanpress.net/news/articleView.html?idxno=546369")</f>
        <v>https://www.ulsanpress.net/news/articleView.html?idxno=546369</v>
      </c>
      <c r="H1780">
        <v>0.374</v>
      </c>
    </row>
    <row r="1781" spans="1:8" x14ac:dyDescent="0.3">
      <c r="A1781" t="s">
        <v>4361</v>
      </c>
      <c r="B1781" t="s">
        <v>26951</v>
      </c>
      <c r="C1781" t="s">
        <v>4557</v>
      </c>
      <c r="D1781" t="s">
        <v>4556</v>
      </c>
      <c r="E1781" s="2" t="s">
        <v>692</v>
      </c>
      <c r="F1781" t="s">
        <v>1939</v>
      </c>
      <c r="G1781" t="str">
        <f>HYPERLINK("http://www.ccdailynews.com/news/articleView.html?idxno=2007489")</f>
        <v>http://www.ccdailynews.com/news/articleView.html?idxno=2007489</v>
      </c>
      <c r="H1781">
        <v>0.40400000000000003</v>
      </c>
    </row>
    <row r="1782" spans="1:8" x14ac:dyDescent="0.3">
      <c r="A1782" t="s">
        <v>4361</v>
      </c>
      <c r="B1782" t="s">
        <v>26951</v>
      </c>
      <c r="C1782" t="s">
        <v>4559</v>
      </c>
      <c r="D1782" t="s">
        <v>4558</v>
      </c>
      <c r="E1782" s="2" t="s">
        <v>711</v>
      </c>
      <c r="F1782" t="s">
        <v>4409</v>
      </c>
      <c r="G1782" t="str">
        <f>HYPERLINK("http://amenews.kr/news/view.php?idx=62625")</f>
        <v>http://amenews.kr/news/view.php?idx=62625</v>
      </c>
      <c r="H1782">
        <v>0.65800000000000003</v>
      </c>
    </row>
    <row r="1783" spans="1:8" x14ac:dyDescent="0.3">
      <c r="A1783" t="s">
        <v>4361</v>
      </c>
      <c r="B1783" t="s">
        <v>26951</v>
      </c>
      <c r="C1783" t="s">
        <v>4561</v>
      </c>
      <c r="D1783" t="s">
        <v>4560</v>
      </c>
      <c r="E1783" s="2" t="s">
        <v>711</v>
      </c>
      <c r="F1783" t="s">
        <v>4409</v>
      </c>
      <c r="G1783" t="str">
        <f>HYPERLINK("http://www.econovill.com/news/articleView.html?idxno=306320")</f>
        <v>http://www.econovill.com/news/articleView.html?idxno=306320</v>
      </c>
      <c r="H1783">
        <v>0.45</v>
      </c>
    </row>
    <row r="1784" spans="1:8" x14ac:dyDescent="0.3">
      <c r="A1784" t="s">
        <v>4361</v>
      </c>
      <c r="B1784" t="s">
        <v>26951</v>
      </c>
      <c r="C1784" t="s">
        <v>4563</v>
      </c>
      <c r="D1784" t="s">
        <v>4562</v>
      </c>
      <c r="E1784" s="2" t="s">
        <v>711</v>
      </c>
      <c r="F1784" t="s">
        <v>1939</v>
      </c>
      <c r="G1784" t="str">
        <f>HYPERLINK("https://n.news.naver.com/mnews/article/277/0005602841?sid=101")</f>
        <v>https://n.news.naver.com/mnews/article/277/0005602841?sid=101</v>
      </c>
      <c r="H1784">
        <v>0.22900000000000001</v>
      </c>
    </row>
    <row r="1785" spans="1:8" x14ac:dyDescent="0.3">
      <c r="A1785" t="s">
        <v>4361</v>
      </c>
      <c r="B1785" t="s">
        <v>26951</v>
      </c>
      <c r="C1785" t="s">
        <v>4565</v>
      </c>
      <c r="D1785" t="s">
        <v>4564</v>
      </c>
      <c r="E1785" s="2" t="s">
        <v>711</v>
      </c>
      <c r="F1785" t="s">
        <v>3676</v>
      </c>
      <c r="G1785" t="str">
        <f>HYPERLINK("https://n.news.naver.com/mnews/article/028/0002751256?sid=102")</f>
        <v>https://n.news.naver.com/mnews/article/028/0002751256?sid=102</v>
      </c>
      <c r="H1785">
        <v>0.33400000000000002</v>
      </c>
    </row>
    <row r="1786" spans="1:8" x14ac:dyDescent="0.3">
      <c r="A1786" t="s">
        <v>4361</v>
      </c>
      <c r="B1786" t="s">
        <v>26951</v>
      </c>
      <c r="C1786" t="s">
        <v>4567</v>
      </c>
      <c r="D1786" t="s">
        <v>4566</v>
      </c>
      <c r="E1786" s="2" t="s">
        <v>711</v>
      </c>
      <c r="F1786" t="s">
        <v>1908</v>
      </c>
      <c r="G1786" t="str">
        <f>HYPERLINK("https://www.apnews.kr/news/articleView.html?idxno=3016322")</f>
        <v>https://www.apnews.kr/news/articleView.html?idxno=3016322</v>
      </c>
      <c r="H1786">
        <v>0.45700000000000002</v>
      </c>
    </row>
    <row r="1787" spans="1:8" x14ac:dyDescent="0.3">
      <c r="A1787" t="s">
        <v>4361</v>
      </c>
      <c r="B1787" t="s">
        <v>26951</v>
      </c>
      <c r="C1787" t="s">
        <v>4569</v>
      </c>
      <c r="D1787" t="s">
        <v>4568</v>
      </c>
      <c r="E1787" s="2" t="s">
        <v>711</v>
      </c>
      <c r="F1787" t="s">
        <v>332</v>
      </c>
      <c r="G1787" t="str">
        <f>HYPERLINK("https://n.news.naver.com/mnews/article/018/0006053386?sid=101")</f>
        <v>https://n.news.naver.com/mnews/article/018/0006053386?sid=101</v>
      </c>
      <c r="H1787">
        <v>0.19400000000000001</v>
      </c>
    </row>
    <row r="1788" spans="1:8" x14ac:dyDescent="0.3">
      <c r="A1788" t="s">
        <v>4361</v>
      </c>
      <c r="B1788" t="s">
        <v>26951</v>
      </c>
      <c r="C1788" t="s">
        <v>4571</v>
      </c>
      <c r="D1788" t="s">
        <v>4570</v>
      </c>
      <c r="E1788" s="2" t="s">
        <v>711</v>
      </c>
      <c r="F1788" t="s">
        <v>3673</v>
      </c>
      <c r="G1788" t="str">
        <f>HYPERLINK("https://ditoday.com/%ea%b9%80%ec%83%81%ec%97%b0-%eb%a6%ac%eb%85%b8%ec%bb%b4%ec%a6%88-%eb%8c%80%ed%91%9c%ec%9d%98-%ec%82%ac%ec%9d%b4%eb%8b%a4-%ea%b0%99%ec%9d%80-%ed%95%b4%ec%84%a4-%ec%a7%80%ea%b8%88-%ec%8b%9c%ec%9e%91/")</f>
        <v>https://ditoday.com/%ea%b9%80%ec%83%81%ec%97%b0-%eb%a6%ac%eb%85%b8%ec%bb%b4%ec%a6%88-%eb%8c%80%ed%91%9c%ec%9d%98-%ec%82%ac%ec%9d%b4%eb%8b%a4-%ea%b0%99%ec%9d%80-%ed%95%b4%ec%84%a4-%ec%a7%80%ea%b8%88-%ec%8b%9c%ec%9e%91/</v>
      </c>
      <c r="H1788">
        <v>0.74199999999999999</v>
      </c>
    </row>
    <row r="1789" spans="1:8" x14ac:dyDescent="0.3">
      <c r="A1789" t="s">
        <v>4361</v>
      </c>
      <c r="B1789" t="s">
        <v>26951</v>
      </c>
      <c r="C1789" t="s">
        <v>4574</v>
      </c>
      <c r="D1789" t="s">
        <v>4573</v>
      </c>
      <c r="E1789" s="2" t="s">
        <v>711</v>
      </c>
      <c r="F1789" t="s">
        <v>4572</v>
      </c>
      <c r="G1789" t="str">
        <f>HYPERLINK("https://www.financialpost.co.kr/news/articleView.html?idxno=228458")</f>
        <v>https://www.financialpost.co.kr/news/articleView.html?idxno=228458</v>
      </c>
      <c r="H1789">
        <v>0.27600000000000002</v>
      </c>
    </row>
    <row r="1790" spans="1:8" x14ac:dyDescent="0.3">
      <c r="A1790" t="s">
        <v>4361</v>
      </c>
      <c r="B1790" t="s">
        <v>26951</v>
      </c>
      <c r="C1790" t="s">
        <v>4577</v>
      </c>
      <c r="D1790" t="s">
        <v>4576</v>
      </c>
      <c r="E1790" s="2" t="s">
        <v>481</v>
      </c>
      <c r="F1790" t="s">
        <v>4575</v>
      </c>
      <c r="G1790" t="str">
        <f>HYPERLINK("https://n.news.naver.com/mnews/article/277/0003620808?sid=101")</f>
        <v>https://n.news.naver.com/mnews/article/277/0003620808?sid=101</v>
      </c>
      <c r="H1790">
        <v>0.247</v>
      </c>
    </row>
    <row r="1791" spans="1:8" x14ac:dyDescent="0.3">
      <c r="A1791" t="s">
        <v>4361</v>
      </c>
      <c r="B1791" t="s">
        <v>26951</v>
      </c>
      <c r="C1791" t="s">
        <v>4579</v>
      </c>
      <c r="D1791" t="s">
        <v>4578</v>
      </c>
      <c r="E1791" s="2" t="s">
        <v>481</v>
      </c>
      <c r="F1791" t="s">
        <v>332</v>
      </c>
      <c r="G1791" t="str">
        <f>HYPERLINK("https://n.news.naver.com/mnews/article/018/0006053386?sid=101")</f>
        <v>https://n.news.naver.com/mnews/article/018/0006053386?sid=101</v>
      </c>
      <c r="H1791">
        <v>0.216</v>
      </c>
    </row>
    <row r="1792" spans="1:8" x14ac:dyDescent="0.3">
      <c r="A1792" t="s">
        <v>4361</v>
      </c>
      <c r="B1792" t="s">
        <v>26951</v>
      </c>
      <c r="C1792" t="s">
        <v>4582</v>
      </c>
      <c r="D1792" t="s">
        <v>4581</v>
      </c>
      <c r="E1792" s="2" t="s">
        <v>502</v>
      </c>
      <c r="F1792" t="s">
        <v>4580</v>
      </c>
      <c r="G1792" t="str">
        <f>HYPERLINK("https://n.news.naver.com/mnews/article/002/0000015099?sid=100")</f>
        <v>https://n.news.naver.com/mnews/article/002/0000015099?sid=100</v>
      </c>
      <c r="H1792">
        <v>0.253</v>
      </c>
    </row>
    <row r="1793" spans="1:8" x14ac:dyDescent="0.3">
      <c r="A1793" t="s">
        <v>4361</v>
      </c>
      <c r="B1793" t="s">
        <v>26951</v>
      </c>
      <c r="C1793" t="s">
        <v>4584</v>
      </c>
      <c r="D1793" t="s">
        <v>4583</v>
      </c>
      <c r="E1793" s="2" t="s">
        <v>502</v>
      </c>
      <c r="F1793" t="s">
        <v>4409</v>
      </c>
      <c r="G1793" t="str">
        <f>HYPERLINK("http://kor.theasian.asia/archives/386205")</f>
        <v>http://kor.theasian.asia/archives/386205</v>
      </c>
      <c r="H1793">
        <v>0.56299999999999994</v>
      </c>
    </row>
    <row r="1794" spans="1:8" x14ac:dyDescent="0.3">
      <c r="A1794" t="s">
        <v>4361</v>
      </c>
      <c r="B1794" t="s">
        <v>26951</v>
      </c>
      <c r="C1794" t="s">
        <v>4586</v>
      </c>
      <c r="D1794" t="s">
        <v>4585</v>
      </c>
      <c r="E1794" s="2" t="s">
        <v>502</v>
      </c>
      <c r="F1794" t="s">
        <v>2385</v>
      </c>
      <c r="G1794" t="str">
        <f>HYPERLINK("https://www.econovill.com/news/articleView.html?idxno=701686")</f>
        <v>https://www.econovill.com/news/articleView.html?idxno=701686</v>
      </c>
      <c r="H1794">
        <v>0.23400000000000001</v>
      </c>
    </row>
    <row r="1795" spans="1:8" x14ac:dyDescent="0.3">
      <c r="A1795" t="s">
        <v>4361</v>
      </c>
      <c r="B1795" t="s">
        <v>26951</v>
      </c>
      <c r="C1795" t="s">
        <v>4588</v>
      </c>
      <c r="D1795" t="s">
        <v>4587</v>
      </c>
      <c r="E1795" s="2" t="s">
        <v>502</v>
      </c>
      <c r="F1795" t="s">
        <v>3722</v>
      </c>
      <c r="G1795" t="str">
        <f>HYPERLINK("http://www.newspim.com/news/view/20210621000607")</f>
        <v>http://www.newspim.com/news/view/20210621000607</v>
      </c>
      <c r="H1795">
        <v>0.32900000000000001</v>
      </c>
    </row>
    <row r="1796" spans="1:8" x14ac:dyDescent="0.3">
      <c r="A1796" t="s">
        <v>4361</v>
      </c>
      <c r="B1796" t="s">
        <v>26951</v>
      </c>
      <c r="C1796" t="s">
        <v>4590</v>
      </c>
      <c r="D1796" t="s">
        <v>4589</v>
      </c>
      <c r="E1796" s="2" t="s">
        <v>502</v>
      </c>
      <c r="F1796" t="s">
        <v>4</v>
      </c>
      <c r="G1796" t="str">
        <f>HYPERLINK("http://www.laborplus.co.kr/news/articleView.html?idxno=31682")</f>
        <v>http://www.laborplus.co.kr/news/articleView.html?idxno=31682</v>
      </c>
      <c r="H1796">
        <v>0.26100000000000001</v>
      </c>
    </row>
    <row r="1797" spans="1:8" x14ac:dyDescent="0.3">
      <c r="A1797" t="s">
        <v>4361</v>
      </c>
      <c r="B1797" t="s">
        <v>26951</v>
      </c>
      <c r="C1797" t="s">
        <v>4592</v>
      </c>
      <c r="D1797" t="s">
        <v>4591</v>
      </c>
      <c r="E1797" s="2" t="s">
        <v>502</v>
      </c>
      <c r="F1797" t="s">
        <v>3787</v>
      </c>
      <c r="G1797" t="str">
        <f>HYPERLINK("http://www.pennmike.com/news/articleView.html?idxno=42392")</f>
        <v>http://www.pennmike.com/news/articleView.html?idxno=42392</v>
      </c>
      <c r="H1797">
        <v>0.628</v>
      </c>
    </row>
    <row r="1798" spans="1:8" x14ac:dyDescent="0.3">
      <c r="A1798" t="s">
        <v>4361</v>
      </c>
      <c r="B1798" t="s">
        <v>26951</v>
      </c>
      <c r="C1798" t="s">
        <v>4595</v>
      </c>
      <c r="D1798" t="s">
        <v>4594</v>
      </c>
      <c r="E1798" s="2" t="s">
        <v>502</v>
      </c>
      <c r="F1798" t="s">
        <v>4593</v>
      </c>
      <c r="G1798" t="str">
        <f>HYPERLINK("https://www.apnews.kr/news/articleView.html?idxno=3020956")</f>
        <v>https://www.apnews.kr/news/articleView.html?idxno=3020956</v>
      </c>
      <c r="H1798">
        <v>0.28399999999999997</v>
      </c>
    </row>
    <row r="1799" spans="1:8" x14ac:dyDescent="0.3">
      <c r="A1799" t="s">
        <v>4361</v>
      </c>
      <c r="B1799" t="s">
        <v>26951</v>
      </c>
      <c r="C1799" t="s">
        <v>4597</v>
      </c>
      <c r="D1799" t="s">
        <v>4596</v>
      </c>
      <c r="E1799" s="2" t="s">
        <v>517</v>
      </c>
      <c r="F1799" t="s">
        <v>4409</v>
      </c>
      <c r="G1799" t="str">
        <f>HYPERLINK("http://www.hansbiz.co.kr/news/articleView.html?idxno=688485")</f>
        <v>http://www.hansbiz.co.kr/news/articleView.html?idxno=688485</v>
      </c>
      <c r="H1799">
        <v>0.5</v>
      </c>
    </row>
    <row r="1800" spans="1:8" x14ac:dyDescent="0.3">
      <c r="A1800" t="s">
        <v>4361</v>
      </c>
      <c r="B1800" t="s">
        <v>26951</v>
      </c>
      <c r="C1800" t="s">
        <v>4600</v>
      </c>
      <c r="D1800" t="s">
        <v>4599</v>
      </c>
      <c r="E1800" s="2" t="s">
        <v>517</v>
      </c>
      <c r="F1800" t="s">
        <v>4598</v>
      </c>
      <c r="G1800" t="str">
        <f>HYPERLINK("https://www.dailynk.com/20250701-2")</f>
        <v>https://www.dailynk.com/20250701-2</v>
      </c>
      <c r="H1800">
        <v>0.20499999999999999</v>
      </c>
    </row>
    <row r="1801" spans="1:8" x14ac:dyDescent="0.3">
      <c r="A1801" t="s">
        <v>4361</v>
      </c>
      <c r="B1801" t="s">
        <v>26951</v>
      </c>
      <c r="C1801" t="s">
        <v>4603</v>
      </c>
      <c r="D1801" t="s">
        <v>4602</v>
      </c>
      <c r="E1801" s="2" t="s">
        <v>517</v>
      </c>
      <c r="F1801" t="s">
        <v>4601</v>
      </c>
      <c r="G1801" t="str">
        <f>HYPERLINK("https://www.esgeconomy.com/news/articleView.html?idxno=6351")</f>
        <v>https://www.esgeconomy.com/news/articleView.html?idxno=6351</v>
      </c>
      <c r="H1801">
        <v>0.23200000000000001</v>
      </c>
    </row>
    <row r="1802" spans="1:8" x14ac:dyDescent="0.3">
      <c r="A1802" t="s">
        <v>4361</v>
      </c>
      <c r="B1802" t="s">
        <v>26951</v>
      </c>
      <c r="C1802" t="s">
        <v>4605</v>
      </c>
      <c r="D1802" t="s">
        <v>4604</v>
      </c>
      <c r="E1802" s="2" t="s">
        <v>517</v>
      </c>
      <c r="F1802" t="s">
        <v>957</v>
      </c>
      <c r="G1802" t="str">
        <f>HYPERLINK("http://www.ccreview.co.kr/news/articleView.html?idxno=282180")</f>
        <v>http://www.ccreview.co.kr/news/articleView.html?idxno=282180</v>
      </c>
      <c r="H1802">
        <v>0.46800000000000003</v>
      </c>
    </row>
    <row r="1803" spans="1:8" x14ac:dyDescent="0.3">
      <c r="A1803" t="s">
        <v>4361</v>
      </c>
      <c r="B1803" t="s">
        <v>26951</v>
      </c>
      <c r="C1803" t="s">
        <v>4607</v>
      </c>
      <c r="D1803" t="s">
        <v>4606</v>
      </c>
      <c r="E1803" s="2" t="s">
        <v>517</v>
      </c>
      <c r="F1803" t="s">
        <v>298</v>
      </c>
      <c r="G1803" t="str">
        <f>HYPERLINK("https://n.news.naver.com/mnews/article/008/0002308255?sid=101")</f>
        <v>https://n.news.naver.com/mnews/article/008/0002308255?sid=101</v>
      </c>
      <c r="H1803">
        <v>0.54100000000000004</v>
      </c>
    </row>
    <row r="1804" spans="1:8" x14ac:dyDescent="0.3">
      <c r="A1804" t="s">
        <v>4361</v>
      </c>
      <c r="B1804" t="s">
        <v>26951</v>
      </c>
      <c r="C1804" t="s">
        <v>4609</v>
      </c>
      <c r="D1804" t="s">
        <v>4608</v>
      </c>
      <c r="E1804" s="2" t="s">
        <v>517</v>
      </c>
      <c r="F1804" t="s">
        <v>4384</v>
      </c>
      <c r="G1804" t="str">
        <f>HYPERLINK("https://www.widedaily.com/news/articleView.html?idxno=263338")</f>
        <v>https://www.widedaily.com/news/articleView.html?idxno=263338</v>
      </c>
      <c r="H1804">
        <v>0.42199999999999999</v>
      </c>
    </row>
    <row r="1805" spans="1:8" x14ac:dyDescent="0.3">
      <c r="A1805" t="s">
        <v>4361</v>
      </c>
      <c r="B1805" t="s">
        <v>26951</v>
      </c>
      <c r="C1805" t="s">
        <v>4612</v>
      </c>
      <c r="D1805" t="s">
        <v>4611</v>
      </c>
      <c r="E1805" s="2" t="s">
        <v>517</v>
      </c>
      <c r="F1805" t="s">
        <v>4610</v>
      </c>
      <c r="G1805" t="str">
        <f>HYPERLINK("http://www.bulkyo21.com/news/articleView.html?idxno=55398")</f>
        <v>http://www.bulkyo21.com/news/articleView.html?idxno=55398</v>
      </c>
      <c r="H1805">
        <v>0.26100000000000001</v>
      </c>
    </row>
    <row r="1806" spans="1:8" x14ac:dyDescent="0.3">
      <c r="A1806" t="s">
        <v>4361</v>
      </c>
      <c r="B1806" t="s">
        <v>26951</v>
      </c>
      <c r="C1806" t="s">
        <v>4614</v>
      </c>
      <c r="D1806" t="s">
        <v>4613</v>
      </c>
      <c r="E1806" s="2" t="s">
        <v>517</v>
      </c>
      <c r="F1806" t="s">
        <v>4492</v>
      </c>
      <c r="G1806" t="str">
        <f>HYPERLINK("https://n.news.naver.com/mnews/article/018/0006053386?sid=101")</f>
        <v>https://n.news.naver.com/mnews/article/018/0006053386?sid=101</v>
      </c>
      <c r="H1806">
        <v>0.28399999999999997</v>
      </c>
    </row>
    <row r="1807" spans="1:8" x14ac:dyDescent="0.3">
      <c r="A1807" t="s">
        <v>4361</v>
      </c>
      <c r="B1807" t="s">
        <v>26951</v>
      </c>
      <c r="C1807" t="s">
        <v>4616</v>
      </c>
      <c r="D1807" t="s">
        <v>4615</v>
      </c>
      <c r="E1807" s="2" t="s">
        <v>517</v>
      </c>
      <c r="F1807" t="s">
        <v>4430</v>
      </c>
      <c r="G1807" t="str">
        <f>HYPERLINK("http://kor.theasian.asia/archives/371039")</f>
        <v>http://kor.theasian.asia/archives/371039</v>
      </c>
      <c r="H1807">
        <v>0.505</v>
      </c>
    </row>
    <row r="1808" spans="1:8" x14ac:dyDescent="0.3">
      <c r="A1808" t="s">
        <v>4361</v>
      </c>
      <c r="B1808" t="s">
        <v>26951</v>
      </c>
      <c r="C1808" t="s">
        <v>4618</v>
      </c>
      <c r="D1808" t="s">
        <v>4617</v>
      </c>
      <c r="E1808" s="2" t="s">
        <v>313</v>
      </c>
      <c r="F1808" t="s">
        <v>3501</v>
      </c>
      <c r="G1808" t="str">
        <f>HYPERLINK("https://n.news.naver.com/mnews/article/018/0006044583?sid=102")</f>
        <v>https://n.news.naver.com/mnews/article/018/0006044583?sid=102</v>
      </c>
      <c r="H1808">
        <v>0.25900000000000001</v>
      </c>
    </row>
    <row r="1809" spans="1:8" x14ac:dyDescent="0.3">
      <c r="A1809" t="s">
        <v>4361</v>
      </c>
      <c r="B1809" t="s">
        <v>26951</v>
      </c>
      <c r="C1809" t="s">
        <v>4620</v>
      </c>
      <c r="D1809" t="s">
        <v>4619</v>
      </c>
      <c r="E1809" s="2" t="s">
        <v>313</v>
      </c>
      <c r="F1809" t="s">
        <v>1579</v>
      </c>
      <c r="G1809" t="str">
        <f>HYPERLINK("https://www.apnews.kr/news/articleView.html?idxno=3016765")</f>
        <v>https://www.apnews.kr/news/articleView.html?idxno=3016765</v>
      </c>
      <c r="H1809">
        <v>0.40699999999999997</v>
      </c>
    </row>
    <row r="1810" spans="1:8" x14ac:dyDescent="0.3">
      <c r="A1810" t="s">
        <v>4361</v>
      </c>
      <c r="B1810" t="s">
        <v>26951</v>
      </c>
      <c r="C1810" t="s">
        <v>4622</v>
      </c>
      <c r="D1810" t="s">
        <v>4621</v>
      </c>
      <c r="E1810" s="2" t="s">
        <v>313</v>
      </c>
      <c r="F1810" t="s">
        <v>332</v>
      </c>
      <c r="G1810" t="str">
        <f>HYPERLINK("https://n.news.naver.com/mnews/article/018/0006053386?sid=101")</f>
        <v>https://n.news.naver.com/mnews/article/018/0006053386?sid=101</v>
      </c>
      <c r="H1810">
        <v>0.21</v>
      </c>
    </row>
    <row r="1811" spans="1:8" x14ac:dyDescent="0.3">
      <c r="A1811" t="s">
        <v>4361</v>
      </c>
      <c r="B1811" t="s">
        <v>26951</v>
      </c>
      <c r="C1811" t="s">
        <v>4350</v>
      </c>
      <c r="D1811" t="s">
        <v>4349</v>
      </c>
      <c r="E1811" s="2" t="s">
        <v>313</v>
      </c>
      <c r="F1811" t="s">
        <v>89</v>
      </c>
      <c r="G1811" t="str">
        <f>HYPERLINK("https://www.fortunekorea.co.kr/news/articleView.html?idxno=35825")</f>
        <v>https://www.fortunekorea.co.kr/news/articleView.html?idxno=35825</v>
      </c>
      <c r="H1811">
        <v>0.38800000000000001</v>
      </c>
    </row>
    <row r="1812" spans="1:8" x14ac:dyDescent="0.3">
      <c r="A1812" t="s">
        <v>4361</v>
      </c>
      <c r="B1812" t="s">
        <v>26951</v>
      </c>
      <c r="C1812" t="s">
        <v>4625</v>
      </c>
      <c r="D1812" t="s">
        <v>4624</v>
      </c>
      <c r="E1812" s="2" t="s">
        <v>313</v>
      </c>
      <c r="F1812" t="s">
        <v>4623</v>
      </c>
      <c r="G1812" t="str">
        <f>HYPERLINK("https://www.voakorea.com/a/4350131.html")</f>
        <v>https://www.voakorea.com/a/4350131.html</v>
      </c>
      <c r="H1812">
        <v>0.45300000000000001</v>
      </c>
    </row>
    <row r="1813" spans="1:8" x14ac:dyDescent="0.3">
      <c r="A1813" t="s">
        <v>4361</v>
      </c>
      <c r="B1813" t="s">
        <v>26951</v>
      </c>
      <c r="C1813" t="s">
        <v>4627</v>
      </c>
      <c r="D1813" t="s">
        <v>4626</v>
      </c>
      <c r="E1813" s="2" t="s">
        <v>356</v>
      </c>
      <c r="F1813" t="s">
        <v>4533</v>
      </c>
      <c r="G1813" t="str">
        <f>HYPERLINK("http://www.ggilbo.com/news/articleView.html?idxno=841876")</f>
        <v>http://www.ggilbo.com/news/articleView.html?idxno=841876</v>
      </c>
      <c r="H1813">
        <v>0.45</v>
      </c>
    </row>
    <row r="1814" spans="1:8" x14ac:dyDescent="0.3">
      <c r="A1814" t="s">
        <v>4361</v>
      </c>
      <c r="B1814" t="s">
        <v>26951</v>
      </c>
      <c r="C1814" t="s">
        <v>4629</v>
      </c>
      <c r="D1814" t="s">
        <v>4628</v>
      </c>
      <c r="E1814" s="2" t="s">
        <v>356</v>
      </c>
      <c r="F1814" t="s">
        <v>4409</v>
      </c>
      <c r="G1814" t="str">
        <f>HYPERLINK("https://www.youthdaily.co.kr/news/article.html?no=187662")</f>
        <v>https://www.youthdaily.co.kr/news/article.html?no=187662</v>
      </c>
      <c r="H1814">
        <v>0.52400000000000002</v>
      </c>
    </row>
    <row r="1815" spans="1:8" x14ac:dyDescent="0.3">
      <c r="A1815" t="s">
        <v>4361</v>
      </c>
      <c r="B1815" t="s">
        <v>26951</v>
      </c>
      <c r="C1815" t="s">
        <v>4631</v>
      </c>
      <c r="D1815" t="s">
        <v>4630</v>
      </c>
      <c r="E1815" s="2" t="s">
        <v>356</v>
      </c>
      <c r="F1815" t="s">
        <v>4409</v>
      </c>
      <c r="G1815" t="str">
        <f>HYPERLINK("http://www.ilyoseoul.co.kr/news/articleView.html?idxno=498388")</f>
        <v>http://www.ilyoseoul.co.kr/news/articleView.html?idxno=498388</v>
      </c>
      <c r="H1815">
        <v>0.33</v>
      </c>
    </row>
    <row r="1816" spans="1:8" x14ac:dyDescent="0.3">
      <c r="A1816" t="s">
        <v>4361</v>
      </c>
      <c r="B1816" t="s">
        <v>26951</v>
      </c>
      <c r="C1816" t="s">
        <v>4634</v>
      </c>
      <c r="D1816" t="s">
        <v>4633</v>
      </c>
      <c r="E1816" s="2" t="s">
        <v>356</v>
      </c>
      <c r="F1816" t="s">
        <v>4632</v>
      </c>
      <c r="G1816" t="str">
        <f>HYPERLINK("https://n.news.naver.com/mnews/article/658/0000110927?sid=102")</f>
        <v>https://n.news.naver.com/mnews/article/658/0000110927?sid=102</v>
      </c>
      <c r="H1816">
        <v>0.107</v>
      </c>
    </row>
    <row r="1817" spans="1:8" x14ac:dyDescent="0.3">
      <c r="A1817" t="s">
        <v>4361</v>
      </c>
      <c r="B1817" t="s">
        <v>26951</v>
      </c>
      <c r="C1817" t="s">
        <v>4636</v>
      </c>
      <c r="D1817" t="s">
        <v>4635</v>
      </c>
      <c r="E1817" s="2" t="s">
        <v>394</v>
      </c>
      <c r="F1817" t="s">
        <v>914</v>
      </c>
      <c r="G1817" t="str">
        <f>HYPERLINK("https://n.news.naver.com/mnews/article/052/0002209827?sid=104")</f>
        <v>https://n.news.naver.com/mnews/article/052/0002209827?sid=104</v>
      </c>
      <c r="H1817">
        <v>0.40300000000000002</v>
      </c>
    </row>
    <row r="1818" spans="1:8" x14ac:dyDescent="0.3">
      <c r="A1818" t="s">
        <v>4361</v>
      </c>
      <c r="B1818" t="s">
        <v>26951</v>
      </c>
      <c r="C1818" t="s">
        <v>4638</v>
      </c>
      <c r="D1818" t="s">
        <v>4637</v>
      </c>
      <c r="E1818" s="2" t="s">
        <v>394</v>
      </c>
      <c r="F1818" t="s">
        <v>4409</v>
      </c>
      <c r="G1818" t="str">
        <f>HYPERLINK("http://dream.kotra.or.kr/kotranews/cms/news/actionKotraBoardDetail.do?SITE_NO=3&amp;MENU_ID=110&amp;CONTENTS_NO=1&amp;bbsGbn=245&amp;bbsSn=245&amp;pNttSn=210107")</f>
        <v>http://dream.kotra.or.kr/kotranews/cms/news/actionKotraBoardDetail.do?SITE_NO=3&amp;MENU_ID=110&amp;CONTENTS_NO=1&amp;bbsGbn=245&amp;bbsSn=245&amp;pNttSn=210107</v>
      </c>
      <c r="H1818">
        <v>0.44800000000000001</v>
      </c>
    </row>
    <row r="1819" spans="1:8" x14ac:dyDescent="0.3">
      <c r="A1819" t="s">
        <v>4361</v>
      </c>
      <c r="B1819" t="s">
        <v>26951</v>
      </c>
      <c r="C1819" t="s">
        <v>4640</v>
      </c>
      <c r="D1819" t="s">
        <v>4639</v>
      </c>
      <c r="E1819" s="2" t="s">
        <v>394</v>
      </c>
      <c r="F1819" t="s">
        <v>4409</v>
      </c>
      <c r="G1819" t="str">
        <f>HYPERLINK("http://www.ifs.or.kr/bbs/board.php?bo_table=News&amp;wr_id=53897")</f>
        <v>http://www.ifs.or.kr/bbs/board.php?bo_table=News&amp;wr_id=53897</v>
      </c>
      <c r="H1819">
        <v>0.53500000000000003</v>
      </c>
    </row>
    <row r="1820" spans="1:8" x14ac:dyDescent="0.3">
      <c r="A1820" t="s">
        <v>4361</v>
      </c>
      <c r="B1820" t="s">
        <v>26951</v>
      </c>
      <c r="C1820" t="s">
        <v>4642</v>
      </c>
      <c r="D1820" t="s">
        <v>4641</v>
      </c>
      <c r="E1820" s="2" t="s">
        <v>394</v>
      </c>
      <c r="F1820" t="s">
        <v>957</v>
      </c>
      <c r="G1820" t="str">
        <f>HYPERLINK("http://www.ccreview.co.kr/news/articleView.html?idxno=282180")</f>
        <v>http://www.ccreview.co.kr/news/articleView.html?idxno=282180</v>
      </c>
      <c r="H1820">
        <v>0.54</v>
      </c>
    </row>
    <row r="1821" spans="1:8" x14ac:dyDescent="0.3">
      <c r="A1821" t="s">
        <v>4361</v>
      </c>
      <c r="B1821" t="s">
        <v>26951</v>
      </c>
      <c r="C1821" t="s">
        <v>4644</v>
      </c>
      <c r="D1821" t="s">
        <v>4643</v>
      </c>
      <c r="E1821" s="2" t="s">
        <v>394</v>
      </c>
      <c r="F1821" t="s">
        <v>3536</v>
      </c>
      <c r="G1821" t="str">
        <f>HYPERLINK("https://www.youthdaily.co.kr/news/article.html?no=181977")</f>
        <v>https://www.youthdaily.co.kr/news/article.html?no=181977</v>
      </c>
      <c r="H1821">
        <v>0.72399999999999998</v>
      </c>
    </row>
    <row r="1822" spans="1:8" x14ac:dyDescent="0.3">
      <c r="A1822" t="s">
        <v>4361</v>
      </c>
      <c r="B1822" t="s">
        <v>26951</v>
      </c>
      <c r="C1822" t="s">
        <v>4646</v>
      </c>
      <c r="D1822" t="s">
        <v>4645</v>
      </c>
      <c r="E1822" s="2" t="s">
        <v>394</v>
      </c>
      <c r="F1822" t="s">
        <v>4409</v>
      </c>
      <c r="G1822" t="str">
        <f>HYPERLINK("http://www.gasnews.com/news/articleView.html?idxno=81129")</f>
        <v>http://www.gasnews.com/news/articleView.html?idxno=81129</v>
      </c>
      <c r="H1822">
        <v>0.33700000000000002</v>
      </c>
    </row>
    <row r="1823" spans="1:8" x14ac:dyDescent="0.3">
      <c r="A1823" t="s">
        <v>4361</v>
      </c>
      <c r="B1823" t="s">
        <v>26951</v>
      </c>
      <c r="C1823" t="s">
        <v>4648</v>
      </c>
      <c r="D1823" t="s">
        <v>4647</v>
      </c>
      <c r="E1823" s="2" t="s">
        <v>394</v>
      </c>
      <c r="F1823" t="s">
        <v>4409</v>
      </c>
      <c r="G1823" t="str">
        <f>HYPERLINK("http://dream.kotra.or.kr/kotranews/cms/news/actionKotraBoardDetail.do?SITE_NO=3&amp;MENU_ID=100&amp;CONTENTS_NO=1&amp;bbsGbn=322&amp;bbsSn=322&amp;pNttSn=195152")</f>
        <v>http://dream.kotra.or.kr/kotranews/cms/news/actionKotraBoardDetail.do?SITE_NO=3&amp;MENU_ID=100&amp;CONTENTS_NO=1&amp;bbsGbn=322&amp;bbsSn=322&amp;pNttSn=195152</v>
      </c>
      <c r="H1823">
        <v>0.55400000000000005</v>
      </c>
    </row>
    <row r="1824" spans="1:8" x14ac:dyDescent="0.3">
      <c r="A1824" t="s">
        <v>4361</v>
      </c>
      <c r="B1824" t="s">
        <v>26951</v>
      </c>
      <c r="C1824" t="s">
        <v>4650</v>
      </c>
      <c r="D1824" t="s">
        <v>4649</v>
      </c>
      <c r="E1824" s="2" t="s">
        <v>394</v>
      </c>
      <c r="F1824" t="s">
        <v>4384</v>
      </c>
      <c r="G1824" t="str">
        <f>HYPERLINK("http://www.biotimes.co.kr/news/articleView.html?idxno=20945")</f>
        <v>http://www.biotimes.co.kr/news/articleView.html?idxno=20945</v>
      </c>
      <c r="H1824">
        <v>0.5</v>
      </c>
    </row>
    <row r="1825" spans="1:8" x14ac:dyDescent="0.3">
      <c r="A1825" t="s">
        <v>4361</v>
      </c>
      <c r="B1825" t="s">
        <v>26951</v>
      </c>
      <c r="C1825" t="s">
        <v>4653</v>
      </c>
      <c r="D1825" t="s">
        <v>4652</v>
      </c>
      <c r="E1825" s="2" t="s">
        <v>394</v>
      </c>
      <c r="F1825" t="s">
        <v>4651</v>
      </c>
      <c r="G1825" t="str">
        <f>HYPERLINK("https://www.naeil.com/news/read/551640?ref=naver")</f>
        <v>https://www.naeil.com/news/read/551640?ref=naver</v>
      </c>
      <c r="H1825">
        <v>0.28199999999999997</v>
      </c>
    </row>
    <row r="1826" spans="1:8" x14ac:dyDescent="0.3">
      <c r="A1826" t="s">
        <v>4361</v>
      </c>
      <c r="B1826" t="s">
        <v>26951</v>
      </c>
      <c r="C1826" t="s">
        <v>4655</v>
      </c>
      <c r="D1826" t="s">
        <v>4654</v>
      </c>
      <c r="E1826" s="2" t="s">
        <v>394</v>
      </c>
      <c r="F1826" t="s">
        <v>4361</v>
      </c>
      <c r="G1826" t="str">
        <f>HYPERLINK("https://www.newspim.com/news/view/20250613000463")</f>
        <v>https://www.newspim.com/news/view/20250613000463</v>
      </c>
      <c r="H1826">
        <v>0.59</v>
      </c>
    </row>
    <row r="1827" spans="1:8" x14ac:dyDescent="0.3">
      <c r="A1827" t="s">
        <v>4361</v>
      </c>
      <c r="B1827" t="s">
        <v>26951</v>
      </c>
      <c r="C1827" t="s">
        <v>4658</v>
      </c>
      <c r="D1827" t="s">
        <v>4657</v>
      </c>
      <c r="E1827" s="2" t="s">
        <v>394</v>
      </c>
      <c r="F1827" t="s">
        <v>4656</v>
      </c>
      <c r="G1827" t="str">
        <f>HYPERLINK("http://www.legaltimes.co.kr/news/articleView.html?idxno=82625")</f>
        <v>http://www.legaltimes.co.kr/news/articleView.html?idxno=82625</v>
      </c>
      <c r="H1827">
        <v>0.51900000000000002</v>
      </c>
    </row>
    <row r="1828" spans="1:8" x14ac:dyDescent="0.3">
      <c r="A1828" t="s">
        <v>4361</v>
      </c>
      <c r="B1828" t="s">
        <v>26951</v>
      </c>
      <c r="C1828" t="s">
        <v>4660</v>
      </c>
      <c r="D1828" t="s">
        <v>4659</v>
      </c>
      <c r="E1828" s="2" t="s">
        <v>394</v>
      </c>
      <c r="F1828" t="s">
        <v>886</v>
      </c>
      <c r="G1828" t="str">
        <f>HYPERLINK("https://n.news.naver.com/mnews/article/008/0000075777?sid=101")</f>
        <v>https://n.news.naver.com/mnews/article/008/0000075777?sid=101</v>
      </c>
      <c r="H1828">
        <v>0.28599999999999998</v>
      </c>
    </row>
    <row r="1829" spans="1:8" x14ac:dyDescent="0.3">
      <c r="A1829" t="s">
        <v>4361</v>
      </c>
      <c r="B1829" t="s">
        <v>26951</v>
      </c>
      <c r="C1829" t="s">
        <v>4662</v>
      </c>
      <c r="D1829" t="s">
        <v>4661</v>
      </c>
      <c r="E1829" s="2" t="s">
        <v>394</v>
      </c>
      <c r="F1829" t="s">
        <v>1908</v>
      </c>
      <c r="G1829" t="str">
        <f>HYPERLINK("https://n.news.naver.com/mnews/article/018/0006053386?sid=101")</f>
        <v>https://n.news.naver.com/mnews/article/018/0006053386?sid=101</v>
      </c>
      <c r="H1829">
        <v>0.35199999999999998</v>
      </c>
    </row>
    <row r="1830" spans="1:8" x14ac:dyDescent="0.3">
      <c r="A1830" t="s">
        <v>4361</v>
      </c>
      <c r="B1830" t="s">
        <v>26951</v>
      </c>
      <c r="C1830" t="s">
        <v>4664</v>
      </c>
      <c r="D1830" t="s">
        <v>4663</v>
      </c>
      <c r="E1830" s="2" t="s">
        <v>394</v>
      </c>
      <c r="F1830" t="s">
        <v>4430</v>
      </c>
      <c r="G1830" t="str">
        <f>HYPERLINK("http://kor.theasian.asia/archives/371039")</f>
        <v>http://kor.theasian.asia/archives/371039</v>
      </c>
      <c r="H1830">
        <v>0.45400000000000001</v>
      </c>
    </row>
    <row r="1831" spans="1:8" x14ac:dyDescent="0.3">
      <c r="A1831" t="s">
        <v>4361</v>
      </c>
      <c r="B1831" t="s">
        <v>26951</v>
      </c>
      <c r="C1831" t="s">
        <v>4666</v>
      </c>
      <c r="D1831" t="s">
        <v>4665</v>
      </c>
      <c r="E1831" s="2" t="s">
        <v>394</v>
      </c>
      <c r="F1831" t="s">
        <v>96</v>
      </c>
      <c r="G1831" t="str">
        <f>HYPERLINK("https://www.ilovepc.co.kr/news/articleView.html?idxno=54992")</f>
        <v>https://www.ilovepc.co.kr/news/articleView.html?idxno=54992</v>
      </c>
      <c r="H1831">
        <v>0.20399999999999999</v>
      </c>
    </row>
    <row r="1832" spans="1:8" x14ac:dyDescent="0.3">
      <c r="A1832" t="s">
        <v>4361</v>
      </c>
      <c r="B1832" t="s">
        <v>26951</v>
      </c>
      <c r="C1832" t="s">
        <v>4668</v>
      </c>
      <c r="D1832" t="s">
        <v>4667</v>
      </c>
      <c r="E1832" s="2" t="s">
        <v>418</v>
      </c>
      <c r="F1832" t="s">
        <v>914</v>
      </c>
      <c r="G1832" t="str">
        <f>HYPERLINK("https://www.etoday.co.kr/news/view/2479351")</f>
        <v>https://www.etoday.co.kr/news/view/2479351</v>
      </c>
      <c r="H1832">
        <v>0.56799999999999995</v>
      </c>
    </row>
    <row r="1833" spans="1:8" x14ac:dyDescent="0.3">
      <c r="A1833" t="s">
        <v>4361</v>
      </c>
      <c r="B1833" t="s">
        <v>26951</v>
      </c>
      <c r="C1833" t="s">
        <v>4670</v>
      </c>
      <c r="D1833" t="s">
        <v>4669</v>
      </c>
      <c r="E1833" s="2" t="s">
        <v>418</v>
      </c>
      <c r="F1833" t="s">
        <v>4409</v>
      </c>
      <c r="G1833" t="str">
        <f>HYPERLINK("http://kookbang.dema.mil.kr/newsWeb/20210702/1/BBSMSTR_000000100003/view.do")</f>
        <v>http://kookbang.dema.mil.kr/newsWeb/20210702/1/BBSMSTR_000000100003/view.do</v>
      </c>
      <c r="H1833">
        <v>0.63800000000000001</v>
      </c>
    </row>
    <row r="1834" spans="1:8" x14ac:dyDescent="0.3">
      <c r="A1834" t="s">
        <v>4361</v>
      </c>
      <c r="B1834" t="s">
        <v>26951</v>
      </c>
      <c r="C1834" t="s">
        <v>4672</v>
      </c>
      <c r="D1834" t="s">
        <v>4671</v>
      </c>
      <c r="E1834" s="2" t="s">
        <v>418</v>
      </c>
      <c r="F1834" t="s">
        <v>957</v>
      </c>
      <c r="G1834" t="str">
        <f>HYPERLINK("http://www.ccreview.co.kr/news/articleView.html?idxno=282180")</f>
        <v>http://www.ccreview.co.kr/news/articleView.html?idxno=282180</v>
      </c>
      <c r="H1834">
        <v>0.51200000000000001</v>
      </c>
    </row>
    <row r="1835" spans="1:8" x14ac:dyDescent="0.3">
      <c r="A1835" t="s">
        <v>4361</v>
      </c>
      <c r="B1835" t="s">
        <v>26951</v>
      </c>
      <c r="C1835" t="s">
        <v>4674</v>
      </c>
      <c r="D1835" t="s">
        <v>4673</v>
      </c>
      <c r="E1835" s="2" t="s">
        <v>418</v>
      </c>
      <c r="F1835" t="s">
        <v>4384</v>
      </c>
      <c r="G1835" t="str">
        <f>HYPERLINK("https://www.financialpost.co.kr/news/articleView.html?idxno=228200")</f>
        <v>https://www.financialpost.co.kr/news/articleView.html?idxno=228200</v>
      </c>
      <c r="H1835">
        <v>0.61499999999999999</v>
      </c>
    </row>
    <row r="1836" spans="1:8" x14ac:dyDescent="0.3">
      <c r="A1836" t="s">
        <v>4361</v>
      </c>
      <c r="B1836" t="s">
        <v>26951</v>
      </c>
      <c r="C1836" t="s">
        <v>4677</v>
      </c>
      <c r="D1836" t="s">
        <v>4676</v>
      </c>
      <c r="E1836" s="2" t="s">
        <v>418</v>
      </c>
      <c r="F1836" t="s">
        <v>4675</v>
      </c>
      <c r="G1836" t="str">
        <f>HYPERLINK("https://n.news.naver.com/mnews/article/018/0006053386?sid=101")</f>
        <v>https://n.news.naver.com/mnews/article/018/0006053386?sid=101</v>
      </c>
      <c r="H1836">
        <v>0.19500000000000001</v>
      </c>
    </row>
    <row r="1837" spans="1:8" x14ac:dyDescent="0.3">
      <c r="A1837" t="s">
        <v>4361</v>
      </c>
      <c r="B1837" t="s">
        <v>26951</v>
      </c>
      <c r="C1837" t="s">
        <v>4679</v>
      </c>
      <c r="D1837" t="s">
        <v>4678</v>
      </c>
      <c r="E1837" s="2" t="s">
        <v>418</v>
      </c>
      <c r="F1837" t="s">
        <v>886</v>
      </c>
      <c r="G1837" t="str">
        <f>HYPERLINK("https://n.news.naver.com/mnews/article/056/0011974712?sid=100")</f>
        <v>https://n.news.naver.com/mnews/article/056/0011974712?sid=100</v>
      </c>
      <c r="H1837">
        <v>0.29299999999999998</v>
      </c>
    </row>
    <row r="1838" spans="1:8" x14ac:dyDescent="0.3">
      <c r="A1838" t="s">
        <v>4361</v>
      </c>
      <c r="B1838" t="s">
        <v>26951</v>
      </c>
      <c r="C1838" t="s">
        <v>4681</v>
      </c>
      <c r="D1838" t="s">
        <v>4680</v>
      </c>
      <c r="E1838" s="2" t="s">
        <v>418</v>
      </c>
      <c r="F1838" t="s">
        <v>4492</v>
      </c>
      <c r="G1838" t="str">
        <f>HYPERLINK("https://n.news.naver.com/mnews/article/018/0006053386?sid=101")</f>
        <v>https://n.news.naver.com/mnews/article/018/0006053386?sid=101</v>
      </c>
      <c r="H1838">
        <v>0.308</v>
      </c>
    </row>
    <row r="1839" spans="1:8" x14ac:dyDescent="0.3">
      <c r="A1839" t="s">
        <v>4361</v>
      </c>
      <c r="B1839" t="s">
        <v>26951</v>
      </c>
      <c r="C1839" t="s">
        <v>4683</v>
      </c>
      <c r="D1839" t="s">
        <v>4682</v>
      </c>
      <c r="E1839" s="2" t="s">
        <v>418</v>
      </c>
      <c r="F1839" t="s">
        <v>4430</v>
      </c>
      <c r="G1839" t="str">
        <f>HYPERLINK("http://kor.theasian.asia/archives/371039")</f>
        <v>http://kor.theasian.asia/archives/371039</v>
      </c>
      <c r="H1839">
        <v>0.48</v>
      </c>
    </row>
    <row r="1840" spans="1:8" x14ac:dyDescent="0.3">
      <c r="A1840" t="s">
        <v>4361</v>
      </c>
      <c r="B1840" t="s">
        <v>26951</v>
      </c>
      <c r="C1840" t="s">
        <v>4685</v>
      </c>
      <c r="D1840" t="s">
        <v>4684</v>
      </c>
      <c r="E1840" s="2" t="s">
        <v>452</v>
      </c>
      <c r="F1840" t="s">
        <v>1274</v>
      </c>
      <c r="G1840" t="str">
        <f>HYPERLINK("https://n.news.naver.com/mnews/article/056/0011970752?sid=101")</f>
        <v>https://n.news.naver.com/mnews/article/056/0011970752?sid=101</v>
      </c>
      <c r="H1840">
        <v>0.33100000000000002</v>
      </c>
    </row>
    <row r="1841" spans="1:8" x14ac:dyDescent="0.3">
      <c r="A1841" t="s">
        <v>4361</v>
      </c>
      <c r="B1841" t="s">
        <v>26951</v>
      </c>
      <c r="C1841" t="s">
        <v>4688</v>
      </c>
      <c r="D1841" t="s">
        <v>4687</v>
      </c>
      <c r="E1841" s="2" t="s">
        <v>452</v>
      </c>
      <c r="F1841" t="s">
        <v>4686</v>
      </c>
      <c r="G1841" t="str">
        <f>HYPERLINK("https://n.news.naver.com/mnews/article/277/0002525755?sid=101")</f>
        <v>https://n.news.naver.com/mnews/article/277/0002525755?sid=101</v>
      </c>
      <c r="H1841">
        <v>0.317</v>
      </c>
    </row>
    <row r="1842" spans="1:8" x14ac:dyDescent="0.3">
      <c r="A1842" t="s">
        <v>4361</v>
      </c>
      <c r="B1842" t="s">
        <v>26951</v>
      </c>
      <c r="C1842" t="s">
        <v>4692</v>
      </c>
      <c r="D1842" t="s">
        <v>4691</v>
      </c>
      <c r="E1842" s="2" t="s">
        <v>452</v>
      </c>
      <c r="F1842" t="s">
        <v>4409</v>
      </c>
      <c r="G1842" t="str">
        <f>HYPERLINK("http://www.greened.kr/news/articleView.html?idxno=302454")</f>
        <v>http://www.greened.kr/news/articleView.html?idxno=302454</v>
      </c>
      <c r="H1842">
        <v>0.56699999999999995</v>
      </c>
    </row>
    <row r="1843" spans="1:8" x14ac:dyDescent="0.3">
      <c r="A1843" t="s">
        <v>4361</v>
      </c>
      <c r="B1843" t="s">
        <v>26951</v>
      </c>
      <c r="C1843" t="s">
        <v>4694</v>
      </c>
      <c r="D1843" t="s">
        <v>4693</v>
      </c>
      <c r="E1843" s="2" t="s">
        <v>452</v>
      </c>
      <c r="F1843" t="s">
        <v>4384</v>
      </c>
      <c r="G1843" t="str">
        <f>HYPERLINK("https://www.financialpost.co.kr/news/articleView.html?idxno=228134")</f>
        <v>https://www.financialpost.co.kr/news/articleView.html?idxno=228134</v>
      </c>
      <c r="H1843">
        <v>0.52400000000000002</v>
      </c>
    </row>
    <row r="1844" spans="1:8" x14ac:dyDescent="0.3">
      <c r="A1844" t="s">
        <v>4361</v>
      </c>
      <c r="B1844" t="s">
        <v>26951</v>
      </c>
      <c r="C1844" t="s">
        <v>4697</v>
      </c>
      <c r="D1844" t="s">
        <v>4696</v>
      </c>
      <c r="E1844" s="2" t="s">
        <v>452</v>
      </c>
      <c r="F1844" t="s">
        <v>4695</v>
      </c>
      <c r="G1844" t="str">
        <f>HYPERLINK("https://n.news.naver.com/mnews/article/277/0005395451?sid=104")</f>
        <v>https://n.news.naver.com/mnews/article/277/0005395451?sid=104</v>
      </c>
      <c r="H1844">
        <v>0.156</v>
      </c>
    </row>
    <row r="1845" spans="1:8" x14ac:dyDescent="0.3">
      <c r="A1845" t="s">
        <v>4361</v>
      </c>
      <c r="B1845" t="s">
        <v>26951</v>
      </c>
      <c r="C1845" t="s">
        <v>4701</v>
      </c>
      <c r="D1845" t="s">
        <v>4700</v>
      </c>
      <c r="E1845" s="2" t="s">
        <v>452</v>
      </c>
      <c r="F1845" t="s">
        <v>4699</v>
      </c>
      <c r="G1845" t="str">
        <f>HYPERLINK("http://www.incheonin.com/news/articleView.html?idxno=100364")</f>
        <v>http://www.incheonin.com/news/articleView.html?idxno=100364</v>
      </c>
      <c r="H1845">
        <v>0.45200000000000001</v>
      </c>
    </row>
    <row r="1846" spans="1:8" x14ac:dyDescent="0.3">
      <c r="A1846" t="s">
        <v>4361</v>
      </c>
      <c r="B1846" t="s">
        <v>26951</v>
      </c>
      <c r="C1846" t="s">
        <v>4703</v>
      </c>
      <c r="D1846" t="s">
        <v>4702</v>
      </c>
      <c r="E1846" s="2" t="s">
        <v>172</v>
      </c>
      <c r="F1846" t="s">
        <v>4533</v>
      </c>
      <c r="G1846" t="str">
        <f>HYPERLINK("https://www.ccreview.co.kr/news/articleView.html?idxno=328498")</f>
        <v>https://www.ccreview.co.kr/news/articleView.html?idxno=328498</v>
      </c>
      <c r="H1846">
        <v>0.35399999999999998</v>
      </c>
    </row>
    <row r="1847" spans="1:8" x14ac:dyDescent="0.3">
      <c r="A1847" t="s">
        <v>4361</v>
      </c>
      <c r="B1847" t="s">
        <v>26951</v>
      </c>
      <c r="C1847" t="s">
        <v>4705</v>
      </c>
      <c r="D1847" t="s">
        <v>4704</v>
      </c>
      <c r="E1847" s="2" t="s">
        <v>172</v>
      </c>
      <c r="F1847" t="s">
        <v>914</v>
      </c>
      <c r="G1847" t="str">
        <f>HYPERLINK("https://n.news.naver.com/mnews/article/079/0004027251?sid=102")</f>
        <v>https://n.news.naver.com/mnews/article/079/0004027251?sid=102</v>
      </c>
      <c r="H1847">
        <v>0.36299999999999999</v>
      </c>
    </row>
    <row r="1848" spans="1:8" x14ac:dyDescent="0.3">
      <c r="A1848" t="s">
        <v>4361</v>
      </c>
      <c r="B1848" t="s">
        <v>26951</v>
      </c>
      <c r="C1848" t="s">
        <v>4707</v>
      </c>
      <c r="D1848" t="s">
        <v>4706</v>
      </c>
      <c r="E1848" s="2" t="s">
        <v>172</v>
      </c>
      <c r="F1848" t="s">
        <v>957</v>
      </c>
      <c r="G1848" t="str">
        <f>HYPERLINK("http://www.ccreview.co.kr/news/articleView.html?idxno=282180")</f>
        <v>http://www.ccreview.co.kr/news/articleView.html?idxno=282180</v>
      </c>
      <c r="H1848">
        <v>0.48099999999999998</v>
      </c>
    </row>
    <row r="1849" spans="1:8" x14ac:dyDescent="0.3">
      <c r="A1849" t="s">
        <v>4361</v>
      </c>
      <c r="B1849" t="s">
        <v>26951</v>
      </c>
      <c r="C1849" t="s">
        <v>4709</v>
      </c>
      <c r="D1849" t="s">
        <v>4708</v>
      </c>
      <c r="E1849" s="2" t="s">
        <v>172</v>
      </c>
      <c r="F1849" t="s">
        <v>1274</v>
      </c>
      <c r="G1849" t="str">
        <f>HYPERLINK("https://www.gokorea.kr/news/articleView.html?idxno=805265")</f>
        <v>https://www.gokorea.kr/news/articleView.html?idxno=805265</v>
      </c>
      <c r="H1849">
        <v>0.53500000000000003</v>
      </c>
    </row>
    <row r="1850" spans="1:8" x14ac:dyDescent="0.3">
      <c r="A1850" t="s">
        <v>4361</v>
      </c>
      <c r="B1850" t="s">
        <v>26951</v>
      </c>
      <c r="C1850" t="s">
        <v>4711</v>
      </c>
      <c r="D1850" t="s">
        <v>4710</v>
      </c>
      <c r="E1850" s="2" t="s">
        <v>172</v>
      </c>
      <c r="F1850" t="s">
        <v>4409</v>
      </c>
      <c r="G1850" t="str">
        <f>HYPERLINK("https://www.voakorea.com/a/7863728.html")</f>
        <v>https://www.voakorea.com/a/7863728.html</v>
      </c>
      <c r="H1850">
        <v>0.51300000000000001</v>
      </c>
    </row>
    <row r="1851" spans="1:8" x14ac:dyDescent="0.3">
      <c r="A1851" t="s">
        <v>4361</v>
      </c>
      <c r="B1851" t="s">
        <v>26951</v>
      </c>
      <c r="C1851" t="s">
        <v>4713</v>
      </c>
      <c r="D1851" t="s">
        <v>4712</v>
      </c>
      <c r="E1851" s="2" t="s">
        <v>172</v>
      </c>
      <c r="F1851" t="s">
        <v>205</v>
      </c>
      <c r="G1851" t="str">
        <f>HYPERLINK("https://n.news.naver.com/mnews/article/277/0005612642?sid=101")</f>
        <v>https://n.news.naver.com/mnews/article/277/0005612642?sid=101</v>
      </c>
      <c r="H1851">
        <v>0.20599999999999999</v>
      </c>
    </row>
    <row r="1852" spans="1:8" x14ac:dyDescent="0.3">
      <c r="A1852" t="s">
        <v>4361</v>
      </c>
      <c r="B1852" t="s">
        <v>26951</v>
      </c>
      <c r="C1852" t="s">
        <v>4715</v>
      </c>
      <c r="D1852" t="s">
        <v>4714</v>
      </c>
      <c r="E1852" s="2" t="s">
        <v>172</v>
      </c>
      <c r="F1852" t="s">
        <v>215</v>
      </c>
      <c r="G1852" t="str">
        <f>HYPERLINK("https://www.newscj.com/news/articleView.html?idxno=3284595")</f>
        <v>https://www.newscj.com/news/articleView.html?idxno=3284595</v>
      </c>
      <c r="H1852">
        <v>0.84699999999999998</v>
      </c>
    </row>
    <row r="1853" spans="1:8" x14ac:dyDescent="0.3">
      <c r="A1853" t="s">
        <v>4361</v>
      </c>
      <c r="B1853" t="s">
        <v>26951</v>
      </c>
      <c r="C1853" t="s">
        <v>4717</v>
      </c>
      <c r="D1853" t="s">
        <v>4716</v>
      </c>
      <c r="E1853" s="2" t="s">
        <v>172</v>
      </c>
      <c r="F1853" t="s">
        <v>205</v>
      </c>
      <c r="G1853" t="str">
        <f>HYPERLINK("https://www.ftimes.kr/news/articleView.html?idxno=31538")</f>
        <v>https://www.ftimes.kr/news/articleView.html?idxno=31538</v>
      </c>
      <c r="H1853">
        <v>0.63900000000000001</v>
      </c>
    </row>
    <row r="1854" spans="1:8" x14ac:dyDescent="0.3">
      <c r="A1854" t="s">
        <v>4361</v>
      </c>
      <c r="B1854" t="s">
        <v>26951</v>
      </c>
      <c r="C1854" t="s">
        <v>1659</v>
      </c>
      <c r="D1854" t="s">
        <v>1658</v>
      </c>
      <c r="E1854" s="2" t="s">
        <v>172</v>
      </c>
      <c r="F1854" t="s">
        <v>1465</v>
      </c>
      <c r="G1854" t="str">
        <f>HYPERLINK("https://n.news.naver.com/mnews/article/018/0006041509?sid=101")</f>
        <v>https://n.news.naver.com/mnews/article/018/0006041509?sid=101</v>
      </c>
      <c r="H1854">
        <v>0.16800000000000001</v>
      </c>
    </row>
    <row r="1855" spans="1:8" x14ac:dyDescent="0.3">
      <c r="A1855" t="s">
        <v>4361</v>
      </c>
      <c r="B1855" t="s">
        <v>26951</v>
      </c>
      <c r="C1855" t="s">
        <v>4719</v>
      </c>
      <c r="D1855" t="s">
        <v>4718</v>
      </c>
      <c r="E1855" s="2" t="s">
        <v>172</v>
      </c>
      <c r="F1855" t="s">
        <v>530</v>
      </c>
      <c r="G1855" t="str">
        <f>HYPERLINK("http://www.seoulfn.com/news/articleView.html?idxno=561001")</f>
        <v>http://www.seoulfn.com/news/articleView.html?idxno=561001</v>
      </c>
      <c r="H1855">
        <v>0.74</v>
      </c>
    </row>
    <row r="1856" spans="1:8" x14ac:dyDescent="0.3">
      <c r="A1856" t="s">
        <v>4361</v>
      </c>
      <c r="B1856" t="s">
        <v>26951</v>
      </c>
      <c r="C1856" t="s">
        <v>4721</v>
      </c>
      <c r="D1856" t="s">
        <v>4720</v>
      </c>
      <c r="E1856" s="2" t="s">
        <v>196</v>
      </c>
      <c r="F1856" t="s">
        <v>914</v>
      </c>
      <c r="G1856" t="str">
        <f>HYPERLINK("https://www.cstimes.com/news/articleView.html?idxno=653130")</f>
        <v>https://www.cstimes.com/news/articleView.html?idxno=653130</v>
      </c>
      <c r="H1856">
        <v>0.47899999999999998</v>
      </c>
    </row>
    <row r="1857" spans="1:8" x14ac:dyDescent="0.3">
      <c r="A1857" t="s">
        <v>4361</v>
      </c>
      <c r="B1857" t="s">
        <v>26951</v>
      </c>
      <c r="C1857" t="s">
        <v>4723</v>
      </c>
      <c r="D1857" t="s">
        <v>4722</v>
      </c>
      <c r="E1857" s="2" t="s">
        <v>196</v>
      </c>
      <c r="F1857" t="s">
        <v>4409</v>
      </c>
      <c r="G1857" t="str">
        <f>HYPERLINK("https://www.weeklytrade.co.kr/news/view.html?section=1&amp;category=3&amp;item=&amp;no=84927")</f>
        <v>https://www.weeklytrade.co.kr/news/view.html?section=1&amp;category=3&amp;item=&amp;no=84927</v>
      </c>
      <c r="H1857">
        <v>0.38600000000000001</v>
      </c>
    </row>
    <row r="1858" spans="1:8" x14ac:dyDescent="0.3">
      <c r="A1858" t="s">
        <v>4361</v>
      </c>
      <c r="B1858" t="s">
        <v>26951</v>
      </c>
      <c r="C1858" t="s">
        <v>4725</v>
      </c>
      <c r="D1858" t="s">
        <v>4724</v>
      </c>
      <c r="E1858" s="2" t="s">
        <v>196</v>
      </c>
      <c r="F1858" t="s">
        <v>4409</v>
      </c>
      <c r="G1858" t="str">
        <f>HYPERLINK("https://n.news.naver.com/mnews/article/028/0002671713?sid=101")</f>
        <v>https://n.news.naver.com/mnews/article/028/0002671713?sid=101</v>
      </c>
      <c r="H1858">
        <v>0.26800000000000002</v>
      </c>
    </row>
    <row r="1859" spans="1:8" x14ac:dyDescent="0.3">
      <c r="A1859" t="s">
        <v>4361</v>
      </c>
      <c r="B1859" t="s">
        <v>26951</v>
      </c>
      <c r="C1859" t="s">
        <v>4727</v>
      </c>
      <c r="D1859" t="s">
        <v>4726</v>
      </c>
      <c r="E1859" s="2" t="s">
        <v>196</v>
      </c>
      <c r="F1859" t="s">
        <v>1136</v>
      </c>
      <c r="G1859" t="str">
        <f>HYPERLINK("https://n.news.naver.com/mnews/article/018/0005537573?sid=101")</f>
        <v>https://n.news.naver.com/mnews/article/018/0005537573?sid=101</v>
      </c>
      <c r="H1859">
        <v>0.17</v>
      </c>
    </row>
    <row r="1860" spans="1:8" x14ac:dyDescent="0.3">
      <c r="A1860" t="s">
        <v>4361</v>
      </c>
      <c r="B1860" t="s">
        <v>26951</v>
      </c>
      <c r="C1860" t="s">
        <v>4729</v>
      </c>
      <c r="D1860" t="s">
        <v>4728</v>
      </c>
      <c r="E1860" s="2" t="s">
        <v>196</v>
      </c>
      <c r="F1860" t="s">
        <v>332</v>
      </c>
      <c r="G1860" t="str">
        <f>HYPERLINK("https://n.news.naver.com/mnews/article/018/0006053386?sid=101")</f>
        <v>https://n.news.naver.com/mnews/article/018/0006053386?sid=101</v>
      </c>
      <c r="H1860">
        <v>0.17499999999999999</v>
      </c>
    </row>
    <row r="1861" spans="1:8" x14ac:dyDescent="0.3">
      <c r="A1861" t="s">
        <v>4361</v>
      </c>
      <c r="B1861" t="s">
        <v>26951</v>
      </c>
      <c r="C1861" t="s">
        <v>4732</v>
      </c>
      <c r="D1861" t="s">
        <v>4731</v>
      </c>
      <c r="E1861" s="2" t="s">
        <v>196</v>
      </c>
      <c r="F1861" t="s">
        <v>4730</v>
      </c>
      <c r="G1861" t="str">
        <f>HYPERLINK("https://n.news.naver.com/mnews/article/277/0005350875?sid=101")</f>
        <v>https://n.news.naver.com/mnews/article/277/0005350875?sid=101</v>
      </c>
      <c r="H1861">
        <v>0.251</v>
      </c>
    </row>
    <row r="1862" spans="1:8" x14ac:dyDescent="0.3">
      <c r="A1862" t="s">
        <v>4361</v>
      </c>
      <c r="B1862" t="s">
        <v>26951</v>
      </c>
      <c r="C1862" t="s">
        <v>4735</v>
      </c>
      <c r="D1862" t="s">
        <v>4734</v>
      </c>
      <c r="E1862" s="2" t="s">
        <v>196</v>
      </c>
      <c r="F1862" t="s">
        <v>166</v>
      </c>
      <c r="G1862" t="str">
        <f>HYPERLINK("https://n.news.naver.com/mnews/article/277/0005615520?sid=101")</f>
        <v>https://n.news.naver.com/mnews/article/277/0005615520?sid=101</v>
      </c>
      <c r="H1862">
        <v>0.106</v>
      </c>
    </row>
    <row r="1863" spans="1:8" x14ac:dyDescent="0.3">
      <c r="A1863" t="s">
        <v>4361</v>
      </c>
      <c r="B1863" t="s">
        <v>26951</v>
      </c>
      <c r="C1863" t="s">
        <v>4738</v>
      </c>
      <c r="D1863" t="s">
        <v>4737</v>
      </c>
      <c r="E1863" s="2" t="s">
        <v>196</v>
      </c>
      <c r="F1863" t="s">
        <v>4736</v>
      </c>
      <c r="G1863" t="str">
        <f>HYPERLINK("https://n.news.naver.com/mnews/article/006/0000118311?sid=102")</f>
        <v>https://n.news.naver.com/mnews/article/006/0000118311?sid=102</v>
      </c>
      <c r="H1863">
        <v>0.26500000000000001</v>
      </c>
    </row>
    <row r="1864" spans="1:8" x14ac:dyDescent="0.3">
      <c r="A1864" t="s">
        <v>4361</v>
      </c>
      <c r="B1864" t="s">
        <v>26951</v>
      </c>
      <c r="C1864" t="s">
        <v>4741</v>
      </c>
      <c r="D1864" t="s">
        <v>4740</v>
      </c>
      <c r="E1864" s="2" t="s">
        <v>230</v>
      </c>
      <c r="F1864" t="s">
        <v>4739</v>
      </c>
      <c r="G1864" t="str">
        <f>HYPERLINK("http://www.worldkorean.net/news/articleView.html?idxno=44511")</f>
        <v>http://www.worldkorean.net/news/articleView.html?idxno=44511</v>
      </c>
      <c r="H1864">
        <v>0.35699999999999998</v>
      </c>
    </row>
    <row r="1865" spans="1:8" x14ac:dyDescent="0.3">
      <c r="A1865" t="s">
        <v>4361</v>
      </c>
      <c r="B1865" t="s">
        <v>26951</v>
      </c>
      <c r="C1865" t="s">
        <v>4744</v>
      </c>
      <c r="D1865" t="s">
        <v>4743</v>
      </c>
      <c r="E1865" s="2" t="s">
        <v>230</v>
      </c>
      <c r="F1865" t="s">
        <v>4742</v>
      </c>
      <c r="G1865" t="str">
        <f>HYPERLINK("http://kor.theasian.asia/archives/386205")</f>
        <v>http://kor.theasian.asia/archives/386205</v>
      </c>
      <c r="H1865">
        <v>0.35099999999999998</v>
      </c>
    </row>
    <row r="1866" spans="1:8" x14ac:dyDescent="0.3">
      <c r="A1866" t="s">
        <v>4361</v>
      </c>
      <c r="B1866" t="s">
        <v>26951</v>
      </c>
      <c r="C1866" t="s">
        <v>4747</v>
      </c>
      <c r="D1866" t="s">
        <v>4746</v>
      </c>
      <c r="E1866" s="2" t="s">
        <v>230</v>
      </c>
      <c r="F1866" t="s">
        <v>4745</v>
      </c>
      <c r="G1866" t="str">
        <f>HYPERLINK("http://kor.theasian.asia/archives/301960")</f>
        <v>http://kor.theasian.asia/archives/301960</v>
      </c>
      <c r="H1866">
        <v>0.39200000000000002</v>
      </c>
    </row>
    <row r="1867" spans="1:8" x14ac:dyDescent="0.3">
      <c r="A1867" t="s">
        <v>4361</v>
      </c>
      <c r="B1867" t="s">
        <v>26951</v>
      </c>
      <c r="C1867" t="s">
        <v>4749</v>
      </c>
      <c r="D1867" t="s">
        <v>4748</v>
      </c>
      <c r="E1867" s="2" t="s">
        <v>230</v>
      </c>
      <c r="F1867" t="s">
        <v>4409</v>
      </c>
      <c r="G1867" t="str">
        <f>HYPERLINK("http://www.naeil.com/news_view/?id_art=478634")</f>
        <v>http://www.naeil.com/news_view/?id_art=478634</v>
      </c>
      <c r="H1867">
        <v>0.53900000000000003</v>
      </c>
    </row>
    <row r="1868" spans="1:8" x14ac:dyDescent="0.3">
      <c r="A1868" t="s">
        <v>4361</v>
      </c>
      <c r="B1868" t="s">
        <v>26951</v>
      </c>
      <c r="C1868" t="s">
        <v>4751</v>
      </c>
      <c r="D1868" t="s">
        <v>4750</v>
      </c>
      <c r="E1868" s="2" t="s">
        <v>230</v>
      </c>
      <c r="F1868" t="s">
        <v>776</v>
      </c>
      <c r="G1868" t="str">
        <f>HYPERLINK("https://www.ilyoseoul.co.kr/news/articleView.html?idxno=503983")</f>
        <v>https://www.ilyoseoul.co.kr/news/articleView.html?idxno=503983</v>
      </c>
      <c r="H1868">
        <v>0.70399999999999996</v>
      </c>
    </row>
    <row r="1869" spans="1:8" x14ac:dyDescent="0.3">
      <c r="A1869" t="s">
        <v>4361</v>
      </c>
      <c r="B1869" t="s">
        <v>26951</v>
      </c>
      <c r="C1869" t="s">
        <v>4753</v>
      </c>
      <c r="D1869" t="s">
        <v>4752</v>
      </c>
      <c r="E1869" s="2" t="s">
        <v>230</v>
      </c>
      <c r="F1869" t="s">
        <v>4549</v>
      </c>
      <c r="G1869" t="str">
        <f>HYPERLINK("https://www.idaegu.co.kr/news/articleView.html?idxno=470260")</f>
        <v>https://www.idaegu.co.kr/news/articleView.html?idxno=470260</v>
      </c>
      <c r="H1869">
        <v>0.29199999999999998</v>
      </c>
    </row>
    <row r="1870" spans="1:8" x14ac:dyDescent="0.3">
      <c r="A1870" t="s">
        <v>4361</v>
      </c>
      <c r="B1870" t="s">
        <v>26951</v>
      </c>
      <c r="C1870" t="s">
        <v>4755</v>
      </c>
      <c r="D1870" t="s">
        <v>4754</v>
      </c>
      <c r="E1870" s="2" t="s">
        <v>267</v>
      </c>
      <c r="F1870" t="s">
        <v>4409</v>
      </c>
      <c r="G1870" t="str">
        <f>HYPERLINK("https://www.newscj.com/news/articleView.html?idxno=3284579")</f>
        <v>https://www.newscj.com/news/articleView.html?idxno=3284579</v>
      </c>
      <c r="H1870">
        <v>0.53500000000000003</v>
      </c>
    </row>
    <row r="1871" spans="1:8" x14ac:dyDescent="0.3">
      <c r="A1871" t="s">
        <v>4361</v>
      </c>
      <c r="B1871" t="s">
        <v>26951</v>
      </c>
      <c r="C1871" t="s">
        <v>4757</v>
      </c>
      <c r="D1871" t="s">
        <v>4756</v>
      </c>
      <c r="E1871" s="2" t="s">
        <v>267</v>
      </c>
      <c r="F1871" t="s">
        <v>1546</v>
      </c>
      <c r="G1871" t="str">
        <f>HYPERLINK("https://kookbang.dema.mil.kr/newsWeb/20250616/2/ATCE_CTGR_0050030000/view.do")</f>
        <v>https://kookbang.dema.mil.kr/newsWeb/20250616/2/ATCE_CTGR_0050030000/view.do</v>
      </c>
      <c r="H1871">
        <v>0.64400000000000002</v>
      </c>
    </row>
    <row r="1872" spans="1:8" x14ac:dyDescent="0.3">
      <c r="A1872" t="s">
        <v>4361</v>
      </c>
      <c r="B1872" t="s">
        <v>26951</v>
      </c>
      <c r="C1872" t="s">
        <v>4760</v>
      </c>
      <c r="D1872" t="s">
        <v>4759</v>
      </c>
      <c r="E1872" s="2" t="s">
        <v>280</v>
      </c>
      <c r="F1872" t="s">
        <v>4758</v>
      </c>
      <c r="G1872" t="str">
        <f>HYPERLINK("https://n.news.naver.com/mnews/article/277/0005597880?sid=101")</f>
        <v>https://n.news.naver.com/mnews/article/277/0005597880?sid=101</v>
      </c>
      <c r="H1872">
        <v>0.214</v>
      </c>
    </row>
    <row r="1873" spans="1:8" x14ac:dyDescent="0.3">
      <c r="A1873" t="s">
        <v>4361</v>
      </c>
      <c r="B1873" t="s">
        <v>26951</v>
      </c>
      <c r="C1873" t="s">
        <v>4762</v>
      </c>
      <c r="D1873" t="s">
        <v>4761</v>
      </c>
      <c r="E1873" s="2" t="s">
        <v>280</v>
      </c>
      <c r="F1873" t="s">
        <v>4409</v>
      </c>
      <c r="G1873" t="str">
        <f>HYPERLINK("https://www.ilovepc.co.kr/news/articleView.html?idxno=54845")</f>
        <v>https://www.ilovepc.co.kr/news/articleView.html?idxno=54845</v>
      </c>
      <c r="H1873">
        <v>0.46800000000000003</v>
      </c>
    </row>
    <row r="1874" spans="1:8" x14ac:dyDescent="0.3">
      <c r="A1874" t="s">
        <v>4361</v>
      </c>
      <c r="B1874" t="s">
        <v>26951</v>
      </c>
      <c r="C1874" t="s">
        <v>4764</v>
      </c>
      <c r="D1874" t="s">
        <v>4763</v>
      </c>
      <c r="E1874" s="2" t="s">
        <v>280</v>
      </c>
      <c r="F1874" t="s">
        <v>4533</v>
      </c>
      <c r="G1874" t="str">
        <f>HYPERLINK("https://www.cnbnews.com/news/article.html?no=717455")</f>
        <v>https://www.cnbnews.com/news/article.html?no=717455</v>
      </c>
      <c r="H1874">
        <v>0.435</v>
      </c>
    </row>
    <row r="1875" spans="1:8" x14ac:dyDescent="0.3">
      <c r="A1875" t="s">
        <v>4361</v>
      </c>
      <c r="B1875" t="s">
        <v>26951</v>
      </c>
      <c r="C1875" t="s">
        <v>4766</v>
      </c>
      <c r="D1875" t="s">
        <v>4765</v>
      </c>
      <c r="E1875" s="2" t="s">
        <v>280</v>
      </c>
      <c r="F1875" t="s">
        <v>1274</v>
      </c>
      <c r="G1875" t="str">
        <f>HYPERLINK("https://www.tokenpost.kr/article-190189")</f>
        <v>https://www.tokenpost.kr/article-190189</v>
      </c>
      <c r="H1875">
        <v>0.45100000000000001</v>
      </c>
    </row>
    <row r="1876" spans="1:8" x14ac:dyDescent="0.3">
      <c r="A1876" t="s">
        <v>4361</v>
      </c>
      <c r="B1876" t="s">
        <v>26951</v>
      </c>
      <c r="C1876" t="s">
        <v>4769</v>
      </c>
      <c r="D1876" t="s">
        <v>4768</v>
      </c>
      <c r="E1876" s="2" t="s">
        <v>280</v>
      </c>
      <c r="F1876" t="s">
        <v>4767</v>
      </c>
      <c r="G1876" t="str">
        <f>HYPERLINK("https://n.news.naver.com/mnews/article/277/0003654780?sid=102")</f>
        <v>https://n.news.naver.com/mnews/article/277/0003654780?sid=102</v>
      </c>
      <c r="H1876">
        <v>0.26800000000000002</v>
      </c>
    </row>
    <row r="1877" spans="1:8" x14ac:dyDescent="0.3">
      <c r="A1877" t="s">
        <v>4361</v>
      </c>
      <c r="B1877" t="s">
        <v>26951</v>
      </c>
      <c r="C1877" t="s">
        <v>4771</v>
      </c>
      <c r="D1877" t="s">
        <v>4770</v>
      </c>
      <c r="E1877" s="2" t="s">
        <v>7</v>
      </c>
      <c r="F1877" t="s">
        <v>1274</v>
      </c>
      <c r="G1877" t="str">
        <f>HYPERLINK("https://n.news.naver.com/mnews/article/277/0004047353?sid=100")</f>
        <v>https://n.news.naver.com/mnews/article/277/0004047353?sid=100</v>
      </c>
      <c r="H1877">
        <v>0.32</v>
      </c>
    </row>
    <row r="1878" spans="1:8" x14ac:dyDescent="0.3">
      <c r="A1878" t="s">
        <v>4361</v>
      </c>
      <c r="B1878" t="s">
        <v>26951</v>
      </c>
      <c r="C1878" t="s">
        <v>4773</v>
      </c>
      <c r="D1878" t="s">
        <v>4772</v>
      </c>
      <c r="E1878" s="2" t="s">
        <v>7</v>
      </c>
      <c r="F1878" t="s">
        <v>4409</v>
      </c>
      <c r="G1878" t="str">
        <f>HYPERLINK("https://www.ceoscoredaily.com/page/view/2025011317121467114")</f>
        <v>https://www.ceoscoredaily.com/page/view/2025011317121467114</v>
      </c>
      <c r="H1878">
        <v>0.45700000000000002</v>
      </c>
    </row>
    <row r="1879" spans="1:8" x14ac:dyDescent="0.3">
      <c r="A1879" t="s">
        <v>4361</v>
      </c>
      <c r="B1879" t="s">
        <v>26951</v>
      </c>
      <c r="C1879" t="s">
        <v>4775</v>
      </c>
      <c r="D1879" t="s">
        <v>4774</v>
      </c>
      <c r="E1879" s="2" t="s">
        <v>7</v>
      </c>
      <c r="F1879" t="s">
        <v>4409</v>
      </c>
      <c r="G1879" t="str">
        <f>HYPERLINK("http://www.ilyoseoul.co.kr/news/articleView.html?idxno=498989")</f>
        <v>http://www.ilyoseoul.co.kr/news/articleView.html?idxno=498989</v>
      </c>
      <c r="H1879">
        <v>0.38500000000000001</v>
      </c>
    </row>
    <row r="1880" spans="1:8" x14ac:dyDescent="0.3">
      <c r="A1880" t="s">
        <v>4361</v>
      </c>
      <c r="B1880" t="s">
        <v>26951</v>
      </c>
      <c r="C1880" t="s">
        <v>4778</v>
      </c>
      <c r="D1880" t="s">
        <v>4777</v>
      </c>
      <c r="E1880" s="2" t="s">
        <v>7</v>
      </c>
      <c r="F1880" t="s">
        <v>4776</v>
      </c>
      <c r="G1880" t="str">
        <f>HYPERLINK("https://n.news.naver.com/mnews/article/666/0000076267?sid=101")</f>
        <v>https://n.news.naver.com/mnews/article/666/0000076267?sid=101</v>
      </c>
      <c r="H1880">
        <v>0.161</v>
      </c>
    </row>
    <row r="1881" spans="1:8" x14ac:dyDescent="0.3">
      <c r="A1881" t="s">
        <v>4361</v>
      </c>
      <c r="B1881" t="s">
        <v>26951</v>
      </c>
      <c r="C1881" t="s">
        <v>4781</v>
      </c>
      <c r="D1881" t="s">
        <v>4780</v>
      </c>
      <c r="E1881" s="2" t="s">
        <v>66</v>
      </c>
      <c r="F1881" t="s">
        <v>4779</v>
      </c>
      <c r="G1881" t="str">
        <f>HYPERLINK("http://apnews.kr/View.aspx?No=777900")</f>
        <v>http://apnews.kr/View.aspx?No=777900</v>
      </c>
      <c r="H1881">
        <v>0.49299999999999999</v>
      </c>
    </row>
    <row r="1882" spans="1:8" x14ac:dyDescent="0.3">
      <c r="A1882" t="s">
        <v>4361</v>
      </c>
      <c r="B1882" t="s">
        <v>26951</v>
      </c>
      <c r="C1882" t="s">
        <v>4783</v>
      </c>
      <c r="D1882" t="s">
        <v>4782</v>
      </c>
      <c r="E1882" s="2" t="s">
        <v>66</v>
      </c>
      <c r="F1882" t="s">
        <v>89</v>
      </c>
      <c r="G1882" t="str">
        <f>HYPERLINK("https://n.news.naver.com/mnews/article/002/0001975495?sid=102")</f>
        <v>https://n.news.naver.com/mnews/article/002/0001975495?sid=102</v>
      </c>
      <c r="H1882">
        <v>0.25900000000000001</v>
      </c>
    </row>
    <row r="1883" spans="1:8" x14ac:dyDescent="0.3">
      <c r="A1883" t="s">
        <v>4361</v>
      </c>
      <c r="B1883" t="s">
        <v>26951</v>
      </c>
      <c r="C1883" t="s">
        <v>4785</v>
      </c>
      <c r="D1883" t="s">
        <v>4784</v>
      </c>
      <c r="E1883" s="2" t="s">
        <v>66</v>
      </c>
      <c r="F1883" t="s">
        <v>776</v>
      </c>
      <c r="G1883" t="str">
        <f>HYPERLINK("https://www.goodnews1.com/news/articleView.html?idxno=448151")</f>
        <v>https://www.goodnews1.com/news/articleView.html?idxno=448151</v>
      </c>
      <c r="H1883">
        <v>0.38600000000000001</v>
      </c>
    </row>
    <row r="1884" spans="1:8" x14ac:dyDescent="0.3">
      <c r="A1884" t="s">
        <v>4361</v>
      </c>
      <c r="B1884" t="s">
        <v>26951</v>
      </c>
      <c r="C1884" t="s">
        <v>4788</v>
      </c>
      <c r="D1884" t="s">
        <v>4787</v>
      </c>
      <c r="E1884" s="2" t="s">
        <v>66</v>
      </c>
      <c r="F1884" t="s">
        <v>4786</v>
      </c>
      <c r="G1884" t="str">
        <f>HYPERLINK("https://n.news.naver.com/mnews/article/008/0004059066?sid=100")</f>
        <v>https://n.news.naver.com/mnews/article/008/0004059066?sid=100</v>
      </c>
      <c r="H1884">
        <v>0.32</v>
      </c>
    </row>
    <row r="1885" spans="1:8" x14ac:dyDescent="0.3">
      <c r="A1885" t="s">
        <v>4361</v>
      </c>
      <c r="B1885" t="s">
        <v>26951</v>
      </c>
      <c r="C1885" t="s">
        <v>4791</v>
      </c>
      <c r="D1885" t="s">
        <v>4790</v>
      </c>
      <c r="E1885" s="2" t="s">
        <v>74</v>
      </c>
      <c r="F1885" t="s">
        <v>4789</v>
      </c>
      <c r="G1885" t="str">
        <f>HYPERLINK("https://www.cnbnews.com/news/article.html?no=704717")</f>
        <v>https://www.cnbnews.com/news/article.html?no=704717</v>
      </c>
      <c r="H1885">
        <v>0.79</v>
      </c>
    </row>
    <row r="1886" spans="1:8" x14ac:dyDescent="0.3">
      <c r="A1886" t="s">
        <v>4361</v>
      </c>
      <c r="B1886" t="s">
        <v>26951</v>
      </c>
      <c r="C1886" t="s">
        <v>4794</v>
      </c>
      <c r="D1886" t="s">
        <v>4793</v>
      </c>
      <c r="E1886" s="2" t="s">
        <v>74</v>
      </c>
      <c r="F1886" t="s">
        <v>4792</v>
      </c>
      <c r="G1886" t="str">
        <f>HYPERLINK("http://www.ggilbo.com/news/articleView.html?idxno=755237")</f>
        <v>http://www.ggilbo.com/news/articleView.html?idxno=755237</v>
      </c>
      <c r="H1886">
        <v>0.73199999999999998</v>
      </c>
    </row>
    <row r="1887" spans="1:8" x14ac:dyDescent="0.3">
      <c r="A1887" t="s">
        <v>4361</v>
      </c>
      <c r="B1887" t="s">
        <v>26951</v>
      </c>
      <c r="C1887" t="s">
        <v>4796</v>
      </c>
      <c r="D1887" t="s">
        <v>4795</v>
      </c>
      <c r="E1887" s="2" t="s">
        <v>74</v>
      </c>
      <c r="F1887" t="s">
        <v>805</v>
      </c>
      <c r="G1887" t="str">
        <f>HYPERLINK("https://n.news.naver.com/mnews/article/277/0005614502?sid=104")</f>
        <v>https://n.news.naver.com/mnews/article/277/0005614502?sid=104</v>
      </c>
      <c r="H1887">
        <v>0.23799999999999999</v>
      </c>
    </row>
    <row r="1888" spans="1:8" x14ac:dyDescent="0.3">
      <c r="A1888" t="s">
        <v>4361</v>
      </c>
      <c r="B1888" t="s">
        <v>26951</v>
      </c>
      <c r="C1888" t="s">
        <v>4798</v>
      </c>
      <c r="D1888" t="s">
        <v>4797</v>
      </c>
      <c r="E1888" s="2" t="s">
        <v>74</v>
      </c>
      <c r="F1888" t="s">
        <v>4409</v>
      </c>
      <c r="G1888" t="str">
        <f>HYPERLINK("http://www.choicenews.co.kr/news/articleView.html?idxno=149618")</f>
        <v>http://www.choicenews.co.kr/news/articleView.html?idxno=149618</v>
      </c>
      <c r="H1888">
        <v>0.66700000000000004</v>
      </c>
    </row>
    <row r="1889" spans="1:8" x14ac:dyDescent="0.3">
      <c r="A1889" t="s">
        <v>4361</v>
      </c>
      <c r="B1889" t="s">
        <v>26951</v>
      </c>
      <c r="C1889" t="s">
        <v>4800</v>
      </c>
      <c r="D1889" t="s">
        <v>4799</v>
      </c>
      <c r="E1889" s="2" t="s">
        <v>74</v>
      </c>
      <c r="F1889" t="s">
        <v>914</v>
      </c>
      <c r="G1889" t="str">
        <f>HYPERLINK("http://kpenews.com/View.aspx?No=3697191")</f>
        <v>http://kpenews.com/View.aspx?No=3697191</v>
      </c>
      <c r="H1889">
        <v>0.42499999999999999</v>
      </c>
    </row>
    <row r="1890" spans="1:8" x14ac:dyDescent="0.3">
      <c r="A1890" t="s">
        <v>4361</v>
      </c>
      <c r="B1890" t="s">
        <v>26951</v>
      </c>
      <c r="C1890" t="s">
        <v>4803</v>
      </c>
      <c r="D1890" t="s">
        <v>4802</v>
      </c>
      <c r="E1890" s="2" t="s">
        <v>74</v>
      </c>
      <c r="F1890" t="s">
        <v>4801</v>
      </c>
      <c r="G1890" t="str">
        <f>HYPERLINK("https://www.widedaily.com/news/articleView.html?idxno=271119")</f>
        <v>https://www.widedaily.com/news/articleView.html?idxno=271119</v>
      </c>
      <c r="H1890">
        <v>0.315</v>
      </c>
    </row>
    <row r="1891" spans="1:8" x14ac:dyDescent="0.3">
      <c r="A1891" t="s">
        <v>4361</v>
      </c>
      <c r="B1891" t="s">
        <v>26951</v>
      </c>
      <c r="C1891" t="s">
        <v>4805</v>
      </c>
      <c r="D1891" t="s">
        <v>4804</v>
      </c>
      <c r="E1891" s="2" t="s">
        <v>74</v>
      </c>
      <c r="F1891" t="s">
        <v>1109</v>
      </c>
      <c r="G1891" t="str">
        <f>HYPERLINK("https://www.bbc.com/korean/articles/cvg87jyxr4lo?xtor=AL-73-%5Bpartner%5D-%5Bnaver%5D-%5Bheadline%5D-%5Bkorean%5D-%5Bbizdev%5D-%5Bisapi%5D")</f>
        <v>https://www.bbc.com/korean/articles/cvg87jyxr4lo?xtor=AL-73-%5Bpartner%5D-%5Bnaver%5D-%5Bheadline%5D-%5Bkorean%5D-%5Bbizdev%5D-%5Bisapi%5D</v>
      </c>
      <c r="H1891">
        <v>0.433</v>
      </c>
    </row>
    <row r="1892" spans="1:8" x14ac:dyDescent="0.3">
      <c r="A1892" t="s">
        <v>4361</v>
      </c>
      <c r="B1892" t="s">
        <v>26951</v>
      </c>
      <c r="C1892" t="s">
        <v>4808</v>
      </c>
      <c r="D1892" t="s">
        <v>4807</v>
      </c>
      <c r="E1892" s="2" t="s">
        <v>105</v>
      </c>
      <c r="F1892" t="s">
        <v>857</v>
      </c>
      <c r="G1892" t="str">
        <f>HYPERLINK("http://www.newsworker.co.kr/news/articleView.html?idxno=381626")</f>
        <v>http://www.newsworker.co.kr/news/articleView.html?idxno=381626</v>
      </c>
      <c r="H1892">
        <v>0.155</v>
      </c>
    </row>
    <row r="1893" spans="1:8" x14ac:dyDescent="0.3">
      <c r="A1893" t="s">
        <v>4361</v>
      </c>
      <c r="B1893" t="s">
        <v>26951</v>
      </c>
      <c r="C1893" t="s">
        <v>4811</v>
      </c>
      <c r="D1893" t="s">
        <v>4810</v>
      </c>
      <c r="E1893" s="2" t="s">
        <v>105</v>
      </c>
      <c r="F1893" t="s">
        <v>4809</v>
      </c>
      <c r="G1893" t="str">
        <f>HYPERLINK("https://n.news.naver.com/mnews/article/277/0005613753?sid=103")</f>
        <v>https://n.news.naver.com/mnews/article/277/0005613753?sid=103</v>
      </c>
      <c r="H1893">
        <v>0.107</v>
      </c>
    </row>
    <row r="1894" spans="1:8" x14ac:dyDescent="0.3">
      <c r="A1894" t="s">
        <v>4361</v>
      </c>
      <c r="B1894" t="s">
        <v>26951</v>
      </c>
      <c r="C1894" t="s">
        <v>4813</v>
      </c>
      <c r="D1894" t="s">
        <v>4812</v>
      </c>
      <c r="E1894" s="2" t="s">
        <v>105</v>
      </c>
      <c r="F1894" t="s">
        <v>4409</v>
      </c>
      <c r="G1894" t="str">
        <f>HYPERLINK("http://www.ifs.or.kr/bbs/board.php?bo_table=News&amp;wr_id=53788")</f>
        <v>http://www.ifs.or.kr/bbs/board.php?bo_table=News&amp;wr_id=53788</v>
      </c>
      <c r="H1894">
        <v>0.47499999999999998</v>
      </c>
    </row>
    <row r="1895" spans="1:8" x14ac:dyDescent="0.3">
      <c r="A1895" t="s">
        <v>4361</v>
      </c>
      <c r="B1895" t="s">
        <v>26951</v>
      </c>
      <c r="C1895" t="s">
        <v>4815</v>
      </c>
      <c r="D1895" t="s">
        <v>4814</v>
      </c>
      <c r="E1895" s="2" t="s">
        <v>105</v>
      </c>
      <c r="F1895" t="s">
        <v>4623</v>
      </c>
      <c r="G1895" t="str">
        <f>HYPERLINK("https://www.apnews.kr/news/articleView.html?idxno=3026479")</f>
        <v>https://www.apnews.kr/news/articleView.html?idxno=3026479</v>
      </c>
      <c r="H1895">
        <v>0.505</v>
      </c>
    </row>
    <row r="1896" spans="1:8" x14ac:dyDescent="0.3">
      <c r="A1896" t="s">
        <v>4361</v>
      </c>
      <c r="B1896" t="s">
        <v>26951</v>
      </c>
      <c r="C1896" t="s">
        <v>4817</v>
      </c>
      <c r="D1896" t="s">
        <v>4816</v>
      </c>
      <c r="E1896" s="2" t="s">
        <v>105</v>
      </c>
      <c r="F1896" t="s">
        <v>4492</v>
      </c>
      <c r="G1896" t="str">
        <f>HYPERLINK("https://n.news.naver.com/mnews/article/018/0006053386?sid=101")</f>
        <v>https://n.news.naver.com/mnews/article/018/0006053386?sid=101</v>
      </c>
      <c r="H1896">
        <v>0.29499999999999998</v>
      </c>
    </row>
    <row r="1897" spans="1:8" x14ac:dyDescent="0.3">
      <c r="A1897" t="s">
        <v>4361</v>
      </c>
      <c r="B1897" t="s">
        <v>26951</v>
      </c>
      <c r="C1897" t="s">
        <v>4819</v>
      </c>
      <c r="D1897" t="s">
        <v>4818</v>
      </c>
      <c r="E1897" s="2" t="s">
        <v>105</v>
      </c>
      <c r="F1897" t="s">
        <v>4430</v>
      </c>
      <c r="G1897" t="str">
        <f>HYPERLINK("http://kor.theasian.asia/archives/371039")</f>
        <v>http://kor.theasian.asia/archives/371039</v>
      </c>
      <c r="H1897">
        <v>0.48599999999999999</v>
      </c>
    </row>
    <row r="1898" spans="1:8" x14ac:dyDescent="0.3">
      <c r="A1898" t="s">
        <v>4361</v>
      </c>
      <c r="B1898" t="s">
        <v>26951</v>
      </c>
      <c r="C1898" t="s">
        <v>4821</v>
      </c>
      <c r="D1898" t="s">
        <v>4820</v>
      </c>
      <c r="E1898" s="2" t="s">
        <v>105</v>
      </c>
      <c r="F1898" t="s">
        <v>805</v>
      </c>
      <c r="G1898" t="str">
        <f>HYPERLINK("http://www.ifs.or.kr/bbs/board.php?bo_table=News&amp;wr_id=3868")</f>
        <v>http://www.ifs.or.kr/bbs/board.php?bo_table=News&amp;wr_id=3868</v>
      </c>
      <c r="H1898">
        <v>0.45400000000000001</v>
      </c>
    </row>
    <row r="1899" spans="1:8" x14ac:dyDescent="0.3">
      <c r="A1899" t="s">
        <v>4361</v>
      </c>
      <c r="B1899" t="s">
        <v>26951</v>
      </c>
      <c r="C1899" t="s">
        <v>4823</v>
      </c>
      <c r="D1899" t="s">
        <v>4822</v>
      </c>
      <c r="E1899" s="2" t="s">
        <v>133</v>
      </c>
      <c r="F1899" t="s">
        <v>197</v>
      </c>
      <c r="G1899" t="str">
        <f>HYPERLINK("https://n.news.naver.com/mnews/article/014/0005359158?sid=100")</f>
        <v>https://n.news.naver.com/mnews/article/014/0005359158?sid=100</v>
      </c>
      <c r="H1899">
        <v>0.251</v>
      </c>
    </row>
    <row r="1900" spans="1:8" x14ac:dyDescent="0.3">
      <c r="A1900" t="s">
        <v>4361</v>
      </c>
      <c r="B1900" t="s">
        <v>26951</v>
      </c>
      <c r="C1900" t="s">
        <v>4825</v>
      </c>
      <c r="D1900" t="s">
        <v>4824</v>
      </c>
      <c r="E1900" s="2" t="s">
        <v>133</v>
      </c>
      <c r="F1900" t="s">
        <v>914</v>
      </c>
      <c r="G1900" t="str">
        <f>HYPERLINK("https://www.pinpointnews.co.kr/news/articleView.html?idxno=354614")</f>
        <v>https://www.pinpointnews.co.kr/news/articleView.html?idxno=354614</v>
      </c>
      <c r="H1900">
        <v>0.51500000000000001</v>
      </c>
    </row>
    <row r="1901" spans="1:8" x14ac:dyDescent="0.3">
      <c r="A1901" t="s">
        <v>4361</v>
      </c>
      <c r="B1901" t="s">
        <v>26951</v>
      </c>
      <c r="C1901" t="s">
        <v>4827</v>
      </c>
      <c r="D1901" t="s">
        <v>4826</v>
      </c>
      <c r="E1901" s="2" t="s">
        <v>133</v>
      </c>
      <c r="F1901" t="s">
        <v>1274</v>
      </c>
      <c r="G1901" t="str">
        <f>HYPERLINK("http://www.newspim.com/news/view/20201022001066")</f>
        <v>http://www.newspim.com/news/view/20201022001066</v>
      </c>
      <c r="H1901">
        <v>0.504</v>
      </c>
    </row>
    <row r="1902" spans="1:8" x14ac:dyDescent="0.3">
      <c r="A1902" t="s">
        <v>4361</v>
      </c>
      <c r="B1902" t="s">
        <v>26951</v>
      </c>
      <c r="C1902" t="s">
        <v>4829</v>
      </c>
      <c r="D1902" t="s">
        <v>4828</v>
      </c>
      <c r="E1902" s="2" t="s">
        <v>133</v>
      </c>
      <c r="F1902" t="s">
        <v>4409</v>
      </c>
      <c r="G1902" t="str">
        <f>HYPERLINK("https://www.pressman.kr/news/articleView.html?idxno=90995")</f>
        <v>https://www.pressman.kr/news/articleView.html?idxno=90995</v>
      </c>
      <c r="H1902">
        <v>0.44500000000000001</v>
      </c>
    </row>
    <row r="1903" spans="1:8" x14ac:dyDescent="0.3">
      <c r="A1903" t="s">
        <v>4361</v>
      </c>
      <c r="B1903" t="s">
        <v>26951</v>
      </c>
      <c r="C1903" t="s">
        <v>4832</v>
      </c>
      <c r="D1903" t="s">
        <v>4831</v>
      </c>
      <c r="E1903" s="2" t="s">
        <v>133</v>
      </c>
      <c r="F1903" t="s">
        <v>4492</v>
      </c>
      <c r="G1903" t="str">
        <f>HYPERLINK("https://n.news.naver.com/mnews/article/018/0006053386?sid=101")</f>
        <v>https://n.news.naver.com/mnews/article/018/0006053386?sid=101</v>
      </c>
      <c r="H1903">
        <v>0.23799999999999999</v>
      </c>
    </row>
    <row r="1904" spans="1:8" x14ac:dyDescent="0.3">
      <c r="A1904" t="s">
        <v>4361</v>
      </c>
      <c r="B1904" t="s">
        <v>26951</v>
      </c>
      <c r="C1904" t="s">
        <v>4834</v>
      </c>
      <c r="D1904" t="s">
        <v>4833</v>
      </c>
      <c r="E1904" s="2" t="s">
        <v>133</v>
      </c>
      <c r="F1904" t="s">
        <v>4623</v>
      </c>
      <c r="G1904" t="str">
        <f>HYPERLINK("https://www.apnews.kr/news/articleView.html?idxno=3010208")</f>
        <v>https://www.apnews.kr/news/articleView.html?idxno=3010208</v>
      </c>
      <c r="H1904">
        <v>0.372</v>
      </c>
    </row>
    <row r="1905" spans="1:8" x14ac:dyDescent="0.3">
      <c r="A1905" t="s">
        <v>4361</v>
      </c>
      <c r="B1905" t="s">
        <v>26951</v>
      </c>
      <c r="C1905" t="s">
        <v>4836</v>
      </c>
      <c r="D1905" t="s">
        <v>4835</v>
      </c>
      <c r="E1905" s="2" t="s">
        <v>133</v>
      </c>
      <c r="F1905" t="s">
        <v>4430</v>
      </c>
      <c r="G1905" t="str">
        <f>HYPERLINK("http://kor.theasian.asia/archives/371039")</f>
        <v>http://kor.theasian.asia/archives/371039</v>
      </c>
      <c r="H1905">
        <v>0.373</v>
      </c>
    </row>
    <row r="1906" spans="1:8" x14ac:dyDescent="0.3">
      <c r="A1906" t="s">
        <v>4837</v>
      </c>
      <c r="B1906" t="s">
        <v>26951</v>
      </c>
      <c r="C1906" t="s">
        <v>4840</v>
      </c>
      <c r="D1906" t="s">
        <v>4839</v>
      </c>
      <c r="E1906" s="2" t="s">
        <v>7</v>
      </c>
      <c r="F1906" t="s">
        <v>4838</v>
      </c>
      <c r="G1906" t="str">
        <f>HYPERLINK("https://n.news.naver.com/mnews/article/005/0001786345?sid=101")</f>
        <v>https://n.news.naver.com/mnews/article/005/0001786345?sid=101</v>
      </c>
      <c r="H1906">
        <v>0.20300000000000001</v>
      </c>
    </row>
    <row r="1907" spans="1:8" x14ac:dyDescent="0.3">
      <c r="A1907" t="s">
        <v>4837</v>
      </c>
      <c r="B1907" t="s">
        <v>26951</v>
      </c>
      <c r="C1907" t="s">
        <v>4842</v>
      </c>
      <c r="D1907" t="s">
        <v>4841</v>
      </c>
      <c r="E1907" s="2" t="s">
        <v>7</v>
      </c>
      <c r="F1907" t="s">
        <v>1327</v>
      </c>
      <c r="G1907" t="str">
        <f>HYPERLINK("https://n.news.naver.com/mnews/article/214/0001312723?sid=100")</f>
        <v>https://n.news.naver.com/mnews/article/214/0001312723?sid=100</v>
      </c>
      <c r="H1907">
        <v>0.35799999999999998</v>
      </c>
    </row>
    <row r="1908" spans="1:8" x14ac:dyDescent="0.3">
      <c r="A1908" t="s">
        <v>4837</v>
      </c>
      <c r="B1908" t="s">
        <v>26951</v>
      </c>
      <c r="C1908" t="s">
        <v>4844</v>
      </c>
      <c r="D1908" t="s">
        <v>4843</v>
      </c>
      <c r="E1908" s="2" t="s">
        <v>7</v>
      </c>
      <c r="F1908" t="s">
        <v>184</v>
      </c>
      <c r="G1908" t="str">
        <f>HYPERLINK("https://n.news.naver.com/mnews/article/079/0003395451?sid=102")</f>
        <v>https://n.news.naver.com/mnews/article/079/0003395451?sid=102</v>
      </c>
      <c r="H1908">
        <v>0.32400000000000001</v>
      </c>
    </row>
    <row r="1909" spans="1:8" x14ac:dyDescent="0.3">
      <c r="A1909" t="s">
        <v>4837</v>
      </c>
      <c r="B1909" t="s">
        <v>26951</v>
      </c>
      <c r="C1909" t="s">
        <v>4847</v>
      </c>
      <c r="D1909" t="s">
        <v>4846</v>
      </c>
      <c r="E1909" s="2" t="s">
        <v>7</v>
      </c>
      <c r="F1909" t="s">
        <v>4845</v>
      </c>
      <c r="G1909" t="str">
        <f>HYPERLINK("https://n.news.naver.com/mnews/article/662/0000072076?sid=103")</f>
        <v>https://n.news.naver.com/mnews/article/662/0000072076?sid=103</v>
      </c>
      <c r="H1909">
        <v>0.21</v>
      </c>
    </row>
    <row r="1910" spans="1:8" x14ac:dyDescent="0.3">
      <c r="A1910" t="s">
        <v>4837</v>
      </c>
      <c r="B1910" t="s">
        <v>26951</v>
      </c>
      <c r="C1910" t="s">
        <v>4849</v>
      </c>
      <c r="D1910" t="s">
        <v>4848</v>
      </c>
      <c r="E1910" s="2" t="s">
        <v>7</v>
      </c>
      <c r="F1910" t="s">
        <v>3311</v>
      </c>
      <c r="G1910" t="str">
        <f>HYPERLINK("https://n.news.naver.com/mnews/article/005/0001785408?sid=110")</f>
        <v>https://n.news.naver.com/mnews/article/005/0001785408?sid=110</v>
      </c>
      <c r="H1910">
        <v>0.20399999999999999</v>
      </c>
    </row>
    <row r="1911" spans="1:8" x14ac:dyDescent="0.3">
      <c r="A1911" t="s">
        <v>4837</v>
      </c>
      <c r="B1911" t="s">
        <v>26951</v>
      </c>
      <c r="C1911" t="s">
        <v>4851</v>
      </c>
      <c r="D1911" t="s">
        <v>4850</v>
      </c>
      <c r="E1911" s="2" t="s">
        <v>7</v>
      </c>
      <c r="F1911" t="s">
        <v>857</v>
      </c>
      <c r="G1911" t="str">
        <f>HYPERLINK("http://www.nongaek.com/news/articleView.html?idxno=91824")</f>
        <v>http://www.nongaek.com/news/articleView.html?idxno=91824</v>
      </c>
      <c r="H1911">
        <v>0.185</v>
      </c>
    </row>
    <row r="1912" spans="1:8" x14ac:dyDescent="0.3">
      <c r="A1912" t="s">
        <v>4837</v>
      </c>
      <c r="B1912" t="s">
        <v>26951</v>
      </c>
      <c r="C1912" t="s">
        <v>4853</v>
      </c>
      <c r="D1912" t="s">
        <v>4852</v>
      </c>
      <c r="E1912" s="2" t="s">
        <v>7</v>
      </c>
      <c r="F1912" t="s">
        <v>1960</v>
      </c>
      <c r="G1912" t="str">
        <f>HYPERLINK("http://apnews.kr/View.aspx?No=1539627")</f>
        <v>http://apnews.kr/View.aspx?No=1539627</v>
      </c>
      <c r="H1912">
        <v>0.14199999999999999</v>
      </c>
    </row>
    <row r="1913" spans="1:8" x14ac:dyDescent="0.3">
      <c r="A1913" t="s">
        <v>4837</v>
      </c>
      <c r="B1913" t="s">
        <v>26951</v>
      </c>
      <c r="C1913" t="s">
        <v>4855</v>
      </c>
      <c r="D1913" t="s">
        <v>4854</v>
      </c>
      <c r="E1913" s="2" t="s">
        <v>7</v>
      </c>
      <c r="F1913" t="s">
        <v>2129</v>
      </c>
      <c r="G1913" t="str">
        <f>HYPERLINK("http://www.incheonilbo.com/?mod=news&amp;act=articleView&amp;idxno=544746")</f>
        <v>http://www.incheonilbo.com/?mod=news&amp;act=articleView&amp;idxno=544746</v>
      </c>
      <c r="H1913">
        <v>9.2999999999999999E-2</v>
      </c>
    </row>
    <row r="1914" spans="1:8" x14ac:dyDescent="0.3">
      <c r="A1914" t="s">
        <v>4837</v>
      </c>
      <c r="B1914" t="s">
        <v>26951</v>
      </c>
      <c r="C1914" t="s">
        <v>4857</v>
      </c>
      <c r="D1914" t="s">
        <v>4856</v>
      </c>
      <c r="E1914" s="2" t="s">
        <v>66</v>
      </c>
      <c r="F1914" t="s">
        <v>422</v>
      </c>
      <c r="G1914" t="str">
        <f>HYPERLINK("http://www.nongaek.com/news/articleView.html?idxno=91799")</f>
        <v>http://www.nongaek.com/news/articleView.html?idxno=91799</v>
      </c>
      <c r="H1914">
        <v>0.247</v>
      </c>
    </row>
    <row r="1915" spans="1:8" x14ac:dyDescent="0.3">
      <c r="A1915" t="s">
        <v>4837</v>
      </c>
      <c r="B1915" t="s">
        <v>26951</v>
      </c>
      <c r="C1915" t="s">
        <v>4862</v>
      </c>
      <c r="D1915" t="s">
        <v>4861</v>
      </c>
      <c r="E1915" s="2" t="s">
        <v>105</v>
      </c>
      <c r="F1915" t="s">
        <v>2423</v>
      </c>
      <c r="G1915" t="str">
        <f>HYPERLINK("http://www.youthdaily.co.kr/news/article.html?no=76215")</f>
        <v>http://www.youthdaily.co.kr/news/article.html?no=76215</v>
      </c>
      <c r="H1915">
        <v>0.53600000000000003</v>
      </c>
    </row>
    <row r="1916" spans="1:8" x14ac:dyDescent="0.3">
      <c r="A1916" t="s">
        <v>4837</v>
      </c>
      <c r="B1916" t="s">
        <v>26951</v>
      </c>
      <c r="C1916" t="s">
        <v>4865</v>
      </c>
      <c r="D1916" t="s">
        <v>4864</v>
      </c>
      <c r="E1916" s="2" t="s">
        <v>105</v>
      </c>
      <c r="F1916" t="s">
        <v>4863</v>
      </c>
      <c r="G1916" t="str">
        <f>HYPERLINK("http://www.ikld.kr/news/articleView.html?idxno=245485")</f>
        <v>http://www.ikld.kr/news/articleView.html?idxno=245485</v>
      </c>
      <c r="H1916">
        <v>0.91300000000000003</v>
      </c>
    </row>
    <row r="1917" spans="1:8" x14ac:dyDescent="0.3">
      <c r="A1917" t="s">
        <v>4837</v>
      </c>
      <c r="B1917" t="s">
        <v>26951</v>
      </c>
      <c r="C1917" t="s">
        <v>4868</v>
      </c>
      <c r="D1917" t="s">
        <v>4867</v>
      </c>
      <c r="E1917" s="2" t="s">
        <v>105</v>
      </c>
      <c r="F1917" t="s">
        <v>4866</v>
      </c>
      <c r="G1917" t="str">
        <f>HYPERLINK("http://www.siminsori.com/news/articleView.html?idxno=293728")</f>
        <v>http://www.siminsori.com/news/articleView.html?idxno=293728</v>
      </c>
      <c r="H1917">
        <v>0.98399999999999999</v>
      </c>
    </row>
    <row r="1918" spans="1:8" x14ac:dyDescent="0.3">
      <c r="A1918" t="s">
        <v>4837</v>
      </c>
      <c r="B1918" t="s">
        <v>26951</v>
      </c>
      <c r="C1918" t="s">
        <v>4872</v>
      </c>
      <c r="D1918" t="s">
        <v>4871</v>
      </c>
      <c r="E1918" s="2" t="s">
        <v>105</v>
      </c>
      <c r="F1918" t="s">
        <v>4870</v>
      </c>
      <c r="G1918" t="str">
        <f>HYPERLINK("http://www.idjnews.kr/news/articleView.html?idxno=203131")</f>
        <v>http://www.idjnews.kr/news/articleView.html?idxno=203131</v>
      </c>
      <c r="H1918">
        <v>0.26900000000000002</v>
      </c>
    </row>
    <row r="1919" spans="1:8" x14ac:dyDescent="0.3">
      <c r="A1919" t="s">
        <v>4837</v>
      </c>
      <c r="B1919" t="s">
        <v>26951</v>
      </c>
      <c r="C1919" t="s">
        <v>4874</v>
      </c>
      <c r="D1919" t="s">
        <v>4873</v>
      </c>
      <c r="E1919" s="2" t="s">
        <v>105</v>
      </c>
      <c r="F1919" t="s">
        <v>3311</v>
      </c>
      <c r="G1919" t="str">
        <f>HYPERLINK("https://n.news.naver.com/mnews/article/005/0001784391?sid=110")</f>
        <v>https://n.news.naver.com/mnews/article/005/0001784391?sid=110</v>
      </c>
      <c r="H1919">
        <v>0.22</v>
      </c>
    </row>
    <row r="1920" spans="1:8" x14ac:dyDescent="0.3">
      <c r="A1920" t="s">
        <v>4837</v>
      </c>
      <c r="B1920" t="s">
        <v>26951</v>
      </c>
      <c r="C1920" t="s">
        <v>4876</v>
      </c>
      <c r="D1920" t="s">
        <v>4875</v>
      </c>
      <c r="E1920" s="2" t="s">
        <v>105</v>
      </c>
      <c r="F1920" t="s">
        <v>3311</v>
      </c>
      <c r="G1920" t="str">
        <f>HYPERLINK("https://n.news.naver.com/mnews/article/005/0001783850?sid=110")</f>
        <v>https://n.news.naver.com/mnews/article/005/0001783850?sid=110</v>
      </c>
      <c r="H1920">
        <v>0.23799999999999999</v>
      </c>
    </row>
    <row r="1921" spans="1:8" x14ac:dyDescent="0.3">
      <c r="A1921" t="s">
        <v>4837</v>
      </c>
      <c r="B1921" t="s">
        <v>26951</v>
      </c>
      <c r="C1921" t="s">
        <v>4878</v>
      </c>
      <c r="D1921" t="s">
        <v>4877</v>
      </c>
      <c r="E1921" s="2" t="s">
        <v>105</v>
      </c>
      <c r="F1921" t="s">
        <v>3311</v>
      </c>
      <c r="G1921" t="str">
        <f>HYPERLINK("https://n.news.naver.com/mnews/article/005/0001784110?sid=110")</f>
        <v>https://n.news.naver.com/mnews/article/005/0001784110?sid=110</v>
      </c>
      <c r="H1921">
        <v>0.23200000000000001</v>
      </c>
    </row>
    <row r="1922" spans="1:8" x14ac:dyDescent="0.3">
      <c r="A1922" t="s">
        <v>4837</v>
      </c>
      <c r="B1922" t="s">
        <v>26951</v>
      </c>
      <c r="C1922" t="s">
        <v>4881</v>
      </c>
      <c r="D1922" t="s">
        <v>4880</v>
      </c>
      <c r="E1922" s="2" t="s">
        <v>105</v>
      </c>
      <c r="F1922" t="s">
        <v>4879</v>
      </c>
      <c r="G1922" t="str">
        <f>HYPERLINK("https://www.fortunekorea.co.kr/news/articleView.html?idxno=35122")</f>
        <v>https://www.fortunekorea.co.kr/news/articleView.html?idxno=35122</v>
      </c>
      <c r="H1922">
        <v>0.33</v>
      </c>
    </row>
    <row r="1923" spans="1:8" x14ac:dyDescent="0.3">
      <c r="A1923" t="s">
        <v>4837</v>
      </c>
      <c r="B1923" t="s">
        <v>26951</v>
      </c>
      <c r="C1923" t="s">
        <v>4883</v>
      </c>
      <c r="D1923" t="s">
        <v>4882</v>
      </c>
      <c r="E1923" s="2" t="s">
        <v>105</v>
      </c>
      <c r="F1923" t="s">
        <v>857</v>
      </c>
      <c r="G1923" t="str">
        <f>HYPERLINK("https://n.news.naver.com/mnews/article/005/0001782955?sid=103")</f>
        <v>https://n.news.naver.com/mnews/article/005/0001782955?sid=103</v>
      </c>
      <c r="H1923">
        <v>0.16700000000000001</v>
      </c>
    </row>
    <row r="1924" spans="1:8" x14ac:dyDescent="0.3">
      <c r="A1924" t="s">
        <v>4837</v>
      </c>
      <c r="B1924" t="s">
        <v>26951</v>
      </c>
      <c r="C1924" t="s">
        <v>4885</v>
      </c>
      <c r="D1924" t="s">
        <v>4884</v>
      </c>
      <c r="E1924" s="2" t="s">
        <v>105</v>
      </c>
      <c r="F1924" t="s">
        <v>96</v>
      </c>
      <c r="G1924" t="str">
        <f>HYPERLINK("https://www.apnews.kr/news/articleView.html?idxno=3008535")</f>
        <v>https://www.apnews.kr/news/articleView.html?idxno=3008535</v>
      </c>
      <c r="H1924">
        <v>6.5000000000000002E-2</v>
      </c>
    </row>
    <row r="1925" spans="1:8" x14ac:dyDescent="0.3">
      <c r="A1925" t="s">
        <v>4837</v>
      </c>
      <c r="B1925" t="s">
        <v>26951</v>
      </c>
      <c r="C1925" t="s">
        <v>4187</v>
      </c>
      <c r="D1925" t="s">
        <v>4186</v>
      </c>
      <c r="E1925" s="2" t="s">
        <v>105</v>
      </c>
      <c r="F1925" t="s">
        <v>1960</v>
      </c>
      <c r="G1925" t="str">
        <f>HYPERLINK("https://n.news.naver.com/mnews/article/006/0000082444?sid=102")</f>
        <v>https://n.news.naver.com/mnews/article/006/0000082444?sid=102</v>
      </c>
      <c r="H1925">
        <v>7.6999999999999999E-2</v>
      </c>
    </row>
    <row r="1926" spans="1:8" x14ac:dyDescent="0.3">
      <c r="A1926" t="s">
        <v>4837</v>
      </c>
      <c r="B1926" t="s">
        <v>26951</v>
      </c>
      <c r="C1926" t="s">
        <v>4887</v>
      </c>
      <c r="D1926" t="s">
        <v>4886</v>
      </c>
      <c r="E1926" s="2" t="s">
        <v>105</v>
      </c>
      <c r="F1926" t="s">
        <v>1402</v>
      </c>
      <c r="G1926" t="str">
        <f>HYPERLINK("https://n.news.naver.com/mnews/article/022/0004047866?sid=102")</f>
        <v>https://n.news.naver.com/mnews/article/022/0004047866?sid=102</v>
      </c>
      <c r="H1926">
        <v>0.107</v>
      </c>
    </row>
    <row r="1927" spans="1:8" x14ac:dyDescent="0.3">
      <c r="A1927" t="s">
        <v>4837</v>
      </c>
      <c r="B1927" t="s">
        <v>26951</v>
      </c>
      <c r="C1927" t="s">
        <v>4889</v>
      </c>
      <c r="D1927" t="s">
        <v>4888</v>
      </c>
      <c r="E1927" s="2" t="s">
        <v>105</v>
      </c>
      <c r="F1927" t="s">
        <v>2135</v>
      </c>
      <c r="G1927" t="str">
        <f>HYPERLINK("https://n.news.naver.com/mnews/article/006/0000021026?sid=102")</f>
        <v>https://n.news.naver.com/mnews/article/006/0000021026?sid=102</v>
      </c>
      <c r="H1927">
        <v>6.2E-2</v>
      </c>
    </row>
    <row r="1928" spans="1:8" x14ac:dyDescent="0.3">
      <c r="A1928" t="s">
        <v>4837</v>
      </c>
      <c r="B1928" t="s">
        <v>26951</v>
      </c>
      <c r="C1928" t="s">
        <v>4892</v>
      </c>
      <c r="D1928" t="s">
        <v>4891</v>
      </c>
      <c r="E1928" s="2" t="s">
        <v>133</v>
      </c>
      <c r="F1928" t="s">
        <v>4890</v>
      </c>
      <c r="G1928" t="str">
        <f>HYPERLINK("https://www.getnews.co.kr/news/articleView.html?idxno=828856")</f>
        <v>https://www.getnews.co.kr/news/articleView.html?idxno=828856</v>
      </c>
      <c r="H1928">
        <v>0.28199999999999997</v>
      </c>
    </row>
    <row r="1929" spans="1:8" x14ac:dyDescent="0.3">
      <c r="A1929" t="s">
        <v>4837</v>
      </c>
      <c r="B1929" t="s">
        <v>26951</v>
      </c>
      <c r="C1929" t="s">
        <v>4894</v>
      </c>
      <c r="D1929" t="s">
        <v>4893</v>
      </c>
      <c r="E1929" s="2" t="s">
        <v>133</v>
      </c>
      <c r="F1929" t="s">
        <v>4869</v>
      </c>
      <c r="G1929" t="str">
        <f>HYPERLINK("http://www.kukinews.com/news/article.html?no=433308")</f>
        <v>http://www.kukinews.com/news/article.html?no=433308</v>
      </c>
      <c r="H1929">
        <v>0.44800000000000001</v>
      </c>
    </row>
    <row r="1930" spans="1:8" x14ac:dyDescent="0.3">
      <c r="A1930" t="s">
        <v>4837</v>
      </c>
      <c r="B1930" t="s">
        <v>26951</v>
      </c>
      <c r="C1930" t="s">
        <v>4896</v>
      </c>
      <c r="D1930" t="s">
        <v>4895</v>
      </c>
      <c r="E1930" s="2" t="s">
        <v>133</v>
      </c>
      <c r="F1930" t="s">
        <v>857</v>
      </c>
      <c r="G1930" t="str">
        <f>HYPERLINK("https://n.news.naver.com/mnews/article/005/0000851425?sid=102")</f>
        <v>https://n.news.naver.com/mnews/article/005/0000851425?sid=102</v>
      </c>
      <c r="H1930">
        <v>0.19600000000000001</v>
      </c>
    </row>
    <row r="1931" spans="1:8" x14ac:dyDescent="0.3">
      <c r="A1931" t="s">
        <v>4837</v>
      </c>
      <c r="B1931" t="s">
        <v>26951</v>
      </c>
      <c r="C1931" t="s">
        <v>4898</v>
      </c>
      <c r="D1931" t="s">
        <v>4897</v>
      </c>
      <c r="E1931" s="2" t="s">
        <v>133</v>
      </c>
      <c r="F1931" t="s">
        <v>89</v>
      </c>
      <c r="G1931" t="str">
        <f>HYPERLINK("https://www.inews365.com/news/article.html?no=803559")</f>
        <v>https://www.inews365.com/news/article.html?no=803559</v>
      </c>
      <c r="H1931">
        <v>0.51800000000000002</v>
      </c>
    </row>
    <row r="1932" spans="1:8" x14ac:dyDescent="0.3">
      <c r="A1932" t="s">
        <v>4837</v>
      </c>
      <c r="B1932" t="s">
        <v>26951</v>
      </c>
      <c r="C1932" t="s">
        <v>4901</v>
      </c>
      <c r="D1932" t="s">
        <v>4900</v>
      </c>
      <c r="E1932" s="2" t="s">
        <v>133</v>
      </c>
      <c r="F1932" t="s">
        <v>4899</v>
      </c>
      <c r="G1932" t="str">
        <f>HYPERLINK("http://www.nongaek.com/news/articleView.html?idxno=91747")</f>
        <v>http://www.nongaek.com/news/articleView.html?idxno=91747</v>
      </c>
      <c r="H1932">
        <v>0.183</v>
      </c>
    </row>
    <row r="1933" spans="1:8" x14ac:dyDescent="0.3">
      <c r="A1933" t="s">
        <v>4837</v>
      </c>
      <c r="B1933" t="s">
        <v>26951</v>
      </c>
      <c r="C1933" t="s">
        <v>4903</v>
      </c>
      <c r="D1933" t="s">
        <v>4902</v>
      </c>
      <c r="E1933" s="2" t="s">
        <v>172</v>
      </c>
      <c r="F1933" t="s">
        <v>208</v>
      </c>
      <c r="G1933" t="str">
        <f>HYPERLINK("https://n.news.naver.com/mnews/article/028/0002753455?sid=101")</f>
        <v>https://n.news.naver.com/mnews/article/028/0002753455?sid=101</v>
      </c>
      <c r="H1933">
        <v>0.25</v>
      </c>
    </row>
    <row r="1934" spans="1:8" x14ac:dyDescent="0.3">
      <c r="A1934" t="s">
        <v>4837</v>
      </c>
      <c r="B1934" t="s">
        <v>26951</v>
      </c>
      <c r="C1934" t="s">
        <v>4905</v>
      </c>
      <c r="D1934" t="s">
        <v>4904</v>
      </c>
      <c r="E1934" s="2" t="s">
        <v>172</v>
      </c>
      <c r="F1934" t="s">
        <v>2054</v>
      </c>
      <c r="G1934" t="str">
        <f>HYPERLINK("https://www.ekn.kr/web/view.php?key=20230709010002128")</f>
        <v>https://www.ekn.kr/web/view.php?key=20230709010002128</v>
      </c>
      <c r="H1934">
        <v>0.16700000000000001</v>
      </c>
    </row>
    <row r="1935" spans="1:8" x14ac:dyDescent="0.3">
      <c r="A1935" t="s">
        <v>4837</v>
      </c>
      <c r="B1935" t="s">
        <v>26951</v>
      </c>
      <c r="C1935" t="s">
        <v>4908</v>
      </c>
      <c r="D1935" t="s">
        <v>4907</v>
      </c>
      <c r="E1935" s="2" t="s">
        <v>172</v>
      </c>
      <c r="F1935" t="s">
        <v>4906</v>
      </c>
      <c r="G1935" t="str">
        <f>HYPERLINK("https://n.news.naver.com/mnews/article/056/0011980177?sid=104")</f>
        <v>https://n.news.naver.com/mnews/article/056/0011980177?sid=104</v>
      </c>
      <c r="H1935">
        <v>0.19600000000000001</v>
      </c>
    </row>
    <row r="1936" spans="1:8" x14ac:dyDescent="0.3">
      <c r="A1936" t="s">
        <v>4837</v>
      </c>
      <c r="B1936" t="s">
        <v>26951</v>
      </c>
      <c r="C1936" t="s">
        <v>4910</v>
      </c>
      <c r="D1936" t="s">
        <v>4909</v>
      </c>
      <c r="E1936" s="2" t="s">
        <v>172</v>
      </c>
      <c r="F1936" t="s">
        <v>2378</v>
      </c>
      <c r="G1936" t="str">
        <f>HYPERLINK("https://n.news.naver.com/mnews/article/011/0004503600?sid=102")</f>
        <v>https://n.news.naver.com/mnews/article/011/0004503600?sid=102</v>
      </c>
      <c r="H1936">
        <v>0.33300000000000002</v>
      </c>
    </row>
    <row r="1937" spans="1:8" x14ac:dyDescent="0.3">
      <c r="A1937" t="s">
        <v>4837</v>
      </c>
      <c r="B1937" t="s">
        <v>26951</v>
      </c>
      <c r="C1937" t="s">
        <v>4913</v>
      </c>
      <c r="D1937" t="s">
        <v>4912</v>
      </c>
      <c r="E1937" s="2" t="s">
        <v>172</v>
      </c>
      <c r="F1937" t="s">
        <v>4911</v>
      </c>
      <c r="G1937" t="str">
        <f>HYPERLINK("http://www.ablenews.co.kr/News/NewsContent.aspx?CategoryCode=0034&amp;NewsCode=003420180913094325699828")</f>
        <v>http://www.ablenews.co.kr/News/NewsContent.aspx?CategoryCode=0034&amp;NewsCode=003420180913094325699828</v>
      </c>
      <c r="H1937">
        <v>0.61799999999999999</v>
      </c>
    </row>
    <row r="1938" spans="1:8" x14ac:dyDescent="0.3">
      <c r="A1938" t="s">
        <v>4837</v>
      </c>
      <c r="B1938" t="s">
        <v>26951</v>
      </c>
      <c r="C1938" t="s">
        <v>4916</v>
      </c>
      <c r="D1938" t="s">
        <v>4915</v>
      </c>
      <c r="E1938" s="2" t="s">
        <v>196</v>
      </c>
      <c r="F1938" t="s">
        <v>4914</v>
      </c>
      <c r="G1938" t="str">
        <f>HYPERLINK("https://n.news.naver.com/mnews/article/005/0001782157?sid=103")</f>
        <v>https://n.news.naver.com/mnews/article/005/0001782157?sid=103</v>
      </c>
      <c r="H1938">
        <v>0.21199999999999999</v>
      </c>
    </row>
    <row r="1939" spans="1:8" x14ac:dyDescent="0.3">
      <c r="A1939" t="s">
        <v>4837</v>
      </c>
      <c r="B1939" t="s">
        <v>26951</v>
      </c>
      <c r="C1939" t="s">
        <v>4919</v>
      </c>
      <c r="D1939" t="s">
        <v>4918</v>
      </c>
      <c r="E1939" s="2" t="s">
        <v>196</v>
      </c>
      <c r="F1939" t="s">
        <v>4917</v>
      </c>
      <c r="G1939" t="str">
        <f>HYPERLINK("https://www.ulsanpress.net/news/articleView.html?idxno=508900")</f>
        <v>https://www.ulsanpress.net/news/articleView.html?idxno=508900</v>
      </c>
      <c r="H1939">
        <v>0.27</v>
      </c>
    </row>
    <row r="1940" spans="1:8" x14ac:dyDescent="0.3">
      <c r="A1940" t="s">
        <v>4837</v>
      </c>
      <c r="B1940" t="s">
        <v>26951</v>
      </c>
      <c r="C1940" t="s">
        <v>4921</v>
      </c>
      <c r="D1940" t="s">
        <v>4920</v>
      </c>
      <c r="E1940" s="2" t="s">
        <v>196</v>
      </c>
      <c r="F1940" t="s">
        <v>805</v>
      </c>
      <c r="G1940" t="str">
        <f>HYPERLINK("https://n.news.naver.com/mnews/article/057/0001892984?sid=102")</f>
        <v>https://n.news.naver.com/mnews/article/057/0001892984?sid=102</v>
      </c>
      <c r="H1940">
        <v>0.16900000000000001</v>
      </c>
    </row>
    <row r="1941" spans="1:8" x14ac:dyDescent="0.3">
      <c r="A1941" t="s">
        <v>4837</v>
      </c>
      <c r="B1941" t="s">
        <v>26951</v>
      </c>
      <c r="C1941" t="s">
        <v>4923</v>
      </c>
      <c r="D1941" t="s">
        <v>4922</v>
      </c>
      <c r="E1941" s="2" t="s">
        <v>196</v>
      </c>
      <c r="F1941" t="s">
        <v>1710</v>
      </c>
      <c r="G1941" t="str">
        <f>HYPERLINK("https://n.news.naver.com/mnews/article/016/0002489222?sid=104")</f>
        <v>https://n.news.naver.com/mnews/article/016/0002489222?sid=104</v>
      </c>
      <c r="H1941">
        <v>0.189</v>
      </c>
    </row>
    <row r="1942" spans="1:8" x14ac:dyDescent="0.3">
      <c r="A1942" t="s">
        <v>4837</v>
      </c>
      <c r="B1942" t="s">
        <v>26951</v>
      </c>
      <c r="C1942" t="s">
        <v>4926</v>
      </c>
      <c r="D1942" t="s">
        <v>4925</v>
      </c>
      <c r="E1942" s="2" t="s">
        <v>196</v>
      </c>
      <c r="F1942" t="s">
        <v>4924</v>
      </c>
      <c r="G1942" t="str">
        <f>HYPERLINK("https://n.news.naver.com/mnews/article/005/0001297158?sid=103")</f>
        <v>https://n.news.naver.com/mnews/article/005/0001297158?sid=103</v>
      </c>
      <c r="H1942">
        <v>0.14599999999999999</v>
      </c>
    </row>
    <row r="1943" spans="1:8" x14ac:dyDescent="0.3">
      <c r="A1943" t="s">
        <v>4837</v>
      </c>
      <c r="B1943" t="s">
        <v>26951</v>
      </c>
      <c r="C1943" t="s">
        <v>4929</v>
      </c>
      <c r="D1943" t="s">
        <v>4928</v>
      </c>
      <c r="E1943" s="2" t="s">
        <v>196</v>
      </c>
      <c r="F1943" t="s">
        <v>4927</v>
      </c>
      <c r="G1943" t="str">
        <f>HYPERLINK("http://www.christiantoday.co.kr/view.htm?id=268443")</f>
        <v>http://www.christiantoday.co.kr/view.htm?id=268443</v>
      </c>
      <c r="H1943">
        <v>0.70799999999999996</v>
      </c>
    </row>
    <row r="1944" spans="1:8" x14ac:dyDescent="0.3">
      <c r="A1944" t="s">
        <v>4837</v>
      </c>
      <c r="B1944" t="s">
        <v>26951</v>
      </c>
      <c r="C1944" t="s">
        <v>4931</v>
      </c>
      <c r="D1944" t="s">
        <v>4930</v>
      </c>
      <c r="E1944" s="2" t="s">
        <v>196</v>
      </c>
      <c r="F1944" t="s">
        <v>1546</v>
      </c>
      <c r="G1944" t="str">
        <f>HYPERLINK("https://n.news.naver.com/mnews/article/005/0001786003?sid=103")</f>
        <v>https://n.news.naver.com/mnews/article/005/0001786003?sid=103</v>
      </c>
      <c r="H1944">
        <v>0.192</v>
      </c>
    </row>
    <row r="1945" spans="1:8" x14ac:dyDescent="0.3">
      <c r="A1945" t="s">
        <v>4837</v>
      </c>
      <c r="B1945" t="s">
        <v>26951</v>
      </c>
      <c r="C1945" t="s">
        <v>2964</v>
      </c>
      <c r="D1945" t="s">
        <v>2963</v>
      </c>
      <c r="E1945" s="2" t="s">
        <v>230</v>
      </c>
      <c r="F1945" t="s">
        <v>2962</v>
      </c>
      <c r="G1945" t="str">
        <f>HYPERLINK("https://n.news.naver.com/mnews/article/011/0004503600?sid=102")</f>
        <v>https://n.news.naver.com/mnews/article/011/0004503600?sid=102</v>
      </c>
      <c r="H1945">
        <v>0.30099999999999999</v>
      </c>
    </row>
    <row r="1946" spans="1:8" x14ac:dyDescent="0.3">
      <c r="A1946" t="s">
        <v>4837</v>
      </c>
      <c r="B1946" t="s">
        <v>26951</v>
      </c>
      <c r="C1946" t="s">
        <v>4933</v>
      </c>
      <c r="D1946" t="s">
        <v>4932</v>
      </c>
      <c r="E1946" s="2" t="s">
        <v>230</v>
      </c>
      <c r="F1946" t="s">
        <v>625</v>
      </c>
      <c r="G1946" t="str">
        <f>HYPERLINK("http://www.nongaek.com/news/articleView.html?idxno=91646")</f>
        <v>http://www.nongaek.com/news/articleView.html?idxno=91646</v>
      </c>
      <c r="H1946">
        <v>0.19900000000000001</v>
      </c>
    </row>
    <row r="1947" spans="1:8" x14ac:dyDescent="0.3">
      <c r="A1947" t="s">
        <v>4837</v>
      </c>
      <c r="B1947" t="s">
        <v>26951</v>
      </c>
      <c r="C1947" t="s">
        <v>4936</v>
      </c>
      <c r="D1947" t="s">
        <v>4935</v>
      </c>
      <c r="E1947" s="2" t="s">
        <v>230</v>
      </c>
      <c r="F1947" t="s">
        <v>4934</v>
      </c>
      <c r="G1947" t="str">
        <f>HYPERLINK("https://www.newspim.com/news/view/20250620000177")</f>
        <v>https://www.newspim.com/news/view/20250620000177</v>
      </c>
      <c r="H1947">
        <v>0.23</v>
      </c>
    </row>
    <row r="1948" spans="1:8" x14ac:dyDescent="0.3">
      <c r="A1948" t="s">
        <v>4837</v>
      </c>
      <c r="B1948" t="s">
        <v>26951</v>
      </c>
      <c r="C1948" t="s">
        <v>3989</v>
      </c>
      <c r="D1948" t="s">
        <v>3988</v>
      </c>
      <c r="E1948" s="2" t="s">
        <v>230</v>
      </c>
      <c r="F1948" t="s">
        <v>411</v>
      </c>
      <c r="G1948" t="str">
        <f>HYPERLINK("https://www.apnews.kr/news/articleView.html?idxno=3012255")</f>
        <v>https://www.apnews.kr/news/articleView.html?idxno=3012255</v>
      </c>
      <c r="H1948">
        <v>0.26600000000000001</v>
      </c>
    </row>
    <row r="1949" spans="1:8" x14ac:dyDescent="0.3">
      <c r="A1949" t="s">
        <v>4837</v>
      </c>
      <c r="B1949" t="s">
        <v>26951</v>
      </c>
      <c r="C1949" t="s">
        <v>4940</v>
      </c>
      <c r="D1949" t="s">
        <v>4939</v>
      </c>
      <c r="E1949" s="2" t="s">
        <v>230</v>
      </c>
      <c r="F1949" t="s">
        <v>4938</v>
      </c>
      <c r="G1949" t="str">
        <f>HYPERLINK("https://n.news.naver.com/mnews/article/005/0001726076?sid=103")</f>
        <v>https://n.news.naver.com/mnews/article/005/0001726076?sid=103</v>
      </c>
      <c r="H1949">
        <v>0.23</v>
      </c>
    </row>
    <row r="1950" spans="1:8" x14ac:dyDescent="0.3">
      <c r="A1950" t="s">
        <v>4837</v>
      </c>
      <c r="B1950" t="s">
        <v>26951</v>
      </c>
      <c r="C1950" t="s">
        <v>4942</v>
      </c>
      <c r="D1950" t="s">
        <v>4941</v>
      </c>
      <c r="E1950" s="2" t="s">
        <v>230</v>
      </c>
      <c r="F1950" t="s">
        <v>1328</v>
      </c>
      <c r="G1950" t="str">
        <f>HYPERLINK("https://www.christiantoday.co.kr/news/368924")</f>
        <v>https://www.christiantoday.co.kr/news/368924</v>
      </c>
      <c r="H1950">
        <v>0.52</v>
      </c>
    </row>
    <row r="1951" spans="1:8" x14ac:dyDescent="0.3">
      <c r="A1951" t="s">
        <v>4837</v>
      </c>
      <c r="B1951" t="s">
        <v>26951</v>
      </c>
      <c r="C1951" t="s">
        <v>4945</v>
      </c>
      <c r="D1951" t="s">
        <v>4944</v>
      </c>
      <c r="E1951" s="2" t="s">
        <v>230</v>
      </c>
      <c r="F1951" t="s">
        <v>4943</v>
      </c>
      <c r="G1951" t="str">
        <f>HYPERLINK("http://www.nongaek.com/news/articleView.html?idxno=90630")</f>
        <v>http://www.nongaek.com/news/articleView.html?idxno=90630</v>
      </c>
      <c r="H1951">
        <v>0.48399999999999999</v>
      </c>
    </row>
    <row r="1952" spans="1:8" x14ac:dyDescent="0.3">
      <c r="A1952" t="s">
        <v>4837</v>
      </c>
      <c r="B1952" t="s">
        <v>26951</v>
      </c>
      <c r="C1952" t="s">
        <v>4948</v>
      </c>
      <c r="D1952" t="s">
        <v>4947</v>
      </c>
      <c r="E1952" s="2" t="s">
        <v>267</v>
      </c>
      <c r="F1952" t="s">
        <v>4946</v>
      </c>
      <c r="G1952" t="str">
        <f>HYPERLINK("https://www.newspim.com/news/view/20250627000397")</f>
        <v>https://www.newspim.com/news/view/20250627000397</v>
      </c>
      <c r="H1952">
        <v>0.374</v>
      </c>
    </row>
    <row r="1953" spans="1:8" x14ac:dyDescent="0.3">
      <c r="A1953" t="s">
        <v>4837</v>
      </c>
      <c r="B1953" t="s">
        <v>26951</v>
      </c>
      <c r="C1953" t="s">
        <v>4950</v>
      </c>
      <c r="D1953" t="s">
        <v>4949</v>
      </c>
      <c r="E1953" s="2" t="s">
        <v>267</v>
      </c>
      <c r="F1953" t="s">
        <v>184</v>
      </c>
      <c r="G1953" t="str">
        <f>HYPERLINK("https://n.news.naver.com/mnews/article/006/0000114304?sid=102")</f>
        <v>https://n.news.naver.com/mnews/article/006/0000114304?sid=102</v>
      </c>
      <c r="H1953">
        <v>0.28100000000000003</v>
      </c>
    </row>
    <row r="1954" spans="1:8" x14ac:dyDescent="0.3">
      <c r="A1954" t="s">
        <v>4837</v>
      </c>
      <c r="B1954" t="s">
        <v>26951</v>
      </c>
      <c r="C1954" t="s">
        <v>4952</v>
      </c>
      <c r="D1954" t="s">
        <v>4951</v>
      </c>
      <c r="E1954" s="2" t="s">
        <v>267</v>
      </c>
      <c r="F1954" t="s">
        <v>2057</v>
      </c>
      <c r="G1954" t="str">
        <f>HYPERLINK("http://autotimes.co.kr/detail.php?number=681530&amp;thread=27")</f>
        <v>http://autotimes.co.kr/detail.php?number=681530&amp;thread=27</v>
      </c>
      <c r="H1954">
        <v>0.214</v>
      </c>
    </row>
    <row r="1955" spans="1:8" x14ac:dyDescent="0.3">
      <c r="A1955" t="s">
        <v>4837</v>
      </c>
      <c r="B1955" t="s">
        <v>26951</v>
      </c>
      <c r="C1955" t="s">
        <v>4954</v>
      </c>
      <c r="D1955" t="s">
        <v>4953</v>
      </c>
      <c r="E1955" s="2" t="s">
        <v>267</v>
      </c>
      <c r="F1955" t="s">
        <v>2057</v>
      </c>
      <c r="G1955" t="str">
        <f>HYPERLINK("https://n.news.naver.com/mnews/article/022/0004046685?sid=100")</f>
        <v>https://n.news.naver.com/mnews/article/022/0004046685?sid=100</v>
      </c>
      <c r="H1955">
        <v>8.1000000000000003E-2</v>
      </c>
    </row>
    <row r="1956" spans="1:8" x14ac:dyDescent="0.3">
      <c r="A1956" t="s">
        <v>4837</v>
      </c>
      <c r="B1956" t="s">
        <v>26951</v>
      </c>
      <c r="C1956" t="s">
        <v>4956</v>
      </c>
      <c r="D1956" t="s">
        <v>4955</v>
      </c>
      <c r="E1956" s="2" t="s">
        <v>267</v>
      </c>
      <c r="F1956" t="s">
        <v>243</v>
      </c>
      <c r="G1956" t="str">
        <f>HYPERLINK("https://www.newscj.com/news/articleView.html?idxno=3285524")</f>
        <v>https://www.newscj.com/news/articleView.html?idxno=3285524</v>
      </c>
      <c r="H1956">
        <v>0.35099999999999998</v>
      </c>
    </row>
    <row r="1957" spans="1:8" x14ac:dyDescent="0.3">
      <c r="A1957" t="s">
        <v>4837</v>
      </c>
      <c r="B1957" t="s">
        <v>26951</v>
      </c>
      <c r="C1957" t="s">
        <v>4959</v>
      </c>
      <c r="D1957" t="s">
        <v>4958</v>
      </c>
      <c r="E1957" s="2" t="s">
        <v>267</v>
      </c>
      <c r="F1957" t="s">
        <v>4957</v>
      </c>
      <c r="G1957" t="str">
        <f>HYPERLINK("http://ch.yes24.com/Article/View/21025")</f>
        <v>http://ch.yes24.com/Article/View/21025</v>
      </c>
      <c r="H1957">
        <v>0.40699999999999997</v>
      </c>
    </row>
    <row r="1958" spans="1:8" x14ac:dyDescent="0.3">
      <c r="A1958" t="s">
        <v>4837</v>
      </c>
      <c r="B1958" t="s">
        <v>26951</v>
      </c>
      <c r="C1958" t="s">
        <v>4962</v>
      </c>
      <c r="D1958" t="s">
        <v>4961</v>
      </c>
      <c r="E1958" s="2" t="s">
        <v>267</v>
      </c>
      <c r="F1958" t="s">
        <v>4960</v>
      </c>
      <c r="G1958" t="str">
        <f>HYPERLINK("https://n.news.naver.com/mnews/article/079/0004040126?sid=104")</f>
        <v>https://n.news.naver.com/mnews/article/079/0004040126?sid=104</v>
      </c>
      <c r="H1958">
        <v>0.23699999999999999</v>
      </c>
    </row>
    <row r="1959" spans="1:8" x14ac:dyDescent="0.3">
      <c r="A1959" t="s">
        <v>4837</v>
      </c>
      <c r="B1959" t="s">
        <v>26951</v>
      </c>
      <c r="C1959" t="s">
        <v>4965</v>
      </c>
      <c r="D1959" t="s">
        <v>4964</v>
      </c>
      <c r="E1959" s="2" t="s">
        <v>280</v>
      </c>
      <c r="F1959" t="s">
        <v>4963</v>
      </c>
      <c r="G1959" t="str">
        <f>HYPERLINK("http://www.jeonmin.co.kr/news/articleView.html?idxno=420138")</f>
        <v>http://www.jeonmin.co.kr/news/articleView.html?idxno=420138</v>
      </c>
      <c r="H1959">
        <v>0.97499999999999998</v>
      </c>
    </row>
    <row r="1960" spans="1:8" x14ac:dyDescent="0.3">
      <c r="A1960" t="s">
        <v>4837</v>
      </c>
      <c r="B1960" t="s">
        <v>26951</v>
      </c>
      <c r="C1960" t="s">
        <v>4967</v>
      </c>
      <c r="D1960" t="s">
        <v>4966</v>
      </c>
      <c r="E1960" s="2" t="s">
        <v>280</v>
      </c>
      <c r="F1960" t="s">
        <v>151</v>
      </c>
      <c r="G1960" t="str">
        <f>HYPERLINK("https://www.christiantoday.co.kr/news/369168")</f>
        <v>https://www.christiantoday.co.kr/news/369168</v>
      </c>
      <c r="H1960">
        <v>0.65300000000000002</v>
      </c>
    </row>
    <row r="1961" spans="1:8" x14ac:dyDescent="0.3">
      <c r="A1961" t="s">
        <v>4837</v>
      </c>
      <c r="B1961" t="s">
        <v>26951</v>
      </c>
      <c r="C1961" t="s">
        <v>4970</v>
      </c>
      <c r="D1961" t="s">
        <v>4969</v>
      </c>
      <c r="E1961" s="2" t="s">
        <v>280</v>
      </c>
      <c r="F1961" t="s">
        <v>4968</v>
      </c>
      <c r="G1961" t="str">
        <f>HYPERLINK("https://www.newsfreezone.co.kr/news/articleView.html?idxno=632365")</f>
        <v>https://www.newsfreezone.co.kr/news/articleView.html?idxno=632365</v>
      </c>
      <c r="H1961">
        <v>0.95</v>
      </c>
    </row>
    <row r="1962" spans="1:8" x14ac:dyDescent="0.3">
      <c r="A1962" t="s">
        <v>4837</v>
      </c>
      <c r="B1962" t="s">
        <v>26951</v>
      </c>
      <c r="C1962" t="s">
        <v>4972</v>
      </c>
      <c r="D1962" t="s">
        <v>4971</v>
      </c>
      <c r="E1962" s="2" t="s">
        <v>280</v>
      </c>
      <c r="F1962" t="s">
        <v>677</v>
      </c>
      <c r="G1962" t="str">
        <f>HYPERLINK("https://radio.ytn.co.kr/program/?f=2&amp;id=103427&amp;s_mcd=0214&amp;s_hcd=01")</f>
        <v>https://radio.ytn.co.kr/program/?f=2&amp;id=103427&amp;s_mcd=0214&amp;s_hcd=01</v>
      </c>
      <c r="H1962">
        <v>0.55900000000000005</v>
      </c>
    </row>
    <row r="1963" spans="1:8" x14ac:dyDescent="0.3">
      <c r="A1963" t="s">
        <v>4837</v>
      </c>
      <c r="B1963" t="s">
        <v>26951</v>
      </c>
      <c r="C1963" t="s">
        <v>4974</v>
      </c>
      <c r="D1963" t="s">
        <v>4973</v>
      </c>
      <c r="E1963" s="2" t="s">
        <v>313</v>
      </c>
      <c r="F1963" t="s">
        <v>2423</v>
      </c>
      <c r="G1963" t="str">
        <f>HYPERLINK("http://www.youthdaily.co.kr/news/article.html?no=65186")</f>
        <v>http://www.youthdaily.co.kr/news/article.html?no=65186</v>
      </c>
      <c r="H1963">
        <v>0.55000000000000004</v>
      </c>
    </row>
    <row r="1964" spans="1:8" x14ac:dyDescent="0.3">
      <c r="A1964" t="s">
        <v>4837</v>
      </c>
      <c r="B1964" t="s">
        <v>26951</v>
      </c>
      <c r="C1964" t="s">
        <v>4977</v>
      </c>
      <c r="D1964" t="s">
        <v>4976</v>
      </c>
      <c r="E1964" s="2" t="s">
        <v>313</v>
      </c>
      <c r="F1964" t="s">
        <v>4975</v>
      </c>
      <c r="G1964" t="str">
        <f>HYPERLINK("https://n.news.naver.com/mnews/article/005/0001299431?sid=103")</f>
        <v>https://n.news.naver.com/mnews/article/005/0001299431?sid=103</v>
      </c>
      <c r="H1964">
        <v>0.17199999999999999</v>
      </c>
    </row>
    <row r="1965" spans="1:8" x14ac:dyDescent="0.3">
      <c r="A1965" t="s">
        <v>4837</v>
      </c>
      <c r="B1965" t="s">
        <v>26951</v>
      </c>
      <c r="C1965" t="s">
        <v>4979</v>
      </c>
      <c r="D1965" t="s">
        <v>4978</v>
      </c>
      <c r="E1965" s="2" t="s">
        <v>313</v>
      </c>
      <c r="F1965" t="s">
        <v>1575</v>
      </c>
      <c r="G1965" t="str">
        <f>HYPERLINK("https://n.news.naver.com/mnews/article/014/0005290531?sid=102")</f>
        <v>https://n.news.naver.com/mnews/article/014/0005290531?sid=102</v>
      </c>
      <c r="H1965">
        <v>0.22900000000000001</v>
      </c>
    </row>
    <row r="1966" spans="1:8" x14ac:dyDescent="0.3">
      <c r="A1966" t="s">
        <v>4837</v>
      </c>
      <c r="B1966" t="s">
        <v>26951</v>
      </c>
      <c r="C1966" t="s">
        <v>4981</v>
      </c>
      <c r="D1966" t="s">
        <v>4980</v>
      </c>
      <c r="E1966" s="2" t="s">
        <v>313</v>
      </c>
      <c r="F1966" t="s">
        <v>1402</v>
      </c>
      <c r="G1966" t="str">
        <f>HYPERLINK("https://n.news.naver.com/mnews/article/022/0004047866?sid=102")</f>
        <v>https://n.news.naver.com/mnews/article/022/0004047866?sid=102</v>
      </c>
      <c r="H1966">
        <v>0.214</v>
      </c>
    </row>
    <row r="1967" spans="1:8" x14ac:dyDescent="0.3">
      <c r="A1967" t="s">
        <v>4837</v>
      </c>
      <c r="B1967" t="s">
        <v>26951</v>
      </c>
      <c r="C1967" t="s">
        <v>4984</v>
      </c>
      <c r="D1967" t="s">
        <v>4983</v>
      </c>
      <c r="E1967" s="2" t="s">
        <v>313</v>
      </c>
      <c r="F1967" t="s">
        <v>4982</v>
      </c>
      <c r="G1967" t="str">
        <f>HYPERLINK("http://www.seoulwire.com/news/articleView.html?idxno=400479")</f>
        <v>http://www.seoulwire.com/news/articleView.html?idxno=400479</v>
      </c>
      <c r="H1967">
        <v>0.309</v>
      </c>
    </row>
    <row r="1968" spans="1:8" x14ac:dyDescent="0.3">
      <c r="A1968" t="s">
        <v>4837</v>
      </c>
      <c r="B1968" t="s">
        <v>26951</v>
      </c>
      <c r="C1968" t="s">
        <v>4986</v>
      </c>
      <c r="D1968" t="s">
        <v>4985</v>
      </c>
      <c r="E1968" s="2" t="s">
        <v>313</v>
      </c>
      <c r="F1968" t="s">
        <v>235</v>
      </c>
      <c r="G1968" t="str">
        <f>HYPERLINK("http://kor.theasian.asia/archives/386664")</f>
        <v>http://kor.theasian.asia/archives/386664</v>
      </c>
      <c r="H1968">
        <v>0.40500000000000003</v>
      </c>
    </row>
    <row r="1969" spans="1:8" x14ac:dyDescent="0.3">
      <c r="A1969" t="s">
        <v>4837</v>
      </c>
      <c r="B1969" t="s">
        <v>26951</v>
      </c>
      <c r="C1969" t="s">
        <v>4988</v>
      </c>
      <c r="D1969" t="s">
        <v>4987</v>
      </c>
      <c r="E1969" s="2" t="s">
        <v>313</v>
      </c>
      <c r="F1969" t="s">
        <v>4937</v>
      </c>
      <c r="G1969" t="str">
        <f>HYPERLINK("http://www.worldkorean.net/news/articleView.html?idxno=51304")</f>
        <v>http://www.worldkorean.net/news/articleView.html?idxno=51304</v>
      </c>
      <c r="H1969">
        <v>0.41599999999999998</v>
      </c>
    </row>
    <row r="1970" spans="1:8" x14ac:dyDescent="0.3">
      <c r="A1970" t="s">
        <v>4837</v>
      </c>
      <c r="B1970" t="s">
        <v>26951</v>
      </c>
      <c r="C1970" t="s">
        <v>4990</v>
      </c>
      <c r="D1970" t="s">
        <v>4989</v>
      </c>
      <c r="E1970" s="2" t="s">
        <v>313</v>
      </c>
      <c r="F1970" t="s">
        <v>235</v>
      </c>
      <c r="G1970" t="str">
        <f>HYPERLINK("https://n.news.naver.com/mnews/article/005/0001784414?sid=104")</f>
        <v>https://n.news.naver.com/mnews/article/005/0001784414?sid=104</v>
      </c>
      <c r="H1970">
        <v>0.254</v>
      </c>
    </row>
    <row r="1971" spans="1:8" x14ac:dyDescent="0.3">
      <c r="A1971" t="s">
        <v>4837</v>
      </c>
      <c r="B1971" t="s">
        <v>26951</v>
      </c>
      <c r="C1971" t="s">
        <v>4992</v>
      </c>
      <c r="D1971" t="s">
        <v>4991</v>
      </c>
      <c r="E1971" s="2" t="s">
        <v>356</v>
      </c>
      <c r="F1971" t="s">
        <v>148</v>
      </c>
      <c r="G1971" t="str">
        <f>HYPERLINK("https://www.newscj.com/news/articleView.html?idxno=3283192")</f>
        <v>https://www.newscj.com/news/articleView.html?idxno=3283192</v>
      </c>
      <c r="H1971">
        <v>0.159</v>
      </c>
    </row>
    <row r="1972" spans="1:8" x14ac:dyDescent="0.3">
      <c r="A1972" t="s">
        <v>4837</v>
      </c>
      <c r="B1972" t="s">
        <v>26951</v>
      </c>
      <c r="C1972" t="s">
        <v>4996</v>
      </c>
      <c r="D1972" t="s">
        <v>4995</v>
      </c>
      <c r="E1972" s="2" t="s">
        <v>356</v>
      </c>
      <c r="F1972" t="s">
        <v>3311</v>
      </c>
      <c r="G1972" t="str">
        <f>HYPERLINK("https://n.news.naver.com/mnews/article/469/0000412719?sid=102")</f>
        <v>https://n.news.naver.com/mnews/article/469/0000412719?sid=102</v>
      </c>
      <c r="H1972">
        <v>0.221</v>
      </c>
    </row>
    <row r="1973" spans="1:8" x14ac:dyDescent="0.3">
      <c r="A1973" t="s">
        <v>4837</v>
      </c>
      <c r="B1973" t="s">
        <v>26951</v>
      </c>
      <c r="C1973" t="s">
        <v>4999</v>
      </c>
      <c r="D1973" t="s">
        <v>4998</v>
      </c>
      <c r="E1973" s="2" t="s">
        <v>394</v>
      </c>
      <c r="F1973" t="s">
        <v>4997</v>
      </c>
      <c r="G1973" t="str">
        <f>HYPERLINK("http://www.laborplus.co.kr/news/articleView.html?idxno=29238")</f>
        <v>http://www.laborplus.co.kr/news/articleView.html?idxno=29238</v>
      </c>
      <c r="H1973">
        <v>0.40600000000000003</v>
      </c>
    </row>
    <row r="1974" spans="1:8" x14ac:dyDescent="0.3">
      <c r="A1974" t="s">
        <v>4837</v>
      </c>
      <c r="B1974" t="s">
        <v>26951</v>
      </c>
      <c r="C1974" t="s">
        <v>5006</v>
      </c>
      <c r="D1974" t="s">
        <v>5005</v>
      </c>
      <c r="E1974" s="2" t="s">
        <v>394</v>
      </c>
      <c r="F1974" t="s">
        <v>5004</v>
      </c>
      <c r="G1974" t="str">
        <f>HYPERLINK("http://www.venturesquare.net/775477")</f>
        <v>http://www.venturesquare.net/775477</v>
      </c>
      <c r="H1974">
        <v>0.61899999999999999</v>
      </c>
    </row>
    <row r="1975" spans="1:8" x14ac:dyDescent="0.3">
      <c r="A1975" t="s">
        <v>4837</v>
      </c>
      <c r="B1975" t="s">
        <v>26951</v>
      </c>
      <c r="C1975" t="s">
        <v>5008</v>
      </c>
      <c r="D1975" t="s">
        <v>5007</v>
      </c>
      <c r="E1975" s="2" t="s">
        <v>394</v>
      </c>
      <c r="F1975" t="s">
        <v>3195</v>
      </c>
      <c r="G1975" t="str">
        <f>HYPERLINK("http://www.seoulwire.com/news/articleView.html?idxno=244703")</f>
        <v>http://www.seoulwire.com/news/articleView.html?idxno=244703</v>
      </c>
      <c r="H1975">
        <v>0.371</v>
      </c>
    </row>
    <row r="1976" spans="1:8" x14ac:dyDescent="0.3">
      <c r="A1976" t="s">
        <v>4837</v>
      </c>
      <c r="B1976" t="s">
        <v>26951</v>
      </c>
      <c r="C1976" t="s">
        <v>5011</v>
      </c>
      <c r="D1976" t="s">
        <v>5010</v>
      </c>
      <c r="E1976" s="2" t="s">
        <v>394</v>
      </c>
      <c r="F1976" t="s">
        <v>5009</v>
      </c>
      <c r="G1976" t="str">
        <f>HYPERLINK("https://n.news.naver.com/mnews/article/088/0000509573?sid=102")</f>
        <v>https://n.news.naver.com/mnews/article/088/0000509573?sid=102</v>
      </c>
      <c r="H1976">
        <v>0.24099999999999999</v>
      </c>
    </row>
    <row r="1977" spans="1:8" x14ac:dyDescent="0.3">
      <c r="A1977" t="s">
        <v>4837</v>
      </c>
      <c r="B1977" t="s">
        <v>26951</v>
      </c>
      <c r="C1977" t="s">
        <v>5013</v>
      </c>
      <c r="D1977" t="s">
        <v>5012</v>
      </c>
      <c r="E1977" s="2" t="s">
        <v>394</v>
      </c>
      <c r="F1977" t="s">
        <v>96</v>
      </c>
      <c r="G1977" t="str">
        <f>HYPERLINK("https://n.news.naver.com/mnews/article/006/0000130463?sid=102")</f>
        <v>https://n.news.naver.com/mnews/article/006/0000130463?sid=102</v>
      </c>
      <c r="H1977">
        <v>0.17499999999999999</v>
      </c>
    </row>
    <row r="1978" spans="1:8" x14ac:dyDescent="0.3">
      <c r="A1978" t="s">
        <v>4837</v>
      </c>
      <c r="B1978" t="s">
        <v>26951</v>
      </c>
      <c r="C1978" t="s">
        <v>5015</v>
      </c>
      <c r="D1978" t="s">
        <v>5014</v>
      </c>
      <c r="E1978" s="2" t="s">
        <v>418</v>
      </c>
      <c r="F1978" t="s">
        <v>246</v>
      </c>
      <c r="G1978" t="str">
        <f>HYPERLINK("https://n.news.naver.com/mnews/article/214/0001431799?sid=100")</f>
        <v>https://n.news.naver.com/mnews/article/214/0001431799?sid=100</v>
      </c>
      <c r="H1978">
        <v>0.40600000000000003</v>
      </c>
    </row>
    <row r="1979" spans="1:8" x14ac:dyDescent="0.3">
      <c r="A1979" t="s">
        <v>4837</v>
      </c>
      <c r="B1979" t="s">
        <v>26951</v>
      </c>
      <c r="C1979" t="s">
        <v>5017</v>
      </c>
      <c r="D1979" t="s">
        <v>5016</v>
      </c>
      <c r="E1979" s="2" t="s">
        <v>418</v>
      </c>
      <c r="F1979" t="s">
        <v>246</v>
      </c>
      <c r="G1979" t="str">
        <f>HYPERLINK("https://n.news.naver.com/mnews/article/005/0001782564?sid=102")</f>
        <v>https://n.news.naver.com/mnews/article/005/0001782564?sid=102</v>
      </c>
      <c r="H1979">
        <v>0.32700000000000001</v>
      </c>
    </row>
    <row r="1980" spans="1:8" x14ac:dyDescent="0.3">
      <c r="A1980" t="s">
        <v>4837</v>
      </c>
      <c r="B1980" t="s">
        <v>26951</v>
      </c>
      <c r="C1980" t="s">
        <v>5019</v>
      </c>
      <c r="D1980" t="s">
        <v>5018</v>
      </c>
      <c r="E1980" s="2" t="s">
        <v>418</v>
      </c>
      <c r="F1980" t="s">
        <v>246</v>
      </c>
      <c r="G1980" t="str">
        <f>HYPERLINK("http://www.nongaek.com/news/articleView.html?idxno=87981")</f>
        <v>http://www.nongaek.com/news/articleView.html?idxno=87981</v>
      </c>
      <c r="H1980">
        <v>0.34899999999999998</v>
      </c>
    </row>
    <row r="1981" spans="1:8" x14ac:dyDescent="0.3">
      <c r="A1981" t="s">
        <v>4837</v>
      </c>
      <c r="B1981" t="s">
        <v>26951</v>
      </c>
      <c r="C1981" t="s">
        <v>5022</v>
      </c>
      <c r="D1981" t="s">
        <v>5021</v>
      </c>
      <c r="E1981" s="2" t="s">
        <v>418</v>
      </c>
      <c r="F1981" t="s">
        <v>5020</v>
      </c>
      <c r="G1981" t="str">
        <f>HYPERLINK("https://n.news.naver.com/mnews/article/005/0001783092?sid=102")</f>
        <v>https://n.news.naver.com/mnews/article/005/0001783092?sid=102</v>
      </c>
      <c r="H1981">
        <v>0.21</v>
      </c>
    </row>
    <row r="1982" spans="1:8" x14ac:dyDescent="0.3">
      <c r="A1982" t="s">
        <v>4837</v>
      </c>
      <c r="B1982" t="s">
        <v>26951</v>
      </c>
      <c r="C1982" t="s">
        <v>5024</v>
      </c>
      <c r="D1982" t="s">
        <v>5023</v>
      </c>
      <c r="E1982" s="2" t="s">
        <v>418</v>
      </c>
      <c r="F1982" t="s">
        <v>1423</v>
      </c>
      <c r="G1982" t="str">
        <f>HYPERLINK("https://www.hellot.net/news/article.html?no=95928")</f>
        <v>https://www.hellot.net/news/article.html?no=95928</v>
      </c>
      <c r="H1982">
        <v>0.67</v>
      </c>
    </row>
    <row r="1983" spans="1:8" x14ac:dyDescent="0.3">
      <c r="A1983" t="s">
        <v>4837</v>
      </c>
      <c r="B1983" t="s">
        <v>26951</v>
      </c>
      <c r="C1983" t="s">
        <v>5027</v>
      </c>
      <c r="D1983" t="s">
        <v>5026</v>
      </c>
      <c r="E1983" s="2" t="s">
        <v>418</v>
      </c>
      <c r="F1983" t="s">
        <v>5025</v>
      </c>
      <c r="G1983" t="str">
        <f>HYPERLINK("https://n.news.naver.com/mnews/article/005/0001783556?sid=110")</f>
        <v>https://n.news.naver.com/mnews/article/005/0001783556?sid=110</v>
      </c>
      <c r="H1983">
        <v>0.156</v>
      </c>
    </row>
    <row r="1984" spans="1:8" x14ac:dyDescent="0.3">
      <c r="A1984" t="s">
        <v>4837</v>
      </c>
      <c r="B1984" t="s">
        <v>26951</v>
      </c>
      <c r="C1984" t="s">
        <v>5030</v>
      </c>
      <c r="D1984" t="s">
        <v>5029</v>
      </c>
      <c r="E1984" s="2" t="s">
        <v>418</v>
      </c>
      <c r="F1984" t="s">
        <v>5028</v>
      </c>
      <c r="G1984" t="str">
        <f>HYPERLINK("https://n.news.naver.com/mnews/article/008/0005209023?sid=100")</f>
        <v>https://n.news.naver.com/mnews/article/008/0005209023?sid=100</v>
      </c>
      <c r="H1984">
        <v>0.17299999999999999</v>
      </c>
    </row>
    <row r="1985" spans="1:8" x14ac:dyDescent="0.3">
      <c r="A1985" t="s">
        <v>4837</v>
      </c>
      <c r="B1985" t="s">
        <v>26951</v>
      </c>
      <c r="C1985" t="s">
        <v>5033</v>
      </c>
      <c r="D1985" t="s">
        <v>5032</v>
      </c>
      <c r="E1985" s="2" t="s">
        <v>418</v>
      </c>
      <c r="F1985" t="s">
        <v>5031</v>
      </c>
      <c r="G1985" t="str">
        <f>HYPERLINK("https://www.danbinews.com/news/articleView.html?idxno=30758")</f>
        <v>https://www.danbinews.com/news/articleView.html?idxno=30758</v>
      </c>
      <c r="H1985">
        <v>0.45100000000000001</v>
      </c>
    </row>
    <row r="1986" spans="1:8" x14ac:dyDescent="0.3">
      <c r="A1986" t="s">
        <v>4837</v>
      </c>
      <c r="B1986" t="s">
        <v>26951</v>
      </c>
      <c r="C1986" t="s">
        <v>5035</v>
      </c>
      <c r="D1986" t="s">
        <v>5034</v>
      </c>
      <c r="E1986" s="2" t="s">
        <v>418</v>
      </c>
      <c r="F1986" t="s">
        <v>438</v>
      </c>
      <c r="G1986" t="str">
        <f>HYPERLINK("http://www.jeollailbo.com/news/articleView.html?idxno=770849")</f>
        <v>http://www.jeollailbo.com/news/articleView.html?idxno=770849</v>
      </c>
      <c r="H1986">
        <v>0.54500000000000004</v>
      </c>
    </row>
    <row r="1987" spans="1:8" x14ac:dyDescent="0.3">
      <c r="A1987" t="s">
        <v>4837</v>
      </c>
      <c r="B1987" t="s">
        <v>26951</v>
      </c>
      <c r="C1987" t="s">
        <v>5038</v>
      </c>
      <c r="D1987" t="s">
        <v>5037</v>
      </c>
      <c r="E1987" s="2" t="s">
        <v>418</v>
      </c>
      <c r="F1987" t="s">
        <v>5036</v>
      </c>
      <c r="G1987" t="str">
        <f>HYPERLINK("http://www.nongaek.com/news/articleView.html?idxno=91690")</f>
        <v>http://www.nongaek.com/news/articleView.html?idxno=91690</v>
      </c>
      <c r="H1987">
        <v>0.432</v>
      </c>
    </row>
    <row r="1988" spans="1:8" x14ac:dyDescent="0.3">
      <c r="A1988" t="s">
        <v>4837</v>
      </c>
      <c r="B1988" t="s">
        <v>26951</v>
      </c>
      <c r="C1988" t="s">
        <v>5040</v>
      </c>
      <c r="D1988" t="s">
        <v>5039</v>
      </c>
      <c r="E1988" s="2" t="s">
        <v>418</v>
      </c>
      <c r="F1988" t="s">
        <v>776</v>
      </c>
      <c r="G1988" t="str">
        <f>HYPERLINK("https://www.cnbnews.com/news/article.html?no=732658")</f>
        <v>https://www.cnbnews.com/news/article.html?no=732658</v>
      </c>
      <c r="H1988">
        <v>0.72099999999999997</v>
      </c>
    </row>
    <row r="1989" spans="1:8" x14ac:dyDescent="0.3">
      <c r="A1989" t="s">
        <v>4837</v>
      </c>
      <c r="B1989" t="s">
        <v>26951</v>
      </c>
      <c r="C1989" t="s">
        <v>5042</v>
      </c>
      <c r="D1989" t="s">
        <v>5041</v>
      </c>
      <c r="E1989" s="2" t="s">
        <v>418</v>
      </c>
      <c r="F1989" t="s">
        <v>1038</v>
      </c>
      <c r="G1989" t="str">
        <f>HYPERLINK("https://n.news.naver.com/mnews/article/022/0004047866?sid=102")</f>
        <v>https://n.news.naver.com/mnews/article/022/0004047866?sid=102</v>
      </c>
      <c r="H1989">
        <v>0.28499999999999998</v>
      </c>
    </row>
    <row r="1990" spans="1:8" x14ac:dyDescent="0.3">
      <c r="A1990" t="s">
        <v>4837</v>
      </c>
      <c r="B1990" t="s">
        <v>26951</v>
      </c>
      <c r="C1990" t="s">
        <v>5044</v>
      </c>
      <c r="D1990" t="s">
        <v>5043</v>
      </c>
      <c r="E1990" s="2" t="s">
        <v>418</v>
      </c>
      <c r="F1990" t="s">
        <v>2135</v>
      </c>
      <c r="G1990" t="str">
        <f>HYPERLINK("https://n.news.naver.com/mnews/article/006/0000021026?sid=102")</f>
        <v>https://n.news.naver.com/mnews/article/006/0000021026?sid=102</v>
      </c>
      <c r="H1990">
        <v>7.3999999999999996E-2</v>
      </c>
    </row>
    <row r="1991" spans="1:8" x14ac:dyDescent="0.3">
      <c r="A1991" t="s">
        <v>4837</v>
      </c>
      <c r="B1991" t="s">
        <v>26951</v>
      </c>
      <c r="C1991" t="s">
        <v>5046</v>
      </c>
      <c r="D1991" t="s">
        <v>5045</v>
      </c>
      <c r="E1991" s="2" t="s">
        <v>452</v>
      </c>
      <c r="F1991" t="s">
        <v>5028</v>
      </c>
      <c r="G1991" t="str">
        <f>HYPERLINK("http://www.dynews.co.kr/news/articleView.html?idxno=747089")</f>
        <v>http://www.dynews.co.kr/news/articleView.html?idxno=747089</v>
      </c>
      <c r="H1991">
        <v>0.28799999999999998</v>
      </c>
    </row>
    <row r="1992" spans="1:8" x14ac:dyDescent="0.3">
      <c r="A1992" t="s">
        <v>4837</v>
      </c>
      <c r="B1992" t="s">
        <v>26951</v>
      </c>
      <c r="C1992" t="s">
        <v>5048</v>
      </c>
      <c r="D1992" t="s">
        <v>5047</v>
      </c>
      <c r="E1992" s="2" t="s">
        <v>452</v>
      </c>
      <c r="F1992" t="s">
        <v>208</v>
      </c>
      <c r="G1992" t="str">
        <f>HYPERLINK("https://n.news.naver.com/mnews/article/014/0005370409?sid=101")</f>
        <v>https://n.news.naver.com/mnews/article/014/0005370409?sid=101</v>
      </c>
      <c r="H1992">
        <v>0.22800000000000001</v>
      </c>
    </row>
    <row r="1993" spans="1:8" x14ac:dyDescent="0.3">
      <c r="A1993" t="s">
        <v>4837</v>
      </c>
      <c r="B1993" t="s">
        <v>26951</v>
      </c>
      <c r="C1993" t="s">
        <v>5050</v>
      </c>
      <c r="D1993" t="s">
        <v>5049</v>
      </c>
      <c r="E1993" s="2" t="s">
        <v>452</v>
      </c>
      <c r="F1993" t="s">
        <v>805</v>
      </c>
      <c r="G1993" t="str">
        <f>HYPERLINK("http://www.iminju.net/news/articleView.html?idxno=111301")</f>
        <v>http://www.iminju.net/news/articleView.html?idxno=111301</v>
      </c>
      <c r="H1993">
        <v>0.24</v>
      </c>
    </row>
    <row r="1994" spans="1:8" x14ac:dyDescent="0.3">
      <c r="A1994" t="s">
        <v>4837</v>
      </c>
      <c r="B1994" t="s">
        <v>26951</v>
      </c>
      <c r="C1994" t="s">
        <v>5053</v>
      </c>
      <c r="D1994" t="s">
        <v>5052</v>
      </c>
      <c r="E1994" s="2" t="s">
        <v>452</v>
      </c>
      <c r="F1994" t="s">
        <v>5051</v>
      </c>
      <c r="G1994" t="str">
        <f>HYPERLINK("http://www.ttlnews.com/news/articleView.html?idxno=20276")</f>
        <v>http://www.ttlnews.com/news/articleView.html?idxno=20276</v>
      </c>
      <c r="H1994">
        <v>0.57899999999999996</v>
      </c>
    </row>
    <row r="1995" spans="1:8" x14ac:dyDescent="0.3">
      <c r="A1995" t="s">
        <v>4837</v>
      </c>
      <c r="B1995" t="s">
        <v>26951</v>
      </c>
      <c r="C1995" t="s">
        <v>5055</v>
      </c>
      <c r="D1995" t="s">
        <v>5054</v>
      </c>
      <c r="E1995" s="2" t="s">
        <v>452</v>
      </c>
      <c r="F1995" t="s">
        <v>3899</v>
      </c>
      <c r="G1995" t="str">
        <f>HYPERLINK("https://n.news.naver.com/mnews/article/006/0000130557?sid=102")</f>
        <v>https://n.news.naver.com/mnews/article/006/0000130557?sid=102</v>
      </c>
      <c r="H1995">
        <v>0.23699999999999999</v>
      </c>
    </row>
    <row r="1996" spans="1:8" x14ac:dyDescent="0.3">
      <c r="A1996" t="s">
        <v>4837</v>
      </c>
      <c r="B1996" t="s">
        <v>26951</v>
      </c>
      <c r="C1996" t="s">
        <v>5058</v>
      </c>
      <c r="D1996" t="s">
        <v>5057</v>
      </c>
      <c r="E1996" s="2" t="s">
        <v>452</v>
      </c>
      <c r="F1996" t="s">
        <v>5056</v>
      </c>
      <c r="G1996" t="str">
        <f>HYPERLINK("https://www.christiantoday.co.kr/news/364120")</f>
        <v>https://www.christiantoday.co.kr/news/364120</v>
      </c>
      <c r="H1996">
        <v>0.65</v>
      </c>
    </row>
    <row r="1997" spans="1:8" x14ac:dyDescent="0.3">
      <c r="A1997" t="s">
        <v>4837</v>
      </c>
      <c r="B1997" t="s">
        <v>26951</v>
      </c>
      <c r="C1997" t="s">
        <v>5060</v>
      </c>
      <c r="D1997" t="s">
        <v>5059</v>
      </c>
      <c r="E1997" s="2" t="s">
        <v>452</v>
      </c>
      <c r="F1997" t="s">
        <v>166</v>
      </c>
      <c r="G1997" t="str">
        <f>HYPERLINK("https://www.youthdaily.co.kr/news/article.html?no=181640")</f>
        <v>https://www.youthdaily.co.kr/news/article.html?no=181640</v>
      </c>
      <c r="H1997">
        <v>0.24099999999999999</v>
      </c>
    </row>
    <row r="1998" spans="1:8" x14ac:dyDescent="0.3">
      <c r="A1998" t="s">
        <v>4837</v>
      </c>
      <c r="B1998" t="s">
        <v>26951</v>
      </c>
      <c r="C1998" t="s">
        <v>5062</v>
      </c>
      <c r="D1998" t="s">
        <v>5061</v>
      </c>
      <c r="E1998" s="2" t="s">
        <v>452</v>
      </c>
      <c r="F1998" t="s">
        <v>1546</v>
      </c>
      <c r="G1998" t="str">
        <f>HYPERLINK("http://www.metroseoul.co.kr/article/20250616500461")</f>
        <v>http://www.metroseoul.co.kr/article/20250616500461</v>
      </c>
      <c r="H1998">
        <v>0.56100000000000005</v>
      </c>
    </row>
    <row r="1999" spans="1:8" x14ac:dyDescent="0.3">
      <c r="A1999" t="s">
        <v>4837</v>
      </c>
      <c r="B1999" t="s">
        <v>26951</v>
      </c>
      <c r="C1999" t="s">
        <v>5065</v>
      </c>
      <c r="D1999" t="s">
        <v>5064</v>
      </c>
      <c r="E1999" s="2" t="s">
        <v>481</v>
      </c>
      <c r="F1999" t="s">
        <v>5063</v>
      </c>
      <c r="G1999" t="str">
        <f>HYPERLINK("https://n.news.naver.com/mnews/article/006/0000075902?sid=102")</f>
        <v>https://n.news.naver.com/mnews/article/006/0000075902?sid=102</v>
      </c>
      <c r="H1999">
        <v>0.33100000000000002</v>
      </c>
    </row>
    <row r="2000" spans="1:8" x14ac:dyDescent="0.3">
      <c r="A2000" t="s">
        <v>4837</v>
      </c>
      <c r="B2000" t="s">
        <v>26951</v>
      </c>
      <c r="C2000" t="s">
        <v>5068</v>
      </c>
      <c r="D2000" t="s">
        <v>5067</v>
      </c>
      <c r="E2000" s="2" t="s">
        <v>481</v>
      </c>
      <c r="F2000" t="s">
        <v>5066</v>
      </c>
      <c r="G2000" t="str">
        <f>HYPERLINK("https://www.cts.tv/mission300/detail_mission/325/4806")</f>
        <v>https://www.cts.tv/mission300/detail_mission/325/4806</v>
      </c>
      <c r="H2000">
        <v>0.75700000000000001</v>
      </c>
    </row>
    <row r="2001" spans="1:8" x14ac:dyDescent="0.3">
      <c r="A2001" t="s">
        <v>4837</v>
      </c>
      <c r="B2001" t="s">
        <v>26951</v>
      </c>
      <c r="C2001" t="s">
        <v>5071</v>
      </c>
      <c r="D2001" t="s">
        <v>5070</v>
      </c>
      <c r="E2001" s="2" t="s">
        <v>481</v>
      </c>
      <c r="F2001" t="s">
        <v>5069</v>
      </c>
      <c r="G2001" t="str">
        <f>HYPERLINK("http://news.lghellovision.net/news/articleView.html?idxno=510932")</f>
        <v>http://news.lghellovision.net/news/articleView.html?idxno=510932</v>
      </c>
      <c r="H2001">
        <v>0.25800000000000001</v>
      </c>
    </row>
    <row r="2002" spans="1:8" x14ac:dyDescent="0.3">
      <c r="A2002" t="s">
        <v>4837</v>
      </c>
      <c r="B2002" t="s">
        <v>26951</v>
      </c>
      <c r="C2002" t="s">
        <v>5075</v>
      </c>
      <c r="D2002" t="s">
        <v>5074</v>
      </c>
      <c r="E2002" s="2" t="s">
        <v>502</v>
      </c>
      <c r="F2002" t="s">
        <v>5073</v>
      </c>
      <c r="G2002" t="str">
        <f>HYPERLINK("https://www.cstimes.com/news/articleView.html?idxno=654507")</f>
        <v>https://www.cstimes.com/news/articleView.html?idxno=654507</v>
      </c>
      <c r="H2002">
        <v>0.2</v>
      </c>
    </row>
    <row r="2003" spans="1:8" x14ac:dyDescent="0.3">
      <c r="A2003" t="s">
        <v>4837</v>
      </c>
      <c r="B2003" t="s">
        <v>26951</v>
      </c>
      <c r="C2003" t="s">
        <v>5080</v>
      </c>
      <c r="D2003" t="s">
        <v>5079</v>
      </c>
      <c r="E2003" s="2" t="s">
        <v>517</v>
      </c>
      <c r="F2003" t="s">
        <v>5078</v>
      </c>
      <c r="G2003" t="str">
        <f>HYPERLINK("https://dhnews.co.kr/news/view/1065575251238605")</f>
        <v>https://dhnews.co.kr/news/view/1065575251238605</v>
      </c>
      <c r="H2003">
        <v>0.86</v>
      </c>
    </row>
    <row r="2004" spans="1:8" x14ac:dyDescent="0.3">
      <c r="A2004" t="s">
        <v>4837</v>
      </c>
      <c r="B2004" t="s">
        <v>26951</v>
      </c>
      <c r="C2004" t="s">
        <v>5082</v>
      </c>
      <c r="D2004" t="s">
        <v>5081</v>
      </c>
      <c r="E2004" s="2" t="s">
        <v>517</v>
      </c>
      <c r="F2004" t="s">
        <v>5051</v>
      </c>
      <c r="G2004" t="str">
        <f>HYPERLINK("https://www.greened.kr/news/articleView.html?idxno=325563")</f>
        <v>https://www.greened.kr/news/articleView.html?idxno=325563</v>
      </c>
      <c r="H2004">
        <v>0.57699999999999996</v>
      </c>
    </row>
    <row r="2005" spans="1:8" x14ac:dyDescent="0.3">
      <c r="A2005" t="s">
        <v>4837</v>
      </c>
      <c r="B2005" t="s">
        <v>26951</v>
      </c>
      <c r="C2005" t="s">
        <v>5084</v>
      </c>
      <c r="D2005" t="s">
        <v>5083</v>
      </c>
      <c r="E2005" s="2" t="s">
        <v>517</v>
      </c>
      <c r="F2005" t="s">
        <v>208</v>
      </c>
      <c r="G2005" t="str">
        <f>HYPERLINK("http://www.nongaek.com/news/articleView.html?idxno=91760")</f>
        <v>http://www.nongaek.com/news/articleView.html?idxno=91760</v>
      </c>
      <c r="H2005">
        <v>0.33700000000000002</v>
      </c>
    </row>
    <row r="2006" spans="1:8" x14ac:dyDescent="0.3">
      <c r="A2006" t="s">
        <v>4837</v>
      </c>
      <c r="B2006" t="s">
        <v>26951</v>
      </c>
      <c r="C2006" t="s">
        <v>5086</v>
      </c>
      <c r="D2006" t="s">
        <v>5085</v>
      </c>
      <c r="E2006" s="2" t="s">
        <v>517</v>
      </c>
      <c r="F2006" t="s">
        <v>805</v>
      </c>
      <c r="G2006" t="str">
        <f>HYPERLINK("https://n.news.naver.com/mnews/article/022/0004043418?sid=100")</f>
        <v>https://n.news.naver.com/mnews/article/022/0004043418?sid=100</v>
      </c>
      <c r="H2006">
        <v>0.13900000000000001</v>
      </c>
    </row>
    <row r="2007" spans="1:8" x14ac:dyDescent="0.3">
      <c r="A2007" t="s">
        <v>4837</v>
      </c>
      <c r="B2007" t="s">
        <v>26951</v>
      </c>
      <c r="C2007" t="s">
        <v>5089</v>
      </c>
      <c r="D2007" t="s">
        <v>5088</v>
      </c>
      <c r="E2007" s="2" t="s">
        <v>517</v>
      </c>
      <c r="F2007" t="s">
        <v>5087</v>
      </c>
      <c r="G2007" t="str">
        <f>HYPERLINK("https://n.news.naver.com/mnews/article/005/0001782781?sid=101")</f>
        <v>https://n.news.naver.com/mnews/article/005/0001782781?sid=101</v>
      </c>
      <c r="H2007">
        <v>0.21299999999999999</v>
      </c>
    </row>
    <row r="2008" spans="1:8" x14ac:dyDescent="0.3">
      <c r="A2008" t="s">
        <v>4837</v>
      </c>
      <c r="B2008" t="s">
        <v>26951</v>
      </c>
      <c r="C2008" t="s">
        <v>5093</v>
      </c>
      <c r="D2008" t="s">
        <v>5092</v>
      </c>
      <c r="E2008" s="2" t="s">
        <v>517</v>
      </c>
      <c r="F2008" t="s">
        <v>5091</v>
      </c>
      <c r="G2008" t="str">
        <f>HYPERLINK("https://n.news.naver.com/mnews/article/016/0002488790?sid=104")</f>
        <v>https://n.news.naver.com/mnews/article/016/0002488790?sid=104</v>
      </c>
      <c r="H2008">
        <v>0.34300000000000003</v>
      </c>
    </row>
    <row r="2009" spans="1:8" x14ac:dyDescent="0.3">
      <c r="A2009" t="s">
        <v>4837</v>
      </c>
      <c r="B2009" t="s">
        <v>26951</v>
      </c>
      <c r="C2009" t="s">
        <v>5096</v>
      </c>
      <c r="D2009" t="s">
        <v>5095</v>
      </c>
      <c r="E2009" s="2" t="s">
        <v>517</v>
      </c>
      <c r="F2009" t="s">
        <v>5094</v>
      </c>
      <c r="G2009" t="str">
        <f>HYPERLINK("https://n.news.naver.com/mnews/article/005/0001779034?sid=103")</f>
        <v>https://n.news.naver.com/mnews/article/005/0001779034?sid=103</v>
      </c>
      <c r="H2009">
        <v>0.25</v>
      </c>
    </row>
    <row r="2010" spans="1:8" x14ac:dyDescent="0.3">
      <c r="A2010" t="s">
        <v>4837</v>
      </c>
      <c r="B2010" t="s">
        <v>26951</v>
      </c>
      <c r="C2010" t="s">
        <v>5098</v>
      </c>
      <c r="D2010" t="s">
        <v>5097</v>
      </c>
      <c r="E2010" s="2" t="s">
        <v>517</v>
      </c>
      <c r="F2010" t="s">
        <v>1210</v>
      </c>
      <c r="G2010" t="str">
        <f>HYPERLINK("https://n.news.naver.com/mnews/article/277/0005611232?sid=104")</f>
        <v>https://n.news.naver.com/mnews/article/277/0005611232?sid=104</v>
      </c>
      <c r="H2010">
        <v>0.111</v>
      </c>
    </row>
    <row r="2011" spans="1:8" x14ac:dyDescent="0.3">
      <c r="A2011" t="s">
        <v>4837</v>
      </c>
      <c r="B2011" t="s">
        <v>26951</v>
      </c>
      <c r="C2011" t="s">
        <v>5101</v>
      </c>
      <c r="D2011" t="s">
        <v>5100</v>
      </c>
      <c r="E2011" s="2" t="s">
        <v>517</v>
      </c>
      <c r="F2011" t="s">
        <v>5099</v>
      </c>
      <c r="G2011" t="str">
        <f>HYPERLINK("http://www.pdjournal.com/news/articleView.html?idxno=38373")</f>
        <v>http://www.pdjournal.com/news/articleView.html?idxno=38373</v>
      </c>
      <c r="H2011">
        <v>0.49</v>
      </c>
    </row>
    <row r="2012" spans="1:8" x14ac:dyDescent="0.3">
      <c r="A2012" t="s">
        <v>4837</v>
      </c>
      <c r="B2012" t="s">
        <v>26951</v>
      </c>
      <c r="C2012" t="s">
        <v>5104</v>
      </c>
      <c r="D2012" t="s">
        <v>5103</v>
      </c>
      <c r="E2012" s="2" t="s">
        <v>517</v>
      </c>
      <c r="F2012" t="s">
        <v>5102</v>
      </c>
      <c r="G2012" t="str">
        <f>HYPERLINK("http://www.pckworld.com/article.php?aid=10701062748")</f>
        <v>http://www.pckworld.com/article.php?aid=10701062748</v>
      </c>
      <c r="H2012">
        <v>0.77600000000000002</v>
      </c>
    </row>
    <row r="2013" spans="1:8" x14ac:dyDescent="0.3">
      <c r="A2013" t="s">
        <v>4837</v>
      </c>
      <c r="B2013" t="s">
        <v>26951</v>
      </c>
      <c r="C2013" t="s">
        <v>5106</v>
      </c>
      <c r="D2013" t="s">
        <v>5105</v>
      </c>
      <c r="E2013" s="2" t="s">
        <v>517</v>
      </c>
      <c r="F2013" t="s">
        <v>1546</v>
      </c>
      <c r="G2013" t="str">
        <f>HYPERLINK("https://n.news.naver.com/mnews/article/028/0002750618?sid=101")</f>
        <v>https://n.news.naver.com/mnews/article/028/0002750618?sid=101</v>
      </c>
      <c r="H2013">
        <v>0.20399999999999999</v>
      </c>
    </row>
    <row r="2014" spans="1:8" x14ac:dyDescent="0.3">
      <c r="A2014" t="s">
        <v>4837</v>
      </c>
      <c r="B2014" t="s">
        <v>26951</v>
      </c>
      <c r="C2014" t="s">
        <v>5109</v>
      </c>
      <c r="D2014" t="s">
        <v>5108</v>
      </c>
      <c r="E2014" s="2" t="s">
        <v>538</v>
      </c>
      <c r="F2014" t="s">
        <v>5107</v>
      </c>
      <c r="G2014" t="str">
        <f>HYPERLINK("http://www.enewstoday.co.kr/news/articleView.html?idxno=2288884")</f>
        <v>http://www.enewstoday.co.kr/news/articleView.html?idxno=2288884</v>
      </c>
      <c r="H2014">
        <v>0.85399999999999998</v>
      </c>
    </row>
    <row r="2015" spans="1:8" x14ac:dyDescent="0.3">
      <c r="A2015" t="s">
        <v>4837</v>
      </c>
      <c r="B2015" t="s">
        <v>26951</v>
      </c>
      <c r="C2015" t="s">
        <v>5112</v>
      </c>
      <c r="D2015" t="s">
        <v>5111</v>
      </c>
      <c r="E2015" s="2" t="s">
        <v>538</v>
      </c>
      <c r="F2015" t="s">
        <v>5110</v>
      </c>
      <c r="G2015" t="str">
        <f>HYPERLINK("http://www.bulkwang.co.kr/news/articleView.html?idxno=33005")</f>
        <v>http://www.bulkwang.co.kr/news/articleView.html?idxno=33005</v>
      </c>
      <c r="H2015">
        <v>0.40799999999999997</v>
      </c>
    </row>
    <row r="2016" spans="1:8" x14ac:dyDescent="0.3">
      <c r="A2016" t="s">
        <v>4837</v>
      </c>
      <c r="B2016" t="s">
        <v>26951</v>
      </c>
      <c r="C2016" t="s">
        <v>5115</v>
      </c>
      <c r="D2016" t="s">
        <v>5114</v>
      </c>
      <c r="E2016" s="2" t="s">
        <v>538</v>
      </c>
      <c r="F2016" t="s">
        <v>5113</v>
      </c>
      <c r="G2016" t="str">
        <f>HYPERLINK("https://www.korea.kr/news/policyNewsView.do?newsId=148944319&amp;call_from=naver_news")</f>
        <v>https://www.korea.kr/news/policyNewsView.do?newsId=148944319&amp;call_from=naver_news</v>
      </c>
      <c r="H2016">
        <v>0.69299999999999995</v>
      </c>
    </row>
    <row r="2017" spans="1:8" x14ac:dyDescent="0.3">
      <c r="A2017" t="s">
        <v>4837</v>
      </c>
      <c r="B2017" t="s">
        <v>26951</v>
      </c>
      <c r="C2017" t="s">
        <v>5118</v>
      </c>
      <c r="D2017" t="s">
        <v>5117</v>
      </c>
      <c r="E2017" s="2" t="s">
        <v>538</v>
      </c>
      <c r="F2017" t="s">
        <v>5116</v>
      </c>
      <c r="G2017" t="str">
        <f>HYPERLINK("https://n.news.naver.com/mnews/article/005/0001459338?sid=103")</f>
        <v>https://n.news.naver.com/mnews/article/005/0001459338?sid=103</v>
      </c>
      <c r="H2017">
        <v>0.19500000000000001</v>
      </c>
    </row>
    <row r="2018" spans="1:8" x14ac:dyDescent="0.3">
      <c r="A2018" t="s">
        <v>4837</v>
      </c>
      <c r="B2018" t="s">
        <v>26951</v>
      </c>
      <c r="C2018" t="s">
        <v>1850</v>
      </c>
      <c r="D2018" t="s">
        <v>1849</v>
      </c>
      <c r="E2018" s="2" t="s">
        <v>538</v>
      </c>
      <c r="F2018" t="s">
        <v>510</v>
      </c>
      <c r="G2018" t="str">
        <f>HYPERLINK("https://n.news.naver.com/mnews/article/079/0002644876?sid=102")</f>
        <v>https://n.news.naver.com/mnews/article/079/0002644876?sid=102</v>
      </c>
      <c r="H2018">
        <v>0.18099999999999999</v>
      </c>
    </row>
    <row r="2019" spans="1:8" x14ac:dyDescent="0.3">
      <c r="A2019" t="s">
        <v>4837</v>
      </c>
      <c r="B2019" t="s">
        <v>26951</v>
      </c>
      <c r="C2019" t="s">
        <v>5121</v>
      </c>
      <c r="D2019" t="s">
        <v>5120</v>
      </c>
      <c r="E2019" s="2" t="s">
        <v>538</v>
      </c>
      <c r="F2019" t="s">
        <v>5119</v>
      </c>
      <c r="G2019" t="str">
        <f>HYPERLINK("https://weekly.cnbnews.com/news/article.html?no=179704")</f>
        <v>https://weekly.cnbnews.com/news/article.html?no=179704</v>
      </c>
      <c r="H2019">
        <v>0.95</v>
      </c>
    </row>
    <row r="2020" spans="1:8" x14ac:dyDescent="0.3">
      <c r="A2020" t="s">
        <v>4837</v>
      </c>
      <c r="B2020" t="s">
        <v>26951</v>
      </c>
      <c r="C2020" t="s">
        <v>3521</v>
      </c>
      <c r="D2020" t="s">
        <v>3520</v>
      </c>
      <c r="E2020" s="2" t="s">
        <v>572</v>
      </c>
      <c r="F2020" t="s">
        <v>3519</v>
      </c>
      <c r="G2020" t="str">
        <f>HYPERLINK("https://www.tokenpost.kr/article-207338")</f>
        <v>https://www.tokenpost.kr/article-207338</v>
      </c>
      <c r="H2020">
        <v>0.442</v>
      </c>
    </row>
    <row r="2021" spans="1:8" x14ac:dyDescent="0.3">
      <c r="A2021" t="s">
        <v>4837</v>
      </c>
      <c r="B2021" t="s">
        <v>26951</v>
      </c>
      <c r="C2021" t="s">
        <v>5123</v>
      </c>
      <c r="D2021" t="s">
        <v>5122</v>
      </c>
      <c r="E2021" s="2" t="s">
        <v>572</v>
      </c>
      <c r="F2021" t="s">
        <v>4869</v>
      </c>
      <c r="G2021" t="str">
        <f>HYPERLINK("https://www.tokenpost.kr/article-198228")</f>
        <v>https://www.tokenpost.kr/article-198228</v>
      </c>
      <c r="H2021">
        <v>0.316</v>
      </c>
    </row>
    <row r="2022" spans="1:8" x14ac:dyDescent="0.3">
      <c r="A2022" t="s">
        <v>4837</v>
      </c>
      <c r="B2022" t="s">
        <v>26951</v>
      </c>
      <c r="C2022" t="s">
        <v>5126</v>
      </c>
      <c r="D2022" t="s">
        <v>5125</v>
      </c>
      <c r="E2022" s="2" t="s">
        <v>572</v>
      </c>
      <c r="F2022" t="s">
        <v>5124</v>
      </c>
      <c r="G2022" t="str">
        <f>HYPERLINK("http://www.newswatch.kr/news/articleView.html?idxno=70430")</f>
        <v>http://www.newswatch.kr/news/articleView.html?idxno=70430</v>
      </c>
      <c r="H2022">
        <v>0.51700000000000002</v>
      </c>
    </row>
    <row r="2023" spans="1:8" x14ac:dyDescent="0.3">
      <c r="A2023" t="s">
        <v>4837</v>
      </c>
      <c r="B2023" t="s">
        <v>26951</v>
      </c>
      <c r="C2023" t="s">
        <v>5128</v>
      </c>
      <c r="D2023" t="s">
        <v>5127</v>
      </c>
      <c r="E2023" s="2" t="s">
        <v>572</v>
      </c>
      <c r="F2023" t="s">
        <v>1615</v>
      </c>
      <c r="G2023" t="str">
        <f>HYPERLINK("https://www.autodaily.co.kr/news/articleView.html?idxno=532743")</f>
        <v>https://www.autodaily.co.kr/news/articleView.html?idxno=532743</v>
      </c>
      <c r="H2023">
        <v>0.33200000000000002</v>
      </c>
    </row>
    <row r="2024" spans="1:8" x14ac:dyDescent="0.3">
      <c r="A2024" t="s">
        <v>4837</v>
      </c>
      <c r="B2024" t="s">
        <v>26951</v>
      </c>
      <c r="C2024" t="s">
        <v>5131</v>
      </c>
      <c r="D2024" t="s">
        <v>5130</v>
      </c>
      <c r="E2024" s="2" t="s">
        <v>572</v>
      </c>
      <c r="F2024" t="s">
        <v>5129</v>
      </c>
      <c r="G2024" t="str">
        <f>HYPERLINK("https://www.christiantoday.co.kr/news/351857")</f>
        <v>https://www.christiantoday.co.kr/news/351857</v>
      </c>
      <c r="H2024">
        <v>0.59099999999999997</v>
      </c>
    </row>
    <row r="2025" spans="1:8" x14ac:dyDescent="0.3">
      <c r="A2025" t="s">
        <v>4837</v>
      </c>
      <c r="B2025" t="s">
        <v>26951</v>
      </c>
      <c r="C2025" t="s">
        <v>5134</v>
      </c>
      <c r="D2025" t="s">
        <v>5133</v>
      </c>
      <c r="E2025" s="2" t="s">
        <v>609</v>
      </c>
      <c r="F2025" t="s">
        <v>967</v>
      </c>
      <c r="G2025" t="str">
        <f>HYPERLINK("http://www.ntoday.co.kr/news/articleView.html?idxno=90900")</f>
        <v>http://www.ntoday.co.kr/news/articleView.html?idxno=90900</v>
      </c>
      <c r="H2025">
        <v>0.34100000000000003</v>
      </c>
    </row>
    <row r="2026" spans="1:8" x14ac:dyDescent="0.3">
      <c r="A2026" t="s">
        <v>4837</v>
      </c>
      <c r="B2026" t="s">
        <v>26951</v>
      </c>
      <c r="C2026" t="s">
        <v>5137</v>
      </c>
      <c r="D2026" t="s">
        <v>5136</v>
      </c>
      <c r="E2026" s="2" t="s">
        <v>609</v>
      </c>
      <c r="F2026" t="s">
        <v>5135</v>
      </c>
      <c r="G2026" t="str">
        <f>HYPERLINK("http://www.nongaek.com/news/articleView.html?idxno=91717")</f>
        <v>http://www.nongaek.com/news/articleView.html?idxno=91717</v>
      </c>
      <c r="H2026">
        <v>0.24399999999999999</v>
      </c>
    </row>
    <row r="2027" spans="1:8" x14ac:dyDescent="0.3">
      <c r="A2027" t="s">
        <v>4837</v>
      </c>
      <c r="B2027" t="s">
        <v>26951</v>
      </c>
      <c r="C2027" t="s">
        <v>5139</v>
      </c>
      <c r="D2027" t="s">
        <v>5138</v>
      </c>
      <c r="E2027" s="2" t="s">
        <v>609</v>
      </c>
      <c r="F2027" t="s">
        <v>151</v>
      </c>
      <c r="G2027" t="str">
        <f>HYPERLINK("https://www.christiantoday.co.kr/news/369168")</f>
        <v>https://www.christiantoday.co.kr/news/369168</v>
      </c>
      <c r="H2027">
        <v>0.66400000000000003</v>
      </c>
    </row>
    <row r="2028" spans="1:8" x14ac:dyDescent="0.3">
      <c r="A2028" t="s">
        <v>4837</v>
      </c>
      <c r="B2028" t="s">
        <v>26951</v>
      </c>
      <c r="C2028" t="s">
        <v>5141</v>
      </c>
      <c r="D2028" t="s">
        <v>5140</v>
      </c>
      <c r="E2028" s="2" t="s">
        <v>609</v>
      </c>
      <c r="F2028" t="s">
        <v>2046</v>
      </c>
      <c r="G2028" t="str">
        <f>HYPERLINK("https://n.news.naver.com/mnews/article/005/0001781987?sid=103")</f>
        <v>https://n.news.naver.com/mnews/article/005/0001781987?sid=103</v>
      </c>
      <c r="H2028">
        <v>0.25600000000000001</v>
      </c>
    </row>
    <row r="2029" spans="1:8" x14ac:dyDescent="0.3">
      <c r="A2029" t="s">
        <v>4837</v>
      </c>
      <c r="B2029" t="s">
        <v>26951</v>
      </c>
      <c r="C2029" t="s">
        <v>5144</v>
      </c>
      <c r="D2029" t="s">
        <v>5143</v>
      </c>
      <c r="E2029" s="2" t="s">
        <v>609</v>
      </c>
      <c r="F2029" t="s">
        <v>5142</v>
      </c>
      <c r="G2029" t="str">
        <f>HYPERLINK("https://n.news.naver.com/mnews/article/002/0001939654?sid=100")</f>
        <v>https://n.news.naver.com/mnews/article/002/0001939654?sid=100</v>
      </c>
      <c r="H2029">
        <v>0.23400000000000001</v>
      </c>
    </row>
    <row r="2030" spans="1:8" x14ac:dyDescent="0.3">
      <c r="A2030" t="s">
        <v>4837</v>
      </c>
      <c r="B2030" t="s">
        <v>26951</v>
      </c>
      <c r="C2030" t="s">
        <v>5146</v>
      </c>
      <c r="D2030" t="s">
        <v>5145</v>
      </c>
      <c r="E2030" s="2" t="s">
        <v>609</v>
      </c>
      <c r="F2030" t="s">
        <v>5028</v>
      </c>
      <c r="G2030" t="str">
        <f>HYPERLINK("https://www.apnews.kr/news/articleView.html?idxno=3008635")</f>
        <v>https://www.apnews.kr/news/articleView.html?idxno=3008635</v>
      </c>
      <c r="H2030">
        <v>0.316</v>
      </c>
    </row>
    <row r="2031" spans="1:8" x14ac:dyDescent="0.3">
      <c r="A2031" t="s">
        <v>4837</v>
      </c>
      <c r="B2031" t="s">
        <v>26951</v>
      </c>
      <c r="C2031" t="s">
        <v>5148</v>
      </c>
      <c r="D2031" t="s">
        <v>5147</v>
      </c>
      <c r="E2031" s="2" t="s">
        <v>653</v>
      </c>
      <c r="F2031" t="s">
        <v>467</v>
      </c>
      <c r="G2031" t="str">
        <f>HYPERLINK("https://n.news.naver.com/mnews/article/022/0004047727?sid=102")</f>
        <v>https://n.news.naver.com/mnews/article/022/0004047727?sid=102</v>
      </c>
      <c r="H2031">
        <v>0.36099999999999999</v>
      </c>
    </row>
    <row r="2032" spans="1:8" x14ac:dyDescent="0.3">
      <c r="A2032" t="s">
        <v>4837</v>
      </c>
      <c r="B2032" t="s">
        <v>26951</v>
      </c>
      <c r="C2032" t="s">
        <v>5150</v>
      </c>
      <c r="D2032" t="s">
        <v>5149</v>
      </c>
      <c r="E2032" s="2" t="s">
        <v>653</v>
      </c>
      <c r="F2032" t="s">
        <v>4899</v>
      </c>
      <c r="G2032" t="str">
        <f>HYPERLINK("http://www.nongaek.com/news/articleView.html?idxno=87981")</f>
        <v>http://www.nongaek.com/news/articleView.html?idxno=87981</v>
      </c>
      <c r="H2032">
        <v>0.245</v>
      </c>
    </row>
    <row r="2033" spans="1:8" x14ac:dyDescent="0.3">
      <c r="A2033" t="s">
        <v>4837</v>
      </c>
      <c r="B2033" t="s">
        <v>26951</v>
      </c>
      <c r="C2033" t="s">
        <v>5153</v>
      </c>
      <c r="D2033" t="s">
        <v>5152</v>
      </c>
      <c r="E2033" s="2" t="s">
        <v>653</v>
      </c>
      <c r="F2033" t="s">
        <v>5151</v>
      </c>
      <c r="G2033" t="str">
        <f>HYPERLINK("https://www.christiantoday.co.kr/news/333943")</f>
        <v>https://www.christiantoday.co.kr/news/333943</v>
      </c>
      <c r="H2033">
        <v>0.59499999999999997</v>
      </c>
    </row>
    <row r="2034" spans="1:8" x14ac:dyDescent="0.3">
      <c r="A2034" t="s">
        <v>4837</v>
      </c>
      <c r="B2034" t="s">
        <v>26951</v>
      </c>
      <c r="C2034" t="s">
        <v>5156</v>
      </c>
      <c r="D2034" t="s">
        <v>5155</v>
      </c>
      <c r="E2034" s="2" t="s">
        <v>653</v>
      </c>
      <c r="F2034" t="s">
        <v>5154</v>
      </c>
      <c r="G2034" t="str">
        <f>HYPERLINK("http://news.lghellovision.net/news/articleView.html?idxno=510065")</f>
        <v>http://news.lghellovision.net/news/articleView.html?idxno=510065</v>
      </c>
      <c r="H2034">
        <v>0.35099999999999998</v>
      </c>
    </row>
    <row r="2035" spans="1:8" x14ac:dyDescent="0.3">
      <c r="A2035" t="s">
        <v>4837</v>
      </c>
      <c r="B2035" t="s">
        <v>26951</v>
      </c>
      <c r="C2035" t="s">
        <v>5158</v>
      </c>
      <c r="D2035" t="s">
        <v>5157</v>
      </c>
      <c r="E2035" s="2" t="s">
        <v>653</v>
      </c>
      <c r="F2035" t="s">
        <v>625</v>
      </c>
      <c r="G2035" t="str">
        <f>HYPERLINK("https://news.einfomax.co.kr/news/articleView.html?idxno=4324027")</f>
        <v>https://news.einfomax.co.kr/news/articleView.html?idxno=4324027</v>
      </c>
      <c r="H2035">
        <v>0.45700000000000002</v>
      </c>
    </row>
    <row r="2036" spans="1:8" x14ac:dyDescent="0.3">
      <c r="A2036" t="s">
        <v>4837</v>
      </c>
      <c r="B2036" t="s">
        <v>26951</v>
      </c>
      <c r="C2036" t="s">
        <v>5161</v>
      </c>
      <c r="D2036" t="s">
        <v>5160</v>
      </c>
      <c r="E2036" s="2" t="s">
        <v>653</v>
      </c>
      <c r="F2036" t="s">
        <v>5159</v>
      </c>
      <c r="G2036" t="str">
        <f>HYPERLINK("http://www.worldkorean.net/news/articleView.html?idxno=44511")</f>
        <v>http://www.worldkorean.net/news/articleView.html?idxno=44511</v>
      </c>
      <c r="H2036">
        <v>0.22700000000000001</v>
      </c>
    </row>
    <row r="2037" spans="1:8" x14ac:dyDescent="0.3">
      <c r="A2037" t="s">
        <v>4837</v>
      </c>
      <c r="B2037" t="s">
        <v>26951</v>
      </c>
      <c r="C2037" t="s">
        <v>5163</v>
      </c>
      <c r="D2037" t="s">
        <v>5162</v>
      </c>
      <c r="E2037" s="2" t="s">
        <v>653</v>
      </c>
      <c r="F2037" t="s">
        <v>2046</v>
      </c>
      <c r="G2037" t="str">
        <f>HYPERLINK("https://n.news.naver.com/mnews/article/005/0001781600?sid=102")</f>
        <v>https://n.news.naver.com/mnews/article/005/0001781600?sid=102</v>
      </c>
      <c r="H2037">
        <v>0.182</v>
      </c>
    </row>
    <row r="2038" spans="1:8" x14ac:dyDescent="0.3">
      <c r="A2038" t="s">
        <v>4837</v>
      </c>
      <c r="B2038" t="s">
        <v>26951</v>
      </c>
      <c r="C2038" t="s">
        <v>5166</v>
      </c>
      <c r="D2038" t="s">
        <v>5165</v>
      </c>
      <c r="E2038" s="2" t="s">
        <v>653</v>
      </c>
      <c r="F2038" t="s">
        <v>5164</v>
      </c>
      <c r="G2038" t="str">
        <f>HYPERLINK("https://n.news.naver.com/mnews/article/243/0000079185?sid=101")</f>
        <v>https://n.news.naver.com/mnews/article/243/0000079185?sid=101</v>
      </c>
      <c r="H2038">
        <v>0.10199999999999999</v>
      </c>
    </row>
    <row r="2039" spans="1:8" x14ac:dyDescent="0.3">
      <c r="A2039" t="s">
        <v>4837</v>
      </c>
      <c r="B2039" t="s">
        <v>26951</v>
      </c>
      <c r="C2039" t="s">
        <v>5168</v>
      </c>
      <c r="D2039" t="s">
        <v>5167</v>
      </c>
      <c r="E2039" s="2" t="s">
        <v>653</v>
      </c>
      <c r="F2039" t="s">
        <v>857</v>
      </c>
      <c r="G2039" t="str">
        <f>HYPERLINK("https://n.news.naver.com/mnews/article/005/0001781416?sid=103")</f>
        <v>https://n.news.naver.com/mnews/article/005/0001781416?sid=103</v>
      </c>
      <c r="H2039">
        <v>0.156</v>
      </c>
    </row>
    <row r="2040" spans="1:8" x14ac:dyDescent="0.3">
      <c r="A2040" t="s">
        <v>4837</v>
      </c>
      <c r="B2040" t="s">
        <v>26951</v>
      </c>
      <c r="C2040" t="s">
        <v>5170</v>
      </c>
      <c r="D2040" t="s">
        <v>5169</v>
      </c>
      <c r="E2040" s="2" t="s">
        <v>692</v>
      </c>
      <c r="F2040" t="s">
        <v>1426</v>
      </c>
      <c r="G2040" t="str">
        <f>HYPERLINK("http://www.ifs.or.kr/bbs/board.php?bo_table=News&amp;wr_id=53622")</f>
        <v>http://www.ifs.or.kr/bbs/board.php?bo_table=News&amp;wr_id=53622</v>
      </c>
      <c r="H2040">
        <v>0.35599999999999998</v>
      </c>
    </row>
    <row r="2041" spans="1:8" x14ac:dyDescent="0.3">
      <c r="A2041" t="s">
        <v>4837</v>
      </c>
      <c r="B2041" t="s">
        <v>26951</v>
      </c>
      <c r="C2041" t="s">
        <v>5173</v>
      </c>
      <c r="D2041" t="s">
        <v>5172</v>
      </c>
      <c r="E2041" s="2" t="s">
        <v>711</v>
      </c>
      <c r="F2041" t="s">
        <v>1263</v>
      </c>
      <c r="G2041" t="str">
        <f>HYPERLINK("http://www.nongaek.com/news/articleView.html?idxno=86520")</f>
        <v>http://www.nongaek.com/news/articleView.html?idxno=86520</v>
      </c>
      <c r="H2041">
        <v>0.32100000000000001</v>
      </c>
    </row>
    <row r="2042" spans="1:8" x14ac:dyDescent="0.3">
      <c r="A2042" t="s">
        <v>4837</v>
      </c>
      <c r="B2042" t="s">
        <v>26951</v>
      </c>
      <c r="C2042" t="s">
        <v>5176</v>
      </c>
      <c r="D2042" t="s">
        <v>5175</v>
      </c>
      <c r="E2042" s="2" t="s">
        <v>711</v>
      </c>
      <c r="F2042" t="s">
        <v>5174</v>
      </c>
      <c r="G2042" t="str">
        <f>HYPERLINK("http://www.catholicnews.co.kr/news/articleView.html?idxno=22242")</f>
        <v>http://www.catholicnews.co.kr/news/articleView.html?idxno=22242</v>
      </c>
      <c r="H2042">
        <v>0.40100000000000002</v>
      </c>
    </row>
    <row r="2043" spans="1:8" x14ac:dyDescent="0.3">
      <c r="A2043" t="s">
        <v>4837</v>
      </c>
      <c r="B2043" t="s">
        <v>26951</v>
      </c>
      <c r="C2043" t="s">
        <v>5179</v>
      </c>
      <c r="D2043" t="s">
        <v>5178</v>
      </c>
      <c r="E2043" s="2" t="s">
        <v>711</v>
      </c>
      <c r="F2043" t="s">
        <v>5177</v>
      </c>
      <c r="G2043" t="str">
        <f>HYPERLINK("https://www.fortunekorea.co.kr/news/articleView.html?idxno=48776")</f>
        <v>https://www.fortunekorea.co.kr/news/articleView.html?idxno=48776</v>
      </c>
      <c r="H2043">
        <v>0.40400000000000003</v>
      </c>
    </row>
    <row r="2044" spans="1:8" x14ac:dyDescent="0.3">
      <c r="A2044" t="s">
        <v>4837</v>
      </c>
      <c r="B2044" t="s">
        <v>26951</v>
      </c>
      <c r="C2044" t="s">
        <v>5181</v>
      </c>
      <c r="D2044" t="s">
        <v>5180</v>
      </c>
      <c r="E2044" s="2" t="s">
        <v>725</v>
      </c>
      <c r="F2044" t="s">
        <v>2710</v>
      </c>
      <c r="G2044" t="str">
        <f>HYPERLINK("https://n.news.naver.com/mnews/article/002/0002031860?sid=100")</f>
        <v>https://n.news.naver.com/mnews/article/002/0002031860?sid=100</v>
      </c>
      <c r="H2044">
        <v>0.13900000000000001</v>
      </c>
    </row>
    <row r="2045" spans="1:8" x14ac:dyDescent="0.3">
      <c r="A2045" t="s">
        <v>4837</v>
      </c>
      <c r="B2045" t="s">
        <v>26951</v>
      </c>
      <c r="C2045" t="s">
        <v>5183</v>
      </c>
      <c r="D2045" t="s">
        <v>5182</v>
      </c>
      <c r="E2045" s="2" t="s">
        <v>725</v>
      </c>
      <c r="F2045" t="s">
        <v>4869</v>
      </c>
      <c r="G2045" t="str">
        <f>HYPERLINK("https://n.news.naver.com/mnews/article/005/0001781298?sid=102")</f>
        <v>https://n.news.naver.com/mnews/article/005/0001781298?sid=102</v>
      </c>
      <c r="H2045">
        <v>0.22500000000000001</v>
      </c>
    </row>
    <row r="2046" spans="1:8" x14ac:dyDescent="0.3">
      <c r="A2046" t="s">
        <v>4837</v>
      </c>
      <c r="B2046" t="s">
        <v>26951</v>
      </c>
      <c r="C2046" t="s">
        <v>5186</v>
      </c>
      <c r="D2046" t="s">
        <v>5185</v>
      </c>
      <c r="E2046" s="2" t="s">
        <v>725</v>
      </c>
      <c r="F2046" t="s">
        <v>5184</v>
      </c>
      <c r="G2046" t="str">
        <f>HYPERLINK("https://sports.hankooki.com/news/articleView.html?idxno=6902482")</f>
        <v>https://sports.hankooki.com/news/articleView.html?idxno=6902482</v>
      </c>
      <c r="H2046">
        <v>0.192</v>
      </c>
    </row>
    <row r="2047" spans="1:8" x14ac:dyDescent="0.3">
      <c r="A2047" t="s">
        <v>4837</v>
      </c>
      <c r="B2047" t="s">
        <v>26951</v>
      </c>
      <c r="C2047" t="s">
        <v>5188</v>
      </c>
      <c r="D2047" t="s">
        <v>5187</v>
      </c>
      <c r="E2047" s="2" t="s">
        <v>725</v>
      </c>
      <c r="F2047" t="s">
        <v>3344</v>
      </c>
      <c r="G2047" t="str">
        <f>HYPERLINK("https://n.news.naver.com/mnews/article/011/0004503339?sid=104")</f>
        <v>https://n.news.naver.com/mnews/article/011/0004503339?sid=104</v>
      </c>
      <c r="H2047">
        <v>0.26600000000000001</v>
      </c>
    </row>
    <row r="2048" spans="1:8" x14ac:dyDescent="0.3">
      <c r="A2048" t="s">
        <v>4837</v>
      </c>
      <c r="B2048" t="s">
        <v>26951</v>
      </c>
      <c r="C2048" t="s">
        <v>5190</v>
      </c>
      <c r="D2048" t="s">
        <v>5189</v>
      </c>
      <c r="E2048" s="2" t="s">
        <v>742</v>
      </c>
      <c r="F2048" t="s">
        <v>1960</v>
      </c>
      <c r="G2048" t="str">
        <f>HYPERLINK("https://n.news.naver.com/mnews/article/005/0001786003?sid=103")</f>
        <v>https://n.news.naver.com/mnews/article/005/0001786003?sid=103</v>
      </c>
      <c r="H2048">
        <v>0.28599999999999998</v>
      </c>
    </row>
    <row r="2049" spans="1:8" x14ac:dyDescent="0.3">
      <c r="A2049" t="s">
        <v>4837</v>
      </c>
      <c r="B2049" t="s">
        <v>26951</v>
      </c>
      <c r="C2049" t="s">
        <v>5192</v>
      </c>
      <c r="D2049" t="s">
        <v>5191</v>
      </c>
      <c r="E2049" s="2" t="s">
        <v>742</v>
      </c>
      <c r="F2049" t="s">
        <v>2046</v>
      </c>
      <c r="G2049" t="str">
        <f>HYPERLINK("https://kookbang.dema.mil.kr/newsWeb/20250627/1/ATCE_CTGR_0020010000/view.do")</f>
        <v>https://kookbang.dema.mil.kr/newsWeb/20250627/1/ATCE_CTGR_0020010000/view.do</v>
      </c>
      <c r="H2049">
        <v>0.46</v>
      </c>
    </row>
    <row r="2050" spans="1:8" x14ac:dyDescent="0.3">
      <c r="A2050" t="s">
        <v>4837</v>
      </c>
      <c r="B2050" t="s">
        <v>26951</v>
      </c>
      <c r="C2050" t="s">
        <v>5195</v>
      </c>
      <c r="D2050" t="s">
        <v>5194</v>
      </c>
      <c r="E2050" s="2" t="s">
        <v>742</v>
      </c>
      <c r="F2050" t="s">
        <v>5193</v>
      </c>
      <c r="G2050" t="str">
        <f>HYPERLINK("https://n.news.naver.com/mnews/article/016/0002480980?sid=101")</f>
        <v>https://n.news.naver.com/mnews/article/016/0002480980?sid=101</v>
      </c>
      <c r="H2050">
        <v>0.22900000000000001</v>
      </c>
    </row>
    <row r="2051" spans="1:8" x14ac:dyDescent="0.3">
      <c r="A2051" t="s">
        <v>4837</v>
      </c>
      <c r="B2051" t="s">
        <v>26951</v>
      </c>
      <c r="C2051" t="s">
        <v>5197</v>
      </c>
      <c r="D2051" t="s">
        <v>5196</v>
      </c>
      <c r="E2051" s="2" t="s">
        <v>742</v>
      </c>
      <c r="F2051" t="s">
        <v>184</v>
      </c>
      <c r="G2051" t="str">
        <f>HYPERLINK("https://n.news.naver.com/mnews/article/005/0001781091?sid=101")</f>
        <v>https://n.news.naver.com/mnews/article/005/0001781091?sid=101</v>
      </c>
      <c r="H2051">
        <v>0.22600000000000001</v>
      </c>
    </row>
    <row r="2052" spans="1:8" x14ac:dyDescent="0.3">
      <c r="A2052" t="s">
        <v>4837</v>
      </c>
      <c r="B2052" t="s">
        <v>26951</v>
      </c>
      <c r="C2052" t="s">
        <v>5199</v>
      </c>
      <c r="D2052" t="s">
        <v>5198</v>
      </c>
      <c r="E2052" s="2" t="s">
        <v>742</v>
      </c>
      <c r="F2052" t="s">
        <v>2046</v>
      </c>
      <c r="G2052" t="str">
        <f>HYPERLINK("https://n.news.naver.com/mnews/article/005/0001781149?sid=103")</f>
        <v>https://n.news.naver.com/mnews/article/005/0001781149?sid=103</v>
      </c>
      <c r="H2052">
        <v>0.28199999999999997</v>
      </c>
    </row>
    <row r="2053" spans="1:8" x14ac:dyDescent="0.3">
      <c r="A2053" t="s">
        <v>4837</v>
      </c>
      <c r="B2053" t="s">
        <v>26951</v>
      </c>
      <c r="C2053" t="s">
        <v>5202</v>
      </c>
      <c r="D2053" t="s">
        <v>5201</v>
      </c>
      <c r="E2053" s="2" t="s">
        <v>742</v>
      </c>
      <c r="F2053" t="s">
        <v>5200</v>
      </c>
      <c r="G2053" t="str">
        <f>HYPERLINK("https://n.news.naver.com/mnews/article/002/0002394929?sid=102")</f>
        <v>https://n.news.naver.com/mnews/article/002/0002394929?sid=102</v>
      </c>
      <c r="H2053">
        <v>0.3</v>
      </c>
    </row>
    <row r="2054" spans="1:8" x14ac:dyDescent="0.3">
      <c r="A2054" t="s">
        <v>4837</v>
      </c>
      <c r="B2054" t="s">
        <v>26951</v>
      </c>
      <c r="C2054" t="s">
        <v>5205</v>
      </c>
      <c r="D2054" t="s">
        <v>5204</v>
      </c>
      <c r="E2054" s="2" t="s">
        <v>742</v>
      </c>
      <c r="F2054" t="s">
        <v>5203</v>
      </c>
      <c r="G2054" t="str">
        <f>HYPERLINK("http://www.greened.kr/news/articleView.html?idxno=297965")</f>
        <v>http://www.greened.kr/news/articleView.html?idxno=297965</v>
      </c>
      <c r="H2054">
        <v>0.33500000000000002</v>
      </c>
    </row>
    <row r="2055" spans="1:8" x14ac:dyDescent="0.3">
      <c r="A2055" t="s">
        <v>4837</v>
      </c>
      <c r="B2055" t="s">
        <v>26951</v>
      </c>
      <c r="C2055" t="s">
        <v>5207</v>
      </c>
      <c r="D2055" t="s">
        <v>5206</v>
      </c>
      <c r="E2055" s="2" t="s">
        <v>742</v>
      </c>
      <c r="F2055" t="s">
        <v>3679</v>
      </c>
      <c r="G2055" t="str">
        <f>HYPERLINK("https://www.bbc.com/korean/articles/ckg83zg1rn3o?xtor=AL-73-%5Bpartner%5D-%5Bnaver%5D-%5Bheadline%5D-%5Bkorean%5D-%5Bbizdev%5D-%5Bisapi%5D")</f>
        <v>https://www.bbc.com/korean/articles/ckg83zg1rn3o?xtor=AL-73-%5Bpartner%5D-%5Bnaver%5D-%5Bheadline%5D-%5Bkorean%5D-%5Bbizdev%5D-%5Bisapi%5D</v>
      </c>
      <c r="H2055">
        <v>0.47399999999999998</v>
      </c>
    </row>
    <row r="2056" spans="1:8" x14ac:dyDescent="0.3">
      <c r="A2056" t="s">
        <v>4837</v>
      </c>
      <c r="B2056" t="s">
        <v>26951</v>
      </c>
      <c r="C2056" t="s">
        <v>5210</v>
      </c>
      <c r="D2056" t="s">
        <v>5209</v>
      </c>
      <c r="E2056" s="2" t="s">
        <v>799</v>
      </c>
      <c r="F2056" t="s">
        <v>5208</v>
      </c>
      <c r="G2056" t="str">
        <f>HYPERLINK("https://n.news.naver.com/mnews/article/005/0000971195?sid=103")</f>
        <v>https://n.news.naver.com/mnews/article/005/0000971195?sid=103</v>
      </c>
      <c r="H2056">
        <v>0.107</v>
      </c>
    </row>
    <row r="2057" spans="1:8" x14ac:dyDescent="0.3">
      <c r="A2057" t="s">
        <v>4837</v>
      </c>
      <c r="B2057" t="s">
        <v>26951</v>
      </c>
      <c r="C2057" t="s">
        <v>5213</v>
      </c>
      <c r="D2057" t="s">
        <v>5212</v>
      </c>
      <c r="E2057" s="2" t="s">
        <v>799</v>
      </c>
      <c r="F2057" t="s">
        <v>5211</v>
      </c>
      <c r="G2057" t="str">
        <f>HYPERLINK("https://n.news.naver.com/mnews/article/308/0000035981?sid=100")</f>
        <v>https://n.news.naver.com/mnews/article/308/0000035981?sid=100</v>
      </c>
      <c r="H2057">
        <v>0.21099999999999999</v>
      </c>
    </row>
    <row r="2058" spans="1:8" x14ac:dyDescent="0.3">
      <c r="A2058" t="s">
        <v>4837</v>
      </c>
      <c r="B2058" t="s">
        <v>26951</v>
      </c>
      <c r="C2058" t="s">
        <v>5216</v>
      </c>
      <c r="D2058" t="s">
        <v>5215</v>
      </c>
      <c r="E2058" s="2" t="s">
        <v>799</v>
      </c>
      <c r="F2058" t="s">
        <v>5214</v>
      </c>
      <c r="G2058" t="str">
        <f>HYPERLINK("https://www.incheonilbo.com/news/articleView.html?idxno=1294557")</f>
        <v>https://www.incheonilbo.com/news/articleView.html?idxno=1294557</v>
      </c>
      <c r="H2058">
        <v>0.48699999999999999</v>
      </c>
    </row>
    <row r="2059" spans="1:8" x14ac:dyDescent="0.3">
      <c r="A2059" t="s">
        <v>4837</v>
      </c>
      <c r="B2059" t="s">
        <v>26951</v>
      </c>
      <c r="C2059" t="s">
        <v>5218</v>
      </c>
      <c r="D2059" t="s">
        <v>5217</v>
      </c>
      <c r="E2059" s="2" t="s">
        <v>799</v>
      </c>
      <c r="F2059" t="s">
        <v>521</v>
      </c>
      <c r="G2059" t="str">
        <f>HYPERLINK("https://n.news.naver.com/mnews/article/005/0000962570?sid=100")</f>
        <v>https://n.news.naver.com/mnews/article/005/0000962570?sid=100</v>
      </c>
      <c r="H2059">
        <v>0.13300000000000001</v>
      </c>
    </row>
    <row r="2060" spans="1:8" x14ac:dyDescent="0.3">
      <c r="A2060" t="s">
        <v>4837</v>
      </c>
      <c r="B2060" t="s">
        <v>26951</v>
      </c>
      <c r="C2060" t="s">
        <v>5221</v>
      </c>
      <c r="D2060" t="s">
        <v>5220</v>
      </c>
      <c r="E2060" s="2" t="s">
        <v>799</v>
      </c>
      <c r="F2060" t="s">
        <v>5219</v>
      </c>
      <c r="G2060" t="str">
        <f>HYPERLINK("http://www.welfarenews.net/news/articleView.html?idxno=111785")</f>
        <v>http://www.welfarenews.net/news/articleView.html?idxno=111785</v>
      </c>
      <c r="H2060">
        <v>0.69499999999999995</v>
      </c>
    </row>
    <row r="2061" spans="1:8" x14ac:dyDescent="0.3">
      <c r="A2061" t="s">
        <v>4837</v>
      </c>
      <c r="B2061" t="s">
        <v>26951</v>
      </c>
      <c r="C2061" t="s">
        <v>5223</v>
      </c>
      <c r="D2061" t="s">
        <v>5222</v>
      </c>
      <c r="E2061" s="2" t="s">
        <v>799</v>
      </c>
      <c r="F2061" t="s">
        <v>625</v>
      </c>
      <c r="G2061" t="str">
        <f>HYPERLINK("https://news.einfomax.co.kr/news/articleView.html?idxno=4324027")</f>
        <v>https://news.einfomax.co.kr/news/articleView.html?idxno=4324027</v>
      </c>
      <c r="H2061">
        <v>0.41199999999999998</v>
      </c>
    </row>
    <row r="2062" spans="1:8" x14ac:dyDescent="0.3">
      <c r="A2062" t="s">
        <v>4837</v>
      </c>
      <c r="B2062" t="s">
        <v>26951</v>
      </c>
      <c r="C2062" t="s">
        <v>5225</v>
      </c>
      <c r="D2062" t="s">
        <v>5224</v>
      </c>
      <c r="E2062" s="2" t="s">
        <v>799</v>
      </c>
      <c r="F2062" t="s">
        <v>857</v>
      </c>
      <c r="G2062" t="str">
        <f>HYPERLINK("http://www.pdjournal.com/news/articleView.html?idxno=32209")</f>
        <v>http://www.pdjournal.com/news/articleView.html?idxno=32209</v>
      </c>
      <c r="H2062">
        <v>0.22700000000000001</v>
      </c>
    </row>
    <row r="2063" spans="1:8" x14ac:dyDescent="0.3">
      <c r="A2063" t="s">
        <v>4837</v>
      </c>
      <c r="B2063" t="s">
        <v>26951</v>
      </c>
      <c r="C2063" t="s">
        <v>5228</v>
      </c>
      <c r="D2063" t="s">
        <v>5227</v>
      </c>
      <c r="E2063" s="2" t="s">
        <v>840</v>
      </c>
      <c r="F2063" t="s">
        <v>5226</v>
      </c>
      <c r="G2063" t="str">
        <f>HYPERLINK("http://www.mediawatch.kr/news/article.html?no=193450")</f>
        <v>http://www.mediawatch.kr/news/article.html?no=193450</v>
      </c>
      <c r="H2063">
        <v>0.60599999999999998</v>
      </c>
    </row>
    <row r="2064" spans="1:8" x14ac:dyDescent="0.3">
      <c r="A2064" t="s">
        <v>4837</v>
      </c>
      <c r="B2064" t="s">
        <v>26951</v>
      </c>
      <c r="C2064" t="s">
        <v>5230</v>
      </c>
      <c r="D2064" t="s">
        <v>5229</v>
      </c>
      <c r="E2064" s="2" t="s">
        <v>840</v>
      </c>
      <c r="F2064" t="s">
        <v>857</v>
      </c>
      <c r="G2064" t="str">
        <f>HYPERLINK("https://www.apnews.kr/news/articleView.html?idxno=3019539")</f>
        <v>https://www.apnews.kr/news/articleView.html?idxno=3019539</v>
      </c>
      <c r="H2064">
        <v>0.28100000000000003</v>
      </c>
    </row>
    <row r="2065" spans="1:8" x14ac:dyDescent="0.3">
      <c r="A2065" t="s">
        <v>4837</v>
      </c>
      <c r="B2065" t="s">
        <v>26951</v>
      </c>
      <c r="C2065" t="s">
        <v>5233</v>
      </c>
      <c r="D2065" t="s">
        <v>5232</v>
      </c>
      <c r="E2065" s="2" t="s">
        <v>840</v>
      </c>
      <c r="F2065" t="s">
        <v>5231</v>
      </c>
      <c r="G2065" t="str">
        <f>HYPERLINK("https://n.news.naver.com/mnews/article/079/0004040073?sid=102")</f>
        <v>https://n.news.naver.com/mnews/article/079/0004040073?sid=102</v>
      </c>
      <c r="H2065">
        <v>0.32</v>
      </c>
    </row>
    <row r="2066" spans="1:8" x14ac:dyDescent="0.3">
      <c r="A2066" t="s">
        <v>4837</v>
      </c>
      <c r="B2066" t="s">
        <v>26951</v>
      </c>
      <c r="C2066" t="s">
        <v>5235</v>
      </c>
      <c r="D2066" t="s">
        <v>5234</v>
      </c>
      <c r="E2066" s="2" t="s">
        <v>840</v>
      </c>
      <c r="F2066" t="s">
        <v>4899</v>
      </c>
      <c r="G2066" t="str">
        <f>HYPERLINK("http://koreajoongangdaily.joins.com/news/article/article.aspx?aid=3046012")</f>
        <v>http://koreajoongangdaily.joins.com/news/article/article.aspx?aid=3046012</v>
      </c>
      <c r="H2066">
        <v>5.0999999999999997E-2</v>
      </c>
    </row>
    <row r="2067" spans="1:8" x14ac:dyDescent="0.3">
      <c r="A2067" t="s">
        <v>4837</v>
      </c>
      <c r="B2067" t="s">
        <v>26951</v>
      </c>
      <c r="C2067" t="s">
        <v>5238</v>
      </c>
      <c r="D2067" t="s">
        <v>5237</v>
      </c>
      <c r="E2067" s="2" t="s">
        <v>860</v>
      </c>
      <c r="F2067" t="s">
        <v>5236</v>
      </c>
      <c r="H2067">
        <v>0.48199999999999998</v>
      </c>
    </row>
    <row r="2068" spans="1:8" x14ac:dyDescent="0.3">
      <c r="A2068" t="s">
        <v>4837</v>
      </c>
      <c r="B2068" t="s">
        <v>26951</v>
      </c>
      <c r="C2068" t="s">
        <v>5241</v>
      </c>
      <c r="D2068" t="s">
        <v>5240</v>
      </c>
      <c r="E2068" s="2" t="s">
        <v>860</v>
      </c>
      <c r="F2068" t="s">
        <v>5239</v>
      </c>
      <c r="G2068" t="str">
        <f>HYPERLINK("https://www.eroun.net/news/articleView.html?idxno=53949")</f>
        <v>https://www.eroun.net/news/articleView.html?idxno=53949</v>
      </c>
      <c r="H2068">
        <v>0.41299999999999998</v>
      </c>
    </row>
    <row r="2069" spans="1:8" x14ac:dyDescent="0.3">
      <c r="A2069" t="s">
        <v>4837</v>
      </c>
      <c r="B2069" t="s">
        <v>26951</v>
      </c>
      <c r="C2069" t="s">
        <v>5243</v>
      </c>
      <c r="D2069" t="s">
        <v>5242</v>
      </c>
      <c r="E2069" s="2" t="s">
        <v>860</v>
      </c>
      <c r="F2069" t="s">
        <v>805</v>
      </c>
      <c r="G2069" t="str">
        <f>HYPERLINK("https://n.news.naver.com/mnews/article/087/0001123557?sid=102")</f>
        <v>https://n.news.naver.com/mnews/article/087/0001123557?sid=102</v>
      </c>
      <c r="H2069">
        <v>0.23200000000000001</v>
      </c>
    </row>
    <row r="2070" spans="1:8" x14ac:dyDescent="0.3">
      <c r="A2070" t="s">
        <v>4837</v>
      </c>
      <c r="B2070" t="s">
        <v>26951</v>
      </c>
      <c r="C2070" t="s">
        <v>5246</v>
      </c>
      <c r="D2070" t="s">
        <v>5245</v>
      </c>
      <c r="E2070" s="2" t="s">
        <v>860</v>
      </c>
      <c r="F2070" t="s">
        <v>5244</v>
      </c>
      <c r="G2070" t="str">
        <f>HYPERLINK("http://www.welfarenews.net/news/articleView.html?idxno=111785")</f>
        <v>http://www.welfarenews.net/news/articleView.html?idxno=111785</v>
      </c>
      <c r="H2070">
        <v>0.67</v>
      </c>
    </row>
    <row r="2071" spans="1:8" x14ac:dyDescent="0.3">
      <c r="A2071" t="s">
        <v>4837</v>
      </c>
      <c r="B2071" t="s">
        <v>26951</v>
      </c>
      <c r="C2071" t="s">
        <v>5249</v>
      </c>
      <c r="D2071" t="s">
        <v>5248</v>
      </c>
      <c r="E2071" s="2" t="s">
        <v>860</v>
      </c>
      <c r="F2071" t="s">
        <v>5247</v>
      </c>
      <c r="G2071" t="str">
        <f>HYPERLINK("https://n.news.naver.com/mnews/article/022/0004047686?sid=102")</f>
        <v>https://n.news.naver.com/mnews/article/022/0004047686?sid=102</v>
      </c>
      <c r="H2071">
        <v>0.27600000000000002</v>
      </c>
    </row>
    <row r="2072" spans="1:8" x14ac:dyDescent="0.3">
      <c r="A2072" t="s">
        <v>4837</v>
      </c>
      <c r="B2072" t="s">
        <v>26951</v>
      </c>
      <c r="C2072" t="s">
        <v>5252</v>
      </c>
      <c r="D2072" t="s">
        <v>5251</v>
      </c>
      <c r="E2072" s="2" t="s">
        <v>860</v>
      </c>
      <c r="F2072" t="s">
        <v>5250</v>
      </c>
      <c r="G2072" t="str">
        <f>HYPERLINK("https://www.apnews.kr/news/articleView.html?idxno=3013776")</f>
        <v>https://www.apnews.kr/news/articleView.html?idxno=3013776</v>
      </c>
      <c r="H2072">
        <v>0.115</v>
      </c>
    </row>
    <row r="2073" spans="1:8" x14ac:dyDescent="0.3">
      <c r="A2073" t="s">
        <v>4837</v>
      </c>
      <c r="B2073" t="s">
        <v>26951</v>
      </c>
      <c r="C2073" t="s">
        <v>5254</v>
      </c>
      <c r="D2073" t="s">
        <v>5253</v>
      </c>
      <c r="E2073" s="2" t="s">
        <v>860</v>
      </c>
      <c r="F2073" t="s">
        <v>2046</v>
      </c>
      <c r="G2073" t="str">
        <f>HYPERLINK("http://www.nongaek.com/news/articleView.html?idxno=88008")</f>
        <v>http://www.nongaek.com/news/articleView.html?idxno=88008</v>
      </c>
      <c r="H2073">
        <v>0.26</v>
      </c>
    </row>
    <row r="2074" spans="1:8" x14ac:dyDescent="0.3">
      <c r="A2074" t="s">
        <v>4837</v>
      </c>
      <c r="B2074" t="s">
        <v>26951</v>
      </c>
      <c r="C2074" t="s">
        <v>5256</v>
      </c>
      <c r="D2074" t="s">
        <v>5255</v>
      </c>
      <c r="E2074" s="2" t="s">
        <v>860</v>
      </c>
      <c r="F2074" t="s">
        <v>857</v>
      </c>
      <c r="G2074" t="str">
        <f>HYPERLINK("https://n.news.naver.com/mnews/article/005/0001781416?sid=103")</f>
        <v>https://n.news.naver.com/mnews/article/005/0001781416?sid=103</v>
      </c>
      <c r="H2074">
        <v>0.17299999999999999</v>
      </c>
    </row>
    <row r="2075" spans="1:8" x14ac:dyDescent="0.3">
      <c r="A2075" t="s">
        <v>4837</v>
      </c>
      <c r="B2075" t="s">
        <v>26951</v>
      </c>
      <c r="C2075" t="s">
        <v>5259</v>
      </c>
      <c r="D2075" t="s">
        <v>5258</v>
      </c>
      <c r="E2075" s="2" t="s">
        <v>903</v>
      </c>
      <c r="F2075" t="s">
        <v>5257</v>
      </c>
      <c r="G2075" t="str">
        <f>HYPERLINK("https://n.news.naver.com/mnews/article/119/0002958244?sid=154")</f>
        <v>https://n.news.naver.com/mnews/article/119/0002958244?sid=154</v>
      </c>
      <c r="H2075">
        <v>9.7000000000000003E-2</v>
      </c>
    </row>
    <row r="2076" spans="1:8" x14ac:dyDescent="0.3">
      <c r="A2076" t="s">
        <v>4837</v>
      </c>
      <c r="B2076" t="s">
        <v>26951</v>
      </c>
      <c r="C2076" t="s">
        <v>5261</v>
      </c>
      <c r="D2076" t="s">
        <v>5260</v>
      </c>
      <c r="E2076" s="2" t="s">
        <v>903</v>
      </c>
      <c r="F2076" t="s">
        <v>2274</v>
      </c>
      <c r="G2076" t="str">
        <f>HYPERLINK("https://www.newscj.com/news/articleView.html?idxno=3275878")</f>
        <v>https://www.newscj.com/news/articleView.html?idxno=3275878</v>
      </c>
      <c r="H2076">
        <v>0.71599999999999997</v>
      </c>
    </row>
    <row r="2077" spans="1:8" x14ac:dyDescent="0.3">
      <c r="A2077" t="s">
        <v>5262</v>
      </c>
      <c r="B2077" t="s">
        <v>26951</v>
      </c>
      <c r="C2077" t="s">
        <v>5264</v>
      </c>
      <c r="D2077" t="s">
        <v>5263</v>
      </c>
      <c r="E2077" s="2" t="s">
        <v>7</v>
      </c>
      <c r="F2077" t="s">
        <v>3882</v>
      </c>
      <c r="G2077" t="str">
        <f>HYPERLINK("https://n.news.naver.com/mnews/article/016/0002492476?sid=102")</f>
        <v>https://n.news.naver.com/mnews/article/016/0002492476?sid=102</v>
      </c>
      <c r="H2077">
        <v>0.27</v>
      </c>
    </row>
    <row r="2078" spans="1:8" x14ac:dyDescent="0.3">
      <c r="A2078" t="s">
        <v>5262</v>
      </c>
      <c r="B2078" t="s">
        <v>26951</v>
      </c>
      <c r="C2078" t="s">
        <v>5267</v>
      </c>
      <c r="D2078" t="s">
        <v>5266</v>
      </c>
      <c r="E2078" s="2" t="s">
        <v>7</v>
      </c>
      <c r="F2078" t="s">
        <v>5265</v>
      </c>
      <c r="G2078" t="str">
        <f>HYPERLINK("http://www.mediawatch.kr/news/article.html?no=250932")</f>
        <v>http://www.mediawatch.kr/news/article.html?no=250932</v>
      </c>
      <c r="H2078">
        <v>0.439</v>
      </c>
    </row>
    <row r="2079" spans="1:8" x14ac:dyDescent="0.3">
      <c r="A2079" t="s">
        <v>5262</v>
      </c>
      <c r="B2079" t="s">
        <v>26951</v>
      </c>
      <c r="C2079" t="s">
        <v>5270</v>
      </c>
      <c r="D2079" t="s">
        <v>5269</v>
      </c>
      <c r="E2079" s="2" t="s">
        <v>7</v>
      </c>
      <c r="F2079" t="s">
        <v>5268</v>
      </c>
      <c r="G2079" t="str">
        <f>HYPERLINK("https://n.news.naver.com/mnews/article/016/0002492926?sid=100")</f>
        <v>https://n.news.naver.com/mnews/article/016/0002492926?sid=100</v>
      </c>
      <c r="H2079">
        <v>0.185</v>
      </c>
    </row>
    <row r="2080" spans="1:8" x14ac:dyDescent="0.3">
      <c r="A2080" t="s">
        <v>5262</v>
      </c>
      <c r="B2080" t="s">
        <v>26951</v>
      </c>
      <c r="C2080" t="s">
        <v>5273</v>
      </c>
      <c r="D2080" t="s">
        <v>5272</v>
      </c>
      <c r="E2080" s="2" t="s">
        <v>7</v>
      </c>
      <c r="F2080" t="s">
        <v>5271</v>
      </c>
      <c r="G2080" t="str">
        <f>HYPERLINK("http://www.jnilbo.com/69964487484")</f>
        <v>http://www.jnilbo.com/69964487484</v>
      </c>
      <c r="H2080">
        <v>0.13600000000000001</v>
      </c>
    </row>
    <row r="2081" spans="1:8" x14ac:dyDescent="0.3">
      <c r="A2081" t="s">
        <v>5262</v>
      </c>
      <c r="B2081" t="s">
        <v>26951</v>
      </c>
      <c r="C2081" t="s">
        <v>5275</v>
      </c>
      <c r="D2081" t="s">
        <v>5274</v>
      </c>
      <c r="E2081" s="2" t="s">
        <v>7</v>
      </c>
      <c r="F2081" t="s">
        <v>179</v>
      </c>
      <c r="G2081" t="str">
        <f>HYPERLINK("https://n.news.naver.com/mnews/article/016/0002457461?sid=101")</f>
        <v>https://n.news.naver.com/mnews/article/016/0002457461?sid=101</v>
      </c>
      <c r="H2081">
        <v>0.38200000000000001</v>
      </c>
    </row>
    <row r="2082" spans="1:8" x14ac:dyDescent="0.3">
      <c r="A2082" t="s">
        <v>5262</v>
      </c>
      <c r="B2082" t="s">
        <v>26951</v>
      </c>
      <c r="C2082" t="s">
        <v>5278</v>
      </c>
      <c r="D2082" t="s">
        <v>5277</v>
      </c>
      <c r="E2082" s="2" t="s">
        <v>66</v>
      </c>
      <c r="F2082" t="s">
        <v>5276</v>
      </c>
      <c r="G2082" t="str">
        <f>HYPERLINK("http://www.ktnews.com/news/articleView.html?idxno=139614")</f>
        <v>http://www.ktnews.com/news/articleView.html?idxno=139614</v>
      </c>
      <c r="H2082">
        <v>0.30599999999999999</v>
      </c>
    </row>
    <row r="2083" spans="1:8" x14ac:dyDescent="0.3">
      <c r="A2083" t="s">
        <v>5262</v>
      </c>
      <c r="B2083" t="s">
        <v>26951</v>
      </c>
      <c r="C2083" t="s">
        <v>5281</v>
      </c>
      <c r="D2083" t="s">
        <v>5280</v>
      </c>
      <c r="E2083" s="2" t="s">
        <v>66</v>
      </c>
      <c r="F2083" t="s">
        <v>5279</v>
      </c>
      <c r="G2083" t="str">
        <f>HYPERLINK("https://n.news.naver.com/mnews/article/016/0000514210?sid=103")</f>
        <v>https://n.news.naver.com/mnews/article/016/0000514210?sid=103</v>
      </c>
      <c r="H2083">
        <v>9.5000000000000001E-2</v>
      </c>
    </row>
    <row r="2084" spans="1:8" x14ac:dyDescent="0.3">
      <c r="A2084" t="s">
        <v>5262</v>
      </c>
      <c r="B2084" t="s">
        <v>26951</v>
      </c>
      <c r="C2084" t="s">
        <v>5284</v>
      </c>
      <c r="D2084" t="s">
        <v>5283</v>
      </c>
      <c r="E2084" s="2" t="s">
        <v>66</v>
      </c>
      <c r="F2084" t="s">
        <v>5282</v>
      </c>
      <c r="G2084" t="str">
        <f>HYPERLINK("https://www.gasnews.com/news/articleView.html?idxno=120712")</f>
        <v>https://www.gasnews.com/news/articleView.html?idxno=120712</v>
      </c>
      <c r="H2084">
        <v>0.63800000000000001</v>
      </c>
    </row>
    <row r="2085" spans="1:8" x14ac:dyDescent="0.3">
      <c r="A2085" t="s">
        <v>5262</v>
      </c>
      <c r="B2085" t="s">
        <v>26951</v>
      </c>
      <c r="C2085" t="s">
        <v>5286</v>
      </c>
      <c r="D2085" t="s">
        <v>5285</v>
      </c>
      <c r="E2085" s="2" t="s">
        <v>66</v>
      </c>
      <c r="F2085" t="s">
        <v>4197</v>
      </c>
      <c r="G2085" t="str">
        <f>HYPERLINK("https://www.apnews.kr/news/articleView.html?idxno=3022649")</f>
        <v>https://www.apnews.kr/news/articleView.html?idxno=3022649</v>
      </c>
      <c r="H2085">
        <v>0.55100000000000005</v>
      </c>
    </row>
    <row r="2086" spans="1:8" x14ac:dyDescent="0.3">
      <c r="A2086" t="s">
        <v>5262</v>
      </c>
      <c r="B2086" t="s">
        <v>26951</v>
      </c>
      <c r="C2086" t="s">
        <v>5289</v>
      </c>
      <c r="D2086" t="s">
        <v>5288</v>
      </c>
      <c r="E2086" s="2" t="s">
        <v>74</v>
      </c>
      <c r="F2086" t="s">
        <v>5287</v>
      </c>
      <c r="G2086" t="str">
        <f>HYPERLINK("http://www.newsian.co.kr/news/articleView.html?idxno=72208")</f>
        <v>http://www.newsian.co.kr/news/articleView.html?idxno=72208</v>
      </c>
      <c r="H2086">
        <v>0.57399999999999995</v>
      </c>
    </row>
    <row r="2087" spans="1:8" x14ac:dyDescent="0.3">
      <c r="A2087" t="s">
        <v>5262</v>
      </c>
      <c r="B2087" t="s">
        <v>26951</v>
      </c>
      <c r="C2087" t="s">
        <v>5292</v>
      </c>
      <c r="D2087" t="s">
        <v>5291</v>
      </c>
      <c r="E2087" s="2" t="s">
        <v>74</v>
      </c>
      <c r="F2087" t="s">
        <v>5290</v>
      </c>
      <c r="G2087" t="str">
        <f>HYPERLINK("https://n.news.naver.com/mnews/article/016/0002492991?sid=101")</f>
        <v>https://n.news.naver.com/mnews/article/016/0002492991?sid=101</v>
      </c>
      <c r="H2087">
        <v>0.33800000000000002</v>
      </c>
    </row>
    <row r="2088" spans="1:8" x14ac:dyDescent="0.3">
      <c r="A2088" t="s">
        <v>5262</v>
      </c>
      <c r="B2088" t="s">
        <v>26951</v>
      </c>
      <c r="C2088" t="s">
        <v>5295</v>
      </c>
      <c r="D2088" t="s">
        <v>5294</v>
      </c>
      <c r="E2088" s="2" t="s">
        <v>74</v>
      </c>
      <c r="F2088" t="s">
        <v>5293</v>
      </c>
      <c r="G2088" t="str">
        <f>HYPERLINK("http://www.banronbodo.com/news/articleView.html?idxno=23407")</f>
        <v>http://www.banronbodo.com/news/articleView.html?idxno=23407</v>
      </c>
      <c r="H2088">
        <v>0.48</v>
      </c>
    </row>
    <row r="2089" spans="1:8" x14ac:dyDescent="0.3">
      <c r="A2089" t="s">
        <v>5262</v>
      </c>
      <c r="B2089" t="s">
        <v>26951</v>
      </c>
      <c r="C2089" t="s">
        <v>5297</v>
      </c>
      <c r="D2089" t="s">
        <v>5296</v>
      </c>
      <c r="E2089" s="2" t="s">
        <v>74</v>
      </c>
      <c r="F2089" t="s">
        <v>1625</v>
      </c>
      <c r="G2089" t="str">
        <f>HYPERLINK("https://n.news.naver.com/mnews/article/016/0000923415?sid=101")</f>
        <v>https://n.news.naver.com/mnews/article/016/0000923415?sid=101</v>
      </c>
      <c r="H2089">
        <v>0.313</v>
      </c>
    </row>
    <row r="2090" spans="1:8" x14ac:dyDescent="0.3">
      <c r="A2090" t="s">
        <v>5262</v>
      </c>
      <c r="B2090" t="s">
        <v>26951</v>
      </c>
      <c r="C2090" t="s">
        <v>5300</v>
      </c>
      <c r="D2090" t="s">
        <v>5299</v>
      </c>
      <c r="E2090" s="2" t="s">
        <v>74</v>
      </c>
      <c r="F2090" t="s">
        <v>5298</v>
      </c>
      <c r="G2090" t="str">
        <f>HYPERLINK("http://www.wikileaks-kr.org/news/articleView.html?idxno=169902")</f>
        <v>http://www.wikileaks-kr.org/news/articleView.html?idxno=169902</v>
      </c>
      <c r="H2090">
        <v>0.66800000000000004</v>
      </c>
    </row>
    <row r="2091" spans="1:8" x14ac:dyDescent="0.3">
      <c r="A2091" t="s">
        <v>5262</v>
      </c>
      <c r="B2091" t="s">
        <v>26951</v>
      </c>
      <c r="C2091" t="s">
        <v>5302</v>
      </c>
      <c r="D2091" t="s">
        <v>5301</v>
      </c>
      <c r="E2091" s="2" t="s">
        <v>105</v>
      </c>
      <c r="F2091" t="s">
        <v>951</v>
      </c>
      <c r="G2091" t="str">
        <f>HYPERLINK("http://www.sisaon.co.kr/news/articleView.html?idxno=93171")</f>
        <v>http://www.sisaon.co.kr/news/articleView.html?idxno=93171</v>
      </c>
      <c r="H2091">
        <v>0.622</v>
      </c>
    </row>
    <row r="2092" spans="1:8" x14ac:dyDescent="0.3">
      <c r="A2092" t="s">
        <v>5262</v>
      </c>
      <c r="B2092" t="s">
        <v>26951</v>
      </c>
      <c r="C2092" t="s">
        <v>5304</v>
      </c>
      <c r="D2092" t="s">
        <v>5303</v>
      </c>
      <c r="E2092" s="2" t="s">
        <v>105</v>
      </c>
      <c r="F2092" t="s">
        <v>857</v>
      </c>
      <c r="G2092" t="str">
        <f>HYPERLINK("http://www.sisamagazine.co.kr/news/articleView.html?idxno=417232")</f>
        <v>http://www.sisamagazine.co.kr/news/articleView.html?idxno=417232</v>
      </c>
      <c r="H2092">
        <v>0.112</v>
      </c>
    </row>
    <row r="2093" spans="1:8" x14ac:dyDescent="0.3">
      <c r="A2093" t="s">
        <v>5262</v>
      </c>
      <c r="B2093" t="s">
        <v>26951</v>
      </c>
      <c r="C2093" t="s">
        <v>5306</v>
      </c>
      <c r="D2093" t="s">
        <v>5305</v>
      </c>
      <c r="E2093" s="2" t="s">
        <v>105</v>
      </c>
      <c r="F2093" t="s">
        <v>4315</v>
      </c>
      <c r="G2093" t="str">
        <f>HYPERLINK("https://www.apnews.kr/news/articleView.html?idxno=3022008")</f>
        <v>https://www.apnews.kr/news/articleView.html?idxno=3022008</v>
      </c>
      <c r="H2093">
        <v>0.51</v>
      </c>
    </row>
    <row r="2094" spans="1:8" x14ac:dyDescent="0.3">
      <c r="A2094" t="s">
        <v>5262</v>
      </c>
      <c r="B2094" t="s">
        <v>26951</v>
      </c>
      <c r="C2094" t="s">
        <v>5308</v>
      </c>
      <c r="D2094" t="s">
        <v>5307</v>
      </c>
      <c r="E2094" s="2" t="s">
        <v>105</v>
      </c>
      <c r="F2094" t="s">
        <v>3836</v>
      </c>
      <c r="G2094" t="str">
        <f>HYPERLINK("https://n.news.naver.com/mnews/article/016/0002490664?sid=104")</f>
        <v>https://n.news.naver.com/mnews/article/016/0002490664?sid=104</v>
      </c>
      <c r="H2094">
        <v>0.372</v>
      </c>
    </row>
    <row r="2095" spans="1:8" x14ac:dyDescent="0.3">
      <c r="A2095" t="s">
        <v>5262</v>
      </c>
      <c r="B2095" t="s">
        <v>26951</v>
      </c>
      <c r="C2095" t="s">
        <v>5310</v>
      </c>
      <c r="D2095" t="s">
        <v>5309</v>
      </c>
      <c r="E2095" s="2" t="s">
        <v>105</v>
      </c>
      <c r="F2095" t="s">
        <v>166</v>
      </c>
      <c r="G2095" t="str">
        <f>HYPERLINK("https://n.news.naver.com/mnews/article/016/0002489900?sid=101")</f>
        <v>https://n.news.naver.com/mnews/article/016/0002489900?sid=101</v>
      </c>
      <c r="H2095">
        <v>0.105</v>
      </c>
    </row>
    <row r="2096" spans="1:8" x14ac:dyDescent="0.3">
      <c r="A2096" t="s">
        <v>5262</v>
      </c>
      <c r="B2096" t="s">
        <v>26951</v>
      </c>
      <c r="C2096" t="s">
        <v>5313</v>
      </c>
      <c r="D2096" t="s">
        <v>5312</v>
      </c>
      <c r="E2096" s="2" t="s">
        <v>133</v>
      </c>
      <c r="F2096" t="s">
        <v>5311</v>
      </c>
      <c r="G2096" t="str">
        <f>HYPERLINK("https://n.news.naver.com/mnews/article/016/0001041332?sid=100")</f>
        <v>https://n.news.naver.com/mnews/article/016/0001041332?sid=100</v>
      </c>
      <c r="H2096">
        <v>0.189</v>
      </c>
    </row>
    <row r="2097" spans="1:8" x14ac:dyDescent="0.3">
      <c r="A2097" t="s">
        <v>5262</v>
      </c>
      <c r="B2097" t="s">
        <v>26951</v>
      </c>
      <c r="C2097" t="s">
        <v>5316</v>
      </c>
      <c r="D2097" t="s">
        <v>5315</v>
      </c>
      <c r="E2097" s="2" t="s">
        <v>133</v>
      </c>
      <c r="F2097" t="s">
        <v>5314</v>
      </c>
      <c r="G2097" t="str">
        <f>HYPERLINK("https://n.news.naver.com/mnews/article/018/0006012649?sid=101")</f>
        <v>https://n.news.naver.com/mnews/article/018/0006012649?sid=101</v>
      </c>
      <c r="H2097">
        <v>0.114</v>
      </c>
    </row>
    <row r="2098" spans="1:8" x14ac:dyDescent="0.3">
      <c r="A2098" t="s">
        <v>5262</v>
      </c>
      <c r="B2098" t="s">
        <v>26951</v>
      </c>
      <c r="C2098" t="s">
        <v>5318</v>
      </c>
      <c r="D2098" t="s">
        <v>5317</v>
      </c>
      <c r="E2098" s="2" t="s">
        <v>133</v>
      </c>
      <c r="F2098" t="s">
        <v>776</v>
      </c>
      <c r="G2098" t="str">
        <f>HYPERLINK("http://www.jjan.kr/news/articleView.html?idxno=2079280")</f>
        <v>http://www.jjan.kr/news/articleView.html?idxno=2079280</v>
      </c>
      <c r="H2098">
        <v>0.499</v>
      </c>
    </row>
    <row r="2099" spans="1:8" x14ac:dyDescent="0.3">
      <c r="A2099" t="s">
        <v>5262</v>
      </c>
      <c r="B2099" t="s">
        <v>26951</v>
      </c>
      <c r="C2099" t="s">
        <v>5321</v>
      </c>
      <c r="D2099" t="s">
        <v>5320</v>
      </c>
      <c r="E2099" s="2" t="s">
        <v>133</v>
      </c>
      <c r="F2099" t="s">
        <v>5319</v>
      </c>
      <c r="G2099" t="str">
        <f>HYPERLINK("https://www.ibuan.com/news/articleView.html?idxno=37840")</f>
        <v>https://www.ibuan.com/news/articleView.html?idxno=37840</v>
      </c>
      <c r="H2099">
        <v>0.44400000000000001</v>
      </c>
    </row>
    <row r="2100" spans="1:8" x14ac:dyDescent="0.3">
      <c r="A2100" t="s">
        <v>5262</v>
      </c>
      <c r="B2100" t="s">
        <v>26951</v>
      </c>
      <c r="C2100" t="s">
        <v>5323</v>
      </c>
      <c r="D2100" t="s">
        <v>5322</v>
      </c>
      <c r="E2100" s="2" t="s">
        <v>133</v>
      </c>
      <c r="F2100" t="s">
        <v>796</v>
      </c>
      <c r="G2100" t="str">
        <f>HYPERLINK("https://n.news.naver.com/mnews/article/016/0002490292?sid=104")</f>
        <v>https://n.news.naver.com/mnews/article/016/0002490292?sid=104</v>
      </c>
      <c r="H2100">
        <v>0.19</v>
      </c>
    </row>
    <row r="2101" spans="1:8" x14ac:dyDescent="0.3">
      <c r="A2101" t="s">
        <v>5262</v>
      </c>
      <c r="B2101" t="s">
        <v>26951</v>
      </c>
      <c r="C2101" t="s">
        <v>5326</v>
      </c>
      <c r="D2101" t="s">
        <v>5325</v>
      </c>
      <c r="E2101" s="2" t="s">
        <v>133</v>
      </c>
      <c r="F2101" t="s">
        <v>5324</v>
      </c>
      <c r="G2101" t="str">
        <f>HYPERLINK("https://n.news.naver.com/mnews/article/082/0001332578?sid=102")</f>
        <v>https://n.news.naver.com/mnews/article/082/0001332578?sid=102</v>
      </c>
      <c r="H2101">
        <v>0.25900000000000001</v>
      </c>
    </row>
    <row r="2102" spans="1:8" x14ac:dyDescent="0.3">
      <c r="A2102" t="s">
        <v>5262</v>
      </c>
      <c r="B2102" t="s">
        <v>26951</v>
      </c>
      <c r="C2102" t="s">
        <v>5328</v>
      </c>
      <c r="D2102" t="s">
        <v>5327</v>
      </c>
      <c r="E2102" s="2" t="s">
        <v>133</v>
      </c>
      <c r="F2102" t="s">
        <v>805</v>
      </c>
      <c r="G2102" t="str">
        <f>HYPERLINK("https://www.econovill.com/news/articleView.html?idxno=701686")</f>
        <v>https://www.econovill.com/news/articleView.html?idxno=701686</v>
      </c>
      <c r="H2102">
        <v>0.22600000000000001</v>
      </c>
    </row>
    <row r="2103" spans="1:8" x14ac:dyDescent="0.3">
      <c r="A2103" t="s">
        <v>5262</v>
      </c>
      <c r="B2103" t="s">
        <v>26951</v>
      </c>
      <c r="C2103" t="s">
        <v>5330</v>
      </c>
      <c r="D2103" t="s">
        <v>5329</v>
      </c>
      <c r="E2103" s="2" t="s">
        <v>172</v>
      </c>
      <c r="F2103" t="s">
        <v>3195</v>
      </c>
      <c r="G2103" t="str">
        <f>HYPERLINK("https://news.einfomax.co.kr/news/articleView.html?idxno=4322972")</f>
        <v>https://news.einfomax.co.kr/news/articleView.html?idxno=4322972</v>
      </c>
      <c r="H2103">
        <v>0.42</v>
      </c>
    </row>
    <row r="2104" spans="1:8" x14ac:dyDescent="0.3">
      <c r="A2104" t="s">
        <v>5262</v>
      </c>
      <c r="B2104" t="s">
        <v>26951</v>
      </c>
      <c r="C2104" t="s">
        <v>5333</v>
      </c>
      <c r="D2104" t="s">
        <v>5332</v>
      </c>
      <c r="E2104" s="2" t="s">
        <v>172</v>
      </c>
      <c r="F2104" t="s">
        <v>5331</v>
      </c>
      <c r="G2104" t="str">
        <f>HYPERLINK("http://news.bbsi.co.kr/news/articleView.html?idxno=876727")</f>
        <v>http://news.bbsi.co.kr/news/articleView.html?idxno=876727</v>
      </c>
      <c r="H2104">
        <v>0.39600000000000002</v>
      </c>
    </row>
    <row r="2105" spans="1:8" x14ac:dyDescent="0.3">
      <c r="A2105" t="s">
        <v>5262</v>
      </c>
      <c r="B2105" t="s">
        <v>26951</v>
      </c>
      <c r="C2105" t="s">
        <v>5336</v>
      </c>
      <c r="D2105" t="s">
        <v>5335</v>
      </c>
      <c r="E2105" s="2" t="s">
        <v>196</v>
      </c>
      <c r="F2105" t="s">
        <v>5334</v>
      </c>
      <c r="G2105" t="str">
        <f>HYPERLINK("https://n.news.naver.com/mnews/article/016/0002489378?sid=101")</f>
        <v>https://n.news.naver.com/mnews/article/016/0002489378?sid=101</v>
      </c>
      <c r="H2105">
        <v>0.113</v>
      </c>
    </row>
    <row r="2106" spans="1:8" x14ac:dyDescent="0.3">
      <c r="A2106" t="s">
        <v>5262</v>
      </c>
      <c r="B2106" t="s">
        <v>26951</v>
      </c>
      <c r="C2106" t="s">
        <v>5338</v>
      </c>
      <c r="D2106" t="s">
        <v>5337</v>
      </c>
      <c r="E2106" s="2" t="s">
        <v>196</v>
      </c>
      <c r="F2106" t="s">
        <v>208</v>
      </c>
      <c r="G2106" t="str">
        <f>HYPERLINK("https://n.news.naver.com/mnews/article/016/0002489293?sid=101")</f>
        <v>https://n.news.naver.com/mnews/article/016/0002489293?sid=101</v>
      </c>
      <c r="H2106">
        <v>0.19500000000000001</v>
      </c>
    </row>
    <row r="2107" spans="1:8" x14ac:dyDescent="0.3">
      <c r="A2107" t="s">
        <v>5262</v>
      </c>
      <c r="B2107" t="s">
        <v>26951</v>
      </c>
      <c r="C2107" t="s">
        <v>5341</v>
      </c>
      <c r="D2107" t="s">
        <v>5340</v>
      </c>
      <c r="E2107" s="2" t="s">
        <v>196</v>
      </c>
      <c r="F2107" t="s">
        <v>5339</v>
      </c>
      <c r="G2107" t="str">
        <f>HYPERLINK("https://n.news.naver.com/mnews/article/016/0002483190?sid=101")</f>
        <v>https://n.news.naver.com/mnews/article/016/0002483190?sid=101</v>
      </c>
      <c r="H2107">
        <v>0.13100000000000001</v>
      </c>
    </row>
    <row r="2108" spans="1:8" x14ac:dyDescent="0.3">
      <c r="A2108" t="s">
        <v>5262</v>
      </c>
      <c r="B2108" t="s">
        <v>26951</v>
      </c>
      <c r="C2108" t="s">
        <v>5344</v>
      </c>
      <c r="D2108" t="s">
        <v>5343</v>
      </c>
      <c r="E2108" s="2" t="s">
        <v>196</v>
      </c>
      <c r="F2108" t="s">
        <v>5342</v>
      </c>
      <c r="G2108" t="str">
        <f>HYPERLINK("https://www.fashionbiz.co.kr/article/217263")</f>
        <v>https://www.fashionbiz.co.kr/article/217263</v>
      </c>
      <c r="H2108">
        <v>0.69499999999999995</v>
      </c>
    </row>
    <row r="2109" spans="1:8" x14ac:dyDescent="0.3">
      <c r="A2109" t="s">
        <v>5262</v>
      </c>
      <c r="B2109" t="s">
        <v>26951</v>
      </c>
      <c r="C2109" t="s">
        <v>5347</v>
      </c>
      <c r="D2109" t="s">
        <v>5346</v>
      </c>
      <c r="E2109" s="2" t="s">
        <v>196</v>
      </c>
      <c r="F2109" t="s">
        <v>5345</v>
      </c>
      <c r="G2109" t="str">
        <f>HYPERLINK("https://daily.hankooki.com/news/articleView.html?idxno=1233802")</f>
        <v>https://daily.hankooki.com/news/articleView.html?idxno=1233802</v>
      </c>
      <c r="H2109">
        <v>0.85099999999999998</v>
      </c>
    </row>
    <row r="2110" spans="1:8" x14ac:dyDescent="0.3">
      <c r="A2110" t="s">
        <v>5262</v>
      </c>
      <c r="B2110" t="s">
        <v>26951</v>
      </c>
      <c r="C2110" t="s">
        <v>5349</v>
      </c>
      <c r="D2110" t="s">
        <v>5348</v>
      </c>
      <c r="E2110" s="2" t="s">
        <v>230</v>
      </c>
      <c r="F2110" t="s">
        <v>3349</v>
      </c>
      <c r="G2110" t="str">
        <f>HYPERLINK("http://www.foodnews.co.kr/news/articleView.html?idxno=113795")</f>
        <v>http://www.foodnews.co.kr/news/articleView.html?idxno=113795</v>
      </c>
      <c r="H2110">
        <v>0.61199999999999999</v>
      </c>
    </row>
    <row r="2111" spans="1:8" x14ac:dyDescent="0.3">
      <c r="A2111" t="s">
        <v>5262</v>
      </c>
      <c r="B2111" t="s">
        <v>26951</v>
      </c>
      <c r="C2111" t="s">
        <v>5351</v>
      </c>
      <c r="D2111" t="s">
        <v>5350</v>
      </c>
      <c r="E2111" s="2" t="s">
        <v>230</v>
      </c>
      <c r="F2111" t="s">
        <v>4340</v>
      </c>
      <c r="G2111" t="str">
        <f>HYPERLINK("https://n.news.naver.com/mnews/article/016/0002459802?sid=102")</f>
        <v>https://n.news.naver.com/mnews/article/016/0002459802?sid=102</v>
      </c>
      <c r="H2111">
        <v>0.17</v>
      </c>
    </row>
    <row r="2112" spans="1:8" x14ac:dyDescent="0.3">
      <c r="A2112" t="s">
        <v>5262</v>
      </c>
      <c r="B2112" t="s">
        <v>26951</v>
      </c>
      <c r="C2112" t="s">
        <v>5353</v>
      </c>
      <c r="D2112" t="s">
        <v>5352</v>
      </c>
      <c r="E2112" s="2" t="s">
        <v>230</v>
      </c>
      <c r="F2112" t="s">
        <v>677</v>
      </c>
      <c r="G2112" t="str">
        <f>HYPERLINK("https://n.news.naver.com/mnews/article/016/0002488460?sid=105")</f>
        <v>https://n.news.naver.com/mnews/article/016/0002488460?sid=105</v>
      </c>
      <c r="H2112">
        <v>0.251</v>
      </c>
    </row>
    <row r="2113" spans="1:8" x14ac:dyDescent="0.3">
      <c r="A2113" t="s">
        <v>5262</v>
      </c>
      <c r="B2113" t="s">
        <v>26951</v>
      </c>
      <c r="C2113" t="s">
        <v>5355</v>
      </c>
      <c r="D2113" t="s">
        <v>5354</v>
      </c>
      <c r="E2113" s="2" t="s">
        <v>230</v>
      </c>
      <c r="F2113" t="s">
        <v>677</v>
      </c>
      <c r="G2113" t="str">
        <f>HYPERLINK("https://n.news.naver.com/mnews/article/016/0002396637?sid=102")</f>
        <v>https://n.news.naver.com/mnews/article/016/0002396637?sid=102</v>
      </c>
      <c r="H2113">
        <v>0.29499999999999998</v>
      </c>
    </row>
    <row r="2114" spans="1:8" x14ac:dyDescent="0.3">
      <c r="A2114" t="s">
        <v>5262</v>
      </c>
      <c r="B2114" t="s">
        <v>26951</v>
      </c>
      <c r="C2114" t="s">
        <v>5357</v>
      </c>
      <c r="D2114" t="s">
        <v>5356</v>
      </c>
      <c r="E2114" s="2" t="s">
        <v>230</v>
      </c>
      <c r="F2114" t="s">
        <v>1615</v>
      </c>
      <c r="G2114" t="str">
        <f>HYPERLINK("https://n.news.naver.com/mnews/article/016/0002488146?sid=101")</f>
        <v>https://n.news.naver.com/mnews/article/016/0002488146?sid=101</v>
      </c>
      <c r="H2114">
        <v>0.26700000000000002</v>
      </c>
    </row>
    <row r="2115" spans="1:8" x14ac:dyDescent="0.3">
      <c r="A2115" t="s">
        <v>5262</v>
      </c>
      <c r="B2115" t="s">
        <v>26951</v>
      </c>
      <c r="C2115" t="s">
        <v>5359</v>
      </c>
      <c r="D2115" t="s">
        <v>5358</v>
      </c>
      <c r="E2115" s="2" t="s">
        <v>267</v>
      </c>
      <c r="F2115" t="s">
        <v>160</v>
      </c>
      <c r="G2115" t="str">
        <f>HYPERLINK("https://n.news.naver.com/mnews/article/016/0002488341?sid=102")</f>
        <v>https://n.news.naver.com/mnews/article/016/0002488341?sid=102</v>
      </c>
      <c r="H2115">
        <v>0.29699999999999999</v>
      </c>
    </row>
    <row r="2116" spans="1:8" x14ac:dyDescent="0.3">
      <c r="A2116" t="s">
        <v>5262</v>
      </c>
      <c r="B2116" t="s">
        <v>26951</v>
      </c>
      <c r="C2116" t="s">
        <v>5361</v>
      </c>
      <c r="D2116" t="s">
        <v>5360</v>
      </c>
      <c r="E2116" s="2" t="s">
        <v>267</v>
      </c>
      <c r="F2116" t="s">
        <v>1188</v>
      </c>
      <c r="G2116" t="str">
        <f>HYPERLINK("https://n.news.naver.com/mnews/article/016/0000518870?sid=103")</f>
        <v>https://n.news.naver.com/mnews/article/016/0000518870?sid=103</v>
      </c>
      <c r="H2116">
        <v>0.25</v>
      </c>
    </row>
    <row r="2117" spans="1:8" x14ac:dyDescent="0.3">
      <c r="A2117" t="s">
        <v>5262</v>
      </c>
      <c r="B2117" t="s">
        <v>26951</v>
      </c>
      <c r="C2117" t="s">
        <v>5363</v>
      </c>
      <c r="D2117" t="s">
        <v>5362</v>
      </c>
      <c r="E2117" s="2" t="s">
        <v>267</v>
      </c>
      <c r="F2117" t="s">
        <v>1615</v>
      </c>
      <c r="G2117" t="str">
        <f>HYPERLINK("https://n.news.naver.com/mnews/article/016/0002488156?sid=101")</f>
        <v>https://n.news.naver.com/mnews/article/016/0002488156?sid=101</v>
      </c>
      <c r="H2117">
        <v>0.28000000000000003</v>
      </c>
    </row>
    <row r="2118" spans="1:8" x14ac:dyDescent="0.3">
      <c r="A2118" t="s">
        <v>5262</v>
      </c>
      <c r="B2118" t="s">
        <v>26951</v>
      </c>
      <c r="C2118" t="s">
        <v>3892</v>
      </c>
      <c r="D2118" t="s">
        <v>3891</v>
      </c>
      <c r="E2118" s="2" t="s">
        <v>280</v>
      </c>
      <c r="F2118" t="s">
        <v>197</v>
      </c>
      <c r="G2118" t="str">
        <f>HYPERLINK("https://n.news.naver.com/mnews/article/016/0002488248?sid=100")</f>
        <v>https://n.news.naver.com/mnews/article/016/0002488248?sid=100</v>
      </c>
      <c r="H2118">
        <v>0.29399999999999998</v>
      </c>
    </row>
    <row r="2119" spans="1:8" x14ac:dyDescent="0.3">
      <c r="A2119" t="s">
        <v>5262</v>
      </c>
      <c r="B2119" t="s">
        <v>26951</v>
      </c>
      <c r="C2119" t="s">
        <v>5365</v>
      </c>
      <c r="D2119" t="s">
        <v>5364</v>
      </c>
      <c r="E2119" s="2" t="s">
        <v>280</v>
      </c>
      <c r="F2119" t="s">
        <v>208</v>
      </c>
      <c r="G2119" t="str">
        <f>HYPERLINK("https://n.news.naver.com/mnews/article/119/0002973907?sid=101")</f>
        <v>https://n.news.naver.com/mnews/article/119/0002973907?sid=101</v>
      </c>
      <c r="H2119">
        <v>0.20499999999999999</v>
      </c>
    </row>
    <row r="2120" spans="1:8" x14ac:dyDescent="0.3">
      <c r="A2120" t="s">
        <v>5262</v>
      </c>
      <c r="B2120" t="s">
        <v>26951</v>
      </c>
      <c r="C2120" t="s">
        <v>5367</v>
      </c>
      <c r="D2120" t="s">
        <v>5366</v>
      </c>
      <c r="E2120" s="2" t="s">
        <v>280</v>
      </c>
      <c r="F2120" t="s">
        <v>2498</v>
      </c>
      <c r="G2120" t="str">
        <f>HYPERLINK("https://n.news.naver.com/mnews/article/016/0002491903?sid=101")</f>
        <v>https://n.news.naver.com/mnews/article/016/0002491903?sid=101</v>
      </c>
      <c r="H2120">
        <v>0.27400000000000002</v>
      </c>
    </row>
    <row r="2121" spans="1:8" x14ac:dyDescent="0.3">
      <c r="A2121" t="s">
        <v>5262</v>
      </c>
      <c r="B2121" t="s">
        <v>26951</v>
      </c>
      <c r="C2121" t="s">
        <v>5369</v>
      </c>
      <c r="D2121" t="s">
        <v>5368</v>
      </c>
      <c r="E2121" s="2" t="s">
        <v>313</v>
      </c>
      <c r="F2121" t="s">
        <v>197</v>
      </c>
      <c r="G2121" t="str">
        <f>HYPERLINK("https://www.econovill.com/news/articleView.html?idxno=690755")</f>
        <v>https://www.econovill.com/news/articleView.html?idxno=690755</v>
      </c>
      <c r="H2121">
        <v>0.68700000000000006</v>
      </c>
    </row>
    <row r="2122" spans="1:8" x14ac:dyDescent="0.3">
      <c r="A2122" t="s">
        <v>5262</v>
      </c>
      <c r="B2122" t="s">
        <v>26951</v>
      </c>
      <c r="C2122" t="s">
        <v>5371</v>
      </c>
      <c r="D2122" t="s">
        <v>5370</v>
      </c>
      <c r="E2122" s="2" t="s">
        <v>313</v>
      </c>
      <c r="F2122" t="s">
        <v>197</v>
      </c>
      <c r="G2122" t="str">
        <f>HYPERLINK("https://n.news.naver.com/mnews/article/016/0002486214?sid=101")</f>
        <v>https://n.news.naver.com/mnews/article/016/0002486214?sid=101</v>
      </c>
      <c r="H2122">
        <v>0.32900000000000001</v>
      </c>
    </row>
    <row r="2123" spans="1:8" x14ac:dyDescent="0.3">
      <c r="A2123" t="s">
        <v>5262</v>
      </c>
      <c r="B2123" t="s">
        <v>26951</v>
      </c>
      <c r="C2123" t="s">
        <v>5373</v>
      </c>
      <c r="D2123" t="s">
        <v>5372</v>
      </c>
      <c r="E2123" s="2" t="s">
        <v>313</v>
      </c>
      <c r="F2123" t="s">
        <v>205</v>
      </c>
      <c r="G2123" t="str">
        <f>HYPERLINK("http://www.fntimes.com/html/view.php?ud=2025063013533154585e6e69892f_18")</f>
        <v>http://www.fntimes.com/html/view.php?ud=2025063013533154585e6e69892f_18</v>
      </c>
      <c r="H2123">
        <v>0.22900000000000001</v>
      </c>
    </row>
    <row r="2124" spans="1:8" x14ac:dyDescent="0.3">
      <c r="A2124" t="s">
        <v>5262</v>
      </c>
      <c r="B2124" t="s">
        <v>26951</v>
      </c>
      <c r="C2124" t="s">
        <v>5375</v>
      </c>
      <c r="D2124" t="s">
        <v>5374</v>
      </c>
      <c r="E2124" s="2" t="s">
        <v>313</v>
      </c>
      <c r="F2124" t="s">
        <v>1942</v>
      </c>
      <c r="G2124" t="str">
        <f>HYPERLINK("https://n.news.naver.com/mnews/article/016/0002487561?sid=105")</f>
        <v>https://n.news.naver.com/mnews/article/016/0002487561?sid=105</v>
      </c>
      <c r="H2124">
        <v>0.23899999999999999</v>
      </c>
    </row>
    <row r="2125" spans="1:8" x14ac:dyDescent="0.3">
      <c r="A2125" t="s">
        <v>5262</v>
      </c>
      <c r="B2125" t="s">
        <v>26951</v>
      </c>
      <c r="C2125" t="s">
        <v>5377</v>
      </c>
      <c r="D2125" t="s">
        <v>5376</v>
      </c>
      <c r="E2125" s="2" t="s">
        <v>356</v>
      </c>
      <c r="F2125" t="s">
        <v>1060</v>
      </c>
      <c r="G2125" t="str">
        <f>HYPERLINK("https://n.news.naver.com/mnews/article/016/0002483748?sid=101")</f>
        <v>https://n.news.naver.com/mnews/article/016/0002483748?sid=101</v>
      </c>
      <c r="H2125">
        <v>0.317</v>
      </c>
    </row>
    <row r="2126" spans="1:8" x14ac:dyDescent="0.3">
      <c r="A2126" t="s">
        <v>5262</v>
      </c>
      <c r="B2126" t="s">
        <v>26951</v>
      </c>
      <c r="C2126" t="s">
        <v>5380</v>
      </c>
      <c r="D2126" t="s">
        <v>5379</v>
      </c>
      <c r="E2126" s="2" t="s">
        <v>356</v>
      </c>
      <c r="F2126" t="s">
        <v>5378</v>
      </c>
      <c r="G2126" t="str">
        <f>HYPERLINK("http://www.newspim.com/news/view/20201214000710")</f>
        <v>http://www.newspim.com/news/view/20201214000710</v>
      </c>
      <c r="H2126">
        <v>0.52300000000000002</v>
      </c>
    </row>
    <row r="2127" spans="1:8" x14ac:dyDescent="0.3">
      <c r="A2127" t="s">
        <v>5262</v>
      </c>
      <c r="B2127" t="s">
        <v>26951</v>
      </c>
      <c r="C2127" t="s">
        <v>5383</v>
      </c>
      <c r="D2127" t="s">
        <v>5382</v>
      </c>
      <c r="E2127" s="2" t="s">
        <v>356</v>
      </c>
      <c r="F2127" t="s">
        <v>5381</v>
      </c>
      <c r="G2127" t="str">
        <f>HYPERLINK("https://n.news.naver.com/mnews/article/022/0004047896?sid=102")</f>
        <v>https://n.news.naver.com/mnews/article/022/0004047896?sid=102</v>
      </c>
      <c r="H2127">
        <v>0.375</v>
      </c>
    </row>
    <row r="2128" spans="1:8" x14ac:dyDescent="0.3">
      <c r="A2128" t="s">
        <v>5262</v>
      </c>
      <c r="B2128" t="s">
        <v>26951</v>
      </c>
      <c r="C2128" t="s">
        <v>5385</v>
      </c>
      <c r="D2128" t="s">
        <v>5384</v>
      </c>
      <c r="E2128" s="2" t="s">
        <v>356</v>
      </c>
      <c r="F2128" t="s">
        <v>981</v>
      </c>
      <c r="G2128" t="str">
        <f>HYPERLINK("https://n.news.naver.com/mnews/article/011/0004503269?sid=104")</f>
        <v>https://n.news.naver.com/mnews/article/011/0004503269?sid=104</v>
      </c>
      <c r="H2128">
        <v>0.28599999999999998</v>
      </c>
    </row>
    <row r="2129" spans="1:8" x14ac:dyDescent="0.3">
      <c r="A2129" t="s">
        <v>5262</v>
      </c>
      <c r="B2129" t="s">
        <v>26951</v>
      </c>
      <c r="C2129" t="s">
        <v>5388</v>
      </c>
      <c r="D2129" t="s">
        <v>5387</v>
      </c>
      <c r="E2129" s="2" t="s">
        <v>356</v>
      </c>
      <c r="F2129" t="s">
        <v>5386</v>
      </c>
      <c r="G2129" t="str">
        <f>HYPERLINK("https://n.news.naver.com/mnews/article/214/0001433505?sid=102")</f>
        <v>https://n.news.naver.com/mnews/article/214/0001433505?sid=102</v>
      </c>
      <c r="H2129">
        <v>0.26900000000000002</v>
      </c>
    </row>
    <row r="2130" spans="1:8" x14ac:dyDescent="0.3">
      <c r="A2130" t="s">
        <v>5262</v>
      </c>
      <c r="B2130" t="s">
        <v>26951</v>
      </c>
      <c r="C2130" t="s">
        <v>5390</v>
      </c>
      <c r="D2130" t="s">
        <v>5389</v>
      </c>
      <c r="E2130" s="2" t="s">
        <v>394</v>
      </c>
      <c r="F2130" t="s">
        <v>3078</v>
      </c>
      <c r="G2130" t="str">
        <f>HYPERLINK("https://www.apnews.kr/news/articleView.html?idxno=3034262")</f>
        <v>https://www.apnews.kr/news/articleView.html?idxno=3034262</v>
      </c>
      <c r="H2130">
        <v>0.57399999999999995</v>
      </c>
    </row>
    <row r="2131" spans="1:8" x14ac:dyDescent="0.3">
      <c r="A2131" t="s">
        <v>5262</v>
      </c>
      <c r="B2131" t="s">
        <v>26951</v>
      </c>
      <c r="C2131" t="s">
        <v>5392</v>
      </c>
      <c r="D2131" t="s">
        <v>5391</v>
      </c>
      <c r="E2131" s="2" t="s">
        <v>394</v>
      </c>
      <c r="F2131" t="s">
        <v>1266</v>
      </c>
      <c r="G2131" t="str">
        <f>HYPERLINK("https://www.hellot.net/news/article.html?no=102731")</f>
        <v>https://www.hellot.net/news/article.html?no=102731</v>
      </c>
      <c r="H2131">
        <v>0.314</v>
      </c>
    </row>
    <row r="2132" spans="1:8" x14ac:dyDescent="0.3">
      <c r="A2132" t="s">
        <v>5262</v>
      </c>
      <c r="B2132" t="s">
        <v>26951</v>
      </c>
      <c r="C2132" t="s">
        <v>5395</v>
      </c>
      <c r="D2132" t="s">
        <v>5394</v>
      </c>
      <c r="E2132" s="2" t="s">
        <v>394</v>
      </c>
      <c r="F2132" t="s">
        <v>5393</v>
      </c>
      <c r="G2132" t="str">
        <f>HYPERLINK("https://n.news.naver.com/mnews/article/022/0004044588?sid=102")</f>
        <v>https://n.news.naver.com/mnews/article/022/0004044588?sid=102</v>
      </c>
      <c r="H2132">
        <v>0.216</v>
      </c>
    </row>
    <row r="2133" spans="1:8" x14ac:dyDescent="0.3">
      <c r="A2133" t="s">
        <v>5262</v>
      </c>
      <c r="B2133" t="s">
        <v>26951</v>
      </c>
      <c r="C2133" t="s">
        <v>5397</v>
      </c>
      <c r="D2133" t="s">
        <v>5396</v>
      </c>
      <c r="E2133" s="2" t="s">
        <v>394</v>
      </c>
      <c r="F2133" t="s">
        <v>304</v>
      </c>
      <c r="G2133" t="str">
        <f>HYPERLINK("https://www.danbinews.com/news/articleView.html?idxno=30758")</f>
        <v>https://www.danbinews.com/news/articleView.html?idxno=30758</v>
      </c>
      <c r="H2133">
        <v>0.29099999999999998</v>
      </c>
    </row>
    <row r="2134" spans="1:8" x14ac:dyDescent="0.3">
      <c r="A2134" t="s">
        <v>5262</v>
      </c>
      <c r="B2134" t="s">
        <v>26951</v>
      </c>
      <c r="C2134" t="s">
        <v>5400</v>
      </c>
      <c r="D2134" t="s">
        <v>5399</v>
      </c>
      <c r="E2134" s="2" t="s">
        <v>394</v>
      </c>
      <c r="F2134" t="s">
        <v>5398</v>
      </c>
      <c r="G2134" t="str">
        <f>HYPERLINK("https://www.gqkorea.co.kr/2018/07/19/%ec%82%b4%ec%95%84-%eb%8f%8c%ec%95%84%ec%98%a8-%ed%88%ac%ed%8c%8d/?utm_source=naver&amp;utm_medium=partnership")</f>
        <v>https://www.gqkorea.co.kr/2018/07/19/%ec%82%b4%ec%95%84-%eb%8f%8c%ec%95%84%ec%98%a8-%ed%88%ac%ed%8c%8d/?utm_source=naver&amp;utm_medium=partnership</v>
      </c>
      <c r="H2134">
        <v>0.47299999999999998</v>
      </c>
    </row>
    <row r="2135" spans="1:8" x14ac:dyDescent="0.3">
      <c r="A2135" t="s">
        <v>5262</v>
      </c>
      <c r="B2135" t="s">
        <v>26951</v>
      </c>
      <c r="C2135" t="s">
        <v>5402</v>
      </c>
      <c r="D2135" t="s">
        <v>5401</v>
      </c>
      <c r="E2135" s="2" t="s">
        <v>394</v>
      </c>
      <c r="F2135" t="s">
        <v>96</v>
      </c>
      <c r="G2135" t="str">
        <f>HYPERLINK("https://n.news.naver.com/mnews/article/016/0002492553?sid=101")</f>
        <v>https://n.news.naver.com/mnews/article/016/0002492553?sid=101</v>
      </c>
      <c r="H2135">
        <v>0.16700000000000001</v>
      </c>
    </row>
    <row r="2136" spans="1:8" x14ac:dyDescent="0.3">
      <c r="A2136" t="s">
        <v>5262</v>
      </c>
      <c r="B2136" t="s">
        <v>26951</v>
      </c>
      <c r="C2136" t="s">
        <v>5403</v>
      </c>
      <c r="D2136" t="s">
        <v>4075</v>
      </c>
      <c r="E2136" s="2" t="s">
        <v>394</v>
      </c>
      <c r="F2136" t="s">
        <v>96</v>
      </c>
      <c r="G2136" t="str">
        <f>HYPERLINK("https://www.etoday.co.kr/news/view/2482557")</f>
        <v>https://www.etoday.co.kr/news/view/2482557</v>
      </c>
      <c r="H2136">
        <v>0.28100000000000003</v>
      </c>
    </row>
    <row r="2137" spans="1:8" x14ac:dyDescent="0.3">
      <c r="A2137" t="s">
        <v>5262</v>
      </c>
      <c r="B2137" t="s">
        <v>26951</v>
      </c>
      <c r="C2137" t="s">
        <v>5405</v>
      </c>
      <c r="D2137" t="s">
        <v>5404</v>
      </c>
      <c r="E2137" s="2" t="s">
        <v>418</v>
      </c>
      <c r="F2137" t="s">
        <v>197</v>
      </c>
      <c r="G2137" t="str">
        <f>HYPERLINK("https://n.news.naver.com/mnews/article/016/0002485798?sid=100")</f>
        <v>https://n.news.naver.com/mnews/article/016/0002485798?sid=100</v>
      </c>
      <c r="H2137">
        <v>0.23300000000000001</v>
      </c>
    </row>
    <row r="2138" spans="1:8" x14ac:dyDescent="0.3">
      <c r="A2138" t="s">
        <v>5262</v>
      </c>
      <c r="B2138" t="s">
        <v>26951</v>
      </c>
      <c r="C2138" t="s">
        <v>5408</v>
      </c>
      <c r="D2138" t="s">
        <v>5407</v>
      </c>
      <c r="E2138" s="2" t="s">
        <v>418</v>
      </c>
      <c r="F2138" t="s">
        <v>5406</v>
      </c>
      <c r="G2138" t="str">
        <f>HYPERLINK("https://n.news.naver.com/mnews/article/016/0001131376?sid=101")</f>
        <v>https://n.news.naver.com/mnews/article/016/0001131376?sid=101</v>
      </c>
      <c r="H2138">
        <v>0.59299999999999997</v>
      </c>
    </row>
    <row r="2139" spans="1:8" x14ac:dyDescent="0.3">
      <c r="A2139" t="s">
        <v>5262</v>
      </c>
      <c r="B2139" t="s">
        <v>26951</v>
      </c>
      <c r="C2139" t="s">
        <v>5410</v>
      </c>
      <c r="D2139" t="s">
        <v>5409</v>
      </c>
      <c r="E2139" s="2" t="s">
        <v>418</v>
      </c>
      <c r="F2139" t="s">
        <v>805</v>
      </c>
      <c r="G2139" t="str">
        <f>HYPERLINK("https://n.news.naver.com/mnews/article/028/0002753333?sid=102")</f>
        <v>https://n.news.naver.com/mnews/article/028/0002753333?sid=102</v>
      </c>
      <c r="H2139">
        <v>0.20100000000000001</v>
      </c>
    </row>
    <row r="2140" spans="1:8" x14ac:dyDescent="0.3">
      <c r="A2140" t="s">
        <v>5262</v>
      </c>
      <c r="B2140" t="s">
        <v>26951</v>
      </c>
      <c r="C2140" t="s">
        <v>5413</v>
      </c>
      <c r="D2140" t="s">
        <v>5412</v>
      </c>
      <c r="E2140" s="2" t="s">
        <v>418</v>
      </c>
      <c r="F2140" t="s">
        <v>5411</v>
      </c>
      <c r="G2140" t="str">
        <f>HYPERLINK("https://www.ibabynews.com/news/articleView.html?idxno=133809")</f>
        <v>https://www.ibabynews.com/news/articleView.html?idxno=133809</v>
      </c>
      <c r="H2140">
        <v>0.38700000000000001</v>
      </c>
    </row>
    <row r="2141" spans="1:8" x14ac:dyDescent="0.3">
      <c r="A2141" t="s">
        <v>5262</v>
      </c>
      <c r="B2141" t="s">
        <v>26951</v>
      </c>
      <c r="C2141" t="s">
        <v>5415</v>
      </c>
      <c r="D2141" t="s">
        <v>5414</v>
      </c>
      <c r="E2141" s="2" t="s">
        <v>418</v>
      </c>
      <c r="F2141" t="s">
        <v>5051</v>
      </c>
      <c r="G2141" t="str">
        <f>HYPERLINK("https://n.news.naver.com/mnews/article/018/0006040813?sid=101")</f>
        <v>https://n.news.naver.com/mnews/article/018/0006040813?sid=101</v>
      </c>
      <c r="H2141">
        <v>0.13400000000000001</v>
      </c>
    </row>
    <row r="2142" spans="1:8" x14ac:dyDescent="0.3">
      <c r="A2142" t="s">
        <v>5262</v>
      </c>
      <c r="B2142" t="s">
        <v>26951</v>
      </c>
      <c r="C2142" t="s">
        <v>5418</v>
      </c>
      <c r="D2142" t="s">
        <v>5417</v>
      </c>
      <c r="E2142" s="2" t="s">
        <v>418</v>
      </c>
      <c r="F2142" t="s">
        <v>5416</v>
      </c>
      <c r="G2142" t="str">
        <f>HYPERLINK("https://www.joongboo.com/news/articleView.html?idxno=363695398")</f>
        <v>https://www.joongboo.com/news/articleView.html?idxno=363695398</v>
      </c>
      <c r="H2142">
        <v>0.58199999999999996</v>
      </c>
    </row>
    <row r="2143" spans="1:8" x14ac:dyDescent="0.3">
      <c r="A2143" t="s">
        <v>5262</v>
      </c>
      <c r="B2143" t="s">
        <v>26951</v>
      </c>
      <c r="C2143" t="s">
        <v>5421</v>
      </c>
      <c r="D2143" t="s">
        <v>5420</v>
      </c>
      <c r="E2143" s="2" t="s">
        <v>418</v>
      </c>
      <c r="F2143" t="s">
        <v>5419</v>
      </c>
      <c r="G2143" t="str">
        <f>HYPERLINK("https://www.gosiweek.com/article/1065596159108299")</f>
        <v>https://www.gosiweek.com/article/1065596159108299</v>
      </c>
      <c r="H2143">
        <v>0.53800000000000003</v>
      </c>
    </row>
    <row r="2144" spans="1:8" x14ac:dyDescent="0.3">
      <c r="A2144" t="s">
        <v>5262</v>
      </c>
      <c r="B2144" t="s">
        <v>26951</v>
      </c>
      <c r="C2144" t="s">
        <v>464</v>
      </c>
      <c r="D2144" t="s">
        <v>463</v>
      </c>
      <c r="E2144" s="2" t="s">
        <v>452</v>
      </c>
      <c r="F2144" t="s">
        <v>197</v>
      </c>
      <c r="G2144" t="str">
        <f>HYPERLINK("https://n.news.naver.com/mnews/article/016/0002484920?sid=101")</f>
        <v>https://n.news.naver.com/mnews/article/016/0002484920?sid=101</v>
      </c>
      <c r="H2144">
        <v>0.27900000000000003</v>
      </c>
    </row>
    <row r="2145" spans="1:8" x14ac:dyDescent="0.3">
      <c r="A2145" t="s">
        <v>5262</v>
      </c>
      <c r="B2145" t="s">
        <v>26951</v>
      </c>
      <c r="C2145" t="s">
        <v>5423</v>
      </c>
      <c r="D2145" t="s">
        <v>5422</v>
      </c>
      <c r="E2145" s="2" t="s">
        <v>452</v>
      </c>
      <c r="F2145" t="s">
        <v>1834</v>
      </c>
      <c r="G2145" t="str">
        <f>HYPERLINK("http://www.joongboo.com/news/articleView.html?idxno=363626129")</f>
        <v>http://www.joongboo.com/news/articleView.html?idxno=363626129</v>
      </c>
      <c r="H2145">
        <v>0.47499999999999998</v>
      </c>
    </row>
    <row r="2146" spans="1:8" x14ac:dyDescent="0.3">
      <c r="A2146" t="s">
        <v>5262</v>
      </c>
      <c r="B2146" t="s">
        <v>26951</v>
      </c>
      <c r="C2146" t="s">
        <v>5425</v>
      </c>
      <c r="D2146" t="s">
        <v>5424</v>
      </c>
      <c r="E2146" s="2" t="s">
        <v>452</v>
      </c>
      <c r="F2146" t="s">
        <v>1705</v>
      </c>
      <c r="G2146" t="str">
        <f>HYPERLINK("https://news.einfomax.co.kr/news/articleView.html?idxno=4327002")</f>
        <v>https://news.einfomax.co.kr/news/articleView.html?idxno=4327002</v>
      </c>
      <c r="H2146">
        <v>0.38100000000000001</v>
      </c>
    </row>
    <row r="2147" spans="1:8" x14ac:dyDescent="0.3">
      <c r="A2147" t="s">
        <v>5262</v>
      </c>
      <c r="B2147" t="s">
        <v>26951</v>
      </c>
      <c r="C2147" t="s">
        <v>5427</v>
      </c>
      <c r="D2147" t="s">
        <v>5426</v>
      </c>
      <c r="E2147" s="2" t="s">
        <v>452</v>
      </c>
      <c r="F2147" t="s">
        <v>1678</v>
      </c>
      <c r="G2147" t="str">
        <f>HYPERLINK("https://www.viva100.com/article/20250607500263")</f>
        <v>https://www.viva100.com/article/20250607500263</v>
      </c>
      <c r="H2147">
        <v>0.41299999999999998</v>
      </c>
    </row>
    <row r="2148" spans="1:8" x14ac:dyDescent="0.3">
      <c r="A2148" t="s">
        <v>5262</v>
      </c>
      <c r="B2148" t="s">
        <v>26951</v>
      </c>
      <c r="C2148" t="s">
        <v>5430</v>
      </c>
      <c r="D2148" t="s">
        <v>5429</v>
      </c>
      <c r="E2148" s="2" t="s">
        <v>452</v>
      </c>
      <c r="F2148" t="s">
        <v>5428</v>
      </c>
      <c r="G2148" t="str">
        <f>HYPERLINK("http://www.biztribune.co.kr/news/articleView.html?idxno=335369")</f>
        <v>http://www.biztribune.co.kr/news/articleView.html?idxno=335369</v>
      </c>
      <c r="H2148">
        <v>0.42699999999999999</v>
      </c>
    </row>
    <row r="2149" spans="1:8" x14ac:dyDescent="0.3">
      <c r="A2149" t="s">
        <v>5262</v>
      </c>
      <c r="B2149" t="s">
        <v>26951</v>
      </c>
      <c r="C2149" t="s">
        <v>5432</v>
      </c>
      <c r="D2149" t="s">
        <v>5431</v>
      </c>
      <c r="E2149" s="2" t="s">
        <v>481</v>
      </c>
      <c r="F2149" t="s">
        <v>89</v>
      </c>
      <c r="G2149" t="str">
        <f>HYPERLINK("https://n.news.naver.com/mnews/article/016/0002488751?sid=104")</f>
        <v>https://n.news.naver.com/mnews/article/016/0002488751?sid=104</v>
      </c>
      <c r="H2149">
        <v>0.22700000000000001</v>
      </c>
    </row>
    <row r="2150" spans="1:8" x14ac:dyDescent="0.3">
      <c r="A2150" t="s">
        <v>5262</v>
      </c>
      <c r="B2150" t="s">
        <v>26951</v>
      </c>
      <c r="C2150" t="s">
        <v>5435</v>
      </c>
      <c r="D2150" t="s">
        <v>5434</v>
      </c>
      <c r="E2150" s="2" t="s">
        <v>481</v>
      </c>
      <c r="F2150" t="s">
        <v>5433</v>
      </c>
      <c r="G2150" t="str">
        <f>HYPERLINK("http://www.joongboo.com/news/articleView.html?idxno=363476867")</f>
        <v>http://www.joongboo.com/news/articleView.html?idxno=363476867</v>
      </c>
      <c r="H2150">
        <v>0.34200000000000003</v>
      </c>
    </row>
    <row r="2151" spans="1:8" x14ac:dyDescent="0.3">
      <c r="A2151" t="s">
        <v>5262</v>
      </c>
      <c r="B2151" t="s">
        <v>26951</v>
      </c>
      <c r="C2151" t="s">
        <v>5438</v>
      </c>
      <c r="D2151" t="s">
        <v>5437</v>
      </c>
      <c r="E2151" s="2" t="s">
        <v>502</v>
      </c>
      <c r="F2151" t="s">
        <v>5436</v>
      </c>
      <c r="G2151" t="str">
        <f>HYPERLINK("http://www.boannews.com/media/view.asp?idx=47973&amp;kind=3")</f>
        <v>http://www.boannews.com/media/view.asp?idx=47973&amp;kind=3</v>
      </c>
      <c r="H2151">
        <v>0.22700000000000001</v>
      </c>
    </row>
    <row r="2152" spans="1:8" x14ac:dyDescent="0.3">
      <c r="A2152" t="s">
        <v>5262</v>
      </c>
      <c r="B2152" t="s">
        <v>26951</v>
      </c>
      <c r="C2152" t="s">
        <v>5441</v>
      </c>
      <c r="D2152" t="s">
        <v>5440</v>
      </c>
      <c r="E2152" s="2" t="s">
        <v>502</v>
      </c>
      <c r="F2152" t="s">
        <v>5439</v>
      </c>
      <c r="G2152" t="str">
        <f>HYPERLINK("https://www.greened.kr/news/articleView.html?idxno=319849")</f>
        <v>https://www.greened.kr/news/articleView.html?idxno=319849</v>
      </c>
      <c r="H2152">
        <v>0.56100000000000005</v>
      </c>
    </row>
    <row r="2153" spans="1:8" x14ac:dyDescent="0.3">
      <c r="A2153" t="s">
        <v>5262</v>
      </c>
      <c r="B2153" t="s">
        <v>26951</v>
      </c>
      <c r="C2153" t="s">
        <v>5444</v>
      </c>
      <c r="D2153" t="s">
        <v>5443</v>
      </c>
      <c r="E2153" s="2" t="s">
        <v>502</v>
      </c>
      <c r="F2153" t="s">
        <v>5442</v>
      </c>
      <c r="G2153" t="str">
        <f>HYPERLINK("https://n.news.naver.com/mnews/article/016/0002484421?sid=101")</f>
        <v>https://n.news.naver.com/mnews/article/016/0002484421?sid=101</v>
      </c>
      <c r="H2153">
        <v>0.14799999999999999</v>
      </c>
    </row>
    <row r="2154" spans="1:8" x14ac:dyDescent="0.3">
      <c r="A2154" t="s">
        <v>5262</v>
      </c>
      <c r="B2154" t="s">
        <v>26951</v>
      </c>
      <c r="C2154" t="s">
        <v>5446</v>
      </c>
      <c r="D2154" t="s">
        <v>5445</v>
      </c>
      <c r="E2154" s="2" t="s">
        <v>502</v>
      </c>
      <c r="F2154" t="s">
        <v>886</v>
      </c>
      <c r="G2154" t="str">
        <f>HYPERLINK("http://www.newsfreezone.co.kr/news/articleView.html?idxno=262000")</f>
        <v>http://www.newsfreezone.co.kr/news/articleView.html?idxno=262000</v>
      </c>
      <c r="H2154">
        <v>0.52900000000000003</v>
      </c>
    </row>
    <row r="2155" spans="1:8" x14ac:dyDescent="0.3">
      <c r="A2155" t="s">
        <v>5262</v>
      </c>
      <c r="B2155" t="s">
        <v>26951</v>
      </c>
      <c r="C2155" t="s">
        <v>5448</v>
      </c>
      <c r="D2155" t="s">
        <v>5447</v>
      </c>
      <c r="E2155" s="2" t="s">
        <v>517</v>
      </c>
      <c r="F2155" t="s">
        <v>460</v>
      </c>
      <c r="G2155" t="str">
        <f>HYPERLINK("https://n.news.naver.com/mnews/article/016/0002484683?sid=102")</f>
        <v>https://n.news.naver.com/mnews/article/016/0002484683?sid=102</v>
      </c>
      <c r="H2155">
        <v>0.28100000000000003</v>
      </c>
    </row>
    <row r="2156" spans="1:8" x14ac:dyDescent="0.3">
      <c r="A2156" t="s">
        <v>5262</v>
      </c>
      <c r="B2156" t="s">
        <v>26951</v>
      </c>
      <c r="C2156" t="s">
        <v>5451</v>
      </c>
      <c r="D2156" t="s">
        <v>5450</v>
      </c>
      <c r="E2156" s="2" t="s">
        <v>517</v>
      </c>
      <c r="F2156" t="s">
        <v>5449</v>
      </c>
      <c r="G2156" t="str">
        <f>HYPERLINK("https://www.apnews.kr/news/articleView.html?idxno=3036114")</f>
        <v>https://www.apnews.kr/news/articleView.html?idxno=3036114</v>
      </c>
      <c r="H2156">
        <v>0.14599999999999999</v>
      </c>
    </row>
    <row r="2157" spans="1:8" x14ac:dyDescent="0.3">
      <c r="A2157" t="s">
        <v>5262</v>
      </c>
      <c r="B2157" t="s">
        <v>26951</v>
      </c>
      <c r="C2157" t="s">
        <v>5453</v>
      </c>
      <c r="D2157" t="s">
        <v>5452</v>
      </c>
      <c r="E2157" s="2" t="s">
        <v>517</v>
      </c>
      <c r="F2157" t="s">
        <v>408</v>
      </c>
      <c r="G2157" t="str">
        <f>HYPERLINK("https://n.news.naver.com/mnews/article/016/0002482905?sid=101")</f>
        <v>https://n.news.naver.com/mnews/article/016/0002482905?sid=101</v>
      </c>
      <c r="H2157">
        <v>0.183</v>
      </c>
    </row>
    <row r="2158" spans="1:8" x14ac:dyDescent="0.3">
      <c r="A2158" t="s">
        <v>5262</v>
      </c>
      <c r="B2158" t="s">
        <v>26951</v>
      </c>
      <c r="C2158" t="s">
        <v>5456</v>
      </c>
      <c r="D2158" t="s">
        <v>5455</v>
      </c>
      <c r="E2158" s="2" t="s">
        <v>517</v>
      </c>
      <c r="F2158" t="s">
        <v>5454</v>
      </c>
      <c r="G2158" t="str">
        <f>HYPERLINK("https://n.news.naver.com/mnews/article/016/0002487071?sid=101")</f>
        <v>https://n.news.naver.com/mnews/article/016/0002487071?sid=101</v>
      </c>
      <c r="H2158">
        <v>0.11600000000000001</v>
      </c>
    </row>
    <row r="2159" spans="1:8" x14ac:dyDescent="0.3">
      <c r="A2159" t="s">
        <v>5262</v>
      </c>
      <c r="B2159" t="s">
        <v>26951</v>
      </c>
      <c r="C2159" t="s">
        <v>5458</v>
      </c>
      <c r="D2159" t="s">
        <v>5457</v>
      </c>
      <c r="E2159" s="2" t="s">
        <v>517</v>
      </c>
      <c r="F2159" t="s">
        <v>3549</v>
      </c>
      <c r="G2159" t="str">
        <f>HYPERLINK("http://news.lghellovision.net/news/articleView.html?idxno=510065")</f>
        <v>http://news.lghellovision.net/news/articleView.html?idxno=510065</v>
      </c>
      <c r="H2159">
        <v>0.20899999999999999</v>
      </c>
    </row>
    <row r="2160" spans="1:8" x14ac:dyDescent="0.3">
      <c r="A2160" t="s">
        <v>5262</v>
      </c>
      <c r="B2160" t="s">
        <v>26951</v>
      </c>
      <c r="C2160" t="s">
        <v>5460</v>
      </c>
      <c r="D2160" t="s">
        <v>5459</v>
      </c>
      <c r="E2160" s="2" t="s">
        <v>517</v>
      </c>
      <c r="F2160" t="s">
        <v>256</v>
      </c>
      <c r="G2160" t="str">
        <f>HYPERLINK("https://n.news.naver.com/mnews/article/079/0004034747?sid=101")</f>
        <v>https://n.news.naver.com/mnews/article/079/0004034747?sid=101</v>
      </c>
      <c r="H2160">
        <v>5.5E-2</v>
      </c>
    </row>
    <row r="2161" spans="1:8" x14ac:dyDescent="0.3">
      <c r="A2161" t="s">
        <v>5262</v>
      </c>
      <c r="B2161" t="s">
        <v>26951</v>
      </c>
      <c r="C2161" t="s">
        <v>5462</v>
      </c>
      <c r="D2161" t="s">
        <v>5461</v>
      </c>
      <c r="E2161" s="2" t="s">
        <v>517</v>
      </c>
      <c r="F2161" t="s">
        <v>1615</v>
      </c>
      <c r="G2161" t="str">
        <f>HYPERLINK("https://www.ebn.co.kr/news/articleView.html?idxno=1668573")</f>
        <v>https://www.ebn.co.kr/news/articleView.html?idxno=1668573</v>
      </c>
      <c r="H2161">
        <v>0.70499999999999996</v>
      </c>
    </row>
    <row r="2162" spans="1:8" x14ac:dyDescent="0.3">
      <c r="A2162" t="s">
        <v>5262</v>
      </c>
      <c r="B2162" t="s">
        <v>26951</v>
      </c>
      <c r="C2162" t="s">
        <v>5465</v>
      </c>
      <c r="D2162" t="s">
        <v>5464</v>
      </c>
      <c r="E2162" s="2" t="s">
        <v>538</v>
      </c>
      <c r="F2162" t="s">
        <v>5463</v>
      </c>
      <c r="G2162" t="str">
        <f>HYPERLINK("https://n.news.naver.com/mnews/article/022/0004042213?sid=102")</f>
        <v>https://n.news.naver.com/mnews/article/022/0004042213?sid=102</v>
      </c>
      <c r="H2162">
        <v>0.108</v>
      </c>
    </row>
    <row r="2163" spans="1:8" x14ac:dyDescent="0.3">
      <c r="A2163" t="s">
        <v>5262</v>
      </c>
      <c r="B2163" t="s">
        <v>26951</v>
      </c>
      <c r="C2163" t="s">
        <v>5468</v>
      </c>
      <c r="D2163" t="s">
        <v>5467</v>
      </c>
      <c r="E2163" s="2" t="s">
        <v>538</v>
      </c>
      <c r="F2163" t="s">
        <v>5466</v>
      </c>
      <c r="G2163" t="str">
        <f>HYPERLINK("https://www.nbntv.co.kr/news/articleView.html?idxno=4002732")</f>
        <v>https://www.nbntv.co.kr/news/articleView.html?idxno=4002732</v>
      </c>
      <c r="H2163">
        <v>0.35699999999999998</v>
      </c>
    </row>
    <row r="2164" spans="1:8" x14ac:dyDescent="0.3">
      <c r="A2164" t="s">
        <v>5262</v>
      </c>
      <c r="B2164" t="s">
        <v>26951</v>
      </c>
      <c r="C2164" t="s">
        <v>5470</v>
      </c>
      <c r="D2164" t="s">
        <v>5469</v>
      </c>
      <c r="E2164" s="2" t="s">
        <v>538</v>
      </c>
      <c r="F2164" t="s">
        <v>1908</v>
      </c>
      <c r="G2164" t="str">
        <f>HYPERLINK("https://n.news.naver.com/mnews/article/016/0000518879?sid=101")</f>
        <v>https://n.news.naver.com/mnews/article/016/0000518879?sid=101</v>
      </c>
      <c r="H2164">
        <v>0.50600000000000001</v>
      </c>
    </row>
    <row r="2165" spans="1:8" x14ac:dyDescent="0.3">
      <c r="A2165" t="s">
        <v>5262</v>
      </c>
      <c r="B2165" t="s">
        <v>26951</v>
      </c>
      <c r="C2165" t="s">
        <v>1856</v>
      </c>
      <c r="D2165" t="s">
        <v>1855</v>
      </c>
      <c r="E2165" s="2" t="s">
        <v>538</v>
      </c>
      <c r="F2165" t="s">
        <v>159</v>
      </c>
      <c r="G2165" t="str">
        <f>HYPERLINK("https://n.news.naver.com/mnews/article/016/0000911600?sid=101")</f>
        <v>https://n.news.naver.com/mnews/article/016/0000911600?sid=101</v>
      </c>
      <c r="H2165">
        <v>0.14799999999999999</v>
      </c>
    </row>
    <row r="2166" spans="1:8" x14ac:dyDescent="0.3">
      <c r="A2166" t="s">
        <v>5262</v>
      </c>
      <c r="B2166" t="s">
        <v>26951</v>
      </c>
      <c r="C2166" t="s">
        <v>5472</v>
      </c>
      <c r="D2166" t="s">
        <v>5471</v>
      </c>
      <c r="E2166" s="2" t="s">
        <v>538</v>
      </c>
      <c r="F2166" t="s">
        <v>1625</v>
      </c>
      <c r="G2166" t="str">
        <f>HYPERLINK("https://n.news.naver.com/mnews/article/016/0000923415?sid=101")</f>
        <v>https://n.news.naver.com/mnews/article/016/0000923415?sid=101</v>
      </c>
      <c r="H2166">
        <v>0.26500000000000001</v>
      </c>
    </row>
    <row r="2167" spans="1:8" x14ac:dyDescent="0.3">
      <c r="A2167" t="s">
        <v>5262</v>
      </c>
      <c r="B2167" t="s">
        <v>26951</v>
      </c>
      <c r="C2167" t="s">
        <v>5475</v>
      </c>
      <c r="D2167" t="s">
        <v>5474</v>
      </c>
      <c r="E2167" s="2" t="s">
        <v>572</v>
      </c>
      <c r="F2167" t="s">
        <v>5473</v>
      </c>
      <c r="G2167" t="str">
        <f>HYPERLINK("https://n.news.naver.com/mnews/article/016/0002483423?sid=101")</f>
        <v>https://n.news.naver.com/mnews/article/016/0002483423?sid=101</v>
      </c>
      <c r="H2167">
        <v>0.23</v>
      </c>
    </row>
    <row r="2168" spans="1:8" x14ac:dyDescent="0.3">
      <c r="A2168" t="s">
        <v>5262</v>
      </c>
      <c r="B2168" t="s">
        <v>26951</v>
      </c>
      <c r="C2168" t="s">
        <v>5477</v>
      </c>
      <c r="D2168" t="s">
        <v>5476</v>
      </c>
      <c r="E2168" s="2" t="s">
        <v>572</v>
      </c>
      <c r="F2168" t="s">
        <v>3329</v>
      </c>
      <c r="G2168" t="str">
        <f>HYPERLINK("http://www.breaknews.com/1129292")</f>
        <v>http://www.breaknews.com/1129292</v>
      </c>
      <c r="H2168">
        <v>0.20899999999999999</v>
      </c>
    </row>
    <row r="2169" spans="1:8" x14ac:dyDescent="0.3">
      <c r="A2169" t="s">
        <v>5262</v>
      </c>
      <c r="B2169" t="s">
        <v>26951</v>
      </c>
      <c r="C2169" t="s">
        <v>5479</v>
      </c>
      <c r="D2169" t="s">
        <v>5478</v>
      </c>
      <c r="E2169" s="2" t="s">
        <v>572</v>
      </c>
      <c r="F2169" t="s">
        <v>779</v>
      </c>
      <c r="G2169" t="str">
        <f>HYPERLINK("https://n.news.naver.com/mnews/article/016/0002483033?sid=101")</f>
        <v>https://n.news.naver.com/mnews/article/016/0002483033?sid=101</v>
      </c>
      <c r="H2169">
        <v>0.20599999999999999</v>
      </c>
    </row>
    <row r="2170" spans="1:8" x14ac:dyDescent="0.3">
      <c r="A2170" t="s">
        <v>5262</v>
      </c>
      <c r="B2170" t="s">
        <v>26951</v>
      </c>
      <c r="C2170" t="s">
        <v>5482</v>
      </c>
      <c r="D2170" t="s">
        <v>5481</v>
      </c>
      <c r="E2170" s="2" t="s">
        <v>572</v>
      </c>
      <c r="F2170" t="s">
        <v>5480</v>
      </c>
      <c r="G2170" t="str">
        <f>HYPERLINK("https://n.news.naver.com/mnews/article/016/0002489644?sid=101")</f>
        <v>https://n.news.naver.com/mnews/article/016/0002489644?sid=101</v>
      </c>
      <c r="H2170">
        <v>0.33500000000000002</v>
      </c>
    </row>
    <row r="2171" spans="1:8" x14ac:dyDescent="0.3">
      <c r="A2171" t="s">
        <v>5262</v>
      </c>
      <c r="B2171" t="s">
        <v>26951</v>
      </c>
      <c r="C2171" t="s">
        <v>5484</v>
      </c>
      <c r="D2171" t="s">
        <v>5483</v>
      </c>
      <c r="E2171" s="2" t="s">
        <v>572</v>
      </c>
      <c r="F2171" t="s">
        <v>981</v>
      </c>
      <c r="G2171" t="str">
        <f>HYPERLINK("http://www.greenpostkorea.co.kr/news/articleView.html?idxno=123545")</f>
        <v>http://www.greenpostkorea.co.kr/news/articleView.html?idxno=123545</v>
      </c>
      <c r="H2171">
        <v>0.30099999999999999</v>
      </c>
    </row>
    <row r="2172" spans="1:8" x14ac:dyDescent="0.3">
      <c r="A2172" t="s">
        <v>5262</v>
      </c>
      <c r="B2172" t="s">
        <v>26951</v>
      </c>
      <c r="C2172" t="s">
        <v>5486</v>
      </c>
      <c r="D2172" t="s">
        <v>5485</v>
      </c>
      <c r="E2172" s="2" t="s">
        <v>609</v>
      </c>
      <c r="F2172" t="s">
        <v>3195</v>
      </c>
      <c r="G2172" t="str">
        <f>HYPERLINK("https://n.news.naver.com/mnews/article/022/0004047866?sid=102")</f>
        <v>https://n.news.naver.com/mnews/article/022/0004047866?sid=102</v>
      </c>
      <c r="H2172">
        <v>0.377</v>
      </c>
    </row>
    <row r="2173" spans="1:8" x14ac:dyDescent="0.3">
      <c r="A2173" t="s">
        <v>5262</v>
      </c>
      <c r="B2173" t="s">
        <v>26951</v>
      </c>
      <c r="C2173" t="s">
        <v>5488</v>
      </c>
      <c r="D2173" t="s">
        <v>5487</v>
      </c>
      <c r="E2173" s="2" t="s">
        <v>609</v>
      </c>
      <c r="F2173" t="s">
        <v>460</v>
      </c>
      <c r="G2173" t="str">
        <f>HYPERLINK("https://jhealthmedia.joins.com/news/articleView.html?idxno=30542")</f>
        <v>https://jhealthmedia.joins.com/news/articleView.html?idxno=30542</v>
      </c>
      <c r="H2173">
        <v>0.13900000000000001</v>
      </c>
    </row>
    <row r="2174" spans="1:8" x14ac:dyDescent="0.3">
      <c r="A2174" t="s">
        <v>5262</v>
      </c>
      <c r="B2174" t="s">
        <v>26951</v>
      </c>
      <c r="C2174" t="s">
        <v>5490</v>
      </c>
      <c r="D2174" t="s">
        <v>5489</v>
      </c>
      <c r="E2174" s="2" t="s">
        <v>609</v>
      </c>
      <c r="F2174" t="s">
        <v>1242</v>
      </c>
      <c r="G2174" t="str">
        <f>HYPERLINK("https://n.news.naver.com/mnews/article/008/0005212815?sid=101")</f>
        <v>https://n.news.naver.com/mnews/article/008/0005212815?sid=101</v>
      </c>
      <c r="H2174">
        <v>0.17499999999999999</v>
      </c>
    </row>
    <row r="2175" spans="1:8" x14ac:dyDescent="0.3">
      <c r="A2175" t="s">
        <v>5262</v>
      </c>
      <c r="B2175" t="s">
        <v>26951</v>
      </c>
      <c r="C2175" t="s">
        <v>5493</v>
      </c>
      <c r="D2175" t="s">
        <v>5492</v>
      </c>
      <c r="E2175" s="2" t="s">
        <v>609</v>
      </c>
      <c r="F2175" t="s">
        <v>5491</v>
      </c>
      <c r="G2175" t="str">
        <f>HYPERLINK("http://www.bulkwang.co.kr/news/articleView.html?idxno=34683")</f>
        <v>http://www.bulkwang.co.kr/news/articleView.html?idxno=34683</v>
      </c>
      <c r="H2175">
        <v>0.45400000000000001</v>
      </c>
    </row>
    <row r="2176" spans="1:8" x14ac:dyDescent="0.3">
      <c r="A2176" t="s">
        <v>5262</v>
      </c>
      <c r="B2176" t="s">
        <v>26951</v>
      </c>
      <c r="C2176" t="s">
        <v>5495</v>
      </c>
      <c r="D2176" t="s">
        <v>5494</v>
      </c>
      <c r="E2176" s="2" t="s">
        <v>653</v>
      </c>
      <c r="F2176" t="s">
        <v>197</v>
      </c>
      <c r="G2176" t="str">
        <f>HYPERLINK("https://n.news.naver.com/mnews/article/052/0001742061?sid=100")</f>
        <v>https://n.news.naver.com/mnews/article/052/0001742061?sid=100</v>
      </c>
      <c r="H2176">
        <v>0.247</v>
      </c>
    </row>
    <row r="2177" spans="1:8" x14ac:dyDescent="0.3">
      <c r="A2177" t="s">
        <v>5262</v>
      </c>
      <c r="B2177" t="s">
        <v>26951</v>
      </c>
      <c r="C2177" t="s">
        <v>5497</v>
      </c>
      <c r="D2177" t="s">
        <v>5496</v>
      </c>
      <c r="E2177" s="2" t="s">
        <v>653</v>
      </c>
      <c r="F2177" t="s">
        <v>3195</v>
      </c>
      <c r="G2177" t="str">
        <f>HYPERLINK("https://n.news.naver.com/mnews/article/052/0001196014?sid=101")</f>
        <v>https://n.news.naver.com/mnews/article/052/0001196014?sid=101</v>
      </c>
      <c r="H2177">
        <v>0.29399999999999998</v>
      </c>
    </row>
    <row r="2178" spans="1:8" x14ac:dyDescent="0.3">
      <c r="A2178" t="s">
        <v>5262</v>
      </c>
      <c r="B2178" t="s">
        <v>26951</v>
      </c>
      <c r="C2178" t="s">
        <v>5500</v>
      </c>
      <c r="D2178" t="s">
        <v>5499</v>
      </c>
      <c r="E2178" s="2" t="s">
        <v>653</v>
      </c>
      <c r="F2178" t="s">
        <v>5498</v>
      </c>
      <c r="G2178" t="str">
        <f>HYPERLINK("https://www.businesspost.co.kr/BP?command=article_view&amp;num=399570")</f>
        <v>https://www.businesspost.co.kr/BP?command=article_view&amp;num=399570</v>
      </c>
      <c r="H2178">
        <v>0.14899999999999999</v>
      </c>
    </row>
    <row r="2179" spans="1:8" x14ac:dyDescent="0.3">
      <c r="A2179" t="s">
        <v>5262</v>
      </c>
      <c r="B2179" t="s">
        <v>26951</v>
      </c>
      <c r="C2179" t="s">
        <v>5502</v>
      </c>
      <c r="D2179" t="s">
        <v>5501</v>
      </c>
      <c r="E2179" s="2" t="s">
        <v>653</v>
      </c>
      <c r="F2179" t="s">
        <v>5087</v>
      </c>
      <c r="G2179" t="str">
        <f>HYPERLINK("https://n.news.naver.com/mnews/article/016/0002481816?sid=102")</f>
        <v>https://n.news.naver.com/mnews/article/016/0002481816?sid=102</v>
      </c>
      <c r="H2179">
        <v>0.28699999999999998</v>
      </c>
    </row>
    <row r="2180" spans="1:8" x14ac:dyDescent="0.3">
      <c r="A2180" t="s">
        <v>5262</v>
      </c>
      <c r="B2180" t="s">
        <v>26951</v>
      </c>
      <c r="C2180" t="s">
        <v>5504</v>
      </c>
      <c r="D2180" t="s">
        <v>5503</v>
      </c>
      <c r="E2180" s="2" t="s">
        <v>653</v>
      </c>
      <c r="F2180" t="s">
        <v>1995</v>
      </c>
      <c r="G2180" t="str">
        <f>HYPERLINK("https://n.news.naver.com/mnews/article/002/0002000805?sid=102")</f>
        <v>https://n.news.naver.com/mnews/article/002/0002000805?sid=102</v>
      </c>
      <c r="H2180">
        <v>0.16600000000000001</v>
      </c>
    </row>
    <row r="2181" spans="1:8" x14ac:dyDescent="0.3">
      <c r="A2181" t="s">
        <v>5262</v>
      </c>
      <c r="B2181" t="s">
        <v>26951</v>
      </c>
      <c r="C2181" t="s">
        <v>5506</v>
      </c>
      <c r="D2181" t="s">
        <v>5505</v>
      </c>
      <c r="E2181" s="2" t="s">
        <v>692</v>
      </c>
      <c r="F2181" t="s">
        <v>3915</v>
      </c>
      <c r="G2181" t="str">
        <f>HYPERLINK("https://n.news.naver.com/mnews/article/055/0001271213?sid=102")</f>
        <v>https://n.news.naver.com/mnews/article/055/0001271213?sid=102</v>
      </c>
      <c r="H2181">
        <v>0.26300000000000001</v>
      </c>
    </row>
    <row r="2182" spans="1:8" x14ac:dyDescent="0.3">
      <c r="A2182" t="s">
        <v>5262</v>
      </c>
      <c r="B2182" t="s">
        <v>26951</v>
      </c>
      <c r="C2182" t="s">
        <v>5509</v>
      </c>
      <c r="D2182" t="s">
        <v>5508</v>
      </c>
      <c r="E2182" s="2" t="s">
        <v>692</v>
      </c>
      <c r="F2182" t="s">
        <v>5507</v>
      </c>
      <c r="G2182" t="str">
        <f>HYPERLINK("https://www.newspim.com/news/view/20250627000292")</f>
        <v>https://www.newspim.com/news/view/20250627000292</v>
      </c>
      <c r="H2182">
        <v>0.35699999999999998</v>
      </c>
    </row>
    <row r="2183" spans="1:8" x14ac:dyDescent="0.3">
      <c r="A2183" t="s">
        <v>5262</v>
      </c>
      <c r="B2183" t="s">
        <v>26951</v>
      </c>
      <c r="C2183" t="s">
        <v>5511</v>
      </c>
      <c r="D2183" t="s">
        <v>5510</v>
      </c>
      <c r="E2183" s="2" t="s">
        <v>711</v>
      </c>
      <c r="F2183" t="s">
        <v>1558</v>
      </c>
      <c r="G2183" t="str">
        <f>HYPERLINK("http://www.bizwnews.com/news/articleView.html?idxno=104419")</f>
        <v>http://www.bizwnews.com/news/articleView.html?idxno=104419</v>
      </c>
      <c r="H2183">
        <v>0.57699999999999996</v>
      </c>
    </row>
    <row r="2184" spans="1:8" x14ac:dyDescent="0.3">
      <c r="A2184" t="s">
        <v>5262</v>
      </c>
      <c r="B2184" t="s">
        <v>26951</v>
      </c>
      <c r="C2184" t="s">
        <v>5514</v>
      </c>
      <c r="D2184" t="s">
        <v>5513</v>
      </c>
      <c r="E2184" s="2" t="s">
        <v>711</v>
      </c>
      <c r="F2184" t="s">
        <v>5512</v>
      </c>
      <c r="G2184" t="str">
        <f>HYPERLINK("https://n.news.naver.com/mnews/article/214/0001430963?sid=100")</f>
        <v>https://n.news.naver.com/mnews/article/214/0001430963?sid=100</v>
      </c>
      <c r="H2184">
        <v>0.3</v>
      </c>
    </row>
    <row r="2185" spans="1:8" x14ac:dyDescent="0.3">
      <c r="A2185" t="s">
        <v>5262</v>
      </c>
      <c r="B2185" t="s">
        <v>26951</v>
      </c>
      <c r="C2185" t="s">
        <v>5516</v>
      </c>
      <c r="D2185" t="s">
        <v>5515</v>
      </c>
      <c r="E2185" s="2" t="s">
        <v>711</v>
      </c>
      <c r="F2185" t="s">
        <v>160</v>
      </c>
      <c r="G2185" t="str">
        <f>HYPERLINK("http://www.newsmp.com/news/articleView.html?idxno=223936")</f>
        <v>http://www.newsmp.com/news/articleView.html?idxno=223936</v>
      </c>
      <c r="H2185">
        <v>0.59099999999999997</v>
      </c>
    </row>
    <row r="2186" spans="1:8" x14ac:dyDescent="0.3">
      <c r="A2186" t="s">
        <v>5262</v>
      </c>
      <c r="B2186" t="s">
        <v>26951</v>
      </c>
      <c r="C2186" t="s">
        <v>5518</v>
      </c>
      <c r="D2186" t="s">
        <v>5517</v>
      </c>
      <c r="E2186" s="2" t="s">
        <v>711</v>
      </c>
      <c r="F2186" t="s">
        <v>1625</v>
      </c>
      <c r="G2186" t="str">
        <f>HYPERLINK("https://n.news.naver.com/mnews/article/016/0000923415?sid=101")</f>
        <v>https://n.news.naver.com/mnews/article/016/0000923415?sid=101</v>
      </c>
      <c r="H2186">
        <v>0.30299999999999999</v>
      </c>
    </row>
    <row r="2187" spans="1:8" x14ac:dyDescent="0.3">
      <c r="A2187" t="s">
        <v>5262</v>
      </c>
      <c r="B2187" t="s">
        <v>26951</v>
      </c>
      <c r="C2187" t="s">
        <v>5520</v>
      </c>
      <c r="D2187" t="s">
        <v>5519</v>
      </c>
      <c r="E2187" s="2" t="s">
        <v>711</v>
      </c>
      <c r="F2187" t="s">
        <v>51</v>
      </c>
      <c r="G2187" t="str">
        <f>HYPERLINK("https://www.youthdaily.co.kr/news/article.html?no=178290")</f>
        <v>https://www.youthdaily.co.kr/news/article.html?no=178290</v>
      </c>
      <c r="H2187">
        <v>0.505</v>
      </c>
    </row>
    <row r="2188" spans="1:8" x14ac:dyDescent="0.3">
      <c r="A2188" t="s">
        <v>5262</v>
      </c>
      <c r="B2188" t="s">
        <v>26951</v>
      </c>
      <c r="C2188" t="s">
        <v>5522</v>
      </c>
      <c r="D2188" t="s">
        <v>5521</v>
      </c>
      <c r="E2188" s="2" t="s">
        <v>711</v>
      </c>
      <c r="F2188" t="s">
        <v>4315</v>
      </c>
      <c r="G2188" t="str">
        <f>HYPERLINK("https://n.news.naver.com/mnews/article/057/0001894261?sid=102")</f>
        <v>https://n.news.naver.com/mnews/article/057/0001894261?sid=102</v>
      </c>
      <c r="H2188">
        <v>0.27700000000000002</v>
      </c>
    </row>
    <row r="2189" spans="1:8" x14ac:dyDescent="0.3">
      <c r="A2189" t="s">
        <v>5262</v>
      </c>
      <c r="B2189" t="s">
        <v>26951</v>
      </c>
      <c r="C2189" t="s">
        <v>5525</v>
      </c>
      <c r="D2189" t="s">
        <v>5524</v>
      </c>
      <c r="E2189" s="2" t="s">
        <v>742</v>
      </c>
      <c r="F2189" t="s">
        <v>148</v>
      </c>
      <c r="G2189" t="str">
        <f>HYPERLINK("https://n.news.naver.com/mnews/article/016/0002455434?sid=101")</f>
        <v>https://n.news.naver.com/mnews/article/016/0002455434?sid=101</v>
      </c>
      <c r="H2189">
        <v>0.22700000000000001</v>
      </c>
    </row>
    <row r="2190" spans="1:8" x14ac:dyDescent="0.3">
      <c r="A2190" t="s">
        <v>5262</v>
      </c>
      <c r="B2190" t="s">
        <v>26951</v>
      </c>
      <c r="C2190" t="s">
        <v>5527</v>
      </c>
      <c r="D2190" t="s">
        <v>5526</v>
      </c>
      <c r="E2190" s="2" t="s">
        <v>742</v>
      </c>
      <c r="F2190" t="s">
        <v>208</v>
      </c>
      <c r="G2190" t="str">
        <f>HYPERLINK("https://n.news.naver.com/mnews/article/014/0005370409?sid=101")</f>
        <v>https://n.news.naver.com/mnews/article/014/0005370409?sid=101</v>
      </c>
      <c r="H2190">
        <v>0.17399999999999999</v>
      </c>
    </row>
    <row r="2191" spans="1:8" x14ac:dyDescent="0.3">
      <c r="A2191" t="s">
        <v>5262</v>
      </c>
      <c r="B2191" t="s">
        <v>26951</v>
      </c>
      <c r="C2191" t="s">
        <v>5529</v>
      </c>
      <c r="D2191" t="s">
        <v>5528</v>
      </c>
      <c r="E2191" s="2" t="s">
        <v>742</v>
      </c>
      <c r="F2191" t="s">
        <v>25</v>
      </c>
      <c r="G2191" t="str">
        <f>HYPERLINK("https://n.news.naver.com/mnews/article/016/0002467899?sid=101")</f>
        <v>https://n.news.naver.com/mnews/article/016/0002467899?sid=101</v>
      </c>
      <c r="H2191">
        <v>0.11799999999999999</v>
      </c>
    </row>
    <row r="2192" spans="1:8" x14ac:dyDescent="0.3">
      <c r="A2192" t="s">
        <v>5262</v>
      </c>
      <c r="B2192" t="s">
        <v>26951</v>
      </c>
      <c r="C2192" t="s">
        <v>5531</v>
      </c>
      <c r="D2192" t="s">
        <v>5530</v>
      </c>
      <c r="E2192" s="2" t="s">
        <v>742</v>
      </c>
      <c r="F2192" t="s">
        <v>642</v>
      </c>
      <c r="G2192" t="str">
        <f>HYPERLINK("http://www.sisaon.co.kr/news/articleView.html?idxno=169935")</f>
        <v>http://www.sisaon.co.kr/news/articleView.html?idxno=169935</v>
      </c>
      <c r="H2192">
        <v>0.64400000000000002</v>
      </c>
    </row>
    <row r="2193" spans="1:8" x14ac:dyDescent="0.3">
      <c r="A2193" t="s">
        <v>5262</v>
      </c>
      <c r="B2193" t="s">
        <v>26951</v>
      </c>
      <c r="C2193" t="s">
        <v>5534</v>
      </c>
      <c r="D2193" t="s">
        <v>5533</v>
      </c>
      <c r="E2193" s="2" t="s">
        <v>742</v>
      </c>
      <c r="F2193" t="s">
        <v>5532</v>
      </c>
      <c r="G2193" t="str">
        <f>HYPERLINK("https://n.news.naver.com/mnews/article/016/0002476494?sid=102")</f>
        <v>https://n.news.naver.com/mnews/article/016/0002476494?sid=102</v>
      </c>
      <c r="H2193">
        <v>9.9000000000000005E-2</v>
      </c>
    </row>
    <row r="2194" spans="1:8" x14ac:dyDescent="0.3">
      <c r="A2194" t="s">
        <v>5262</v>
      </c>
      <c r="B2194" t="s">
        <v>26951</v>
      </c>
      <c r="C2194" t="s">
        <v>5537</v>
      </c>
      <c r="D2194" t="s">
        <v>5536</v>
      </c>
      <c r="E2194" s="2" t="s">
        <v>742</v>
      </c>
      <c r="F2194" t="s">
        <v>5535</v>
      </c>
      <c r="G2194" t="str">
        <f>HYPERLINK("https://n.news.naver.com/mnews/article/016/0001208134?sid=004")</f>
        <v>https://n.news.naver.com/mnews/article/016/0001208134?sid=004</v>
      </c>
      <c r="H2194">
        <v>0.28599999999999998</v>
      </c>
    </row>
    <row r="2195" spans="1:8" x14ac:dyDescent="0.3">
      <c r="A2195" t="s">
        <v>5262</v>
      </c>
      <c r="B2195" t="s">
        <v>26951</v>
      </c>
      <c r="C2195" t="s">
        <v>5540</v>
      </c>
      <c r="D2195" t="s">
        <v>5539</v>
      </c>
      <c r="E2195" s="2" t="s">
        <v>799</v>
      </c>
      <c r="F2195" t="s">
        <v>5538</v>
      </c>
      <c r="G2195" t="str">
        <f>HYPERLINK("http://www.greened.kr/news/articleView.html?idxno=302529")</f>
        <v>http://www.greened.kr/news/articleView.html?idxno=302529</v>
      </c>
      <c r="H2195">
        <v>0.217</v>
      </c>
    </row>
    <row r="2196" spans="1:8" x14ac:dyDescent="0.3">
      <c r="A2196" t="s">
        <v>5262</v>
      </c>
      <c r="B2196" t="s">
        <v>26951</v>
      </c>
      <c r="C2196" t="s">
        <v>5543</v>
      </c>
      <c r="D2196" t="s">
        <v>5542</v>
      </c>
      <c r="E2196" s="2" t="s">
        <v>799</v>
      </c>
      <c r="F2196" t="s">
        <v>5541</v>
      </c>
      <c r="G2196" t="str">
        <f>HYPERLINK("https://n.news.naver.com/mnews/article/016/0002480618?sid=102")</f>
        <v>https://n.news.naver.com/mnews/article/016/0002480618?sid=102</v>
      </c>
      <c r="H2196">
        <v>0.151</v>
      </c>
    </row>
    <row r="2197" spans="1:8" x14ac:dyDescent="0.3">
      <c r="A2197" t="s">
        <v>5262</v>
      </c>
      <c r="B2197" t="s">
        <v>26951</v>
      </c>
      <c r="C2197" t="s">
        <v>5545</v>
      </c>
      <c r="D2197" t="s">
        <v>5544</v>
      </c>
      <c r="E2197" s="2" t="s">
        <v>799</v>
      </c>
      <c r="F2197" t="s">
        <v>1546</v>
      </c>
      <c r="G2197" t="str">
        <f>HYPERLINK("http://www.newspim.com/news/view/20210520000753")</f>
        <v>http://www.newspim.com/news/view/20210520000753</v>
      </c>
      <c r="H2197">
        <v>0.495</v>
      </c>
    </row>
    <row r="2198" spans="1:8" x14ac:dyDescent="0.3">
      <c r="A2198" t="s">
        <v>5262</v>
      </c>
      <c r="B2198" t="s">
        <v>26951</v>
      </c>
      <c r="C2198" t="s">
        <v>5547</v>
      </c>
      <c r="D2198" t="s">
        <v>5546</v>
      </c>
      <c r="E2198" s="2" t="s">
        <v>799</v>
      </c>
      <c r="F2198" t="s">
        <v>1882</v>
      </c>
      <c r="G2198" t="str">
        <f>HYPERLINK("https://n.news.naver.com/mnews/article/016/0002480618?sid=102")</f>
        <v>https://n.news.naver.com/mnews/article/016/0002480618?sid=102</v>
      </c>
      <c r="H2198">
        <v>0.14000000000000001</v>
      </c>
    </row>
    <row r="2199" spans="1:8" x14ac:dyDescent="0.3">
      <c r="A2199" t="s">
        <v>5262</v>
      </c>
      <c r="B2199" t="s">
        <v>26951</v>
      </c>
      <c r="C2199" t="s">
        <v>5550</v>
      </c>
      <c r="D2199" t="s">
        <v>5549</v>
      </c>
      <c r="E2199" s="2" t="s">
        <v>799</v>
      </c>
      <c r="F2199" t="s">
        <v>588</v>
      </c>
      <c r="G2199" t="str">
        <f>HYPERLINK("https://n.news.naver.com/mnews/article/088/0000951488?sid=100")</f>
        <v>https://n.news.naver.com/mnews/article/088/0000951488?sid=100</v>
      </c>
      <c r="H2199">
        <v>0.32400000000000001</v>
      </c>
    </row>
    <row r="2200" spans="1:8" x14ac:dyDescent="0.3">
      <c r="A2200" t="s">
        <v>5262</v>
      </c>
      <c r="B2200" t="s">
        <v>26951</v>
      </c>
      <c r="C2200" t="s">
        <v>5552</v>
      </c>
      <c r="D2200" t="s">
        <v>5551</v>
      </c>
      <c r="E2200" s="2" t="s">
        <v>799</v>
      </c>
      <c r="F2200" t="s">
        <v>1908</v>
      </c>
      <c r="G2200" t="str">
        <f>HYPERLINK("http://www.chungnamilbo.co.kr/news/articleView.html?idxno=804151")</f>
        <v>http://www.chungnamilbo.co.kr/news/articleView.html?idxno=804151</v>
      </c>
      <c r="H2200">
        <v>0.61599999999999999</v>
      </c>
    </row>
    <row r="2201" spans="1:8" x14ac:dyDescent="0.3">
      <c r="A2201" t="s">
        <v>5262</v>
      </c>
      <c r="B2201" t="s">
        <v>26951</v>
      </c>
      <c r="C2201" t="s">
        <v>5555</v>
      </c>
      <c r="D2201" t="s">
        <v>5554</v>
      </c>
      <c r="E2201" s="2" t="s">
        <v>799</v>
      </c>
      <c r="F2201" t="s">
        <v>5553</v>
      </c>
      <c r="G2201" t="str">
        <f>HYPERLINK("https://www.straightnews.co.kr/news/articleView.html?idxno=274802")</f>
        <v>https://www.straightnews.co.kr/news/articleView.html?idxno=274802</v>
      </c>
      <c r="H2201">
        <v>0.33800000000000002</v>
      </c>
    </row>
    <row r="2202" spans="1:8" x14ac:dyDescent="0.3">
      <c r="A2202" t="s">
        <v>5262</v>
      </c>
      <c r="B2202" t="s">
        <v>26951</v>
      </c>
      <c r="C2202" t="s">
        <v>5558</v>
      </c>
      <c r="D2202" t="s">
        <v>5557</v>
      </c>
      <c r="E2202" s="2" t="s">
        <v>840</v>
      </c>
      <c r="F2202" t="s">
        <v>5556</v>
      </c>
      <c r="G2202" t="str">
        <f>HYPERLINK("https://n.news.naver.com/mnews/article/016/0002479989?sid=101")</f>
        <v>https://n.news.naver.com/mnews/article/016/0002479989?sid=101</v>
      </c>
      <c r="H2202">
        <v>0.193</v>
      </c>
    </row>
    <row r="2203" spans="1:8" x14ac:dyDescent="0.3">
      <c r="A2203" t="s">
        <v>5262</v>
      </c>
      <c r="B2203" t="s">
        <v>26951</v>
      </c>
      <c r="C2203" t="s">
        <v>5561</v>
      </c>
      <c r="D2203" t="s">
        <v>5560</v>
      </c>
      <c r="E2203" s="2" t="s">
        <v>840</v>
      </c>
      <c r="F2203" t="s">
        <v>5559</v>
      </c>
      <c r="G2203" t="str">
        <f>HYPERLINK("https://n.news.naver.com/mnews/article/016/0002475141?sid=101")</f>
        <v>https://n.news.naver.com/mnews/article/016/0002475141?sid=101</v>
      </c>
      <c r="H2203">
        <v>0.24199999999999999</v>
      </c>
    </row>
    <row r="2204" spans="1:8" x14ac:dyDescent="0.3">
      <c r="A2204" t="s">
        <v>5262</v>
      </c>
      <c r="B2204" t="s">
        <v>26951</v>
      </c>
      <c r="C2204" t="s">
        <v>5564</v>
      </c>
      <c r="D2204" t="s">
        <v>5563</v>
      </c>
      <c r="E2204" s="2" t="s">
        <v>840</v>
      </c>
      <c r="F2204" t="s">
        <v>5562</v>
      </c>
      <c r="G2204" t="str">
        <f>HYPERLINK("https://www.siminilbo.co.kr/news/newsview.php?ncode=1160271971016556")</f>
        <v>https://www.siminilbo.co.kr/news/newsview.php?ncode=1160271971016556</v>
      </c>
      <c r="H2204">
        <v>0.73399999999999999</v>
      </c>
    </row>
    <row r="2205" spans="1:8" x14ac:dyDescent="0.3">
      <c r="A2205" t="s">
        <v>5262</v>
      </c>
      <c r="B2205" t="s">
        <v>26951</v>
      </c>
      <c r="C2205" t="s">
        <v>5567</v>
      </c>
      <c r="D2205" t="s">
        <v>5566</v>
      </c>
      <c r="E2205" s="2" t="s">
        <v>840</v>
      </c>
      <c r="F2205" t="s">
        <v>5565</v>
      </c>
      <c r="G2205" t="str">
        <f>HYPERLINK("https://news.einfomax.co.kr/news/articleView.html?idxno=4358487")</f>
        <v>https://news.einfomax.co.kr/news/articleView.html?idxno=4358487</v>
      </c>
      <c r="H2205">
        <v>0.443</v>
      </c>
    </row>
    <row r="2206" spans="1:8" x14ac:dyDescent="0.3">
      <c r="A2206" t="s">
        <v>5262</v>
      </c>
      <c r="B2206" t="s">
        <v>26951</v>
      </c>
      <c r="C2206" t="s">
        <v>5569</v>
      </c>
      <c r="D2206" t="s">
        <v>5568</v>
      </c>
      <c r="E2206" s="2" t="s">
        <v>840</v>
      </c>
      <c r="F2206" t="s">
        <v>785</v>
      </c>
      <c r="G2206" t="str">
        <f>HYPERLINK("https://n.news.naver.com/mnews/article/016/0002488353?sid=101")</f>
        <v>https://n.news.naver.com/mnews/article/016/0002488353?sid=101</v>
      </c>
      <c r="H2206">
        <v>0.215</v>
      </c>
    </row>
    <row r="2207" spans="1:8" x14ac:dyDescent="0.3">
      <c r="A2207" t="s">
        <v>5262</v>
      </c>
      <c r="B2207" t="s">
        <v>26951</v>
      </c>
      <c r="C2207" t="s">
        <v>5571</v>
      </c>
      <c r="D2207" t="s">
        <v>5570</v>
      </c>
      <c r="E2207" s="2" t="s">
        <v>840</v>
      </c>
      <c r="F2207" t="s">
        <v>235</v>
      </c>
      <c r="G2207" t="str">
        <f>HYPERLINK("https://n.news.naver.com/mnews/article/016/0001852002?sid=103")</f>
        <v>https://n.news.naver.com/mnews/article/016/0001852002?sid=103</v>
      </c>
      <c r="H2207">
        <v>0.29699999999999999</v>
      </c>
    </row>
    <row r="2208" spans="1:8" x14ac:dyDescent="0.3">
      <c r="A2208" t="s">
        <v>5262</v>
      </c>
      <c r="B2208" t="s">
        <v>26951</v>
      </c>
      <c r="C2208" t="s">
        <v>5574</v>
      </c>
      <c r="D2208" t="s">
        <v>5573</v>
      </c>
      <c r="E2208" s="2" t="s">
        <v>860</v>
      </c>
      <c r="F2208" t="s">
        <v>5572</v>
      </c>
      <c r="G2208" t="str">
        <f>HYPERLINK("http://www.interview365.com/news/articleView.html?idxno=109851")</f>
        <v>http://www.interview365.com/news/articleView.html?idxno=109851</v>
      </c>
      <c r="H2208">
        <v>0.67</v>
      </c>
    </row>
    <row r="2209" spans="1:8" x14ac:dyDescent="0.3">
      <c r="A2209" t="s">
        <v>5262</v>
      </c>
      <c r="B2209" t="s">
        <v>26951</v>
      </c>
      <c r="C2209" t="s">
        <v>5577</v>
      </c>
      <c r="D2209" t="s">
        <v>5576</v>
      </c>
      <c r="E2209" s="2" t="s">
        <v>860</v>
      </c>
      <c r="F2209" t="s">
        <v>5575</v>
      </c>
      <c r="G2209" t="str">
        <f>HYPERLINK("https://www.inews365.com/news/article.html?no=872993")</f>
        <v>https://www.inews365.com/news/article.html?no=872993</v>
      </c>
      <c r="H2209">
        <v>0.41799999999999998</v>
      </c>
    </row>
    <row r="2210" spans="1:8" x14ac:dyDescent="0.3">
      <c r="A2210" t="s">
        <v>5262</v>
      </c>
      <c r="B2210" t="s">
        <v>26951</v>
      </c>
      <c r="C2210" t="s">
        <v>5579</v>
      </c>
      <c r="D2210" t="s">
        <v>5578</v>
      </c>
      <c r="E2210" s="2" t="s">
        <v>860</v>
      </c>
      <c r="F2210" t="s">
        <v>857</v>
      </c>
      <c r="G2210" t="str">
        <f>HYPERLINK("https://n.news.naver.com/mnews/article/055/0001271213?sid=102")</f>
        <v>https://n.news.naver.com/mnews/article/055/0001271213?sid=102</v>
      </c>
      <c r="H2210">
        <v>0.08</v>
      </c>
    </row>
    <row r="2211" spans="1:8" x14ac:dyDescent="0.3">
      <c r="A2211" t="s">
        <v>5262</v>
      </c>
      <c r="B2211" t="s">
        <v>26951</v>
      </c>
      <c r="C2211" t="s">
        <v>5581</v>
      </c>
      <c r="D2211" t="s">
        <v>5580</v>
      </c>
      <c r="E2211" s="2" t="s">
        <v>860</v>
      </c>
      <c r="F2211" t="s">
        <v>1678</v>
      </c>
      <c r="G2211" t="str">
        <f>HYPERLINK("https://www.greened.kr/news/articleView.html?idxno=325019")</f>
        <v>https://www.greened.kr/news/articleView.html?idxno=325019</v>
      </c>
      <c r="H2211">
        <v>0.46100000000000002</v>
      </c>
    </row>
    <row r="2212" spans="1:8" x14ac:dyDescent="0.3">
      <c r="A2212" t="s">
        <v>5262</v>
      </c>
      <c r="B2212" t="s">
        <v>26951</v>
      </c>
      <c r="C2212" t="s">
        <v>5583</v>
      </c>
      <c r="D2212" t="s">
        <v>5582</v>
      </c>
      <c r="E2212" s="2" t="s">
        <v>860</v>
      </c>
      <c r="F2212" t="s">
        <v>2442</v>
      </c>
      <c r="G2212" t="str">
        <f>HYPERLINK("https://n.news.naver.com/mnews/article/016/0002479972?sid=100")</f>
        <v>https://n.news.naver.com/mnews/article/016/0002479972?sid=100</v>
      </c>
      <c r="H2212">
        <v>0.33300000000000002</v>
      </c>
    </row>
    <row r="2213" spans="1:8" x14ac:dyDescent="0.3">
      <c r="A2213" t="s">
        <v>5262</v>
      </c>
      <c r="B2213" t="s">
        <v>26951</v>
      </c>
      <c r="C2213" t="s">
        <v>5585</v>
      </c>
      <c r="D2213" t="s">
        <v>5584</v>
      </c>
      <c r="E2213" s="2" t="s">
        <v>903</v>
      </c>
      <c r="F2213" t="s">
        <v>1942</v>
      </c>
      <c r="G2213" t="str">
        <f>HYPERLINK("https://n.news.naver.com/mnews/article/016/0002479239?sid=104")</f>
        <v>https://n.news.naver.com/mnews/article/016/0002479239?sid=104</v>
      </c>
      <c r="H2213">
        <v>0.33800000000000002</v>
      </c>
    </row>
    <row r="2214" spans="1:8" x14ac:dyDescent="0.3">
      <c r="A2214" t="s">
        <v>5262</v>
      </c>
      <c r="B2214" t="s">
        <v>26951</v>
      </c>
      <c r="C2214" t="s">
        <v>5587</v>
      </c>
      <c r="D2214" t="s">
        <v>5586</v>
      </c>
      <c r="E2214" s="2" t="s">
        <v>903</v>
      </c>
      <c r="F2214" t="s">
        <v>25</v>
      </c>
      <c r="G2214" t="str">
        <f>HYPERLINK("https://n.news.naver.com/mnews/article/008/0005057939?sid=101")</f>
        <v>https://n.news.naver.com/mnews/article/008/0005057939?sid=101</v>
      </c>
      <c r="H2214">
        <v>0.3</v>
      </c>
    </row>
    <row r="2215" spans="1:8" x14ac:dyDescent="0.3">
      <c r="A2215" t="s">
        <v>5262</v>
      </c>
      <c r="B2215" t="s">
        <v>26951</v>
      </c>
      <c r="C2215" t="s">
        <v>5592</v>
      </c>
      <c r="D2215" t="s">
        <v>5591</v>
      </c>
      <c r="E2215" s="2" t="s">
        <v>903</v>
      </c>
      <c r="F2215" t="s">
        <v>5590</v>
      </c>
      <c r="G2215" t="str">
        <f>HYPERLINK("http://www.veritas-a.com/news/articleView.html?idxno=353915")</f>
        <v>http://www.veritas-a.com/news/articleView.html?idxno=353915</v>
      </c>
      <c r="H2215">
        <v>0.61399999999999999</v>
      </c>
    </row>
    <row r="2216" spans="1:8" x14ac:dyDescent="0.3">
      <c r="A2216" t="s">
        <v>5593</v>
      </c>
      <c r="B2216" t="s">
        <v>26951</v>
      </c>
      <c r="C2216" t="s">
        <v>5596</v>
      </c>
      <c r="D2216" t="s">
        <v>5595</v>
      </c>
      <c r="E2216" s="2" t="s">
        <v>7</v>
      </c>
      <c r="F2216" t="s">
        <v>5594</v>
      </c>
      <c r="G2216" t="str">
        <f>HYPERLINK("https://www.newspim.com/news/view/20250627000290")</f>
        <v>https://www.newspim.com/news/view/20250627000290</v>
      </c>
      <c r="H2216">
        <v>0.89500000000000002</v>
      </c>
    </row>
    <row r="2217" spans="1:8" x14ac:dyDescent="0.3">
      <c r="A2217" t="s">
        <v>5593</v>
      </c>
      <c r="B2217" t="s">
        <v>26951</v>
      </c>
      <c r="C2217" t="s">
        <v>5598</v>
      </c>
      <c r="D2217" t="s">
        <v>5597</v>
      </c>
      <c r="E2217" s="2" t="s">
        <v>7</v>
      </c>
      <c r="F2217" t="s">
        <v>89</v>
      </c>
      <c r="G2217" t="str">
        <f>HYPERLINK("http://www.newspim.com/news/view/20220515000048")</f>
        <v>http://www.newspim.com/news/view/20220515000048</v>
      </c>
      <c r="H2217">
        <v>0.47199999999999998</v>
      </c>
    </row>
    <row r="2218" spans="1:8" x14ac:dyDescent="0.3">
      <c r="A2218" t="s">
        <v>5593</v>
      </c>
      <c r="B2218" t="s">
        <v>26951</v>
      </c>
      <c r="C2218" t="s">
        <v>5600</v>
      </c>
      <c r="D2218" t="s">
        <v>5599</v>
      </c>
      <c r="E2218" s="2" t="s">
        <v>7</v>
      </c>
      <c r="F2218" t="s">
        <v>89</v>
      </c>
      <c r="G2218" t="str">
        <f>HYPERLINK("https://www.newspim.com/news/view/20250626001284")</f>
        <v>https://www.newspim.com/news/view/20250626001284</v>
      </c>
      <c r="H2218">
        <v>0.46600000000000003</v>
      </c>
    </row>
    <row r="2219" spans="1:8" x14ac:dyDescent="0.3">
      <c r="A2219" t="s">
        <v>5593</v>
      </c>
      <c r="B2219" t="s">
        <v>26951</v>
      </c>
      <c r="C2219" t="s">
        <v>5603</v>
      </c>
      <c r="D2219" t="s">
        <v>5602</v>
      </c>
      <c r="E2219" s="2" t="s">
        <v>66</v>
      </c>
      <c r="F2219" t="s">
        <v>5601</v>
      </c>
      <c r="G2219" t="str">
        <f>HYPERLINK("https://www.smartfn.co.kr/news/articleView.html?idxno=112470")</f>
        <v>https://www.smartfn.co.kr/news/articleView.html?idxno=112470</v>
      </c>
      <c r="H2219">
        <v>0.85399999999999998</v>
      </c>
    </row>
    <row r="2220" spans="1:8" x14ac:dyDescent="0.3">
      <c r="A2220" t="s">
        <v>5593</v>
      </c>
      <c r="B2220" t="s">
        <v>26951</v>
      </c>
      <c r="C2220" t="s">
        <v>5608</v>
      </c>
      <c r="D2220" t="s">
        <v>5607</v>
      </c>
      <c r="E2220" s="2" t="s">
        <v>74</v>
      </c>
      <c r="F2220" t="s">
        <v>5606</v>
      </c>
      <c r="G2220" t="str">
        <f>HYPERLINK("https://www.newspim.com/news/view/20250627000659")</f>
        <v>https://www.newspim.com/news/view/20250627000659</v>
      </c>
      <c r="H2220">
        <v>0.29399999999999998</v>
      </c>
    </row>
    <row r="2221" spans="1:8" x14ac:dyDescent="0.3">
      <c r="A2221" t="s">
        <v>5593</v>
      </c>
      <c r="B2221" t="s">
        <v>26951</v>
      </c>
      <c r="C2221" t="s">
        <v>5610</v>
      </c>
      <c r="D2221" t="s">
        <v>5609</v>
      </c>
      <c r="E2221" s="2" t="s">
        <v>74</v>
      </c>
      <c r="F2221" t="s">
        <v>14</v>
      </c>
      <c r="G2221" t="str">
        <f>HYPERLINK("https://www.newspim.com/news/view/20250626000481")</f>
        <v>https://www.newspim.com/news/view/20250626000481</v>
      </c>
      <c r="H2221">
        <v>0.26900000000000002</v>
      </c>
    </row>
    <row r="2222" spans="1:8" x14ac:dyDescent="0.3">
      <c r="A2222" t="s">
        <v>5593</v>
      </c>
      <c r="B2222" t="s">
        <v>26951</v>
      </c>
      <c r="C2222" t="s">
        <v>5612</v>
      </c>
      <c r="D2222" t="s">
        <v>5611</v>
      </c>
      <c r="E2222" s="2" t="s">
        <v>105</v>
      </c>
      <c r="F2222" t="s">
        <v>298</v>
      </c>
      <c r="G2222" t="str">
        <f>HYPERLINK("https://www.newspim.com/news/view/20250605000231")</f>
        <v>https://www.newspim.com/news/view/20250605000231</v>
      </c>
      <c r="H2222">
        <v>0.624</v>
      </c>
    </row>
    <row r="2223" spans="1:8" x14ac:dyDescent="0.3">
      <c r="A2223" t="s">
        <v>5593</v>
      </c>
      <c r="B2223" t="s">
        <v>26951</v>
      </c>
      <c r="C2223" t="s">
        <v>5615</v>
      </c>
      <c r="D2223" t="s">
        <v>5614</v>
      </c>
      <c r="E2223" s="2" t="s">
        <v>133</v>
      </c>
      <c r="F2223" t="s">
        <v>5613</v>
      </c>
      <c r="G2223" t="str">
        <f>HYPERLINK("https://www.newspim.com/news/view/20250319000586")</f>
        <v>https://www.newspim.com/news/view/20250319000586</v>
      </c>
      <c r="H2223">
        <v>0.70699999999999996</v>
      </c>
    </row>
    <row r="2224" spans="1:8" x14ac:dyDescent="0.3">
      <c r="A2224" t="s">
        <v>5593</v>
      </c>
      <c r="B2224" t="s">
        <v>26951</v>
      </c>
      <c r="C2224" t="s">
        <v>5617</v>
      </c>
      <c r="D2224" t="s">
        <v>5616</v>
      </c>
      <c r="E2224" s="2" t="s">
        <v>133</v>
      </c>
      <c r="F2224" t="s">
        <v>54</v>
      </c>
      <c r="G2224" t="str">
        <f>HYPERLINK("http://www.newspim.com/news/view/20220902000294")</f>
        <v>http://www.newspim.com/news/view/20220902000294</v>
      </c>
      <c r="H2224">
        <v>0.155</v>
      </c>
    </row>
    <row r="2225" spans="1:8" x14ac:dyDescent="0.3">
      <c r="A2225" t="s">
        <v>5593</v>
      </c>
      <c r="B2225" t="s">
        <v>26951</v>
      </c>
      <c r="C2225" t="s">
        <v>5619</v>
      </c>
      <c r="D2225" t="s">
        <v>5618</v>
      </c>
      <c r="E2225" s="2" t="s">
        <v>133</v>
      </c>
      <c r="F2225" t="s">
        <v>4375</v>
      </c>
      <c r="G2225" t="str">
        <f>HYPERLINK("https://www.newscj.com/news/articleView.html?idxno=3143661")</f>
        <v>https://www.newscj.com/news/articleView.html?idxno=3143661</v>
      </c>
      <c r="H2225">
        <v>0.90100000000000002</v>
      </c>
    </row>
    <row r="2226" spans="1:8" x14ac:dyDescent="0.3">
      <c r="A2226" t="s">
        <v>5593</v>
      </c>
      <c r="B2226" t="s">
        <v>26951</v>
      </c>
      <c r="C2226" t="s">
        <v>5621</v>
      </c>
      <c r="D2226" t="s">
        <v>5620</v>
      </c>
      <c r="E2226" s="2" t="s">
        <v>172</v>
      </c>
      <c r="F2226" t="s">
        <v>3078</v>
      </c>
      <c r="G2226" t="str">
        <f>HYPERLINK("https://n.news.naver.com/mnews/article/030/0003325224?sid=101")</f>
        <v>https://n.news.naver.com/mnews/article/030/0003325224?sid=101</v>
      </c>
      <c r="H2226">
        <v>0.29899999999999999</v>
      </c>
    </row>
    <row r="2227" spans="1:8" x14ac:dyDescent="0.3">
      <c r="A2227" t="s">
        <v>5593</v>
      </c>
      <c r="B2227" t="s">
        <v>26951</v>
      </c>
      <c r="C2227" t="s">
        <v>5624</v>
      </c>
      <c r="D2227" t="s">
        <v>5623</v>
      </c>
      <c r="E2227" s="2" t="s">
        <v>172</v>
      </c>
      <c r="F2227" t="s">
        <v>5622</v>
      </c>
      <c r="G2227" t="str">
        <f>HYPERLINK("http://www.metroseoul.co.kr/article/20250625500058")</f>
        <v>http://www.metroseoul.co.kr/article/20250625500058</v>
      </c>
      <c r="H2227">
        <v>0.48199999999999998</v>
      </c>
    </row>
    <row r="2228" spans="1:8" x14ac:dyDescent="0.3">
      <c r="A2228" t="s">
        <v>5593</v>
      </c>
      <c r="B2228" t="s">
        <v>26951</v>
      </c>
      <c r="C2228" t="s">
        <v>5626</v>
      </c>
      <c r="D2228" t="s">
        <v>5625</v>
      </c>
      <c r="E2228" s="2" t="s">
        <v>196</v>
      </c>
      <c r="F2228" t="s">
        <v>1336</v>
      </c>
      <c r="G2228" t="str">
        <f>HYPERLINK("https://www.newspim.com/news/view/20250624001102")</f>
        <v>https://www.newspim.com/news/view/20250624001102</v>
      </c>
      <c r="H2228">
        <v>0.53800000000000003</v>
      </c>
    </row>
    <row r="2229" spans="1:8" x14ac:dyDescent="0.3">
      <c r="A2229" t="s">
        <v>5593</v>
      </c>
      <c r="B2229" t="s">
        <v>26951</v>
      </c>
      <c r="C2229" t="s">
        <v>5629</v>
      </c>
      <c r="D2229" t="s">
        <v>5628</v>
      </c>
      <c r="E2229" s="2" t="s">
        <v>196</v>
      </c>
      <c r="F2229" t="s">
        <v>5627</v>
      </c>
      <c r="G2229" t="str">
        <f>HYPERLINK("https://www.apnews.kr/news/articleView.html?idxno=3023482")</f>
        <v>https://www.apnews.kr/news/articleView.html?idxno=3023482</v>
      </c>
      <c r="H2229">
        <v>0.41799999999999998</v>
      </c>
    </row>
    <row r="2230" spans="1:8" x14ac:dyDescent="0.3">
      <c r="A2230" t="s">
        <v>5593</v>
      </c>
      <c r="B2230" t="s">
        <v>26951</v>
      </c>
      <c r="C2230" t="s">
        <v>5632</v>
      </c>
      <c r="D2230" t="s">
        <v>5631</v>
      </c>
      <c r="E2230" s="2" t="s">
        <v>196</v>
      </c>
      <c r="F2230" t="s">
        <v>5630</v>
      </c>
      <c r="G2230" t="str">
        <f>HYPERLINK("https://www.greened.kr/news/articleView.html?idxno=328144")</f>
        <v>https://www.greened.kr/news/articleView.html?idxno=328144</v>
      </c>
      <c r="H2230">
        <v>0.48599999999999999</v>
      </c>
    </row>
    <row r="2231" spans="1:8" x14ac:dyDescent="0.3">
      <c r="A2231" t="s">
        <v>5593</v>
      </c>
      <c r="B2231" t="s">
        <v>26951</v>
      </c>
      <c r="C2231" t="s">
        <v>5634</v>
      </c>
      <c r="D2231" t="s">
        <v>5633</v>
      </c>
      <c r="E2231" s="2" t="s">
        <v>196</v>
      </c>
      <c r="F2231" t="s">
        <v>5069</v>
      </c>
      <c r="G2231" t="str">
        <f>HYPERLINK("https://www.newspim.com/news/view/20250623000763")</f>
        <v>https://www.newspim.com/news/view/20250623000763</v>
      </c>
      <c r="H2231">
        <v>0.93500000000000005</v>
      </c>
    </row>
    <row r="2232" spans="1:8" x14ac:dyDescent="0.3">
      <c r="A2232" t="s">
        <v>5593</v>
      </c>
      <c r="B2232" t="s">
        <v>26951</v>
      </c>
      <c r="C2232" t="s">
        <v>5636</v>
      </c>
      <c r="D2232" t="s">
        <v>5635</v>
      </c>
      <c r="E2232" s="2" t="s">
        <v>196</v>
      </c>
      <c r="F2232" t="s">
        <v>89</v>
      </c>
      <c r="G2232" t="str">
        <f>HYPERLINK("http://www.newspim.com/news/view/20200107000590")</f>
        <v>http://www.newspim.com/news/view/20200107000590</v>
      </c>
      <c r="H2232">
        <v>0.53600000000000003</v>
      </c>
    </row>
    <row r="2233" spans="1:8" x14ac:dyDescent="0.3">
      <c r="A2233" t="s">
        <v>5593</v>
      </c>
      <c r="B2233" t="s">
        <v>26951</v>
      </c>
      <c r="C2233" t="s">
        <v>5640</v>
      </c>
      <c r="D2233" t="s">
        <v>5639</v>
      </c>
      <c r="E2233" s="2" t="s">
        <v>230</v>
      </c>
      <c r="F2233" t="s">
        <v>5627</v>
      </c>
      <c r="G2233" t="str">
        <f>HYPERLINK("https://www.apnews.kr/news/articleView.html?idxno=3023482")</f>
        <v>https://www.apnews.kr/news/articleView.html?idxno=3023482</v>
      </c>
      <c r="H2233">
        <v>0.442</v>
      </c>
    </row>
    <row r="2234" spans="1:8" x14ac:dyDescent="0.3">
      <c r="A2234" t="s">
        <v>5593</v>
      </c>
      <c r="B2234" t="s">
        <v>26951</v>
      </c>
      <c r="C2234" t="s">
        <v>5642</v>
      </c>
      <c r="D2234" t="s">
        <v>5641</v>
      </c>
      <c r="E2234" s="2" t="s">
        <v>230</v>
      </c>
      <c r="F2234" t="s">
        <v>5593</v>
      </c>
      <c r="G2234" t="str">
        <f>HYPERLINK("https://www.newspim.com/news/view/20250623000012")</f>
        <v>https://www.newspim.com/news/view/20250623000012</v>
      </c>
      <c r="H2234">
        <v>0.83199999999999996</v>
      </c>
    </row>
    <row r="2235" spans="1:8" x14ac:dyDescent="0.3">
      <c r="A2235" t="s">
        <v>5593</v>
      </c>
      <c r="B2235" t="s">
        <v>26951</v>
      </c>
      <c r="C2235" t="s">
        <v>5646</v>
      </c>
      <c r="D2235" t="s">
        <v>5645</v>
      </c>
      <c r="E2235" s="2" t="s">
        <v>230</v>
      </c>
      <c r="F2235" t="s">
        <v>268</v>
      </c>
      <c r="G2235" t="str">
        <f>HYPERLINK("https://www.newspim.com/news/view/20250622000001")</f>
        <v>https://www.newspim.com/news/view/20250622000001</v>
      </c>
      <c r="H2235">
        <v>0.64800000000000002</v>
      </c>
    </row>
    <row r="2236" spans="1:8" x14ac:dyDescent="0.3">
      <c r="A2236" t="s">
        <v>5593</v>
      </c>
      <c r="B2236" t="s">
        <v>26951</v>
      </c>
      <c r="C2236" t="s">
        <v>5649</v>
      </c>
      <c r="D2236" t="s">
        <v>5648</v>
      </c>
      <c r="E2236" s="2" t="s">
        <v>267</v>
      </c>
      <c r="F2236" t="s">
        <v>5647</v>
      </c>
      <c r="G2236" t="str">
        <f>HYPERLINK("http://www.newspim.com/news/view/20190320000731")</f>
        <v>http://www.newspim.com/news/view/20190320000731</v>
      </c>
      <c r="H2236">
        <v>0.26</v>
      </c>
    </row>
    <row r="2237" spans="1:8" x14ac:dyDescent="0.3">
      <c r="A2237" t="s">
        <v>5593</v>
      </c>
      <c r="B2237" t="s">
        <v>26951</v>
      </c>
      <c r="C2237" t="s">
        <v>5652</v>
      </c>
      <c r="D2237" t="s">
        <v>5651</v>
      </c>
      <c r="E2237" s="2" t="s">
        <v>267</v>
      </c>
      <c r="F2237" t="s">
        <v>5650</v>
      </c>
      <c r="G2237" t="str">
        <f>HYPERLINK("http://www.newspim.com/news/view/20180604000412")</f>
        <v>http://www.newspim.com/news/view/20180604000412</v>
      </c>
      <c r="H2237">
        <v>0.54300000000000004</v>
      </c>
    </row>
    <row r="2238" spans="1:8" x14ac:dyDescent="0.3">
      <c r="A2238" t="s">
        <v>5593</v>
      </c>
      <c r="B2238" t="s">
        <v>26951</v>
      </c>
      <c r="C2238" t="s">
        <v>5654</v>
      </c>
      <c r="D2238" t="s">
        <v>5653</v>
      </c>
      <c r="E2238" s="2" t="s">
        <v>280</v>
      </c>
      <c r="F2238" t="s">
        <v>89</v>
      </c>
      <c r="G2238" t="str">
        <f>HYPERLINK("http://www.newspim.com/common/redirect.jsp?newsId=20130102000015")</f>
        <v>http://www.newspim.com/common/redirect.jsp?newsId=20130102000015</v>
      </c>
      <c r="H2238">
        <v>0.57199999999999995</v>
      </c>
    </row>
    <row r="2239" spans="1:8" x14ac:dyDescent="0.3">
      <c r="A2239" t="s">
        <v>5593</v>
      </c>
      <c r="B2239" t="s">
        <v>26951</v>
      </c>
      <c r="C2239" t="s">
        <v>284</v>
      </c>
      <c r="D2239" t="s">
        <v>283</v>
      </c>
      <c r="E2239" s="2" t="s">
        <v>280</v>
      </c>
      <c r="F2239" t="s">
        <v>200</v>
      </c>
      <c r="G2239" t="str">
        <f>HYPERLINK("http://www.newspim.com/news/view/20211213000743")</f>
        <v>http://www.newspim.com/news/view/20211213000743</v>
      </c>
      <c r="H2239">
        <v>0.54</v>
      </c>
    </row>
    <row r="2240" spans="1:8" x14ac:dyDescent="0.3">
      <c r="A2240" t="s">
        <v>5593</v>
      </c>
      <c r="B2240" t="s">
        <v>26951</v>
      </c>
      <c r="C2240" t="s">
        <v>5656</v>
      </c>
      <c r="D2240" t="s">
        <v>5655</v>
      </c>
      <c r="E2240" s="2" t="s">
        <v>280</v>
      </c>
      <c r="F2240" t="s">
        <v>3660</v>
      </c>
      <c r="G2240" t="str">
        <f>HYPERLINK("https://www.newspim.com/news/view/20241220000011")</f>
        <v>https://www.newspim.com/news/view/20241220000011</v>
      </c>
      <c r="H2240">
        <v>0.33700000000000002</v>
      </c>
    </row>
    <row r="2241" spans="1:8" x14ac:dyDescent="0.3">
      <c r="A2241" t="s">
        <v>5593</v>
      </c>
      <c r="B2241" t="s">
        <v>26951</v>
      </c>
      <c r="C2241" t="s">
        <v>5659</v>
      </c>
      <c r="D2241" t="s">
        <v>5658</v>
      </c>
      <c r="E2241" s="2" t="s">
        <v>280</v>
      </c>
      <c r="F2241" t="s">
        <v>5657</v>
      </c>
      <c r="G2241" t="str">
        <f>HYPERLINK("http://www.newspim.com/news/view/20230531000790")</f>
        <v>http://www.newspim.com/news/view/20230531000790</v>
      </c>
      <c r="H2241">
        <v>0.751</v>
      </c>
    </row>
    <row r="2242" spans="1:8" x14ac:dyDescent="0.3">
      <c r="A2242" t="s">
        <v>5593</v>
      </c>
      <c r="B2242" t="s">
        <v>26951</v>
      </c>
      <c r="C2242" t="s">
        <v>5661</v>
      </c>
      <c r="D2242" t="s">
        <v>5660</v>
      </c>
      <c r="E2242" s="2" t="s">
        <v>313</v>
      </c>
      <c r="F2242" t="s">
        <v>2378</v>
      </c>
      <c r="G2242" t="str">
        <f>HYPERLINK("https://n.news.naver.com/mnews/article/011/0004503600?sid=102")</f>
        <v>https://n.news.naver.com/mnews/article/011/0004503600?sid=102</v>
      </c>
      <c r="H2242">
        <v>0.372</v>
      </c>
    </row>
    <row r="2243" spans="1:8" x14ac:dyDescent="0.3">
      <c r="A2243" t="s">
        <v>5593</v>
      </c>
      <c r="B2243" t="s">
        <v>26951</v>
      </c>
      <c r="C2243" t="s">
        <v>5663</v>
      </c>
      <c r="D2243" t="s">
        <v>5662</v>
      </c>
      <c r="E2243" s="2" t="s">
        <v>313</v>
      </c>
      <c r="F2243" t="s">
        <v>197</v>
      </c>
      <c r="G2243" t="str">
        <f>HYPERLINK("https://www.newspim.com/news/view/20250617000909")</f>
        <v>https://www.newspim.com/news/view/20250617000909</v>
      </c>
      <c r="H2243">
        <v>0.71</v>
      </c>
    </row>
    <row r="2244" spans="1:8" x14ac:dyDescent="0.3">
      <c r="A2244" t="s">
        <v>5593</v>
      </c>
      <c r="B2244" t="s">
        <v>26951</v>
      </c>
      <c r="C2244" t="s">
        <v>5666</v>
      </c>
      <c r="D2244" t="s">
        <v>5665</v>
      </c>
      <c r="E2244" s="2" t="s">
        <v>313</v>
      </c>
      <c r="F2244" t="s">
        <v>5664</v>
      </c>
      <c r="G2244" t="str">
        <f>HYPERLINK("https://www.newspim.com/news/view/20250618000791")</f>
        <v>https://www.newspim.com/news/view/20250618000791</v>
      </c>
      <c r="H2244">
        <v>0.81499999999999995</v>
      </c>
    </row>
    <row r="2245" spans="1:8" x14ac:dyDescent="0.3">
      <c r="A2245" t="s">
        <v>5593</v>
      </c>
      <c r="B2245" t="s">
        <v>26951</v>
      </c>
      <c r="C2245" t="s">
        <v>5668</v>
      </c>
      <c r="D2245" t="s">
        <v>5667</v>
      </c>
      <c r="E2245" s="2" t="s">
        <v>394</v>
      </c>
      <c r="F2245" t="s">
        <v>54</v>
      </c>
      <c r="G2245" t="str">
        <f>HYPERLINK("http://www.newspim.com/news/view/20181105000499")</f>
        <v>http://www.newspim.com/news/view/20181105000499</v>
      </c>
      <c r="H2245">
        <v>0.151</v>
      </c>
    </row>
    <row r="2246" spans="1:8" x14ac:dyDescent="0.3">
      <c r="A2246" t="s">
        <v>5593</v>
      </c>
      <c r="B2246" t="s">
        <v>26951</v>
      </c>
      <c r="C2246" t="s">
        <v>5670</v>
      </c>
      <c r="D2246" t="s">
        <v>5669</v>
      </c>
      <c r="E2246" s="2" t="s">
        <v>418</v>
      </c>
      <c r="F2246" t="s">
        <v>4004</v>
      </c>
      <c r="G2246" t="str">
        <f>HYPERLINK("https://www.newspim.com/news/view/20250623000753")</f>
        <v>https://www.newspim.com/news/view/20250623000753</v>
      </c>
      <c r="H2246">
        <v>0.19900000000000001</v>
      </c>
    </row>
    <row r="2247" spans="1:8" x14ac:dyDescent="0.3">
      <c r="A2247" t="s">
        <v>5593</v>
      </c>
      <c r="B2247" t="s">
        <v>26951</v>
      </c>
      <c r="C2247" t="s">
        <v>5672</v>
      </c>
      <c r="D2247" t="s">
        <v>5671</v>
      </c>
      <c r="E2247" s="2" t="s">
        <v>481</v>
      </c>
      <c r="F2247" t="s">
        <v>3798</v>
      </c>
      <c r="G2247" t="str">
        <f>HYPERLINK("https://n.news.naver.com/mnews/article/011/0004503600?sid=102")</f>
        <v>https://n.news.naver.com/mnews/article/011/0004503600?sid=102</v>
      </c>
      <c r="H2247">
        <v>0.29899999999999999</v>
      </c>
    </row>
    <row r="2248" spans="1:8" x14ac:dyDescent="0.3">
      <c r="A2248" t="s">
        <v>5593</v>
      </c>
      <c r="B2248" t="s">
        <v>26951</v>
      </c>
      <c r="C2248" t="s">
        <v>5676</v>
      </c>
      <c r="D2248" t="s">
        <v>5675</v>
      </c>
      <c r="E2248" s="2" t="s">
        <v>517</v>
      </c>
      <c r="F2248" t="s">
        <v>658</v>
      </c>
      <c r="G2248" t="str">
        <f>HYPERLINK("http://www.newspim.com/news/view/20191125001049")</f>
        <v>http://www.newspim.com/news/view/20191125001049</v>
      </c>
      <c r="H2248">
        <v>0.32</v>
      </c>
    </row>
    <row r="2249" spans="1:8" x14ac:dyDescent="0.3">
      <c r="A2249" t="s">
        <v>5593</v>
      </c>
      <c r="B2249" t="s">
        <v>26951</v>
      </c>
      <c r="C2249" t="s">
        <v>5679</v>
      </c>
      <c r="D2249" t="s">
        <v>5678</v>
      </c>
      <c r="E2249" s="2" t="s">
        <v>517</v>
      </c>
      <c r="F2249" t="s">
        <v>5677</v>
      </c>
      <c r="G2249" t="str">
        <f>HYPERLINK("https://www.newspim.com/news/view/20250528000031")</f>
        <v>https://www.newspim.com/news/view/20250528000031</v>
      </c>
      <c r="H2249">
        <v>0.51700000000000002</v>
      </c>
    </row>
    <row r="2250" spans="1:8" x14ac:dyDescent="0.3">
      <c r="A2250" t="s">
        <v>5593</v>
      </c>
      <c r="B2250" t="s">
        <v>26951</v>
      </c>
      <c r="C2250" t="s">
        <v>5682</v>
      </c>
      <c r="D2250" t="s">
        <v>5681</v>
      </c>
      <c r="E2250" s="2" t="s">
        <v>538</v>
      </c>
      <c r="F2250" t="s">
        <v>5680</v>
      </c>
      <c r="G2250" t="str">
        <f>HYPERLINK("https://www.newspim.com/news/view/20250612000685")</f>
        <v>https://www.newspim.com/news/view/20250612000685</v>
      </c>
      <c r="H2250">
        <v>0.85599999999999998</v>
      </c>
    </row>
    <row r="2251" spans="1:8" x14ac:dyDescent="0.3">
      <c r="A2251" t="s">
        <v>5593</v>
      </c>
      <c r="B2251" t="s">
        <v>26951</v>
      </c>
      <c r="C2251" t="s">
        <v>5685</v>
      </c>
      <c r="D2251" t="s">
        <v>5684</v>
      </c>
      <c r="E2251" s="2" t="s">
        <v>538</v>
      </c>
      <c r="F2251" t="s">
        <v>5683</v>
      </c>
      <c r="G2251" t="str">
        <f>HYPERLINK("https://www.newspim.com/news/view/20250701000150")</f>
        <v>https://www.newspim.com/news/view/20250701000150</v>
      </c>
      <c r="H2251">
        <v>0.51800000000000002</v>
      </c>
    </row>
    <row r="2252" spans="1:8" x14ac:dyDescent="0.3">
      <c r="A2252" t="s">
        <v>5593</v>
      </c>
      <c r="B2252" t="s">
        <v>26951</v>
      </c>
      <c r="C2252" t="s">
        <v>5688</v>
      </c>
      <c r="D2252" t="s">
        <v>5687</v>
      </c>
      <c r="E2252" s="2" t="s">
        <v>538</v>
      </c>
      <c r="F2252" t="s">
        <v>5686</v>
      </c>
      <c r="G2252" t="str">
        <f>HYPERLINK("https://www.apnews.kr/news/articleView.html?idxno=3036396")</f>
        <v>https://www.apnews.kr/news/articleView.html?idxno=3036396</v>
      </c>
      <c r="H2252">
        <v>0.26800000000000002</v>
      </c>
    </row>
    <row r="2253" spans="1:8" x14ac:dyDescent="0.3">
      <c r="A2253" t="s">
        <v>5593</v>
      </c>
      <c r="B2253" t="s">
        <v>26951</v>
      </c>
      <c r="C2253" t="s">
        <v>5690</v>
      </c>
      <c r="D2253" t="s">
        <v>5689</v>
      </c>
      <c r="E2253" s="2" t="s">
        <v>538</v>
      </c>
      <c r="F2253" t="s">
        <v>175</v>
      </c>
      <c r="G2253" t="str">
        <f>HYPERLINK("http://www.newsmp.com/news/articleView.html?idxno=247507")</f>
        <v>http://www.newsmp.com/news/articleView.html?idxno=247507</v>
      </c>
      <c r="H2253">
        <v>0.52100000000000002</v>
      </c>
    </row>
    <row r="2254" spans="1:8" x14ac:dyDescent="0.3">
      <c r="A2254" t="s">
        <v>5593</v>
      </c>
      <c r="B2254" t="s">
        <v>26951</v>
      </c>
      <c r="C2254" t="s">
        <v>5693</v>
      </c>
      <c r="D2254" t="s">
        <v>5692</v>
      </c>
      <c r="E2254" s="2" t="s">
        <v>572</v>
      </c>
      <c r="F2254" t="s">
        <v>5691</v>
      </c>
      <c r="G2254" t="str">
        <f>HYPERLINK("http://www.seoulwire.com/news/articleView.html?idxno=655221")</f>
        <v>http://www.seoulwire.com/news/articleView.html?idxno=655221</v>
      </c>
      <c r="H2254">
        <v>0.89600000000000002</v>
      </c>
    </row>
    <row r="2255" spans="1:8" x14ac:dyDescent="0.3">
      <c r="A2255" t="s">
        <v>5593</v>
      </c>
      <c r="B2255" t="s">
        <v>26951</v>
      </c>
      <c r="C2255" t="s">
        <v>5695</v>
      </c>
      <c r="D2255" t="s">
        <v>5694</v>
      </c>
      <c r="E2255" s="2" t="s">
        <v>572</v>
      </c>
      <c r="F2255" t="s">
        <v>5593</v>
      </c>
      <c r="G2255" t="str">
        <f>HYPERLINK("https://www.newspim.com/news/view/20250611000721")</f>
        <v>https://www.newspim.com/news/view/20250611000721</v>
      </c>
      <c r="H2255">
        <v>0.748</v>
      </c>
    </row>
    <row r="2256" spans="1:8" x14ac:dyDescent="0.3">
      <c r="A2256" t="s">
        <v>5593</v>
      </c>
      <c r="B2256" t="s">
        <v>26951</v>
      </c>
      <c r="C2256" t="s">
        <v>5697</v>
      </c>
      <c r="D2256" t="s">
        <v>5696</v>
      </c>
      <c r="E2256" s="2" t="s">
        <v>572</v>
      </c>
      <c r="F2256" t="s">
        <v>642</v>
      </c>
      <c r="G2256" t="str">
        <f>HYPERLINK("http://www.newspim.com/news/view/20190914000040")</f>
        <v>http://www.newspim.com/news/view/20190914000040</v>
      </c>
      <c r="H2256">
        <v>0.56000000000000005</v>
      </c>
    </row>
    <row r="2257" spans="1:8" x14ac:dyDescent="0.3">
      <c r="A2257" t="s">
        <v>5593</v>
      </c>
      <c r="B2257" t="s">
        <v>26951</v>
      </c>
      <c r="C2257" t="s">
        <v>5700</v>
      </c>
      <c r="D2257" t="s">
        <v>5699</v>
      </c>
      <c r="E2257" s="2" t="s">
        <v>609</v>
      </c>
      <c r="F2257" t="s">
        <v>5698</v>
      </c>
      <c r="G2257" t="str">
        <f>HYPERLINK("http://www.newspim.com/news/view/20180131000096")</f>
        <v>http://www.newspim.com/news/view/20180131000096</v>
      </c>
      <c r="H2257">
        <v>0.63500000000000001</v>
      </c>
    </row>
    <row r="2258" spans="1:8" x14ac:dyDescent="0.3">
      <c r="A2258" t="s">
        <v>5593</v>
      </c>
      <c r="B2258" t="s">
        <v>26951</v>
      </c>
      <c r="C2258" t="s">
        <v>5703</v>
      </c>
      <c r="D2258" t="s">
        <v>5702</v>
      </c>
      <c r="E2258" s="2" t="s">
        <v>609</v>
      </c>
      <c r="F2258" t="s">
        <v>5701</v>
      </c>
      <c r="G2258" t="str">
        <f>HYPERLINK("http://www.newspim.com/news/view/20220928000066")</f>
        <v>http://www.newspim.com/news/view/20220928000066</v>
      </c>
      <c r="H2258">
        <v>0.41</v>
      </c>
    </row>
    <row r="2259" spans="1:8" x14ac:dyDescent="0.3">
      <c r="A2259" t="s">
        <v>5593</v>
      </c>
      <c r="B2259" t="s">
        <v>26951</v>
      </c>
      <c r="C2259" t="s">
        <v>5705</v>
      </c>
      <c r="D2259" t="s">
        <v>5704</v>
      </c>
      <c r="E2259" s="2" t="s">
        <v>653</v>
      </c>
      <c r="F2259" t="s">
        <v>642</v>
      </c>
      <c r="G2259" t="str">
        <f>HYPERLINK("https://www.gasnews.com/news/articleView.html?idxno=119998")</f>
        <v>https://www.gasnews.com/news/articleView.html?idxno=119998</v>
      </c>
      <c r="H2259">
        <v>0.54100000000000004</v>
      </c>
    </row>
    <row r="2260" spans="1:8" x14ac:dyDescent="0.3">
      <c r="A2260" t="s">
        <v>5593</v>
      </c>
      <c r="B2260" t="s">
        <v>26951</v>
      </c>
      <c r="C2260" t="s">
        <v>5708</v>
      </c>
      <c r="D2260" t="s">
        <v>5707</v>
      </c>
      <c r="E2260" s="2" t="s">
        <v>653</v>
      </c>
      <c r="F2260" t="s">
        <v>5706</v>
      </c>
      <c r="G2260" t="str">
        <f>HYPERLINK("https://www.pdjournal.com/news/articleView.html?idxno=80819")</f>
        <v>https://www.pdjournal.com/news/articleView.html?idxno=80819</v>
      </c>
      <c r="H2260">
        <v>0.27700000000000002</v>
      </c>
    </row>
    <row r="2261" spans="1:8" x14ac:dyDescent="0.3">
      <c r="A2261" t="s">
        <v>5593</v>
      </c>
      <c r="B2261" t="s">
        <v>26951</v>
      </c>
      <c r="C2261" t="s">
        <v>5710</v>
      </c>
      <c r="D2261" t="s">
        <v>5709</v>
      </c>
      <c r="E2261" s="2" t="s">
        <v>653</v>
      </c>
      <c r="F2261" t="s">
        <v>89</v>
      </c>
      <c r="G2261" t="str">
        <f>HYPERLINK("https://www.newspim.com/news/view/20250627000876")</f>
        <v>https://www.newspim.com/news/view/20250627000876</v>
      </c>
      <c r="H2261">
        <v>0.58599999999999997</v>
      </c>
    </row>
    <row r="2262" spans="1:8" x14ac:dyDescent="0.3">
      <c r="A2262" t="s">
        <v>5593</v>
      </c>
      <c r="B2262" t="s">
        <v>26951</v>
      </c>
      <c r="C2262" t="s">
        <v>5713</v>
      </c>
      <c r="D2262" t="s">
        <v>5712</v>
      </c>
      <c r="E2262" s="2" t="s">
        <v>692</v>
      </c>
      <c r="F2262" t="s">
        <v>5711</v>
      </c>
      <c r="G2262" t="str">
        <f>HYPERLINK("https://www.newspim.com/news/view/20250530000046")</f>
        <v>https://www.newspim.com/news/view/20250530000046</v>
      </c>
      <c r="H2262">
        <v>0.375</v>
      </c>
    </row>
    <row r="2263" spans="1:8" x14ac:dyDescent="0.3">
      <c r="A2263" t="s">
        <v>5593</v>
      </c>
      <c r="B2263" t="s">
        <v>26951</v>
      </c>
      <c r="C2263" t="s">
        <v>5715</v>
      </c>
      <c r="D2263" t="s">
        <v>5714</v>
      </c>
      <c r="E2263" s="2" t="s">
        <v>742</v>
      </c>
      <c r="F2263" t="s">
        <v>805</v>
      </c>
      <c r="G2263" t="str">
        <f>HYPERLINK("https://www.newspim.com/news/view/20250605000051")</f>
        <v>https://www.newspim.com/news/view/20250605000051</v>
      </c>
      <c r="H2263">
        <v>0.81899999999999995</v>
      </c>
    </row>
    <row r="2264" spans="1:8" x14ac:dyDescent="0.3">
      <c r="A2264" t="s">
        <v>5593</v>
      </c>
      <c r="B2264" t="s">
        <v>26951</v>
      </c>
      <c r="C2264" t="s">
        <v>5717</v>
      </c>
      <c r="D2264" t="s">
        <v>5716</v>
      </c>
      <c r="E2264" s="2" t="s">
        <v>742</v>
      </c>
      <c r="F2264" t="s">
        <v>737</v>
      </c>
      <c r="G2264" t="str">
        <f>HYPERLINK("http://www.newspim.com/news/view/20200121000001")</f>
        <v>http://www.newspim.com/news/view/20200121000001</v>
      </c>
      <c r="H2264">
        <v>0.28499999999999998</v>
      </c>
    </row>
    <row r="2265" spans="1:8" x14ac:dyDescent="0.3">
      <c r="A2265" t="s">
        <v>5593</v>
      </c>
      <c r="B2265" t="s">
        <v>26951</v>
      </c>
      <c r="C2265" t="s">
        <v>5719</v>
      </c>
      <c r="D2265" t="s">
        <v>5718</v>
      </c>
      <c r="E2265" s="2" t="s">
        <v>742</v>
      </c>
      <c r="F2265" t="s">
        <v>658</v>
      </c>
      <c r="G2265" t="str">
        <f>HYPERLINK("https://www.newspim.com/news/view/20241220000124")</f>
        <v>https://www.newspim.com/news/view/20241220000124</v>
      </c>
      <c r="H2265">
        <v>0.437</v>
      </c>
    </row>
    <row r="2266" spans="1:8" x14ac:dyDescent="0.3">
      <c r="A2266" t="s">
        <v>5593</v>
      </c>
      <c r="B2266" t="s">
        <v>26951</v>
      </c>
      <c r="C2266" t="s">
        <v>5721</v>
      </c>
      <c r="D2266" t="s">
        <v>5720</v>
      </c>
      <c r="E2266" s="2" t="s">
        <v>742</v>
      </c>
      <c r="F2266" t="s">
        <v>5680</v>
      </c>
      <c r="G2266" t="str">
        <f>HYPERLINK("https://www.newspim.com/news/view/20250605000524")</f>
        <v>https://www.newspim.com/news/view/20250605000524</v>
      </c>
      <c r="H2266">
        <v>0.85799999999999998</v>
      </c>
    </row>
    <row r="2267" spans="1:8" x14ac:dyDescent="0.3">
      <c r="A2267" t="s">
        <v>5593</v>
      </c>
      <c r="B2267" t="s">
        <v>26951</v>
      </c>
      <c r="C2267" t="s">
        <v>5723</v>
      </c>
      <c r="D2267" t="s">
        <v>5722</v>
      </c>
      <c r="E2267" s="2" t="s">
        <v>742</v>
      </c>
      <c r="F2267" t="s">
        <v>54</v>
      </c>
      <c r="G2267" t="str">
        <f>HYPERLINK("http://www.newspim.com/news/view/20190321000522")</f>
        <v>http://www.newspim.com/news/view/20190321000522</v>
      </c>
      <c r="H2267">
        <v>0.127</v>
      </c>
    </row>
    <row r="2268" spans="1:8" x14ac:dyDescent="0.3">
      <c r="A2268" t="s">
        <v>5593</v>
      </c>
      <c r="B2268" t="s">
        <v>26951</v>
      </c>
      <c r="C2268" t="s">
        <v>5726</v>
      </c>
      <c r="D2268" t="s">
        <v>5725</v>
      </c>
      <c r="E2268" s="2" t="s">
        <v>799</v>
      </c>
      <c r="F2268" t="s">
        <v>4362</v>
      </c>
      <c r="G2268" t="str">
        <f>HYPERLINK("https://www.newspim.com/news/view/20250530001034")</f>
        <v>https://www.newspim.com/news/view/20250530001034</v>
      </c>
      <c r="H2268">
        <v>0.68600000000000005</v>
      </c>
    </row>
    <row r="2269" spans="1:8" x14ac:dyDescent="0.3">
      <c r="A2269" t="s">
        <v>5593</v>
      </c>
      <c r="B2269" t="s">
        <v>26951</v>
      </c>
      <c r="C2269" t="s">
        <v>5728</v>
      </c>
      <c r="D2269" t="s">
        <v>5727</v>
      </c>
      <c r="E2269" s="2" t="s">
        <v>799</v>
      </c>
      <c r="F2269" t="s">
        <v>197</v>
      </c>
      <c r="G2269" t="str">
        <f>HYPERLINK("https://weekly.hankooki.com/news/articleView.html?idxno=7114315")</f>
        <v>https://weekly.hankooki.com/news/articleView.html?idxno=7114315</v>
      </c>
      <c r="H2269">
        <v>0.63200000000000001</v>
      </c>
    </row>
    <row r="2270" spans="1:8" x14ac:dyDescent="0.3">
      <c r="A2270" t="s">
        <v>5593</v>
      </c>
      <c r="B2270" t="s">
        <v>26951</v>
      </c>
      <c r="C2270" t="s">
        <v>5730</v>
      </c>
      <c r="D2270" t="s">
        <v>5729</v>
      </c>
      <c r="E2270" s="2" t="s">
        <v>799</v>
      </c>
      <c r="F2270" t="s">
        <v>658</v>
      </c>
      <c r="G2270" t="str">
        <f>HYPERLINK("https://n.news.naver.com/mnews/article/277/0002426371?sid=101")</f>
        <v>https://n.news.naver.com/mnews/article/277/0002426371?sid=101</v>
      </c>
      <c r="H2270">
        <v>0.28199999999999997</v>
      </c>
    </row>
    <row r="2271" spans="1:8" x14ac:dyDescent="0.3">
      <c r="A2271" t="s">
        <v>5593</v>
      </c>
      <c r="B2271" t="s">
        <v>26951</v>
      </c>
      <c r="C2271" t="s">
        <v>5733</v>
      </c>
      <c r="D2271" t="s">
        <v>5732</v>
      </c>
      <c r="E2271" s="2" t="s">
        <v>799</v>
      </c>
      <c r="F2271" t="s">
        <v>5731</v>
      </c>
      <c r="G2271" t="str">
        <f>HYPERLINK("http://www.gjdream.com/news/articleView.html?idxno=655268")</f>
        <v>http://www.gjdream.com/news/articleView.html?idxno=655268</v>
      </c>
      <c r="H2271">
        <v>0.54900000000000004</v>
      </c>
    </row>
    <row r="2272" spans="1:8" x14ac:dyDescent="0.3">
      <c r="A2272" t="s">
        <v>5593</v>
      </c>
      <c r="B2272" t="s">
        <v>26951</v>
      </c>
      <c r="C2272" t="s">
        <v>5736</v>
      </c>
      <c r="D2272" t="s">
        <v>5735</v>
      </c>
      <c r="E2272" s="2" t="s">
        <v>799</v>
      </c>
      <c r="F2272" t="s">
        <v>5734</v>
      </c>
      <c r="G2272" t="str">
        <f>HYPERLINK("https://www.etoday.co.kr/news/view/2483546")</f>
        <v>https://www.etoday.co.kr/news/view/2483546</v>
      </c>
      <c r="H2272">
        <v>0.45700000000000002</v>
      </c>
    </row>
    <row r="2273" spans="1:8" x14ac:dyDescent="0.3">
      <c r="A2273" t="s">
        <v>5593</v>
      </c>
      <c r="B2273" t="s">
        <v>26951</v>
      </c>
      <c r="C2273" t="s">
        <v>5738</v>
      </c>
      <c r="D2273" t="s">
        <v>5737</v>
      </c>
      <c r="E2273" s="2" t="s">
        <v>840</v>
      </c>
      <c r="F2273" t="s">
        <v>3882</v>
      </c>
      <c r="G2273" t="str">
        <f>HYPERLINK("https://www.newspim.com/news/view/20250603000001")</f>
        <v>https://www.newspim.com/news/view/20250603000001</v>
      </c>
      <c r="H2273">
        <v>0.90200000000000002</v>
      </c>
    </row>
    <row r="2274" spans="1:8" x14ac:dyDescent="0.3">
      <c r="A2274" t="s">
        <v>5593</v>
      </c>
      <c r="B2274" t="s">
        <v>26951</v>
      </c>
      <c r="C2274" t="s">
        <v>5740</v>
      </c>
      <c r="D2274" t="s">
        <v>5739</v>
      </c>
      <c r="E2274" s="2" t="s">
        <v>840</v>
      </c>
      <c r="F2274" t="s">
        <v>89</v>
      </c>
      <c r="G2274" t="str">
        <f>HYPERLINK("http://www.newspim.com/news/view/20221226000045")</f>
        <v>http://www.newspim.com/news/view/20221226000045</v>
      </c>
      <c r="H2274">
        <v>0.71</v>
      </c>
    </row>
    <row r="2275" spans="1:8" x14ac:dyDescent="0.3">
      <c r="A2275" t="s">
        <v>5593</v>
      </c>
      <c r="B2275" t="s">
        <v>26951</v>
      </c>
      <c r="C2275" t="s">
        <v>5742</v>
      </c>
      <c r="D2275" t="s">
        <v>5741</v>
      </c>
      <c r="E2275" s="2" t="s">
        <v>860</v>
      </c>
      <c r="F2275" t="s">
        <v>442</v>
      </c>
      <c r="G2275" t="str">
        <f>HYPERLINK("https://www.etoday.co.kr/news/view/2483289")</f>
        <v>https://www.etoday.co.kr/news/view/2483289</v>
      </c>
      <c r="H2275">
        <v>0.41099999999999998</v>
      </c>
    </row>
    <row r="2276" spans="1:8" x14ac:dyDescent="0.3">
      <c r="A2276" t="s">
        <v>5743</v>
      </c>
      <c r="B2276" t="s">
        <v>26951</v>
      </c>
      <c r="C2276" t="s">
        <v>5746</v>
      </c>
      <c r="D2276" t="s">
        <v>5745</v>
      </c>
      <c r="E2276" s="2" t="s">
        <v>481</v>
      </c>
      <c r="F2276" t="s">
        <v>5744</v>
      </c>
      <c r="G2276" t="str">
        <f>HYPERLINK("http://www.ggilbo.com/news/articleView.html?idxno=741734")</f>
        <v>http://www.ggilbo.com/news/articleView.html?idxno=741734</v>
      </c>
      <c r="H2276">
        <v>0.80600000000000005</v>
      </c>
    </row>
    <row r="2277" spans="1:8" x14ac:dyDescent="0.3">
      <c r="A2277" t="s">
        <v>5743</v>
      </c>
      <c r="B2277" t="s">
        <v>26951</v>
      </c>
      <c r="C2277" t="s">
        <v>5749</v>
      </c>
      <c r="D2277" t="s">
        <v>5748</v>
      </c>
      <c r="E2277" s="2" t="s">
        <v>481</v>
      </c>
      <c r="F2277" t="s">
        <v>5747</v>
      </c>
      <c r="G2277" t="str">
        <f>HYPERLINK("https://ppss.kr/archives/207688")</f>
        <v>https://ppss.kr/archives/207688</v>
      </c>
      <c r="H2277">
        <v>0.72699999999999998</v>
      </c>
    </row>
    <row r="2278" spans="1:8" x14ac:dyDescent="0.3">
      <c r="A2278" t="s">
        <v>5743</v>
      </c>
      <c r="B2278" t="s">
        <v>26951</v>
      </c>
      <c r="C2278" t="s">
        <v>5752</v>
      </c>
      <c r="D2278" t="s">
        <v>5751</v>
      </c>
      <c r="E2278" s="2" t="s">
        <v>481</v>
      </c>
      <c r="F2278" t="s">
        <v>5750</v>
      </c>
      <c r="G2278" t="str">
        <f>HYPERLINK("https://n.news.naver.com/mnews/article/032/0002907459?sid=103")</f>
        <v>https://n.news.naver.com/mnews/article/032/0002907459?sid=103</v>
      </c>
      <c r="H2278">
        <v>0.33300000000000002</v>
      </c>
    </row>
    <row r="2279" spans="1:8" x14ac:dyDescent="0.3">
      <c r="A2279" t="s">
        <v>5743</v>
      </c>
      <c r="B2279" t="s">
        <v>26951</v>
      </c>
      <c r="C2279" t="s">
        <v>1254</v>
      </c>
      <c r="D2279" t="s">
        <v>1253</v>
      </c>
      <c r="E2279" s="2" t="s">
        <v>481</v>
      </c>
      <c r="F2279" t="s">
        <v>1252</v>
      </c>
      <c r="G2279" t="str">
        <f>HYPERLINK("http://www.seoulwire.com/news/articleView.html?idxno=255241")</f>
        <v>http://www.seoulwire.com/news/articleView.html?idxno=255241</v>
      </c>
      <c r="H2279">
        <v>0.34499999999999997</v>
      </c>
    </row>
    <row r="2280" spans="1:8" x14ac:dyDescent="0.3">
      <c r="A2280" t="s">
        <v>5743</v>
      </c>
      <c r="B2280" t="s">
        <v>26951</v>
      </c>
      <c r="C2280" t="s">
        <v>5755</v>
      </c>
      <c r="D2280" t="s">
        <v>5754</v>
      </c>
      <c r="E2280" s="2" t="s">
        <v>481</v>
      </c>
      <c r="F2280" t="s">
        <v>1799</v>
      </c>
      <c r="G2280" t="str">
        <f>HYPERLINK("https://n.news.naver.com/mnews/article/022/0004044678?sid=100")</f>
        <v>https://n.news.naver.com/mnews/article/022/0004044678?sid=100</v>
      </c>
      <c r="H2280">
        <v>0.19500000000000001</v>
      </c>
    </row>
    <row r="2281" spans="1:8" x14ac:dyDescent="0.3">
      <c r="A2281" t="s">
        <v>5743</v>
      </c>
      <c r="B2281" t="s">
        <v>26951</v>
      </c>
      <c r="C2281" t="s">
        <v>5758</v>
      </c>
      <c r="D2281" t="s">
        <v>5757</v>
      </c>
      <c r="E2281" s="2" t="s">
        <v>481</v>
      </c>
      <c r="F2281" t="s">
        <v>5756</v>
      </c>
      <c r="G2281" t="str">
        <f>HYPERLINK("http://www.etoday.co.kr/news/section/newsview.php?idxno=1768027")</f>
        <v>http://www.etoday.co.kr/news/section/newsview.php?idxno=1768027</v>
      </c>
      <c r="H2281">
        <v>0.39400000000000002</v>
      </c>
    </row>
    <row r="2282" spans="1:8" x14ac:dyDescent="0.3">
      <c r="A2282" t="s">
        <v>5743</v>
      </c>
      <c r="B2282" t="s">
        <v>26951</v>
      </c>
      <c r="C2282" t="s">
        <v>5761</v>
      </c>
      <c r="D2282" t="s">
        <v>5760</v>
      </c>
      <c r="E2282" s="2" t="s">
        <v>481</v>
      </c>
      <c r="F2282" t="s">
        <v>5759</v>
      </c>
      <c r="G2282" t="str">
        <f>HYPERLINK("https://www.cnbnews.com/news/article.html?no=684287")</f>
        <v>https://www.cnbnews.com/news/article.html?no=684287</v>
      </c>
      <c r="H2282">
        <v>0.40600000000000003</v>
      </c>
    </row>
    <row r="2283" spans="1:8" x14ac:dyDescent="0.3">
      <c r="A2283" t="s">
        <v>5743</v>
      </c>
      <c r="B2283" t="s">
        <v>26951</v>
      </c>
      <c r="C2283" t="s">
        <v>5764</v>
      </c>
      <c r="D2283" t="s">
        <v>5763</v>
      </c>
      <c r="E2283" s="2" t="s">
        <v>481</v>
      </c>
      <c r="F2283" t="s">
        <v>5762</v>
      </c>
      <c r="G2283" t="str">
        <f>HYPERLINK("https://radio.ytn.co.kr/program/?f=2&amp;id=75521&amp;s_mcd=0263&amp;s_hcd=01")</f>
        <v>https://radio.ytn.co.kr/program/?f=2&amp;id=75521&amp;s_mcd=0263&amp;s_hcd=01</v>
      </c>
      <c r="H2283">
        <v>0.42299999999999999</v>
      </c>
    </row>
    <row r="2284" spans="1:8" x14ac:dyDescent="0.3">
      <c r="A2284" t="s">
        <v>5743</v>
      </c>
      <c r="B2284" t="s">
        <v>26951</v>
      </c>
      <c r="C2284" t="s">
        <v>5766</v>
      </c>
      <c r="D2284" t="s">
        <v>5765</v>
      </c>
      <c r="E2284" s="2" t="s">
        <v>481</v>
      </c>
      <c r="F2284" t="s">
        <v>1731</v>
      </c>
      <c r="G2284" t="str">
        <f>HYPERLINK("http://www.nongaek.com/news/articleView.html?idxno=91811")</f>
        <v>http://www.nongaek.com/news/articleView.html?idxno=91811</v>
      </c>
      <c r="H2284">
        <v>0.34</v>
      </c>
    </row>
    <row r="2285" spans="1:8" x14ac:dyDescent="0.3">
      <c r="A2285" t="s">
        <v>5743</v>
      </c>
      <c r="B2285" t="s">
        <v>26951</v>
      </c>
      <c r="C2285" t="s">
        <v>5769</v>
      </c>
      <c r="D2285" t="s">
        <v>5768</v>
      </c>
      <c r="E2285" s="2" t="s">
        <v>481</v>
      </c>
      <c r="F2285" t="s">
        <v>5767</v>
      </c>
      <c r="G2285" t="str">
        <f>HYPERLINK("https://dhnews.co.kr/news/view/1065601063624410")</f>
        <v>https://dhnews.co.kr/news/view/1065601063624410</v>
      </c>
      <c r="H2285">
        <v>0.53900000000000003</v>
      </c>
    </row>
    <row r="2286" spans="1:8" x14ac:dyDescent="0.3">
      <c r="A2286" t="s">
        <v>5743</v>
      </c>
      <c r="B2286" t="s">
        <v>26951</v>
      </c>
      <c r="C2286" t="s">
        <v>5772</v>
      </c>
      <c r="D2286" t="s">
        <v>5771</v>
      </c>
      <c r="E2286" s="2" t="s">
        <v>481</v>
      </c>
      <c r="F2286" t="s">
        <v>5770</v>
      </c>
      <c r="G2286" t="str">
        <f>HYPERLINK("http://www.kmaeil.com/news/articleView.html?idxno=370690")</f>
        <v>http://www.kmaeil.com/news/articleView.html?idxno=370690</v>
      </c>
      <c r="H2286">
        <v>0.26500000000000001</v>
      </c>
    </row>
    <row r="2287" spans="1:8" x14ac:dyDescent="0.3">
      <c r="A2287" t="s">
        <v>5743</v>
      </c>
      <c r="B2287" t="s">
        <v>26951</v>
      </c>
      <c r="C2287" t="s">
        <v>5775</v>
      </c>
      <c r="D2287" t="s">
        <v>5774</v>
      </c>
      <c r="E2287" s="2" t="s">
        <v>481</v>
      </c>
      <c r="F2287" t="s">
        <v>5773</v>
      </c>
      <c r="G2287" t="str">
        <f>HYPERLINK("https://n.news.naver.com/mnews/article/036/0000038500?sid=102")</f>
        <v>https://n.news.naver.com/mnews/article/036/0000038500?sid=102</v>
      </c>
      <c r="H2287">
        <v>0.13600000000000001</v>
      </c>
    </row>
    <row r="2288" spans="1:8" x14ac:dyDescent="0.3">
      <c r="A2288" t="s">
        <v>5743</v>
      </c>
      <c r="B2288" t="s">
        <v>26951</v>
      </c>
      <c r="C2288" t="s">
        <v>5778</v>
      </c>
      <c r="D2288" t="s">
        <v>5777</v>
      </c>
      <c r="E2288" s="2" t="s">
        <v>502</v>
      </c>
      <c r="F2288" t="s">
        <v>5776</v>
      </c>
      <c r="G2288" t="str">
        <f>HYPERLINK("https://n.news.naver.com/mnews/article/088/0000748333?sid=004")</f>
        <v>https://n.news.naver.com/mnews/article/088/0000748333?sid=004</v>
      </c>
      <c r="H2288">
        <v>0.30499999999999999</v>
      </c>
    </row>
    <row r="2289" spans="1:8" x14ac:dyDescent="0.3">
      <c r="A2289" t="s">
        <v>5743</v>
      </c>
      <c r="B2289" t="s">
        <v>26951</v>
      </c>
      <c r="C2289" t="s">
        <v>5781</v>
      </c>
      <c r="D2289" t="s">
        <v>5780</v>
      </c>
      <c r="E2289" s="2" t="s">
        <v>502</v>
      </c>
      <c r="F2289" t="s">
        <v>5779</v>
      </c>
      <c r="G2289" t="str">
        <f>HYPERLINK("http://kor.theasian.asia/archives/350911")</f>
        <v>http://kor.theasian.asia/archives/350911</v>
      </c>
      <c r="H2289">
        <v>0.48099999999999998</v>
      </c>
    </row>
    <row r="2290" spans="1:8" x14ac:dyDescent="0.3">
      <c r="A2290" t="s">
        <v>5743</v>
      </c>
      <c r="B2290" t="s">
        <v>26951</v>
      </c>
      <c r="C2290" t="s">
        <v>5784</v>
      </c>
      <c r="D2290" t="s">
        <v>5783</v>
      </c>
      <c r="E2290" s="2" t="s">
        <v>502</v>
      </c>
      <c r="F2290" t="s">
        <v>5782</v>
      </c>
      <c r="G2290" t="str">
        <f>HYPERLINK("https://www.jjan.kr/article/20250624580165")</f>
        <v>https://www.jjan.kr/article/20250624580165</v>
      </c>
      <c r="H2290">
        <v>0.53400000000000003</v>
      </c>
    </row>
    <row r="2291" spans="1:8" x14ac:dyDescent="0.3">
      <c r="A2291" t="s">
        <v>5743</v>
      </c>
      <c r="B2291" t="s">
        <v>26951</v>
      </c>
      <c r="C2291" t="s">
        <v>5786</v>
      </c>
      <c r="D2291" t="s">
        <v>5785</v>
      </c>
      <c r="E2291" s="2" t="s">
        <v>502</v>
      </c>
      <c r="F2291" t="s">
        <v>2868</v>
      </c>
      <c r="G2291" t="str">
        <f>HYPERLINK("http://www.kyosu.net/news/articleView.html?idxno=120890")</f>
        <v>http://www.kyosu.net/news/articleView.html?idxno=120890</v>
      </c>
      <c r="H2291">
        <v>0.41</v>
      </c>
    </row>
    <row r="2292" spans="1:8" x14ac:dyDescent="0.3">
      <c r="A2292" t="s">
        <v>5743</v>
      </c>
      <c r="B2292" t="s">
        <v>26951</v>
      </c>
      <c r="C2292" t="s">
        <v>5789</v>
      </c>
      <c r="D2292" t="s">
        <v>5788</v>
      </c>
      <c r="E2292" s="2" t="s">
        <v>502</v>
      </c>
      <c r="F2292" t="s">
        <v>5787</v>
      </c>
      <c r="G2292" t="str">
        <f>HYPERLINK("https://n.news.naver.com/mnews/article/028/0002751945?sid=103")</f>
        <v>https://n.news.naver.com/mnews/article/028/0002751945?sid=103</v>
      </c>
      <c r="H2292">
        <v>0.3</v>
      </c>
    </row>
    <row r="2293" spans="1:8" x14ac:dyDescent="0.3">
      <c r="A2293" t="s">
        <v>5743</v>
      </c>
      <c r="B2293" t="s">
        <v>26951</v>
      </c>
      <c r="C2293" t="s">
        <v>5792</v>
      </c>
      <c r="D2293" t="s">
        <v>5791</v>
      </c>
      <c r="E2293" s="2" t="s">
        <v>502</v>
      </c>
      <c r="F2293" t="s">
        <v>5790</v>
      </c>
      <c r="G2293" t="str">
        <f>HYPERLINK("https://n.news.naver.com/mnews/article/127/0000035990?sid=102")</f>
        <v>https://n.news.naver.com/mnews/article/127/0000035990?sid=102</v>
      </c>
      <c r="H2293">
        <v>0.29499999999999998</v>
      </c>
    </row>
    <row r="2294" spans="1:8" x14ac:dyDescent="0.3">
      <c r="A2294" t="s">
        <v>5743</v>
      </c>
      <c r="B2294" t="s">
        <v>26951</v>
      </c>
      <c r="C2294" t="s">
        <v>5795</v>
      </c>
      <c r="D2294" t="s">
        <v>5794</v>
      </c>
      <c r="E2294" s="2" t="s">
        <v>502</v>
      </c>
      <c r="F2294" t="s">
        <v>5793</v>
      </c>
      <c r="G2294" t="str">
        <f>HYPERLINK("http://www.gjdream.com/news/articleView.html?idxno=608881")</f>
        <v>http://www.gjdream.com/news/articleView.html?idxno=608881</v>
      </c>
      <c r="H2294">
        <v>0.57699999999999996</v>
      </c>
    </row>
    <row r="2295" spans="1:8" x14ac:dyDescent="0.3">
      <c r="A2295" t="s">
        <v>5743</v>
      </c>
      <c r="B2295" t="s">
        <v>26951</v>
      </c>
      <c r="C2295" t="s">
        <v>5798</v>
      </c>
      <c r="D2295" t="s">
        <v>5797</v>
      </c>
      <c r="E2295" s="2" t="s">
        <v>502</v>
      </c>
      <c r="F2295" t="s">
        <v>5796</v>
      </c>
      <c r="G2295" t="str">
        <f>HYPERLINK("http://www.newsworker.co.kr/news/articleView.html?idxno=335888")</f>
        <v>http://www.newsworker.co.kr/news/articleView.html?idxno=335888</v>
      </c>
      <c r="H2295">
        <v>0.41199999999999998</v>
      </c>
    </row>
    <row r="2296" spans="1:8" x14ac:dyDescent="0.3">
      <c r="A2296" t="s">
        <v>5743</v>
      </c>
      <c r="B2296" t="s">
        <v>26951</v>
      </c>
      <c r="C2296" t="s">
        <v>5801</v>
      </c>
      <c r="D2296" t="s">
        <v>5800</v>
      </c>
      <c r="E2296" s="2" t="s">
        <v>502</v>
      </c>
      <c r="F2296" t="s">
        <v>5799</v>
      </c>
      <c r="G2296" t="str">
        <f>HYPERLINK("http://www.sisaon.co.kr/news/articleView.html?idxno=107509")</f>
        <v>http://www.sisaon.co.kr/news/articleView.html?idxno=107509</v>
      </c>
      <c r="H2296">
        <v>0.7</v>
      </c>
    </row>
    <row r="2297" spans="1:8" x14ac:dyDescent="0.3">
      <c r="A2297" t="s">
        <v>5743</v>
      </c>
      <c r="B2297" t="s">
        <v>26951</v>
      </c>
      <c r="C2297" t="s">
        <v>5805</v>
      </c>
      <c r="D2297" t="s">
        <v>5804</v>
      </c>
      <c r="E2297" s="2" t="s">
        <v>502</v>
      </c>
      <c r="F2297" t="s">
        <v>5762</v>
      </c>
      <c r="G2297" t="str">
        <f>HYPERLINK("http://www.nongaek.com/news/articleView.html?idxno=91675")</f>
        <v>http://www.nongaek.com/news/articleView.html?idxno=91675</v>
      </c>
      <c r="H2297">
        <v>0.434</v>
      </c>
    </row>
    <row r="2298" spans="1:8" x14ac:dyDescent="0.3">
      <c r="A2298" t="s">
        <v>5743</v>
      </c>
      <c r="B2298" t="s">
        <v>26951</v>
      </c>
      <c r="C2298" t="s">
        <v>5808</v>
      </c>
      <c r="D2298" t="s">
        <v>5807</v>
      </c>
      <c r="E2298" s="2" t="s">
        <v>502</v>
      </c>
      <c r="F2298" t="s">
        <v>5806</v>
      </c>
      <c r="G2298" t="str">
        <f>HYPERLINK("http://www.greened.kr/news/articleView.html?idxno=298281")</f>
        <v>http://www.greened.kr/news/articleView.html?idxno=298281</v>
      </c>
      <c r="H2298">
        <v>0.46200000000000002</v>
      </c>
    </row>
    <row r="2299" spans="1:8" x14ac:dyDescent="0.3">
      <c r="A2299" t="s">
        <v>5743</v>
      </c>
      <c r="B2299" t="s">
        <v>26951</v>
      </c>
      <c r="C2299" t="s">
        <v>5810</v>
      </c>
      <c r="D2299" t="s">
        <v>5809</v>
      </c>
      <c r="E2299" s="2" t="s">
        <v>502</v>
      </c>
      <c r="F2299" t="s">
        <v>5806</v>
      </c>
      <c r="G2299" t="str">
        <f>HYPERLINK("https://www.dailynk.com/20241205-1")</f>
        <v>https://www.dailynk.com/20241205-1</v>
      </c>
      <c r="H2299">
        <v>0.49199999999999999</v>
      </c>
    </row>
    <row r="2300" spans="1:8" x14ac:dyDescent="0.3">
      <c r="A2300" t="s">
        <v>5743</v>
      </c>
      <c r="B2300" t="s">
        <v>26951</v>
      </c>
      <c r="C2300" t="s">
        <v>512</v>
      </c>
      <c r="D2300" t="s">
        <v>511</v>
      </c>
      <c r="E2300" s="2" t="s">
        <v>502</v>
      </c>
      <c r="F2300" t="s">
        <v>510</v>
      </c>
      <c r="G2300" t="str">
        <f>HYPERLINK("https://n.news.naver.com/mnews/article/079/0002644876?sid=102")</f>
        <v>https://n.news.naver.com/mnews/article/079/0002644876?sid=102</v>
      </c>
      <c r="H2300">
        <v>0.16200000000000001</v>
      </c>
    </row>
    <row r="2301" spans="1:8" x14ac:dyDescent="0.3">
      <c r="A2301" t="s">
        <v>5743</v>
      </c>
      <c r="B2301" t="s">
        <v>26951</v>
      </c>
      <c r="C2301" t="s">
        <v>5813</v>
      </c>
      <c r="D2301" t="s">
        <v>5812</v>
      </c>
      <c r="E2301" s="2" t="s">
        <v>502</v>
      </c>
      <c r="F2301" t="s">
        <v>5811</v>
      </c>
      <c r="G2301" t="str">
        <f>HYPERLINK("http://www.redian.org/archive/177902")</f>
        <v>http://www.redian.org/archive/177902</v>
      </c>
      <c r="H2301">
        <v>0.71</v>
      </c>
    </row>
    <row r="2302" spans="1:8" x14ac:dyDescent="0.3">
      <c r="A2302" t="s">
        <v>5743</v>
      </c>
      <c r="B2302" t="s">
        <v>26951</v>
      </c>
      <c r="C2302" t="s">
        <v>5815</v>
      </c>
      <c r="D2302" t="s">
        <v>5814</v>
      </c>
      <c r="E2302" s="2" t="s">
        <v>502</v>
      </c>
      <c r="F2302" t="s">
        <v>2124</v>
      </c>
      <c r="G2302" t="str">
        <f>HYPERLINK("https://n.news.naver.com/mnews/article/028/0002750736?sid=110")</f>
        <v>https://n.news.naver.com/mnews/article/028/0002750736?sid=110</v>
      </c>
      <c r="H2302">
        <v>0.27800000000000002</v>
      </c>
    </row>
    <row r="2303" spans="1:8" x14ac:dyDescent="0.3">
      <c r="A2303" t="s">
        <v>5743</v>
      </c>
      <c r="B2303" t="s">
        <v>26951</v>
      </c>
      <c r="C2303" t="s">
        <v>5817</v>
      </c>
      <c r="D2303" t="s">
        <v>5816</v>
      </c>
      <c r="E2303" s="2" t="s">
        <v>502</v>
      </c>
      <c r="F2303" t="s">
        <v>2124</v>
      </c>
      <c r="G2303" t="str">
        <f>HYPERLINK("http://www.nongaek.com/news/articleView.html?idxno=91675")</f>
        <v>http://www.nongaek.com/news/articleView.html?idxno=91675</v>
      </c>
      <c r="H2303">
        <v>0.47799999999999998</v>
      </c>
    </row>
    <row r="2304" spans="1:8" x14ac:dyDescent="0.3">
      <c r="A2304" t="s">
        <v>5743</v>
      </c>
      <c r="B2304" t="s">
        <v>26951</v>
      </c>
      <c r="C2304" t="s">
        <v>5819</v>
      </c>
      <c r="D2304" t="s">
        <v>5818</v>
      </c>
      <c r="E2304" s="2" t="s">
        <v>502</v>
      </c>
      <c r="F2304" t="s">
        <v>2124</v>
      </c>
      <c r="G2304" t="str">
        <f>HYPERLINK("http://www.nongaek.com/news/articleView.html?idxno=91675")</f>
        <v>http://www.nongaek.com/news/articleView.html?idxno=91675</v>
      </c>
      <c r="H2304">
        <v>0.47199999999999998</v>
      </c>
    </row>
    <row r="2305" spans="1:8" x14ac:dyDescent="0.3">
      <c r="A2305" t="s">
        <v>5743</v>
      </c>
      <c r="B2305" t="s">
        <v>26951</v>
      </c>
      <c r="C2305" t="s">
        <v>5821</v>
      </c>
      <c r="D2305" t="s">
        <v>5820</v>
      </c>
      <c r="E2305" s="2" t="s">
        <v>502</v>
      </c>
      <c r="F2305" t="s">
        <v>2124</v>
      </c>
      <c r="G2305" t="str">
        <f>HYPERLINK("http://www.nongaek.com/news/articleView.html?idxno=91675")</f>
        <v>http://www.nongaek.com/news/articleView.html?idxno=91675</v>
      </c>
      <c r="H2305">
        <v>0.50600000000000001</v>
      </c>
    </row>
    <row r="2306" spans="1:8" x14ac:dyDescent="0.3">
      <c r="A2306" t="s">
        <v>5743</v>
      </c>
      <c r="B2306" t="s">
        <v>26951</v>
      </c>
      <c r="C2306" t="s">
        <v>5823</v>
      </c>
      <c r="D2306" t="s">
        <v>5822</v>
      </c>
      <c r="E2306" s="2" t="s">
        <v>502</v>
      </c>
      <c r="F2306" t="s">
        <v>2124</v>
      </c>
      <c r="G2306" t="str">
        <f>HYPERLINK("https://www.obsnews.co.kr/news/articleView.html?idxno=1486608")</f>
        <v>https://www.obsnews.co.kr/news/articleView.html?idxno=1486608</v>
      </c>
      <c r="H2306">
        <v>0.48799999999999999</v>
      </c>
    </row>
    <row r="2307" spans="1:8" x14ac:dyDescent="0.3">
      <c r="A2307" t="s">
        <v>5743</v>
      </c>
      <c r="B2307" t="s">
        <v>26951</v>
      </c>
      <c r="C2307" t="s">
        <v>5825</v>
      </c>
      <c r="D2307" t="s">
        <v>5824</v>
      </c>
      <c r="E2307" s="2" t="s">
        <v>502</v>
      </c>
      <c r="F2307" t="s">
        <v>2124</v>
      </c>
      <c r="G2307" t="str">
        <f>HYPERLINK("http://www.nongaek.com/news/articleView.html?idxno=91747")</f>
        <v>http://www.nongaek.com/news/articleView.html?idxno=91747</v>
      </c>
      <c r="H2307">
        <v>0.63700000000000001</v>
      </c>
    </row>
    <row r="2308" spans="1:8" x14ac:dyDescent="0.3">
      <c r="A2308" t="s">
        <v>5743</v>
      </c>
      <c r="B2308" t="s">
        <v>26951</v>
      </c>
      <c r="C2308" t="s">
        <v>5828</v>
      </c>
      <c r="D2308" t="s">
        <v>5827</v>
      </c>
      <c r="E2308" s="2" t="s">
        <v>517</v>
      </c>
      <c r="F2308" t="s">
        <v>5826</v>
      </c>
      <c r="G2308" t="str">
        <f>HYPERLINK("http://www.dailyimpact.co.kr/news/articleView.html?idxno=97908")</f>
        <v>http://www.dailyimpact.co.kr/news/articleView.html?idxno=97908</v>
      </c>
      <c r="H2308">
        <v>0.60899999999999999</v>
      </c>
    </row>
    <row r="2309" spans="1:8" x14ac:dyDescent="0.3">
      <c r="A2309" t="s">
        <v>5743</v>
      </c>
      <c r="B2309" t="s">
        <v>26951</v>
      </c>
      <c r="C2309" t="s">
        <v>5830</v>
      </c>
      <c r="D2309" t="s">
        <v>5829</v>
      </c>
      <c r="E2309" s="2" t="s">
        <v>517</v>
      </c>
      <c r="F2309" t="s">
        <v>5724</v>
      </c>
      <c r="G2309" t="str">
        <f>HYPERLINK("https://radio.ytn.co.kr/program/?f=2&amp;id=81530&amp;s_mcd=0263&amp;s_hcd=01")</f>
        <v>https://radio.ytn.co.kr/program/?f=2&amp;id=81530&amp;s_mcd=0263&amp;s_hcd=01</v>
      </c>
      <c r="H2309">
        <v>0.35299999999999998</v>
      </c>
    </row>
    <row r="2310" spans="1:8" x14ac:dyDescent="0.3">
      <c r="A2310" t="s">
        <v>5743</v>
      </c>
      <c r="B2310" t="s">
        <v>26951</v>
      </c>
      <c r="C2310" t="s">
        <v>5832</v>
      </c>
      <c r="D2310" t="s">
        <v>5831</v>
      </c>
      <c r="E2310" s="2" t="s">
        <v>517</v>
      </c>
      <c r="F2310" t="s">
        <v>5724</v>
      </c>
      <c r="G2310" t="str">
        <f>HYPERLINK("https://n.news.naver.com/mnews/article/006/0000121072?sid=102")</f>
        <v>https://n.news.naver.com/mnews/article/006/0000121072?sid=102</v>
      </c>
      <c r="H2310">
        <v>0.189</v>
      </c>
    </row>
    <row r="2311" spans="1:8" x14ac:dyDescent="0.3">
      <c r="A2311" t="s">
        <v>5743</v>
      </c>
      <c r="B2311" t="s">
        <v>26951</v>
      </c>
      <c r="C2311" t="s">
        <v>5834</v>
      </c>
      <c r="D2311" t="s">
        <v>5833</v>
      </c>
      <c r="E2311" s="2" t="s">
        <v>517</v>
      </c>
      <c r="F2311" t="s">
        <v>2082</v>
      </c>
      <c r="G2311" t="str">
        <f>HYPERLINK("https://n.news.naver.com/mnews/article/214/0001430932?sid=100")</f>
        <v>https://n.news.naver.com/mnews/article/214/0001430932?sid=100</v>
      </c>
      <c r="H2311">
        <v>0.503</v>
      </c>
    </row>
    <row r="2312" spans="1:8" x14ac:dyDescent="0.3">
      <c r="A2312" t="s">
        <v>5743</v>
      </c>
      <c r="B2312" t="s">
        <v>26951</v>
      </c>
      <c r="C2312" t="s">
        <v>5836</v>
      </c>
      <c r="D2312" t="s">
        <v>5835</v>
      </c>
      <c r="E2312" s="2" t="s">
        <v>517</v>
      </c>
      <c r="F2312" t="s">
        <v>2887</v>
      </c>
      <c r="G2312" t="str">
        <f>HYPERLINK("https://n.news.naver.com/mnews/article/079/0004036714?sid=100")</f>
        <v>https://n.news.naver.com/mnews/article/079/0004036714?sid=100</v>
      </c>
      <c r="H2312">
        <v>0.27500000000000002</v>
      </c>
    </row>
    <row r="2313" spans="1:8" x14ac:dyDescent="0.3">
      <c r="A2313" t="s">
        <v>5743</v>
      </c>
      <c r="B2313" t="s">
        <v>26951</v>
      </c>
      <c r="C2313" t="s">
        <v>5839</v>
      </c>
      <c r="D2313" t="s">
        <v>5838</v>
      </c>
      <c r="E2313" s="2" t="s">
        <v>517</v>
      </c>
      <c r="F2313" t="s">
        <v>5837</v>
      </c>
      <c r="G2313" t="str">
        <f>HYPERLINK("http://www.newsfreezone.co.kr/news/articleView.html?idxno=223960")</f>
        <v>http://www.newsfreezone.co.kr/news/articleView.html?idxno=223960</v>
      </c>
      <c r="H2313">
        <v>0.624</v>
      </c>
    </row>
    <row r="2314" spans="1:8" x14ac:dyDescent="0.3">
      <c r="A2314" t="s">
        <v>5743</v>
      </c>
      <c r="B2314" t="s">
        <v>26951</v>
      </c>
      <c r="C2314" t="s">
        <v>5842</v>
      </c>
      <c r="D2314" t="s">
        <v>5841</v>
      </c>
      <c r="E2314" s="2" t="s">
        <v>517</v>
      </c>
      <c r="F2314" t="s">
        <v>5840</v>
      </c>
      <c r="G2314" t="str">
        <f>HYPERLINK("https://www.meconomynews.com/news/articleView.html?idxno=115385")</f>
        <v>https://www.meconomynews.com/news/articleView.html?idxno=115385</v>
      </c>
      <c r="H2314">
        <v>0.252</v>
      </c>
    </row>
    <row r="2315" spans="1:8" x14ac:dyDescent="0.3">
      <c r="A2315" t="s">
        <v>5743</v>
      </c>
      <c r="B2315" t="s">
        <v>26951</v>
      </c>
      <c r="C2315" t="s">
        <v>5844</v>
      </c>
      <c r="D2315" t="s">
        <v>5835</v>
      </c>
      <c r="E2315" s="2" t="s">
        <v>517</v>
      </c>
      <c r="F2315" t="s">
        <v>5843</v>
      </c>
      <c r="G2315" t="str">
        <f>HYPERLINK("https://n.news.naver.com/mnews/article/079/0004036714?sid=100")</f>
        <v>https://n.news.naver.com/mnews/article/079/0004036714?sid=100</v>
      </c>
      <c r="H2315">
        <v>0.26500000000000001</v>
      </c>
    </row>
    <row r="2316" spans="1:8" x14ac:dyDescent="0.3">
      <c r="A2316" t="s">
        <v>5743</v>
      </c>
      <c r="B2316" t="s">
        <v>26951</v>
      </c>
      <c r="C2316" t="s">
        <v>5847</v>
      </c>
      <c r="D2316" t="s">
        <v>5846</v>
      </c>
      <c r="E2316" s="2" t="s">
        <v>517</v>
      </c>
      <c r="F2316" t="s">
        <v>5845</v>
      </c>
      <c r="G2316" t="str">
        <f>HYPERLINK("http://www.nongaek.com/news/articleView.html?idxno=91730")</f>
        <v>http://www.nongaek.com/news/articleView.html?idxno=91730</v>
      </c>
      <c r="H2316">
        <v>0.54500000000000004</v>
      </c>
    </row>
    <row r="2317" spans="1:8" x14ac:dyDescent="0.3">
      <c r="A2317" t="s">
        <v>5743</v>
      </c>
      <c r="B2317" t="s">
        <v>26951</v>
      </c>
      <c r="C2317" t="s">
        <v>5850</v>
      </c>
      <c r="D2317" t="s">
        <v>5849</v>
      </c>
      <c r="E2317" s="2" t="s">
        <v>517</v>
      </c>
      <c r="F2317" t="s">
        <v>5848</v>
      </c>
      <c r="G2317" t="str">
        <f>HYPERLINK("http://www.thelec.kr/news/articleView.html?idxno=37547")</f>
        <v>http://www.thelec.kr/news/articleView.html?idxno=37547</v>
      </c>
      <c r="H2317">
        <v>0.54800000000000004</v>
      </c>
    </row>
    <row r="2318" spans="1:8" x14ac:dyDescent="0.3">
      <c r="A2318" t="s">
        <v>5743</v>
      </c>
      <c r="B2318" t="s">
        <v>26951</v>
      </c>
      <c r="C2318" t="s">
        <v>5855</v>
      </c>
      <c r="D2318" t="s">
        <v>5854</v>
      </c>
      <c r="E2318" s="2" t="s">
        <v>517</v>
      </c>
      <c r="F2318" t="s">
        <v>5853</v>
      </c>
      <c r="G2318" t="str">
        <f>HYPERLINK("http://www.incheonilbo.com/news/articleView.html?idxno=1184813")</f>
        <v>http://www.incheonilbo.com/news/articleView.html?idxno=1184813</v>
      </c>
      <c r="H2318">
        <v>0.45700000000000002</v>
      </c>
    </row>
    <row r="2319" spans="1:8" x14ac:dyDescent="0.3">
      <c r="A2319" t="s">
        <v>5743</v>
      </c>
      <c r="B2319" t="s">
        <v>26951</v>
      </c>
      <c r="C2319" t="s">
        <v>5857</v>
      </c>
      <c r="D2319" t="s">
        <v>5856</v>
      </c>
      <c r="E2319" s="2" t="s">
        <v>517</v>
      </c>
      <c r="F2319" t="s">
        <v>1975</v>
      </c>
      <c r="G2319" t="str">
        <f>HYPERLINK("https://n.news.naver.com/mnews/article/006/0000108076?sid=110")</f>
        <v>https://n.news.naver.com/mnews/article/006/0000108076?sid=110</v>
      </c>
      <c r="H2319">
        <v>0.25600000000000001</v>
      </c>
    </row>
    <row r="2320" spans="1:8" x14ac:dyDescent="0.3">
      <c r="A2320" t="s">
        <v>5743</v>
      </c>
      <c r="B2320" t="s">
        <v>26951</v>
      </c>
      <c r="C2320" t="s">
        <v>5859</v>
      </c>
      <c r="D2320" t="s">
        <v>5858</v>
      </c>
      <c r="E2320" s="2" t="s">
        <v>517</v>
      </c>
      <c r="F2320" t="s">
        <v>1975</v>
      </c>
      <c r="G2320" t="str">
        <f>HYPERLINK("http://www.nongaek.com/news/articleView.html?idxno=91675")</f>
        <v>http://www.nongaek.com/news/articleView.html?idxno=91675</v>
      </c>
      <c r="H2320">
        <v>0.56200000000000006</v>
      </c>
    </row>
    <row r="2321" spans="1:8" x14ac:dyDescent="0.3">
      <c r="A2321" t="s">
        <v>5743</v>
      </c>
      <c r="B2321" t="s">
        <v>26951</v>
      </c>
      <c r="C2321" t="s">
        <v>5861</v>
      </c>
      <c r="D2321" t="s">
        <v>5860</v>
      </c>
      <c r="E2321" s="2" t="s">
        <v>517</v>
      </c>
      <c r="F2321" t="s">
        <v>3068</v>
      </c>
      <c r="G2321" t="str">
        <f>HYPERLINK("https://ch.yes24.com/Article/View/81242")</f>
        <v>https://ch.yes24.com/Article/View/81242</v>
      </c>
      <c r="H2321">
        <v>0.67900000000000005</v>
      </c>
    </row>
    <row r="2322" spans="1:8" x14ac:dyDescent="0.3">
      <c r="A2322" t="s">
        <v>5743</v>
      </c>
      <c r="B2322" t="s">
        <v>26951</v>
      </c>
      <c r="C2322" t="s">
        <v>5863</v>
      </c>
      <c r="D2322" t="s">
        <v>5862</v>
      </c>
      <c r="E2322" s="2" t="s">
        <v>517</v>
      </c>
      <c r="F2322" t="s">
        <v>1277</v>
      </c>
      <c r="G2322" t="str">
        <f>HYPERLINK("https://n.news.naver.com/mnews/article/011/0004503600?sid=102")</f>
        <v>https://n.news.naver.com/mnews/article/011/0004503600?sid=102</v>
      </c>
      <c r="H2322">
        <v>0.28000000000000003</v>
      </c>
    </row>
    <row r="2323" spans="1:8" x14ac:dyDescent="0.3">
      <c r="A2323" t="s">
        <v>5743</v>
      </c>
      <c r="B2323" t="s">
        <v>26951</v>
      </c>
      <c r="C2323" t="s">
        <v>5865</v>
      </c>
      <c r="D2323" t="s">
        <v>5864</v>
      </c>
      <c r="E2323" s="2" t="s">
        <v>517</v>
      </c>
      <c r="F2323" t="s">
        <v>2212</v>
      </c>
      <c r="G2323" t="str">
        <f>HYPERLINK("https://www.ltn.kr/news/articleView.html?idxno=48941")</f>
        <v>https://www.ltn.kr/news/articleView.html?idxno=48941</v>
      </c>
      <c r="H2323">
        <v>0.68300000000000005</v>
      </c>
    </row>
    <row r="2324" spans="1:8" x14ac:dyDescent="0.3">
      <c r="A2324" t="s">
        <v>5743</v>
      </c>
      <c r="B2324" t="s">
        <v>26951</v>
      </c>
      <c r="C2324" t="s">
        <v>5868</v>
      </c>
      <c r="D2324" t="s">
        <v>5867</v>
      </c>
      <c r="E2324" s="2" t="s">
        <v>517</v>
      </c>
      <c r="F2324" t="s">
        <v>5866</v>
      </c>
      <c r="H2324">
        <v>0.35</v>
      </c>
    </row>
    <row r="2325" spans="1:8" x14ac:dyDescent="0.3">
      <c r="A2325" t="s">
        <v>5743</v>
      </c>
      <c r="B2325" t="s">
        <v>26951</v>
      </c>
      <c r="C2325" t="s">
        <v>5870</v>
      </c>
      <c r="D2325" t="s">
        <v>5869</v>
      </c>
      <c r="E2325" s="2" t="s">
        <v>538</v>
      </c>
      <c r="F2325" t="s">
        <v>197</v>
      </c>
      <c r="G2325" t="str">
        <f>HYPERLINK("https://n.news.naver.com/mnews/article/088/0000783869?sid=004")</f>
        <v>https://n.news.naver.com/mnews/article/088/0000783869?sid=004</v>
      </c>
      <c r="H2325">
        <v>0.29299999999999998</v>
      </c>
    </row>
    <row r="2326" spans="1:8" x14ac:dyDescent="0.3">
      <c r="A2326" t="s">
        <v>5743</v>
      </c>
      <c r="B2326" t="s">
        <v>26951</v>
      </c>
      <c r="C2326" t="s">
        <v>5872</v>
      </c>
      <c r="D2326" t="s">
        <v>5871</v>
      </c>
      <c r="E2326" s="2" t="s">
        <v>538</v>
      </c>
      <c r="F2326" t="s">
        <v>5848</v>
      </c>
      <c r="G2326" t="str">
        <f>HYPERLINK("https://www.christiantoday.co.kr/news/369168")</f>
        <v>https://www.christiantoday.co.kr/news/369168</v>
      </c>
      <c r="H2326">
        <v>0.57199999999999995</v>
      </c>
    </row>
    <row r="2327" spans="1:8" x14ac:dyDescent="0.3">
      <c r="A2327" t="s">
        <v>5743</v>
      </c>
      <c r="B2327" t="s">
        <v>26951</v>
      </c>
      <c r="C2327" t="s">
        <v>5874</v>
      </c>
      <c r="D2327" t="s">
        <v>5873</v>
      </c>
      <c r="E2327" s="2" t="s">
        <v>538</v>
      </c>
      <c r="F2327" t="s">
        <v>3173</v>
      </c>
      <c r="G2327" t="str">
        <f>HYPERLINK("https://n.news.naver.com/mnews/article/036/0000043151?sid=102")</f>
        <v>https://n.news.naver.com/mnews/article/036/0000043151?sid=102</v>
      </c>
      <c r="H2327">
        <v>0.23300000000000001</v>
      </c>
    </row>
    <row r="2328" spans="1:8" x14ac:dyDescent="0.3">
      <c r="A2328" t="s">
        <v>5743</v>
      </c>
      <c r="B2328" t="s">
        <v>26951</v>
      </c>
      <c r="C2328" t="s">
        <v>5877</v>
      </c>
      <c r="D2328" t="s">
        <v>5876</v>
      </c>
      <c r="E2328" s="2" t="s">
        <v>538</v>
      </c>
      <c r="F2328" t="s">
        <v>5875</v>
      </c>
      <c r="G2328" t="str">
        <f>HYPERLINK("https://www.kpinews.kr/newsView/1065594534280855")</f>
        <v>https://www.kpinews.kr/newsView/1065594534280855</v>
      </c>
      <c r="H2328">
        <v>0.38900000000000001</v>
      </c>
    </row>
    <row r="2329" spans="1:8" x14ac:dyDescent="0.3">
      <c r="A2329" t="s">
        <v>5743</v>
      </c>
      <c r="B2329" t="s">
        <v>26951</v>
      </c>
      <c r="C2329" t="s">
        <v>5880</v>
      </c>
      <c r="D2329" t="s">
        <v>5879</v>
      </c>
      <c r="E2329" s="2" t="s">
        <v>538</v>
      </c>
      <c r="F2329" t="s">
        <v>5878</v>
      </c>
      <c r="G2329" t="str">
        <f>HYPERLINK("http://www.christiantoday.co.kr/news/315069")</f>
        <v>http://www.christiantoday.co.kr/news/315069</v>
      </c>
      <c r="H2329">
        <v>0.86</v>
      </c>
    </row>
    <row r="2330" spans="1:8" x14ac:dyDescent="0.3">
      <c r="A2330" t="s">
        <v>5743</v>
      </c>
      <c r="B2330" t="s">
        <v>26951</v>
      </c>
      <c r="C2330" t="s">
        <v>5883</v>
      </c>
      <c r="D2330" t="s">
        <v>5882</v>
      </c>
      <c r="E2330" s="2" t="s">
        <v>538</v>
      </c>
      <c r="F2330" t="s">
        <v>5881</v>
      </c>
      <c r="G2330" t="str">
        <f>HYPERLINK("http://www.danbinews.com/news/articleView.html?idxno=24211")</f>
        <v>http://www.danbinews.com/news/articleView.html?idxno=24211</v>
      </c>
      <c r="H2330">
        <v>0.18</v>
      </c>
    </row>
    <row r="2331" spans="1:8" x14ac:dyDescent="0.3">
      <c r="A2331" t="s">
        <v>5743</v>
      </c>
      <c r="B2331" t="s">
        <v>26951</v>
      </c>
      <c r="C2331" t="s">
        <v>5886</v>
      </c>
      <c r="D2331" t="s">
        <v>5885</v>
      </c>
      <c r="E2331" s="2" t="s">
        <v>538</v>
      </c>
      <c r="F2331" t="s">
        <v>5884</v>
      </c>
      <c r="G2331" t="str">
        <f>HYPERLINK("https://n.news.naver.com/mnews/article/036/0000040678?sid=102")</f>
        <v>https://n.news.naver.com/mnews/article/036/0000040678?sid=102</v>
      </c>
      <c r="H2331">
        <v>0.35599999999999998</v>
      </c>
    </row>
    <row r="2332" spans="1:8" x14ac:dyDescent="0.3">
      <c r="A2332" t="s">
        <v>5743</v>
      </c>
      <c r="B2332" t="s">
        <v>26951</v>
      </c>
      <c r="C2332" t="s">
        <v>5890</v>
      </c>
      <c r="D2332" t="s">
        <v>5889</v>
      </c>
      <c r="E2332" s="2" t="s">
        <v>538</v>
      </c>
      <c r="F2332" t="s">
        <v>5888</v>
      </c>
      <c r="G2332" t="str">
        <f>HYPERLINK("https://www.danbinews.com/news/articleView.html?idxno=30751")</f>
        <v>https://www.danbinews.com/news/articleView.html?idxno=30751</v>
      </c>
      <c r="H2332">
        <v>0.496</v>
      </c>
    </row>
    <row r="2333" spans="1:8" x14ac:dyDescent="0.3">
      <c r="A2333" t="s">
        <v>5743</v>
      </c>
      <c r="B2333" t="s">
        <v>26951</v>
      </c>
      <c r="C2333" t="s">
        <v>5892</v>
      </c>
      <c r="D2333" t="s">
        <v>5891</v>
      </c>
      <c r="E2333" s="2" t="s">
        <v>538</v>
      </c>
      <c r="F2333" t="s">
        <v>235</v>
      </c>
      <c r="G2333" t="str">
        <f>HYPERLINK("https://n.news.naver.com/mnews/article/052/0001802150?sid=100")</f>
        <v>https://n.news.naver.com/mnews/article/052/0001802150?sid=100</v>
      </c>
      <c r="H2333">
        <v>0.26600000000000001</v>
      </c>
    </row>
    <row r="2334" spans="1:8" x14ac:dyDescent="0.3">
      <c r="A2334" t="s">
        <v>5743</v>
      </c>
      <c r="B2334" t="s">
        <v>26951</v>
      </c>
      <c r="C2334" t="s">
        <v>5894</v>
      </c>
      <c r="D2334" t="s">
        <v>5893</v>
      </c>
      <c r="E2334" s="2" t="s">
        <v>538</v>
      </c>
      <c r="F2334" t="s">
        <v>1579</v>
      </c>
      <c r="G2334" t="str">
        <f>HYPERLINK("https://n.news.naver.com/mnews/article/214/0001433484?sid=100")</f>
        <v>https://n.news.naver.com/mnews/article/214/0001433484?sid=100</v>
      </c>
      <c r="H2334">
        <v>0.46400000000000002</v>
      </c>
    </row>
    <row r="2335" spans="1:8" x14ac:dyDescent="0.3">
      <c r="A2335" t="s">
        <v>5743</v>
      </c>
      <c r="B2335" t="s">
        <v>26951</v>
      </c>
      <c r="C2335" t="s">
        <v>5897</v>
      </c>
      <c r="D2335" t="s">
        <v>5896</v>
      </c>
      <c r="E2335" s="2" t="s">
        <v>538</v>
      </c>
      <c r="F2335" t="s">
        <v>5895</v>
      </c>
      <c r="G2335" t="str">
        <f>HYPERLINK("https://www.naeil.com/news/read/553050?ref=naver")</f>
        <v>https://www.naeil.com/news/read/553050?ref=naver</v>
      </c>
      <c r="H2335">
        <v>0.59699999999999998</v>
      </c>
    </row>
    <row r="2336" spans="1:8" x14ac:dyDescent="0.3">
      <c r="A2336" t="s">
        <v>5743</v>
      </c>
      <c r="B2336" t="s">
        <v>26951</v>
      </c>
      <c r="C2336" t="s">
        <v>5899</v>
      </c>
      <c r="D2336" t="s">
        <v>5898</v>
      </c>
      <c r="E2336" s="2" t="s">
        <v>538</v>
      </c>
      <c r="F2336" t="s">
        <v>588</v>
      </c>
      <c r="G2336" t="str">
        <f>HYPERLINK("https://n.news.naver.com/mnews/article/028/0002750284?sid=100")</f>
        <v>https://n.news.naver.com/mnews/article/028/0002750284?sid=100</v>
      </c>
      <c r="H2336">
        <v>0.28599999999999998</v>
      </c>
    </row>
    <row r="2337" spans="1:8" x14ac:dyDescent="0.3">
      <c r="A2337" t="s">
        <v>5743</v>
      </c>
      <c r="B2337" t="s">
        <v>26951</v>
      </c>
      <c r="C2337" t="s">
        <v>5902</v>
      </c>
      <c r="D2337" t="s">
        <v>5901</v>
      </c>
      <c r="E2337" s="2" t="s">
        <v>538</v>
      </c>
      <c r="F2337" t="s">
        <v>5900</v>
      </c>
      <c r="G2337" t="str">
        <f>HYPERLINK("https://n.news.naver.com/mnews/article/081/0003541922?sid=100")</f>
        <v>https://n.news.naver.com/mnews/article/081/0003541922?sid=100</v>
      </c>
      <c r="H2337">
        <v>0.193</v>
      </c>
    </row>
    <row r="2338" spans="1:8" x14ac:dyDescent="0.3">
      <c r="A2338" t="s">
        <v>5743</v>
      </c>
      <c r="B2338" t="s">
        <v>26951</v>
      </c>
      <c r="C2338" t="s">
        <v>5904</v>
      </c>
      <c r="D2338" t="s">
        <v>5903</v>
      </c>
      <c r="E2338" s="2" t="s">
        <v>538</v>
      </c>
      <c r="F2338" t="s">
        <v>179</v>
      </c>
      <c r="G2338" t="str">
        <f>HYPERLINK("https://n.news.naver.com/mnews/article/018/0006036671?sid=101")</f>
        <v>https://n.news.naver.com/mnews/article/018/0006036671?sid=101</v>
      </c>
      <c r="H2338">
        <v>0.36899999999999999</v>
      </c>
    </row>
    <row r="2339" spans="1:8" x14ac:dyDescent="0.3">
      <c r="A2339" t="s">
        <v>5743</v>
      </c>
      <c r="B2339" t="s">
        <v>26951</v>
      </c>
      <c r="C2339" t="s">
        <v>5906</v>
      </c>
      <c r="D2339" t="s">
        <v>5905</v>
      </c>
      <c r="E2339" s="2" t="s">
        <v>538</v>
      </c>
      <c r="F2339" t="s">
        <v>1579</v>
      </c>
      <c r="G2339" t="str">
        <f>HYPERLINK("http://www.aptn.co.kr/news/articleView.html?idxno=109549")</f>
        <v>http://www.aptn.co.kr/news/articleView.html?idxno=109549</v>
      </c>
      <c r="H2339">
        <v>0.432</v>
      </c>
    </row>
    <row r="2340" spans="1:8" x14ac:dyDescent="0.3">
      <c r="A2340" t="s">
        <v>5743</v>
      </c>
      <c r="B2340" t="s">
        <v>26951</v>
      </c>
      <c r="C2340" t="s">
        <v>5908</v>
      </c>
      <c r="D2340" t="s">
        <v>5907</v>
      </c>
      <c r="E2340" s="2" t="s">
        <v>538</v>
      </c>
      <c r="F2340" t="s">
        <v>2212</v>
      </c>
      <c r="G2340" t="str">
        <f>HYPERLINK("https://n.news.naver.com/mnews/article/018/0006036545?sid=100")</f>
        <v>https://n.news.naver.com/mnews/article/018/0006036545?sid=100</v>
      </c>
      <c r="H2340">
        <v>0.32800000000000001</v>
      </c>
    </row>
    <row r="2341" spans="1:8" x14ac:dyDescent="0.3">
      <c r="A2341" t="s">
        <v>5743</v>
      </c>
      <c r="B2341" t="s">
        <v>26951</v>
      </c>
      <c r="C2341" t="s">
        <v>5911</v>
      </c>
      <c r="D2341" t="s">
        <v>5910</v>
      </c>
      <c r="E2341" s="2" t="s">
        <v>538</v>
      </c>
      <c r="F2341" t="s">
        <v>5909</v>
      </c>
      <c r="G2341" t="str">
        <f>HYPERLINK("http://www.jeonmin.co.kr/news/articleView.html?idxno=419502")</f>
        <v>http://www.jeonmin.co.kr/news/articleView.html?idxno=419502</v>
      </c>
      <c r="H2341">
        <v>0.70899999999999996</v>
      </c>
    </row>
    <row r="2342" spans="1:8" x14ac:dyDescent="0.3">
      <c r="A2342" t="s">
        <v>5743</v>
      </c>
      <c r="B2342" t="s">
        <v>26951</v>
      </c>
      <c r="C2342" t="s">
        <v>5914</v>
      </c>
      <c r="D2342" t="s">
        <v>5913</v>
      </c>
      <c r="E2342" s="2" t="s">
        <v>538</v>
      </c>
      <c r="F2342" t="s">
        <v>5912</v>
      </c>
      <c r="G2342" t="str">
        <f>HYPERLINK("http://www.jbsori.com/news/articleView.html?idxno=13040")</f>
        <v>http://www.jbsori.com/news/articleView.html?idxno=13040</v>
      </c>
      <c r="H2342">
        <v>0.3</v>
      </c>
    </row>
    <row r="2343" spans="1:8" x14ac:dyDescent="0.3">
      <c r="A2343" t="s">
        <v>5743</v>
      </c>
      <c r="B2343" t="s">
        <v>26951</v>
      </c>
      <c r="C2343" t="s">
        <v>5917</v>
      </c>
      <c r="D2343" t="s">
        <v>5916</v>
      </c>
      <c r="E2343" s="2" t="s">
        <v>538</v>
      </c>
      <c r="F2343" t="s">
        <v>5915</v>
      </c>
      <c r="G2343" t="str">
        <f>HYPERLINK("http://www.ilemonde.com/news/articleView.html?idxno=19997")</f>
        <v>http://www.ilemonde.com/news/articleView.html?idxno=19997</v>
      </c>
      <c r="H2343">
        <v>0.6</v>
      </c>
    </row>
    <row r="2344" spans="1:8" x14ac:dyDescent="0.3">
      <c r="A2344" t="s">
        <v>5743</v>
      </c>
      <c r="B2344" t="s">
        <v>26951</v>
      </c>
      <c r="C2344" t="s">
        <v>5920</v>
      </c>
      <c r="D2344" t="s">
        <v>5919</v>
      </c>
      <c r="E2344" s="2" t="s">
        <v>538</v>
      </c>
      <c r="F2344" t="s">
        <v>5918</v>
      </c>
      <c r="G2344" t="str">
        <f>HYPERLINK("http://www.enewstoday.co.kr/news/articleView.html?idxno=388189")</f>
        <v>http://www.enewstoday.co.kr/news/articleView.html?idxno=388189</v>
      </c>
      <c r="H2344">
        <v>0.52300000000000002</v>
      </c>
    </row>
    <row r="2345" spans="1:8" x14ac:dyDescent="0.3">
      <c r="A2345" t="s">
        <v>5743</v>
      </c>
      <c r="B2345" t="s">
        <v>26951</v>
      </c>
      <c r="C2345" t="s">
        <v>5923</v>
      </c>
      <c r="D2345" t="s">
        <v>5922</v>
      </c>
      <c r="E2345" s="2" t="s">
        <v>538</v>
      </c>
      <c r="F2345" t="s">
        <v>5921</v>
      </c>
      <c r="G2345" t="str">
        <f>HYPERLINK("https://www.geconomy.co.kr/news/article.html?no=301464")</f>
        <v>https://www.geconomy.co.kr/news/article.html?no=301464</v>
      </c>
      <c r="H2345">
        <v>0.222</v>
      </c>
    </row>
    <row r="2346" spans="1:8" x14ac:dyDescent="0.3">
      <c r="A2346" t="s">
        <v>5743</v>
      </c>
      <c r="B2346" t="s">
        <v>26951</v>
      </c>
      <c r="C2346" t="s">
        <v>5925</v>
      </c>
      <c r="D2346" t="s">
        <v>5924</v>
      </c>
      <c r="E2346" s="2" t="s">
        <v>538</v>
      </c>
      <c r="F2346" t="s">
        <v>89</v>
      </c>
      <c r="G2346" t="str">
        <f>HYPERLINK("https://www.apnews.kr/news/articleView.html?idxno=3020142")</f>
        <v>https://www.apnews.kr/news/articleView.html?idxno=3020142</v>
      </c>
      <c r="H2346">
        <v>0.52</v>
      </c>
    </row>
    <row r="2347" spans="1:8" x14ac:dyDescent="0.3">
      <c r="A2347" t="s">
        <v>5743</v>
      </c>
      <c r="B2347" t="s">
        <v>26951</v>
      </c>
      <c r="C2347" t="s">
        <v>5927</v>
      </c>
      <c r="D2347" t="s">
        <v>5926</v>
      </c>
      <c r="E2347" s="2" t="s">
        <v>538</v>
      </c>
      <c r="F2347" t="s">
        <v>1975</v>
      </c>
      <c r="G2347" t="str">
        <f>HYPERLINK("http://www.nongaek.com/news/articleView.html?idxno=91760")</f>
        <v>http://www.nongaek.com/news/articleView.html?idxno=91760</v>
      </c>
      <c r="H2347">
        <v>0.40699999999999997</v>
      </c>
    </row>
    <row r="2348" spans="1:8" x14ac:dyDescent="0.3">
      <c r="A2348" t="s">
        <v>5743</v>
      </c>
      <c r="B2348" t="s">
        <v>26951</v>
      </c>
      <c r="C2348" t="s">
        <v>5930</v>
      </c>
      <c r="D2348" t="s">
        <v>5783</v>
      </c>
      <c r="E2348" s="2" t="s">
        <v>538</v>
      </c>
      <c r="F2348" t="s">
        <v>5782</v>
      </c>
      <c r="G2348" t="str">
        <f>HYPERLINK("https://www.jjan.kr/article/20250624580165")</f>
        <v>https://www.jjan.kr/article/20250624580165</v>
      </c>
      <c r="H2348">
        <v>0.443</v>
      </c>
    </row>
    <row r="2349" spans="1:8" x14ac:dyDescent="0.3">
      <c r="A2349" t="s">
        <v>5743</v>
      </c>
      <c r="B2349" t="s">
        <v>26951</v>
      </c>
      <c r="C2349" t="s">
        <v>5932</v>
      </c>
      <c r="D2349" t="s">
        <v>5931</v>
      </c>
      <c r="E2349" s="2" t="s">
        <v>572</v>
      </c>
      <c r="F2349" t="s">
        <v>197</v>
      </c>
      <c r="G2349" t="str">
        <f>HYPERLINK("https://n.news.naver.com/mnews/article/127/0000037632?sid=102")</f>
        <v>https://n.news.naver.com/mnews/article/127/0000037632?sid=102</v>
      </c>
      <c r="H2349">
        <v>0.3</v>
      </c>
    </row>
    <row r="2350" spans="1:8" x14ac:dyDescent="0.3">
      <c r="A2350" t="s">
        <v>5743</v>
      </c>
      <c r="B2350" t="s">
        <v>26951</v>
      </c>
      <c r="C2350" t="s">
        <v>5934</v>
      </c>
      <c r="D2350" t="s">
        <v>5933</v>
      </c>
      <c r="E2350" s="2" t="s">
        <v>572</v>
      </c>
      <c r="F2350" t="s">
        <v>197</v>
      </c>
      <c r="G2350" t="str">
        <f>HYPERLINK("https://n.news.naver.com/mnews/article/028/0002753628?sid=100")</f>
        <v>https://n.news.naver.com/mnews/article/028/0002753628?sid=100</v>
      </c>
      <c r="H2350">
        <v>0.26200000000000001</v>
      </c>
    </row>
    <row r="2351" spans="1:8" x14ac:dyDescent="0.3">
      <c r="A2351" t="s">
        <v>5743</v>
      </c>
      <c r="B2351" t="s">
        <v>26951</v>
      </c>
      <c r="C2351" t="s">
        <v>5936</v>
      </c>
      <c r="D2351" t="s">
        <v>5935</v>
      </c>
      <c r="E2351" s="2" t="s">
        <v>572</v>
      </c>
      <c r="F2351" t="s">
        <v>197</v>
      </c>
      <c r="G2351" t="str">
        <f>HYPERLINK("http://www.biztribune.co.kr/news/articleView.html?idxno=335689")</f>
        <v>http://www.biztribune.co.kr/news/articleView.html?idxno=335689</v>
      </c>
      <c r="H2351">
        <v>0.54500000000000004</v>
      </c>
    </row>
    <row r="2352" spans="1:8" x14ac:dyDescent="0.3">
      <c r="A2352" t="s">
        <v>5743</v>
      </c>
      <c r="B2352" t="s">
        <v>26951</v>
      </c>
      <c r="C2352" t="s">
        <v>5938</v>
      </c>
      <c r="D2352" t="s">
        <v>5937</v>
      </c>
      <c r="E2352" s="2" t="s">
        <v>572</v>
      </c>
      <c r="F2352" t="s">
        <v>197</v>
      </c>
      <c r="G2352" t="str">
        <f>HYPERLINK("https://n.news.naver.com/mnews/article/028/0002751045?sid=102")</f>
        <v>https://n.news.naver.com/mnews/article/028/0002751045?sid=102</v>
      </c>
      <c r="H2352">
        <v>0.29699999999999999</v>
      </c>
    </row>
    <row r="2353" spans="1:8" x14ac:dyDescent="0.3">
      <c r="A2353" t="s">
        <v>5743</v>
      </c>
      <c r="B2353" t="s">
        <v>26951</v>
      </c>
      <c r="C2353" t="s">
        <v>5942</v>
      </c>
      <c r="D2353" t="s">
        <v>5941</v>
      </c>
      <c r="E2353" s="2" t="s">
        <v>572</v>
      </c>
      <c r="F2353" t="s">
        <v>2417</v>
      </c>
      <c r="G2353" t="str">
        <f>HYPERLINK("https://www.viva100.com/article/20250611501601")</f>
        <v>https://www.viva100.com/article/20250611501601</v>
      </c>
      <c r="H2353">
        <v>0.32900000000000001</v>
      </c>
    </row>
    <row r="2354" spans="1:8" x14ac:dyDescent="0.3">
      <c r="A2354" t="s">
        <v>5743</v>
      </c>
      <c r="B2354" t="s">
        <v>26951</v>
      </c>
      <c r="C2354" t="s">
        <v>5944</v>
      </c>
      <c r="D2354" t="s">
        <v>5943</v>
      </c>
      <c r="E2354" s="2" t="s">
        <v>572</v>
      </c>
      <c r="F2354" t="s">
        <v>197</v>
      </c>
      <c r="G2354" t="str">
        <f>HYPERLINK("https://n.news.naver.com/mnews/article/079/0002468052?sid=100")</f>
        <v>https://n.news.naver.com/mnews/article/079/0002468052?sid=100</v>
      </c>
      <c r="H2354">
        <v>0.23599999999999999</v>
      </c>
    </row>
    <row r="2355" spans="1:8" x14ac:dyDescent="0.3">
      <c r="A2355" t="s">
        <v>5743</v>
      </c>
      <c r="B2355" t="s">
        <v>26951</v>
      </c>
      <c r="C2355" t="s">
        <v>5946</v>
      </c>
      <c r="D2355" t="s">
        <v>5945</v>
      </c>
      <c r="E2355" s="2" t="s">
        <v>572</v>
      </c>
      <c r="F2355" t="s">
        <v>197</v>
      </c>
      <c r="G2355" t="str">
        <f>HYPERLINK("https://www.ekoreanews.co.kr/news/articleView.html?idxno=68102")</f>
        <v>https://www.ekoreanews.co.kr/news/articleView.html?idxno=68102</v>
      </c>
      <c r="H2355">
        <v>0.52500000000000002</v>
      </c>
    </row>
    <row r="2356" spans="1:8" x14ac:dyDescent="0.3">
      <c r="A2356" t="s">
        <v>5743</v>
      </c>
      <c r="B2356" t="s">
        <v>26951</v>
      </c>
      <c r="C2356" t="s">
        <v>5948</v>
      </c>
      <c r="D2356" t="s">
        <v>5947</v>
      </c>
      <c r="E2356" s="2" t="s">
        <v>572</v>
      </c>
      <c r="F2356" t="s">
        <v>197</v>
      </c>
      <c r="G2356" t="str">
        <f>HYPERLINK("https://n.news.naver.com/mnews/article/028/0002597889?sid=100")</f>
        <v>https://n.news.naver.com/mnews/article/028/0002597889?sid=100</v>
      </c>
      <c r="H2356">
        <v>0.28499999999999998</v>
      </c>
    </row>
    <row r="2357" spans="1:8" x14ac:dyDescent="0.3">
      <c r="A2357" t="s">
        <v>5743</v>
      </c>
      <c r="B2357" t="s">
        <v>26951</v>
      </c>
      <c r="C2357" t="s">
        <v>5950</v>
      </c>
      <c r="D2357" t="s">
        <v>5949</v>
      </c>
      <c r="E2357" s="2" t="s">
        <v>572</v>
      </c>
      <c r="F2357" t="s">
        <v>197</v>
      </c>
      <c r="G2357" t="str">
        <f>HYPERLINK("https://n.news.naver.com/mnews/article/052/0002205081?sid=100")</f>
        <v>https://n.news.naver.com/mnews/article/052/0002205081?sid=100</v>
      </c>
      <c r="H2357">
        <v>0.26500000000000001</v>
      </c>
    </row>
    <row r="2358" spans="1:8" x14ac:dyDescent="0.3">
      <c r="A2358" t="s">
        <v>5743</v>
      </c>
      <c r="B2358" t="s">
        <v>26951</v>
      </c>
      <c r="C2358" t="s">
        <v>3526</v>
      </c>
      <c r="D2358" t="s">
        <v>3525</v>
      </c>
      <c r="E2358" s="2" t="s">
        <v>572</v>
      </c>
      <c r="F2358" t="s">
        <v>197</v>
      </c>
      <c r="G2358" t="str">
        <f>HYPERLINK("https://www.jjan.kr/article/20241029580160")</f>
        <v>https://www.jjan.kr/article/20241029580160</v>
      </c>
      <c r="H2358">
        <v>0.53900000000000003</v>
      </c>
    </row>
    <row r="2359" spans="1:8" x14ac:dyDescent="0.3">
      <c r="A2359" t="s">
        <v>5743</v>
      </c>
      <c r="B2359" t="s">
        <v>26951</v>
      </c>
      <c r="C2359" t="s">
        <v>5952</v>
      </c>
      <c r="D2359" t="s">
        <v>5951</v>
      </c>
      <c r="E2359" s="2" t="s">
        <v>572</v>
      </c>
      <c r="F2359" t="s">
        <v>197</v>
      </c>
      <c r="G2359" t="str">
        <f>HYPERLINK("https://www.apnews.kr/news/articleView.html?idxno=3036114")</f>
        <v>https://www.apnews.kr/news/articleView.html?idxno=3036114</v>
      </c>
      <c r="H2359">
        <v>0.60599999999999998</v>
      </c>
    </row>
    <row r="2360" spans="1:8" x14ac:dyDescent="0.3">
      <c r="A2360" t="s">
        <v>5743</v>
      </c>
      <c r="B2360" t="s">
        <v>26951</v>
      </c>
      <c r="C2360" t="s">
        <v>5955</v>
      </c>
      <c r="D2360" t="s">
        <v>5954</v>
      </c>
      <c r="E2360" s="2" t="s">
        <v>572</v>
      </c>
      <c r="F2360" t="s">
        <v>5953</v>
      </c>
      <c r="G2360" t="str">
        <f>HYPERLINK("http://www.newspost.kr/news/articleView.html?idxno=73364")</f>
        <v>http://www.newspost.kr/news/articleView.html?idxno=73364</v>
      </c>
      <c r="H2360">
        <v>0.52600000000000002</v>
      </c>
    </row>
    <row r="2361" spans="1:8" x14ac:dyDescent="0.3">
      <c r="A2361" t="s">
        <v>5743</v>
      </c>
      <c r="B2361" t="s">
        <v>26951</v>
      </c>
      <c r="C2361" t="s">
        <v>5957</v>
      </c>
      <c r="D2361" t="s">
        <v>5956</v>
      </c>
      <c r="E2361" s="2" t="s">
        <v>572</v>
      </c>
      <c r="F2361" t="s">
        <v>148</v>
      </c>
      <c r="G2361" t="str">
        <f>HYPERLINK("http://www.viewsnnews.com/article?q=207694")</f>
        <v>http://www.viewsnnews.com/article?q=207694</v>
      </c>
      <c r="H2361">
        <v>0.28699999999999998</v>
      </c>
    </row>
    <row r="2362" spans="1:8" x14ac:dyDescent="0.3">
      <c r="A2362" t="s">
        <v>5743</v>
      </c>
      <c r="B2362" t="s">
        <v>26951</v>
      </c>
      <c r="C2362" t="s">
        <v>5960</v>
      </c>
      <c r="D2362" t="s">
        <v>5959</v>
      </c>
      <c r="E2362" s="2" t="s">
        <v>572</v>
      </c>
      <c r="F2362" t="s">
        <v>5958</v>
      </c>
      <c r="G2362" t="str">
        <f>HYPERLINK("http://www.bulkwang.co.kr/news/articleView.html?idxno=35584")</f>
        <v>http://www.bulkwang.co.kr/news/articleView.html?idxno=35584</v>
      </c>
      <c r="H2362">
        <v>0.39700000000000002</v>
      </c>
    </row>
    <row r="2363" spans="1:8" x14ac:dyDescent="0.3">
      <c r="A2363" t="s">
        <v>5743</v>
      </c>
      <c r="B2363" t="s">
        <v>26951</v>
      </c>
      <c r="C2363" t="s">
        <v>5962</v>
      </c>
      <c r="D2363" t="s">
        <v>5961</v>
      </c>
      <c r="E2363" s="2" t="s">
        <v>572</v>
      </c>
      <c r="F2363" t="s">
        <v>5622</v>
      </c>
      <c r="G2363" t="str">
        <f>HYPERLINK("http://www.kyosu.net/news/articleView.html?idxno=88183")</f>
        <v>http://www.kyosu.net/news/articleView.html?idxno=88183</v>
      </c>
      <c r="H2363">
        <v>0.67300000000000004</v>
      </c>
    </row>
    <row r="2364" spans="1:8" x14ac:dyDescent="0.3">
      <c r="A2364" t="s">
        <v>5743</v>
      </c>
      <c r="B2364" t="s">
        <v>26951</v>
      </c>
      <c r="C2364" t="s">
        <v>5964</v>
      </c>
      <c r="D2364" t="s">
        <v>5963</v>
      </c>
      <c r="E2364" s="2" t="s">
        <v>572</v>
      </c>
      <c r="F2364" t="s">
        <v>197</v>
      </c>
      <c r="G2364" t="str">
        <f>HYPERLINK("https://n.news.naver.com/mnews/article/052/0002063527?sid=100")</f>
        <v>https://n.news.naver.com/mnews/article/052/0002063527?sid=100</v>
      </c>
      <c r="H2364">
        <v>0.27900000000000003</v>
      </c>
    </row>
    <row r="2365" spans="1:8" x14ac:dyDescent="0.3">
      <c r="A2365" t="s">
        <v>5743</v>
      </c>
      <c r="B2365" t="s">
        <v>26951</v>
      </c>
      <c r="C2365" t="s">
        <v>5966</v>
      </c>
      <c r="D2365" t="s">
        <v>5965</v>
      </c>
      <c r="E2365" s="2" t="s">
        <v>609</v>
      </c>
      <c r="F2365" t="s">
        <v>197</v>
      </c>
      <c r="G2365" t="str">
        <f>HYPERLINK("https://n.news.naver.com/mnews/article/006/0000118362?sid=102")</f>
        <v>https://n.news.naver.com/mnews/article/006/0000118362?sid=102</v>
      </c>
      <c r="H2365">
        <v>0.27600000000000002</v>
      </c>
    </row>
    <row r="2366" spans="1:8" x14ac:dyDescent="0.3">
      <c r="A2366" t="s">
        <v>5743</v>
      </c>
      <c r="B2366" t="s">
        <v>26951</v>
      </c>
      <c r="C2366" t="s">
        <v>5968</v>
      </c>
      <c r="D2366" t="s">
        <v>5967</v>
      </c>
      <c r="E2366" s="2" t="s">
        <v>609</v>
      </c>
      <c r="F2366" t="s">
        <v>197</v>
      </c>
      <c r="G2366" t="str">
        <f>HYPERLINK("https://n.news.naver.com/mnews/article/028/0002702798?sid=100")</f>
        <v>https://n.news.naver.com/mnews/article/028/0002702798?sid=100</v>
      </c>
      <c r="H2366">
        <v>0.26800000000000002</v>
      </c>
    </row>
    <row r="2367" spans="1:8" x14ac:dyDescent="0.3">
      <c r="A2367" t="s">
        <v>5743</v>
      </c>
      <c r="B2367" t="s">
        <v>26951</v>
      </c>
      <c r="C2367" t="s">
        <v>5971</v>
      </c>
      <c r="D2367" t="s">
        <v>5970</v>
      </c>
      <c r="E2367" s="2" t="s">
        <v>609</v>
      </c>
      <c r="F2367" t="s">
        <v>5969</v>
      </c>
      <c r="G2367" t="str">
        <f>HYPERLINK("http://bravo.etoday.co.kr/view/atc_view.php?varAtcId=9879")</f>
        <v>http://bravo.etoday.co.kr/view/atc_view.php?varAtcId=9879</v>
      </c>
      <c r="H2367">
        <v>0.52700000000000002</v>
      </c>
    </row>
    <row r="2368" spans="1:8" x14ac:dyDescent="0.3">
      <c r="A2368" t="s">
        <v>5743</v>
      </c>
      <c r="B2368" t="s">
        <v>26951</v>
      </c>
      <c r="C2368" t="s">
        <v>5978</v>
      </c>
      <c r="D2368" t="s">
        <v>5977</v>
      </c>
      <c r="E2368" s="2" t="s">
        <v>609</v>
      </c>
      <c r="F2368" t="s">
        <v>197</v>
      </c>
      <c r="G2368" t="str">
        <f>HYPERLINK("https://n.news.naver.com/mnews/article/056/0011977307?sid=100")</f>
        <v>https://n.news.naver.com/mnews/article/056/0011977307?sid=100</v>
      </c>
      <c r="H2368">
        <v>0.254</v>
      </c>
    </row>
    <row r="2369" spans="1:8" x14ac:dyDescent="0.3">
      <c r="A2369" t="s">
        <v>5743</v>
      </c>
      <c r="B2369" t="s">
        <v>26951</v>
      </c>
      <c r="C2369" t="s">
        <v>5980</v>
      </c>
      <c r="D2369" t="s">
        <v>5979</v>
      </c>
      <c r="E2369" s="2" t="s">
        <v>609</v>
      </c>
      <c r="F2369" t="s">
        <v>197</v>
      </c>
      <c r="G2369" t="str">
        <f>HYPERLINK("https://n.news.naver.com/mnews/article/028/0002751354?sid=100")</f>
        <v>https://n.news.naver.com/mnews/article/028/0002751354?sid=100</v>
      </c>
      <c r="H2369">
        <v>0.27</v>
      </c>
    </row>
    <row r="2370" spans="1:8" x14ac:dyDescent="0.3">
      <c r="A2370" t="s">
        <v>5743</v>
      </c>
      <c r="B2370" t="s">
        <v>26951</v>
      </c>
      <c r="C2370" t="s">
        <v>5982</v>
      </c>
      <c r="D2370" t="s">
        <v>5981</v>
      </c>
      <c r="E2370" s="2" t="s">
        <v>609</v>
      </c>
      <c r="F2370" t="s">
        <v>197</v>
      </c>
      <c r="G2370" t="str">
        <f>HYPERLINK("https://n.news.naver.com/mnews/article/028/0002751354?sid=100")</f>
        <v>https://n.news.naver.com/mnews/article/028/0002751354?sid=100</v>
      </c>
      <c r="H2370">
        <v>0.307</v>
      </c>
    </row>
    <row r="2371" spans="1:8" x14ac:dyDescent="0.3">
      <c r="A2371" t="s">
        <v>5743</v>
      </c>
      <c r="B2371" t="s">
        <v>26951</v>
      </c>
      <c r="C2371" t="s">
        <v>5984</v>
      </c>
      <c r="D2371" t="s">
        <v>5983</v>
      </c>
      <c r="E2371" s="2" t="s">
        <v>609</v>
      </c>
      <c r="F2371" t="s">
        <v>197</v>
      </c>
      <c r="G2371" t="str">
        <f>HYPERLINK("https://n.news.naver.com/mnews/article/214/0001433484?sid=100")</f>
        <v>https://n.news.naver.com/mnews/article/214/0001433484?sid=100</v>
      </c>
      <c r="H2371">
        <v>0.41799999999999998</v>
      </c>
    </row>
    <row r="2372" spans="1:8" x14ac:dyDescent="0.3">
      <c r="A2372" t="s">
        <v>5743</v>
      </c>
      <c r="B2372" t="s">
        <v>26951</v>
      </c>
      <c r="C2372" t="s">
        <v>5987</v>
      </c>
      <c r="D2372" t="s">
        <v>5986</v>
      </c>
      <c r="E2372" s="2" t="s">
        <v>609</v>
      </c>
      <c r="F2372" t="s">
        <v>5985</v>
      </c>
      <c r="G2372" t="str">
        <f>HYPERLINK("https://n.news.naver.com/mnews/article/036/0000050963?sid=102")</f>
        <v>https://n.news.naver.com/mnews/article/036/0000050963?sid=102</v>
      </c>
      <c r="H2372">
        <v>0.247</v>
      </c>
    </row>
    <row r="2373" spans="1:8" x14ac:dyDescent="0.3">
      <c r="A2373" t="s">
        <v>5743</v>
      </c>
      <c r="B2373" t="s">
        <v>26951</v>
      </c>
      <c r="C2373" t="s">
        <v>5989</v>
      </c>
      <c r="D2373" t="s">
        <v>5988</v>
      </c>
      <c r="E2373" s="2" t="s">
        <v>609</v>
      </c>
      <c r="F2373" t="s">
        <v>1328</v>
      </c>
      <c r="G2373" t="str">
        <f>HYPERLINK("http://news.lghellovision.net/news/articleView.html?idxno=510065")</f>
        <v>http://news.lghellovision.net/news/articleView.html?idxno=510065</v>
      </c>
      <c r="H2373">
        <v>0.193</v>
      </c>
    </row>
    <row r="2374" spans="1:8" x14ac:dyDescent="0.3">
      <c r="A2374" t="s">
        <v>5743</v>
      </c>
      <c r="B2374" t="s">
        <v>26951</v>
      </c>
      <c r="C2374" t="s">
        <v>5992</v>
      </c>
      <c r="D2374" t="s">
        <v>5991</v>
      </c>
      <c r="E2374" s="2" t="s">
        <v>609</v>
      </c>
      <c r="F2374" t="s">
        <v>5990</v>
      </c>
      <c r="G2374" t="str">
        <f>HYPERLINK("https://ch.yes24.com/Article/View/81269")</f>
        <v>https://ch.yes24.com/Article/View/81269</v>
      </c>
      <c r="H2374">
        <v>0.64</v>
      </c>
    </row>
    <row r="2375" spans="1:8" x14ac:dyDescent="0.3">
      <c r="A2375" t="s">
        <v>5743</v>
      </c>
      <c r="B2375" t="s">
        <v>26951</v>
      </c>
      <c r="C2375" t="s">
        <v>5995</v>
      </c>
      <c r="D2375" t="s">
        <v>5994</v>
      </c>
      <c r="E2375" s="2" t="s">
        <v>609</v>
      </c>
      <c r="F2375" t="s">
        <v>5993</v>
      </c>
      <c r="G2375" t="str">
        <f>HYPERLINK("https://n.news.naver.com/mnews/article/028/0002251734?sid=102")</f>
        <v>https://n.news.naver.com/mnews/article/028/0002251734?sid=102</v>
      </c>
      <c r="H2375">
        <v>0.28100000000000003</v>
      </c>
    </row>
    <row r="2376" spans="1:8" x14ac:dyDescent="0.3">
      <c r="A2376" t="s">
        <v>5743</v>
      </c>
      <c r="B2376" t="s">
        <v>26951</v>
      </c>
      <c r="C2376" t="s">
        <v>5997</v>
      </c>
      <c r="D2376" t="s">
        <v>5996</v>
      </c>
      <c r="E2376" s="2" t="s">
        <v>609</v>
      </c>
      <c r="F2376" t="s">
        <v>1579</v>
      </c>
      <c r="G2376" t="str">
        <f>HYPERLINK("https://n.news.naver.com/mnews/article/088/0000956305?sid=004")</f>
        <v>https://n.news.naver.com/mnews/article/088/0000956305?sid=004</v>
      </c>
      <c r="H2376">
        <v>0.34799999999999998</v>
      </c>
    </row>
    <row r="2377" spans="1:8" x14ac:dyDescent="0.3">
      <c r="A2377" t="s">
        <v>5743</v>
      </c>
      <c r="B2377" t="s">
        <v>26951</v>
      </c>
      <c r="C2377" t="s">
        <v>5999</v>
      </c>
      <c r="D2377" t="s">
        <v>5998</v>
      </c>
      <c r="E2377" s="2" t="s">
        <v>609</v>
      </c>
      <c r="F2377" t="s">
        <v>5142</v>
      </c>
      <c r="G2377" t="str">
        <f>HYPERLINK("https://n.news.naver.com/mnews/article/214/0001429155?sid=100")</f>
        <v>https://n.news.naver.com/mnews/article/214/0001429155?sid=100</v>
      </c>
      <c r="H2377">
        <v>0.24299999999999999</v>
      </c>
    </row>
    <row r="2378" spans="1:8" x14ac:dyDescent="0.3">
      <c r="A2378" t="s">
        <v>5743</v>
      </c>
      <c r="B2378" t="s">
        <v>26951</v>
      </c>
      <c r="C2378" t="s">
        <v>6001</v>
      </c>
      <c r="D2378" t="s">
        <v>6000</v>
      </c>
      <c r="E2378" s="2" t="s">
        <v>609</v>
      </c>
      <c r="F2378" t="s">
        <v>2697</v>
      </c>
      <c r="G2378" t="str">
        <f>HYPERLINK("http://www.incheonilbo.com/news/articleView.html?idxno=1032429")</f>
        <v>http://www.incheonilbo.com/news/articleView.html?idxno=1032429</v>
      </c>
      <c r="H2378">
        <v>0.46</v>
      </c>
    </row>
    <row r="2379" spans="1:8" x14ac:dyDescent="0.3">
      <c r="A2379" t="s">
        <v>5743</v>
      </c>
      <c r="B2379" t="s">
        <v>26951</v>
      </c>
      <c r="C2379" t="s">
        <v>6003</v>
      </c>
      <c r="D2379" t="s">
        <v>6002</v>
      </c>
      <c r="E2379" s="2" t="s">
        <v>609</v>
      </c>
      <c r="F2379" t="s">
        <v>805</v>
      </c>
      <c r="G2379" t="str">
        <f>HYPERLINK("https://n.news.naver.com/mnews/article/028/0002727656?sid=110")</f>
        <v>https://n.news.naver.com/mnews/article/028/0002727656?sid=110</v>
      </c>
      <c r="H2379">
        <v>0.252</v>
      </c>
    </row>
    <row r="2380" spans="1:8" x14ac:dyDescent="0.3">
      <c r="A2380" t="s">
        <v>5743</v>
      </c>
      <c r="B2380" t="s">
        <v>26951</v>
      </c>
      <c r="C2380" t="s">
        <v>6006</v>
      </c>
      <c r="D2380" t="s">
        <v>6005</v>
      </c>
      <c r="E2380" s="2" t="s">
        <v>609</v>
      </c>
      <c r="F2380" t="s">
        <v>6004</v>
      </c>
      <c r="G2380" t="str">
        <f>HYPERLINK("http://ch.yes24.com/Article/View/53964")</f>
        <v>http://ch.yes24.com/Article/View/53964</v>
      </c>
      <c r="H2380">
        <v>0.496</v>
      </c>
    </row>
    <row r="2381" spans="1:8" x14ac:dyDescent="0.3">
      <c r="A2381" t="s">
        <v>5743</v>
      </c>
      <c r="B2381" t="s">
        <v>26951</v>
      </c>
      <c r="C2381" t="s">
        <v>6009</v>
      </c>
      <c r="D2381" t="s">
        <v>6008</v>
      </c>
      <c r="E2381" s="2" t="s">
        <v>609</v>
      </c>
      <c r="F2381" t="s">
        <v>6007</v>
      </c>
      <c r="G2381" t="str">
        <f>HYPERLINK("https://www.huffingtonpost.kr/news/articleView.html?idxno=205918")</f>
        <v>https://www.huffingtonpost.kr/news/articleView.html?idxno=205918</v>
      </c>
      <c r="H2381">
        <v>0.60099999999999998</v>
      </c>
    </row>
    <row r="2382" spans="1:8" x14ac:dyDescent="0.3">
      <c r="A2382" t="s">
        <v>5743</v>
      </c>
      <c r="B2382" t="s">
        <v>26951</v>
      </c>
      <c r="C2382" t="s">
        <v>6012</v>
      </c>
      <c r="D2382" t="s">
        <v>6011</v>
      </c>
      <c r="E2382" s="2" t="s">
        <v>609</v>
      </c>
      <c r="F2382" t="s">
        <v>6010</v>
      </c>
      <c r="G2382" t="str">
        <f>HYPERLINK("https://www.ekn.kr/web/view.php?key=20240501021125082")</f>
        <v>https://www.ekn.kr/web/view.php?key=20240501021125082</v>
      </c>
      <c r="H2382">
        <v>0.42499999999999999</v>
      </c>
    </row>
    <row r="2383" spans="1:8" x14ac:dyDescent="0.3">
      <c r="A2383" t="s">
        <v>5743</v>
      </c>
      <c r="B2383" t="s">
        <v>26951</v>
      </c>
      <c r="C2383" t="s">
        <v>6015</v>
      </c>
      <c r="D2383" t="s">
        <v>6014</v>
      </c>
      <c r="E2383" s="2" t="s">
        <v>609</v>
      </c>
      <c r="F2383" t="s">
        <v>6013</v>
      </c>
      <c r="G2383" t="str">
        <f>HYPERLINK("http://www.dailysportshankook.co.kr/news/articleView.html?idxno=209198")</f>
        <v>http://www.dailysportshankook.co.kr/news/articleView.html?idxno=209198</v>
      </c>
      <c r="H2383">
        <v>0.71399999999999997</v>
      </c>
    </row>
    <row r="2384" spans="1:8" x14ac:dyDescent="0.3">
      <c r="A2384" t="s">
        <v>5743</v>
      </c>
      <c r="B2384" t="s">
        <v>26951</v>
      </c>
      <c r="C2384" t="s">
        <v>6018</v>
      </c>
      <c r="D2384" t="s">
        <v>6017</v>
      </c>
      <c r="E2384" s="2" t="s">
        <v>609</v>
      </c>
      <c r="F2384" t="s">
        <v>6016</v>
      </c>
      <c r="G2384" t="str">
        <f>HYPERLINK("http://ch.yes24.com/Article/View/30158")</f>
        <v>http://ch.yes24.com/Article/View/30158</v>
      </c>
      <c r="H2384">
        <v>0.56000000000000005</v>
      </c>
    </row>
    <row r="2385" spans="1:8" x14ac:dyDescent="0.3">
      <c r="A2385" t="s">
        <v>5743</v>
      </c>
      <c r="B2385" t="s">
        <v>26951</v>
      </c>
      <c r="C2385" t="s">
        <v>6020</v>
      </c>
      <c r="D2385" t="s">
        <v>6019</v>
      </c>
      <c r="E2385" s="2" t="s">
        <v>609</v>
      </c>
      <c r="F2385" t="s">
        <v>1842</v>
      </c>
      <c r="G2385" t="str">
        <f>HYPERLINK("https://n.news.naver.com/mnews/article/002/0002088014?sid=110")</f>
        <v>https://n.news.naver.com/mnews/article/002/0002088014?sid=110</v>
      </c>
      <c r="H2385">
        <v>0.183</v>
      </c>
    </row>
    <row r="2386" spans="1:8" x14ac:dyDescent="0.3">
      <c r="A2386" t="s">
        <v>5743</v>
      </c>
      <c r="B2386" t="s">
        <v>26951</v>
      </c>
      <c r="C2386" t="s">
        <v>6022</v>
      </c>
      <c r="D2386" t="s">
        <v>6021</v>
      </c>
      <c r="E2386" s="2" t="s">
        <v>609</v>
      </c>
      <c r="F2386" t="s">
        <v>5845</v>
      </c>
      <c r="G2386" t="str">
        <f>HYPERLINK("http://www.nongaek.com/news/articleView.html?idxno=91730")</f>
        <v>http://www.nongaek.com/news/articleView.html?idxno=91730</v>
      </c>
      <c r="H2386">
        <v>0.55900000000000005</v>
      </c>
    </row>
    <row r="2387" spans="1:8" x14ac:dyDescent="0.3">
      <c r="A2387" t="s">
        <v>5743</v>
      </c>
      <c r="B2387" t="s">
        <v>26951</v>
      </c>
      <c r="C2387" t="s">
        <v>6024</v>
      </c>
      <c r="D2387" t="s">
        <v>6023</v>
      </c>
      <c r="E2387" s="2" t="s">
        <v>609</v>
      </c>
      <c r="F2387" t="s">
        <v>2215</v>
      </c>
      <c r="G2387" t="str">
        <f>HYPERLINK("https://n.news.naver.com/mnews/article/028/0002750130?sid=110")</f>
        <v>https://n.news.naver.com/mnews/article/028/0002750130?sid=110</v>
      </c>
      <c r="H2387">
        <v>0.17899999999999999</v>
      </c>
    </row>
    <row r="2388" spans="1:8" x14ac:dyDescent="0.3">
      <c r="A2388" t="s">
        <v>5743</v>
      </c>
      <c r="B2388" t="s">
        <v>26951</v>
      </c>
      <c r="C2388" t="s">
        <v>6026</v>
      </c>
      <c r="D2388" t="s">
        <v>6025</v>
      </c>
      <c r="E2388" s="2" t="s">
        <v>609</v>
      </c>
      <c r="F2388" t="s">
        <v>2215</v>
      </c>
      <c r="G2388" t="str">
        <f>HYPERLINK("https://n.news.naver.com/mnews/article/028/0002752190?sid=102")</f>
        <v>https://n.news.naver.com/mnews/article/028/0002752190?sid=102</v>
      </c>
      <c r="H2388">
        <v>0.12</v>
      </c>
    </row>
    <row r="2389" spans="1:8" x14ac:dyDescent="0.3">
      <c r="A2389" t="s">
        <v>5743</v>
      </c>
      <c r="B2389" t="s">
        <v>26951</v>
      </c>
      <c r="C2389" t="s">
        <v>6029</v>
      </c>
      <c r="D2389" t="s">
        <v>6028</v>
      </c>
      <c r="E2389" s="2" t="s">
        <v>609</v>
      </c>
      <c r="F2389" t="s">
        <v>6027</v>
      </c>
      <c r="G2389" t="str">
        <f>HYPERLINK("https://n.news.naver.com/mnews/article/006/0000130422?sid=102")</f>
        <v>https://n.news.naver.com/mnews/article/006/0000130422?sid=102</v>
      </c>
      <c r="H2389">
        <v>0.23200000000000001</v>
      </c>
    </row>
    <row r="2390" spans="1:8" x14ac:dyDescent="0.3">
      <c r="A2390" t="s">
        <v>5743</v>
      </c>
      <c r="B2390" t="s">
        <v>26951</v>
      </c>
      <c r="C2390" t="s">
        <v>6031</v>
      </c>
      <c r="D2390" t="s">
        <v>6030</v>
      </c>
      <c r="E2390" s="2" t="s">
        <v>609</v>
      </c>
      <c r="F2390" t="s">
        <v>2215</v>
      </c>
      <c r="G2390" t="str">
        <f>HYPERLINK("http://www.nongaek.com/news/articleView.html?idxno=91630")</f>
        <v>http://www.nongaek.com/news/articleView.html?idxno=91630</v>
      </c>
      <c r="H2390">
        <v>0.22700000000000001</v>
      </c>
    </row>
    <row r="2391" spans="1:8" x14ac:dyDescent="0.3">
      <c r="A2391" t="s">
        <v>5743</v>
      </c>
      <c r="B2391" t="s">
        <v>26951</v>
      </c>
      <c r="C2391" t="s">
        <v>6034</v>
      </c>
      <c r="D2391" t="s">
        <v>6033</v>
      </c>
      <c r="E2391" s="2" t="s">
        <v>609</v>
      </c>
      <c r="F2391" t="s">
        <v>6032</v>
      </c>
      <c r="G2391" t="str">
        <f>HYPERLINK("https://n.news.naver.com/mnews/article/006/0000130665?sid=100")</f>
        <v>https://n.news.naver.com/mnews/article/006/0000130665?sid=100</v>
      </c>
      <c r="H2391">
        <v>0.19</v>
      </c>
    </row>
    <row r="2392" spans="1:8" x14ac:dyDescent="0.3">
      <c r="A2392" t="s">
        <v>5743</v>
      </c>
      <c r="B2392" t="s">
        <v>26951</v>
      </c>
      <c r="C2392" t="s">
        <v>6036</v>
      </c>
      <c r="D2392" t="s">
        <v>6035</v>
      </c>
      <c r="E2392" s="2" t="s">
        <v>609</v>
      </c>
      <c r="F2392" t="s">
        <v>123</v>
      </c>
      <c r="G2392" t="str">
        <f>HYPERLINK("https://n.news.naver.com/mnews/article/018/0006053386?sid=101")</f>
        <v>https://n.news.naver.com/mnews/article/018/0006053386?sid=101</v>
      </c>
      <c r="H2392">
        <v>0.30499999999999999</v>
      </c>
    </row>
    <row r="2393" spans="1:8" x14ac:dyDescent="0.3">
      <c r="A2393" t="s">
        <v>5743</v>
      </c>
      <c r="B2393" t="s">
        <v>26951</v>
      </c>
      <c r="C2393" t="s">
        <v>6039</v>
      </c>
      <c r="D2393" t="s">
        <v>6038</v>
      </c>
      <c r="E2393" s="2" t="s">
        <v>609</v>
      </c>
      <c r="F2393" t="s">
        <v>6037</v>
      </c>
      <c r="G2393" t="str">
        <f>HYPERLINK("https://n.news.naver.com/mnews/article/028/0002750070?sid=101")</f>
        <v>https://n.news.naver.com/mnews/article/028/0002750070?sid=101</v>
      </c>
      <c r="H2393">
        <v>0.33700000000000002</v>
      </c>
    </row>
    <row r="2394" spans="1:8" x14ac:dyDescent="0.3">
      <c r="A2394" t="s">
        <v>5743</v>
      </c>
      <c r="B2394" t="s">
        <v>26951</v>
      </c>
      <c r="C2394" t="s">
        <v>6042</v>
      </c>
      <c r="D2394" t="s">
        <v>6041</v>
      </c>
      <c r="E2394" s="2" t="s">
        <v>609</v>
      </c>
      <c r="F2394" t="s">
        <v>6040</v>
      </c>
      <c r="G2394" t="str">
        <f>HYPERLINK("https://weekly.cnbnews.com/news/article.html?no=178189")</f>
        <v>https://weekly.cnbnews.com/news/article.html?no=178189</v>
      </c>
      <c r="H2394">
        <v>0.14699999999999999</v>
      </c>
    </row>
    <row r="2395" spans="1:8" x14ac:dyDescent="0.3">
      <c r="A2395" t="s">
        <v>5743</v>
      </c>
      <c r="B2395" t="s">
        <v>26951</v>
      </c>
      <c r="C2395" t="s">
        <v>6045</v>
      </c>
      <c r="D2395" t="s">
        <v>6044</v>
      </c>
      <c r="E2395" s="2" t="s">
        <v>609</v>
      </c>
      <c r="F2395" t="s">
        <v>6043</v>
      </c>
      <c r="G2395" t="str">
        <f>HYPERLINK("http://news.lghellovision.net/news/articleView.html?idxno=509398")</f>
        <v>http://news.lghellovision.net/news/articleView.html?idxno=509398</v>
      </c>
      <c r="H2395">
        <v>0.22500000000000001</v>
      </c>
    </row>
    <row r="2396" spans="1:8" x14ac:dyDescent="0.3">
      <c r="A2396" t="s">
        <v>5743</v>
      </c>
      <c r="B2396" t="s">
        <v>26951</v>
      </c>
      <c r="C2396" t="s">
        <v>6048</v>
      </c>
      <c r="D2396" t="s">
        <v>6047</v>
      </c>
      <c r="E2396" s="2" t="s">
        <v>609</v>
      </c>
      <c r="F2396" t="s">
        <v>6046</v>
      </c>
      <c r="G2396" t="str">
        <f>HYPERLINK("https://www.newsmin.co.kr/news/119709/")</f>
        <v>https://www.newsmin.co.kr/news/119709/</v>
      </c>
      <c r="H2396">
        <v>0.51700000000000002</v>
      </c>
    </row>
    <row r="2397" spans="1:8" x14ac:dyDescent="0.3">
      <c r="A2397" t="s">
        <v>5743</v>
      </c>
      <c r="B2397" t="s">
        <v>26951</v>
      </c>
      <c r="C2397" t="s">
        <v>6051</v>
      </c>
      <c r="D2397" t="s">
        <v>6050</v>
      </c>
      <c r="E2397" s="2" t="s">
        <v>653</v>
      </c>
      <c r="F2397" t="s">
        <v>6049</v>
      </c>
      <c r="G2397" t="str">
        <f>HYPERLINK("https://www.marieclairekorea.com/celebrity/2023/09/thank-you-for-our-cinema/?utm_source=naver&amp;utm_medium=partnership")</f>
        <v>https://www.marieclairekorea.com/celebrity/2023/09/thank-you-for-our-cinema/?utm_source=naver&amp;utm_medium=partnership</v>
      </c>
      <c r="H2397">
        <v>0.52900000000000003</v>
      </c>
    </row>
    <row r="2398" spans="1:8" x14ac:dyDescent="0.3">
      <c r="A2398" t="s">
        <v>5743</v>
      </c>
      <c r="B2398" t="s">
        <v>26951</v>
      </c>
      <c r="C2398" t="s">
        <v>6054</v>
      </c>
      <c r="D2398" t="s">
        <v>6053</v>
      </c>
      <c r="E2398" s="2" t="s">
        <v>653</v>
      </c>
      <c r="F2398" t="s">
        <v>6052</v>
      </c>
      <c r="G2398" t="str">
        <f>HYPERLINK("https://www.pinpointnews.co.kr/news/articleView.html?idxno=244148")</f>
        <v>https://www.pinpointnews.co.kr/news/articleView.html?idxno=244148</v>
      </c>
      <c r="H2398">
        <v>0.13100000000000001</v>
      </c>
    </row>
    <row r="2399" spans="1:8" x14ac:dyDescent="0.3">
      <c r="A2399" t="s">
        <v>5743</v>
      </c>
      <c r="B2399" t="s">
        <v>26951</v>
      </c>
      <c r="C2399" t="s">
        <v>6056</v>
      </c>
      <c r="D2399" t="s">
        <v>6055</v>
      </c>
      <c r="E2399" s="2" t="s">
        <v>653</v>
      </c>
      <c r="F2399" t="s">
        <v>197</v>
      </c>
      <c r="G2399" t="str">
        <f>HYPERLINK("http://www.nongaek.com/news/articleView.html?idxno=91661")</f>
        <v>http://www.nongaek.com/news/articleView.html?idxno=91661</v>
      </c>
      <c r="H2399">
        <v>0.68200000000000005</v>
      </c>
    </row>
    <row r="2400" spans="1:8" x14ac:dyDescent="0.3">
      <c r="A2400" t="s">
        <v>5743</v>
      </c>
      <c r="B2400" t="s">
        <v>26951</v>
      </c>
      <c r="C2400" t="s">
        <v>6061</v>
      </c>
      <c r="D2400" t="s">
        <v>6060</v>
      </c>
      <c r="E2400" s="2" t="s">
        <v>653</v>
      </c>
      <c r="F2400" t="s">
        <v>6059</v>
      </c>
      <c r="G2400" t="str">
        <f>HYPERLINK("https://ch.yes24.com/Article/View/55719")</f>
        <v>https://ch.yes24.com/Article/View/55719</v>
      </c>
      <c r="H2400">
        <v>0.58199999999999996</v>
      </c>
    </row>
    <row r="2401" spans="1:8" x14ac:dyDescent="0.3">
      <c r="A2401" t="s">
        <v>5743</v>
      </c>
      <c r="B2401" t="s">
        <v>26951</v>
      </c>
      <c r="C2401" t="s">
        <v>6063</v>
      </c>
      <c r="D2401" t="s">
        <v>6062</v>
      </c>
      <c r="E2401" s="2" t="s">
        <v>653</v>
      </c>
      <c r="F2401" t="s">
        <v>197</v>
      </c>
      <c r="G2401" t="str">
        <f>HYPERLINK("https://n.news.naver.com/mnews/article/006/0000129358?sid=102")</f>
        <v>https://n.news.naver.com/mnews/article/006/0000129358?sid=102</v>
      </c>
      <c r="H2401">
        <v>0.28100000000000003</v>
      </c>
    </row>
    <row r="2402" spans="1:8" x14ac:dyDescent="0.3">
      <c r="A2402" t="s">
        <v>5743</v>
      </c>
      <c r="B2402" t="s">
        <v>26951</v>
      </c>
      <c r="C2402" t="s">
        <v>6066</v>
      </c>
      <c r="D2402" t="s">
        <v>6065</v>
      </c>
      <c r="E2402" s="2" t="s">
        <v>653</v>
      </c>
      <c r="F2402" t="s">
        <v>6064</v>
      </c>
      <c r="G2402" t="str">
        <f>HYPERLINK("http://www.redian.org/archive/172913")</f>
        <v>http://www.redian.org/archive/172913</v>
      </c>
      <c r="H2402">
        <v>0.59899999999999998</v>
      </c>
    </row>
    <row r="2403" spans="1:8" x14ac:dyDescent="0.3">
      <c r="A2403" t="s">
        <v>5743</v>
      </c>
      <c r="B2403" t="s">
        <v>26951</v>
      </c>
      <c r="C2403" t="s">
        <v>6069</v>
      </c>
      <c r="D2403" t="s">
        <v>6068</v>
      </c>
      <c r="E2403" s="2" t="s">
        <v>653</v>
      </c>
      <c r="F2403" t="s">
        <v>6067</v>
      </c>
      <c r="G2403" t="str">
        <f>HYPERLINK("http://4th.kr/View.aspx?No=802024")</f>
        <v>http://4th.kr/View.aspx?No=802024</v>
      </c>
      <c r="H2403">
        <v>0.27400000000000002</v>
      </c>
    </row>
    <row r="2404" spans="1:8" x14ac:dyDescent="0.3">
      <c r="A2404" t="s">
        <v>5743</v>
      </c>
      <c r="B2404" t="s">
        <v>26951</v>
      </c>
      <c r="C2404" t="s">
        <v>6072</v>
      </c>
      <c r="D2404" t="s">
        <v>6071</v>
      </c>
      <c r="E2404" s="2" t="s">
        <v>653</v>
      </c>
      <c r="F2404" t="s">
        <v>6070</v>
      </c>
      <c r="G2404" t="str">
        <f>HYPERLINK("https://n.news.naver.com/mnews/article/082/0000647958?sid=102")</f>
        <v>https://n.news.naver.com/mnews/article/082/0000647958?sid=102</v>
      </c>
      <c r="H2404">
        <v>0.40200000000000002</v>
      </c>
    </row>
    <row r="2405" spans="1:8" x14ac:dyDescent="0.3">
      <c r="A2405" t="s">
        <v>5743</v>
      </c>
      <c r="B2405" t="s">
        <v>26951</v>
      </c>
      <c r="C2405" t="s">
        <v>6075</v>
      </c>
      <c r="D2405" t="s">
        <v>6074</v>
      </c>
      <c r="E2405" s="2" t="s">
        <v>653</v>
      </c>
      <c r="F2405" t="s">
        <v>6073</v>
      </c>
      <c r="G2405" t="str">
        <f>HYPERLINK("http://www.dailytw.kr/news/articleView.html?idxno=17949")</f>
        <v>http://www.dailytw.kr/news/articleView.html?idxno=17949</v>
      </c>
      <c r="H2405">
        <v>0.53400000000000003</v>
      </c>
    </row>
    <row r="2406" spans="1:8" x14ac:dyDescent="0.3">
      <c r="A2406" t="s">
        <v>5743</v>
      </c>
      <c r="B2406" t="s">
        <v>26951</v>
      </c>
      <c r="C2406" t="s">
        <v>6077</v>
      </c>
      <c r="D2406" t="s">
        <v>6076</v>
      </c>
      <c r="E2406" s="2" t="s">
        <v>653</v>
      </c>
      <c r="F2406" t="s">
        <v>732</v>
      </c>
      <c r="G2406" t="str">
        <f>HYPERLINK("https://www.newspim.com/news/view/20250611000609")</f>
        <v>https://www.newspim.com/news/view/20250611000609</v>
      </c>
      <c r="H2406">
        <v>0.23100000000000001</v>
      </c>
    </row>
    <row r="2407" spans="1:8" x14ac:dyDescent="0.3">
      <c r="A2407" t="s">
        <v>5743</v>
      </c>
      <c r="B2407" t="s">
        <v>26951</v>
      </c>
      <c r="C2407" t="s">
        <v>6080</v>
      </c>
      <c r="D2407" t="s">
        <v>6079</v>
      </c>
      <c r="E2407" s="2" t="s">
        <v>653</v>
      </c>
      <c r="F2407" t="s">
        <v>6078</v>
      </c>
      <c r="G2407" t="str">
        <f>HYPERLINK("https://www.newsnjoy.or.kr/news/articleView.html?idxno=305791")</f>
        <v>https://www.newsnjoy.or.kr/news/articleView.html?idxno=305791</v>
      </c>
      <c r="H2407">
        <v>0.498</v>
      </c>
    </row>
    <row r="2408" spans="1:8" x14ac:dyDescent="0.3">
      <c r="A2408" t="s">
        <v>5743</v>
      </c>
      <c r="B2408" t="s">
        <v>26951</v>
      </c>
      <c r="C2408" t="s">
        <v>6083</v>
      </c>
      <c r="D2408" t="s">
        <v>6082</v>
      </c>
      <c r="E2408" s="2" t="s">
        <v>653</v>
      </c>
      <c r="F2408" t="s">
        <v>6081</v>
      </c>
      <c r="G2408" t="str">
        <f>HYPERLINK("http://www.iusm.co.kr/news/articleView.html?idxno=930873")</f>
        <v>http://www.iusm.co.kr/news/articleView.html?idxno=930873</v>
      </c>
      <c r="H2408">
        <v>0.30499999999999999</v>
      </c>
    </row>
    <row r="2409" spans="1:8" x14ac:dyDescent="0.3">
      <c r="A2409" t="s">
        <v>5743</v>
      </c>
      <c r="B2409" t="s">
        <v>26951</v>
      </c>
      <c r="C2409" t="s">
        <v>6085</v>
      </c>
      <c r="D2409" t="s">
        <v>6084</v>
      </c>
      <c r="E2409" s="2" t="s">
        <v>653</v>
      </c>
      <c r="F2409" t="s">
        <v>6010</v>
      </c>
      <c r="G2409" t="str">
        <f>HYPERLINK("https://n.news.naver.com/mnews/article/028/0002748867?sid=103")</f>
        <v>https://n.news.naver.com/mnews/article/028/0002748867?sid=103</v>
      </c>
      <c r="H2409">
        <v>0.34499999999999997</v>
      </c>
    </row>
    <row r="2410" spans="1:8" x14ac:dyDescent="0.3">
      <c r="A2410" t="s">
        <v>5743</v>
      </c>
      <c r="B2410" t="s">
        <v>26951</v>
      </c>
      <c r="C2410" t="s">
        <v>6087</v>
      </c>
      <c r="D2410" t="s">
        <v>6086</v>
      </c>
      <c r="E2410" s="2" t="s">
        <v>653</v>
      </c>
      <c r="F2410" t="s">
        <v>6010</v>
      </c>
      <c r="G2410" t="str">
        <f>HYPERLINK("https://n.news.naver.com/mnews/article/028/0002748867?sid=103")</f>
        <v>https://n.news.naver.com/mnews/article/028/0002748867?sid=103</v>
      </c>
      <c r="H2410">
        <v>9.7000000000000003E-2</v>
      </c>
    </row>
    <row r="2411" spans="1:8" x14ac:dyDescent="0.3">
      <c r="A2411" t="s">
        <v>5743</v>
      </c>
      <c r="B2411" t="s">
        <v>26951</v>
      </c>
      <c r="C2411" t="s">
        <v>6089</v>
      </c>
      <c r="D2411" t="s">
        <v>6088</v>
      </c>
      <c r="E2411" s="2" t="s">
        <v>653</v>
      </c>
      <c r="F2411" t="s">
        <v>5845</v>
      </c>
      <c r="G2411" t="str">
        <f>HYPERLINK("http://www.nongaek.com/news/articleView.html?idxno=91730")</f>
        <v>http://www.nongaek.com/news/articleView.html?idxno=91730</v>
      </c>
      <c r="H2411">
        <v>0.56499999999999995</v>
      </c>
    </row>
    <row r="2412" spans="1:8" x14ac:dyDescent="0.3">
      <c r="A2412" t="s">
        <v>5743</v>
      </c>
      <c r="B2412" t="s">
        <v>26951</v>
      </c>
      <c r="C2412" t="s">
        <v>6092</v>
      </c>
      <c r="D2412" t="s">
        <v>6091</v>
      </c>
      <c r="E2412" s="2" t="s">
        <v>653</v>
      </c>
      <c r="F2412" t="s">
        <v>6090</v>
      </c>
      <c r="H2412">
        <v>0.51400000000000001</v>
      </c>
    </row>
    <row r="2413" spans="1:8" x14ac:dyDescent="0.3">
      <c r="A2413" t="s">
        <v>5743</v>
      </c>
      <c r="B2413" t="s">
        <v>26951</v>
      </c>
      <c r="C2413" t="s">
        <v>6094</v>
      </c>
      <c r="D2413" t="s">
        <v>6093</v>
      </c>
      <c r="E2413" s="2" t="s">
        <v>653</v>
      </c>
      <c r="F2413" t="s">
        <v>89</v>
      </c>
      <c r="G2413" t="str">
        <f>HYPERLINK("https://n.news.naver.com/mnews/article/028/0002734253?sid=110")</f>
        <v>https://n.news.naver.com/mnews/article/028/0002734253?sid=110</v>
      </c>
      <c r="H2413">
        <v>0.249</v>
      </c>
    </row>
    <row r="2414" spans="1:8" x14ac:dyDescent="0.3">
      <c r="A2414" t="s">
        <v>5743</v>
      </c>
      <c r="B2414" t="s">
        <v>26951</v>
      </c>
      <c r="C2414" t="s">
        <v>6097</v>
      </c>
      <c r="D2414" t="s">
        <v>6096</v>
      </c>
      <c r="E2414" s="2" t="s">
        <v>653</v>
      </c>
      <c r="F2414" t="s">
        <v>6095</v>
      </c>
      <c r="G2414" t="str">
        <f>HYPERLINK("https://www.eroun.net/news/articleView.html?idxno=58605")</f>
        <v>https://www.eroun.net/news/articleView.html?idxno=58605</v>
      </c>
      <c r="H2414">
        <v>0.70399999999999996</v>
      </c>
    </row>
    <row r="2415" spans="1:8" x14ac:dyDescent="0.3">
      <c r="A2415" t="s">
        <v>5743</v>
      </c>
      <c r="B2415" t="s">
        <v>26951</v>
      </c>
      <c r="C2415" t="s">
        <v>6100</v>
      </c>
      <c r="D2415" t="s">
        <v>6099</v>
      </c>
      <c r="E2415" s="2" t="s">
        <v>692</v>
      </c>
      <c r="F2415" t="s">
        <v>6098</v>
      </c>
      <c r="G2415" t="str">
        <f>HYPERLINK("https://n.news.naver.com/mnews/article/057/0001893060?sid=102")</f>
        <v>https://n.news.naver.com/mnews/article/057/0001893060?sid=102</v>
      </c>
      <c r="H2415">
        <v>0.29799999999999999</v>
      </c>
    </row>
    <row r="2416" spans="1:8" x14ac:dyDescent="0.3">
      <c r="A2416" t="s">
        <v>5743</v>
      </c>
      <c r="B2416" t="s">
        <v>26951</v>
      </c>
      <c r="C2416" t="s">
        <v>6103</v>
      </c>
      <c r="D2416" t="s">
        <v>6102</v>
      </c>
      <c r="E2416" s="2" t="s">
        <v>692</v>
      </c>
      <c r="F2416" t="s">
        <v>6101</v>
      </c>
      <c r="G2416" t="str">
        <f>HYPERLINK("http://www.readersnews.com/news/articleView.html?idxno=46148")</f>
        <v>http://www.readersnews.com/news/articleView.html?idxno=46148</v>
      </c>
      <c r="H2416">
        <v>0.32200000000000001</v>
      </c>
    </row>
    <row r="2417" spans="1:8" x14ac:dyDescent="0.3">
      <c r="A2417" t="s">
        <v>5743</v>
      </c>
      <c r="B2417" t="s">
        <v>26951</v>
      </c>
      <c r="C2417" t="s">
        <v>6105</v>
      </c>
      <c r="D2417" t="s">
        <v>6104</v>
      </c>
      <c r="E2417" s="2" t="s">
        <v>692</v>
      </c>
      <c r="F2417" t="s">
        <v>6101</v>
      </c>
      <c r="G2417" t="str">
        <f>HYPERLINK("http://www.readersnews.com/news/articleView.html?idxno=46148")</f>
        <v>http://www.readersnews.com/news/articleView.html?idxno=46148</v>
      </c>
      <c r="H2417">
        <v>0.36699999999999999</v>
      </c>
    </row>
    <row r="2418" spans="1:8" x14ac:dyDescent="0.3">
      <c r="A2418" t="s">
        <v>5743</v>
      </c>
      <c r="B2418" t="s">
        <v>26951</v>
      </c>
      <c r="C2418" t="s">
        <v>6107</v>
      </c>
      <c r="D2418" t="s">
        <v>6106</v>
      </c>
      <c r="E2418" s="2" t="s">
        <v>692</v>
      </c>
      <c r="F2418" t="s">
        <v>5887</v>
      </c>
      <c r="G2418" t="str">
        <f>HYPERLINK("http://www.ujeil.com/news/articleView.html?idxno=356546")</f>
        <v>http://www.ujeil.com/news/articleView.html?idxno=356546</v>
      </c>
      <c r="H2418">
        <v>0.56999999999999995</v>
      </c>
    </row>
    <row r="2419" spans="1:8" x14ac:dyDescent="0.3">
      <c r="A2419" t="s">
        <v>5743</v>
      </c>
      <c r="B2419" t="s">
        <v>26951</v>
      </c>
      <c r="C2419" t="s">
        <v>6110</v>
      </c>
      <c r="D2419" t="s">
        <v>6109</v>
      </c>
      <c r="E2419" s="2" t="s">
        <v>692</v>
      </c>
      <c r="F2419" t="s">
        <v>6108</v>
      </c>
      <c r="G2419" t="str">
        <f>HYPERLINK("https://n.news.naver.com/mnews/article/016/0002492207?sid=102")</f>
        <v>https://n.news.naver.com/mnews/article/016/0002492207?sid=102</v>
      </c>
      <c r="H2419">
        <v>0.27</v>
      </c>
    </row>
    <row r="2420" spans="1:8" x14ac:dyDescent="0.3">
      <c r="A2420" t="s">
        <v>5743</v>
      </c>
      <c r="B2420" t="s">
        <v>26951</v>
      </c>
      <c r="C2420" t="s">
        <v>2380</v>
      </c>
      <c r="D2420" t="s">
        <v>2379</v>
      </c>
      <c r="E2420" s="2" t="s">
        <v>692</v>
      </c>
      <c r="F2420" t="s">
        <v>2378</v>
      </c>
      <c r="G2420" t="str">
        <f>HYPERLINK("https://n.news.naver.com/mnews/article/214/0000993175?sid=100")</f>
        <v>https://n.news.naver.com/mnews/article/214/0000993175?sid=100</v>
      </c>
      <c r="H2420">
        <v>0.315</v>
      </c>
    </row>
    <row r="2421" spans="1:8" x14ac:dyDescent="0.3">
      <c r="A2421" t="s">
        <v>5743</v>
      </c>
      <c r="B2421" t="s">
        <v>26951</v>
      </c>
      <c r="C2421" t="s">
        <v>6113</v>
      </c>
      <c r="D2421" t="s">
        <v>6112</v>
      </c>
      <c r="E2421" s="2" t="s">
        <v>692</v>
      </c>
      <c r="F2421" t="s">
        <v>6111</v>
      </c>
      <c r="G2421" t="str">
        <f>HYPERLINK("http://www.chungnamilbo.co.kr/news/articleView.html?idxno=827570")</f>
        <v>http://www.chungnamilbo.co.kr/news/articleView.html?idxno=827570</v>
      </c>
      <c r="H2421">
        <v>0.34300000000000003</v>
      </c>
    </row>
    <row r="2422" spans="1:8" x14ac:dyDescent="0.3">
      <c r="A2422" t="s">
        <v>5743</v>
      </c>
      <c r="B2422" t="s">
        <v>26951</v>
      </c>
      <c r="C2422" t="s">
        <v>6115</v>
      </c>
      <c r="D2422" t="s">
        <v>6114</v>
      </c>
      <c r="E2422" s="2" t="s">
        <v>692</v>
      </c>
      <c r="F2422" t="s">
        <v>3015</v>
      </c>
      <c r="G2422" t="str">
        <f>HYPERLINK("https://www.todayenergy.kr/news/articleView.html?idxno=284312")</f>
        <v>https://www.todayenergy.kr/news/articleView.html?idxno=284312</v>
      </c>
      <c r="H2422">
        <v>0.50700000000000001</v>
      </c>
    </row>
    <row r="2423" spans="1:8" x14ac:dyDescent="0.3">
      <c r="A2423" t="s">
        <v>5743</v>
      </c>
      <c r="B2423" t="s">
        <v>26951</v>
      </c>
      <c r="C2423" t="s">
        <v>6118</v>
      </c>
      <c r="D2423" t="s">
        <v>6117</v>
      </c>
      <c r="E2423" s="2" t="s">
        <v>692</v>
      </c>
      <c r="F2423" t="s">
        <v>6116</v>
      </c>
      <c r="G2423" t="str">
        <f>HYPERLINK("https://www.jjan.kr/article/20240827580003")</f>
        <v>https://www.jjan.kr/article/20240827580003</v>
      </c>
      <c r="H2423">
        <v>0.66800000000000004</v>
      </c>
    </row>
    <row r="2424" spans="1:8" x14ac:dyDescent="0.3">
      <c r="A2424" t="s">
        <v>5743</v>
      </c>
      <c r="B2424" t="s">
        <v>26951</v>
      </c>
      <c r="C2424" t="s">
        <v>6120</v>
      </c>
      <c r="D2424" t="s">
        <v>6119</v>
      </c>
      <c r="E2424" s="2" t="s">
        <v>692</v>
      </c>
      <c r="F2424" t="s">
        <v>197</v>
      </c>
      <c r="G2424" t="str">
        <f>HYPERLINK("https://n.news.naver.com/mnews/article/056/0011977529?sid=100")</f>
        <v>https://n.news.naver.com/mnews/article/056/0011977529?sid=100</v>
      </c>
      <c r="H2424">
        <v>0.26800000000000002</v>
      </c>
    </row>
    <row r="2425" spans="1:8" x14ac:dyDescent="0.3">
      <c r="A2425" t="s">
        <v>5743</v>
      </c>
      <c r="B2425" t="s">
        <v>26951</v>
      </c>
      <c r="C2425" t="s">
        <v>6123</v>
      </c>
      <c r="D2425" t="s">
        <v>6122</v>
      </c>
      <c r="E2425" s="2" t="s">
        <v>692</v>
      </c>
      <c r="F2425" t="s">
        <v>6121</v>
      </c>
      <c r="G2425" t="str">
        <f>HYPERLINK("https://n.news.naver.com/mnews/article/006/0000130466?sid=102")</f>
        <v>https://n.news.naver.com/mnews/article/006/0000130466?sid=102</v>
      </c>
      <c r="H2425">
        <v>0.251</v>
      </c>
    </row>
    <row r="2426" spans="1:8" x14ac:dyDescent="0.3">
      <c r="A2426" t="s">
        <v>5743</v>
      </c>
      <c r="B2426" t="s">
        <v>26951</v>
      </c>
      <c r="C2426" t="s">
        <v>6125</v>
      </c>
      <c r="D2426" t="s">
        <v>6124</v>
      </c>
      <c r="E2426" s="2" t="s">
        <v>692</v>
      </c>
      <c r="F2426" t="s">
        <v>467</v>
      </c>
      <c r="G2426" t="str">
        <f>HYPERLINK("https://n.news.naver.com/mnews/article/028/0002751504?sid=100")</f>
        <v>https://n.news.naver.com/mnews/article/028/0002751504?sid=100</v>
      </c>
      <c r="H2426">
        <v>0.31</v>
      </c>
    </row>
    <row r="2427" spans="1:8" x14ac:dyDescent="0.3">
      <c r="A2427" t="s">
        <v>5743</v>
      </c>
      <c r="B2427" t="s">
        <v>26951</v>
      </c>
      <c r="C2427" t="s">
        <v>6128</v>
      </c>
      <c r="D2427" t="s">
        <v>6127</v>
      </c>
      <c r="E2427" s="2" t="s">
        <v>692</v>
      </c>
      <c r="F2427" t="s">
        <v>6126</v>
      </c>
      <c r="G2427" t="str">
        <f>HYPERLINK("https://n.news.naver.com/mnews/article/028/0002748683?sid=103")</f>
        <v>https://n.news.naver.com/mnews/article/028/0002748683?sid=103</v>
      </c>
      <c r="H2427">
        <v>0.29599999999999999</v>
      </c>
    </row>
    <row r="2428" spans="1:8" x14ac:dyDescent="0.3">
      <c r="A2428" t="s">
        <v>5743</v>
      </c>
      <c r="B2428" t="s">
        <v>26951</v>
      </c>
      <c r="C2428" t="s">
        <v>6131</v>
      </c>
      <c r="D2428" t="s">
        <v>6130</v>
      </c>
      <c r="E2428" s="2" t="s">
        <v>692</v>
      </c>
      <c r="F2428" t="s">
        <v>6129</v>
      </c>
      <c r="G2428" t="str">
        <f>HYPERLINK("http://www.kyeongin.com/news/articleView.html?idxno=729781")</f>
        <v>http://www.kyeongin.com/news/articleView.html?idxno=729781</v>
      </c>
      <c r="H2428">
        <v>0.72299999999999998</v>
      </c>
    </row>
    <row r="2429" spans="1:8" x14ac:dyDescent="0.3">
      <c r="A2429" t="s">
        <v>5743</v>
      </c>
      <c r="B2429" t="s">
        <v>26951</v>
      </c>
      <c r="C2429" t="s">
        <v>6134</v>
      </c>
      <c r="D2429" t="s">
        <v>6133</v>
      </c>
      <c r="E2429" s="2" t="s">
        <v>692</v>
      </c>
      <c r="F2429" t="s">
        <v>6132</v>
      </c>
      <c r="G2429" t="str">
        <f>HYPERLINK("http://www.newsquest.co.kr/news/articleView.html?idxno=93445")</f>
        <v>http://www.newsquest.co.kr/news/articleView.html?idxno=93445</v>
      </c>
      <c r="H2429">
        <v>0.65800000000000003</v>
      </c>
    </row>
    <row r="2430" spans="1:8" x14ac:dyDescent="0.3">
      <c r="A2430" t="s">
        <v>5743</v>
      </c>
      <c r="B2430" t="s">
        <v>26951</v>
      </c>
      <c r="C2430" t="s">
        <v>6137</v>
      </c>
      <c r="D2430" t="s">
        <v>6136</v>
      </c>
      <c r="E2430" s="2" t="s">
        <v>692</v>
      </c>
      <c r="F2430" t="s">
        <v>6135</v>
      </c>
      <c r="G2430" t="str">
        <f>HYPERLINK("https://n.news.naver.com/mnews/article/028/0002749854?sid=100")</f>
        <v>https://n.news.naver.com/mnews/article/028/0002749854?sid=100</v>
      </c>
      <c r="H2430">
        <v>0.108</v>
      </c>
    </row>
    <row r="2431" spans="1:8" x14ac:dyDescent="0.3">
      <c r="A2431" t="s">
        <v>5743</v>
      </c>
      <c r="B2431" t="s">
        <v>26951</v>
      </c>
      <c r="C2431" t="s">
        <v>6140</v>
      </c>
      <c r="D2431" t="s">
        <v>6139</v>
      </c>
      <c r="E2431" s="2" t="s">
        <v>692</v>
      </c>
      <c r="F2431" t="s">
        <v>6138</v>
      </c>
      <c r="G2431" t="str">
        <f>HYPERLINK("https://n.news.naver.com/mnews/article/028/0002731107?sid=103")</f>
        <v>https://n.news.naver.com/mnews/article/028/0002731107?sid=103</v>
      </c>
      <c r="H2431">
        <v>0.108</v>
      </c>
    </row>
    <row r="2432" spans="1:8" x14ac:dyDescent="0.3">
      <c r="A2432" t="s">
        <v>5743</v>
      </c>
      <c r="B2432" t="s">
        <v>26951</v>
      </c>
      <c r="C2432" t="s">
        <v>6143</v>
      </c>
      <c r="D2432" t="s">
        <v>6142</v>
      </c>
      <c r="E2432" s="2" t="s">
        <v>692</v>
      </c>
      <c r="F2432" t="s">
        <v>6141</v>
      </c>
      <c r="G2432" t="str">
        <f>HYPERLINK("http://www.catholicnews.co.kr/news/articleView.html?idxno=31313")</f>
        <v>http://www.catholicnews.co.kr/news/articleView.html?idxno=31313</v>
      </c>
      <c r="H2432">
        <v>0.68500000000000005</v>
      </c>
    </row>
    <row r="2433" spans="1:8" x14ac:dyDescent="0.3">
      <c r="A2433" t="s">
        <v>5743</v>
      </c>
      <c r="B2433" t="s">
        <v>26951</v>
      </c>
      <c r="C2433" t="s">
        <v>6146</v>
      </c>
      <c r="D2433" t="s">
        <v>6145</v>
      </c>
      <c r="E2433" s="2" t="s">
        <v>692</v>
      </c>
      <c r="F2433" t="s">
        <v>6144</v>
      </c>
      <c r="G2433" t="str">
        <f>HYPERLINK("https://www.newspim.com/news/view/20250428001133")</f>
        <v>https://www.newspim.com/news/view/20250428001133</v>
      </c>
      <c r="H2433">
        <v>0.46600000000000003</v>
      </c>
    </row>
    <row r="2434" spans="1:8" x14ac:dyDescent="0.3">
      <c r="A2434" t="s">
        <v>5743</v>
      </c>
      <c r="B2434" t="s">
        <v>26951</v>
      </c>
      <c r="C2434" t="s">
        <v>6149</v>
      </c>
      <c r="D2434" t="s">
        <v>6148</v>
      </c>
      <c r="E2434" s="2" t="s">
        <v>692</v>
      </c>
      <c r="F2434" t="s">
        <v>6147</v>
      </c>
      <c r="G2434" t="str">
        <f>HYPERLINK("https://www.idaegu.com/news/articleView.html?idxno=641679")</f>
        <v>https://www.idaegu.com/news/articleView.html?idxno=641679</v>
      </c>
      <c r="H2434">
        <v>0.33900000000000002</v>
      </c>
    </row>
    <row r="2435" spans="1:8" x14ac:dyDescent="0.3">
      <c r="A2435" t="s">
        <v>5743</v>
      </c>
      <c r="B2435" t="s">
        <v>26951</v>
      </c>
      <c r="C2435" t="s">
        <v>6151</v>
      </c>
      <c r="D2435" t="s">
        <v>6150</v>
      </c>
      <c r="E2435" s="2" t="s">
        <v>692</v>
      </c>
      <c r="F2435" t="s">
        <v>2233</v>
      </c>
      <c r="G2435" t="str">
        <f>HYPERLINK("https://www.apnews.kr/news/articleView.html?idxno=3026479")</f>
        <v>https://www.apnews.kr/news/articleView.html?idxno=3026479</v>
      </c>
      <c r="H2435">
        <v>0.246</v>
      </c>
    </row>
    <row r="2436" spans="1:8" x14ac:dyDescent="0.3">
      <c r="A2436" t="s">
        <v>5743</v>
      </c>
      <c r="B2436" t="s">
        <v>26951</v>
      </c>
      <c r="C2436" t="s">
        <v>6154</v>
      </c>
      <c r="D2436" t="s">
        <v>6153</v>
      </c>
      <c r="E2436" s="2" t="s">
        <v>692</v>
      </c>
      <c r="F2436" t="s">
        <v>6152</v>
      </c>
      <c r="G2436" t="str">
        <f>HYPERLINK("https://www.newspenguin.com/news/articleView.html?idxno=14424")</f>
        <v>https://www.newspenguin.com/news/articleView.html?idxno=14424</v>
      </c>
      <c r="H2436">
        <v>0.40100000000000002</v>
      </c>
    </row>
    <row r="2437" spans="1:8" x14ac:dyDescent="0.3">
      <c r="A2437" t="s">
        <v>5743</v>
      </c>
      <c r="B2437" t="s">
        <v>26951</v>
      </c>
      <c r="C2437" t="s">
        <v>6156</v>
      </c>
      <c r="D2437" t="s">
        <v>6155</v>
      </c>
      <c r="E2437" s="2" t="s">
        <v>711</v>
      </c>
      <c r="F2437" t="s">
        <v>2752</v>
      </c>
      <c r="G2437" t="str">
        <f>HYPERLINK("https://n.news.naver.com/mnews/article/214/0001430932?sid=100")</f>
        <v>https://n.news.naver.com/mnews/article/214/0001430932?sid=100</v>
      </c>
      <c r="H2437">
        <v>0.49</v>
      </c>
    </row>
    <row r="2438" spans="1:8" x14ac:dyDescent="0.3">
      <c r="A2438" t="s">
        <v>5743</v>
      </c>
      <c r="B2438" t="s">
        <v>26951</v>
      </c>
      <c r="C2438" t="s">
        <v>6158</v>
      </c>
      <c r="D2438" t="s">
        <v>6157</v>
      </c>
      <c r="E2438" s="2" t="s">
        <v>711</v>
      </c>
      <c r="F2438" t="s">
        <v>6098</v>
      </c>
      <c r="G2438" t="str">
        <f>HYPERLINK("http://www.sctoday.co.kr/news/articleView.html?idxno=44950")</f>
        <v>http://www.sctoday.co.kr/news/articleView.html?idxno=44950</v>
      </c>
      <c r="H2438">
        <v>0.504</v>
      </c>
    </row>
    <row r="2439" spans="1:8" x14ac:dyDescent="0.3">
      <c r="A2439" t="s">
        <v>5743</v>
      </c>
      <c r="B2439" t="s">
        <v>26951</v>
      </c>
      <c r="C2439" t="s">
        <v>6160</v>
      </c>
      <c r="D2439" t="s">
        <v>6159</v>
      </c>
      <c r="E2439" s="2" t="s">
        <v>711</v>
      </c>
      <c r="F2439" t="s">
        <v>197</v>
      </c>
      <c r="G2439" t="str">
        <f>HYPERLINK("https://www.cnbnews.com/news/article.html?no=666127")</f>
        <v>https://www.cnbnews.com/news/article.html?no=666127</v>
      </c>
      <c r="H2439">
        <v>0.60499999999999998</v>
      </c>
    </row>
    <row r="2440" spans="1:8" x14ac:dyDescent="0.3">
      <c r="A2440" t="s">
        <v>5743</v>
      </c>
      <c r="B2440" t="s">
        <v>26951</v>
      </c>
      <c r="C2440" t="s">
        <v>6163</v>
      </c>
      <c r="D2440" t="s">
        <v>6162</v>
      </c>
      <c r="E2440" s="2" t="s">
        <v>711</v>
      </c>
      <c r="F2440" t="s">
        <v>6161</v>
      </c>
      <c r="G2440" t="str">
        <f>HYPERLINK("http://ch.yes24.com/Article/View/23784")</f>
        <v>http://ch.yes24.com/Article/View/23784</v>
      </c>
      <c r="H2440">
        <v>0.51300000000000001</v>
      </c>
    </row>
    <row r="2441" spans="1:8" x14ac:dyDescent="0.3">
      <c r="A2441" t="s">
        <v>5743</v>
      </c>
      <c r="B2441" t="s">
        <v>26951</v>
      </c>
      <c r="C2441" t="s">
        <v>6166</v>
      </c>
      <c r="D2441" t="s">
        <v>6165</v>
      </c>
      <c r="E2441" s="2" t="s">
        <v>711</v>
      </c>
      <c r="F2441" t="s">
        <v>6164</v>
      </c>
      <c r="G2441" t="str">
        <f>HYPERLINK("http://www.kukinews.com/newsView/kuk202103250110")</f>
        <v>http://www.kukinews.com/newsView/kuk202103250110</v>
      </c>
      <c r="H2441">
        <v>0.16500000000000001</v>
      </c>
    </row>
    <row r="2442" spans="1:8" x14ac:dyDescent="0.3">
      <c r="A2442" t="s">
        <v>5743</v>
      </c>
      <c r="B2442" t="s">
        <v>26951</v>
      </c>
      <c r="C2442" t="s">
        <v>6169</v>
      </c>
      <c r="D2442" t="s">
        <v>6168</v>
      </c>
      <c r="E2442" s="2" t="s">
        <v>711</v>
      </c>
      <c r="F2442" t="s">
        <v>6167</v>
      </c>
      <c r="G2442" t="str">
        <f>HYPERLINK("https://www.mediajeju.com/news/articleView.html?idxno=359009")</f>
        <v>https://www.mediajeju.com/news/articleView.html?idxno=359009</v>
      </c>
      <c r="H2442">
        <v>0.16300000000000001</v>
      </c>
    </row>
    <row r="2443" spans="1:8" x14ac:dyDescent="0.3">
      <c r="A2443" t="s">
        <v>5743</v>
      </c>
      <c r="B2443" t="s">
        <v>26951</v>
      </c>
      <c r="C2443" t="s">
        <v>6172</v>
      </c>
      <c r="D2443" t="s">
        <v>6171</v>
      </c>
      <c r="E2443" s="2" t="s">
        <v>711</v>
      </c>
      <c r="F2443" t="s">
        <v>6170</v>
      </c>
      <c r="H2443">
        <v>0.52600000000000002</v>
      </c>
    </row>
    <row r="2444" spans="1:8" x14ac:dyDescent="0.3">
      <c r="A2444" t="s">
        <v>5743</v>
      </c>
      <c r="B2444" t="s">
        <v>26951</v>
      </c>
      <c r="C2444" t="s">
        <v>6174</v>
      </c>
      <c r="D2444" t="s">
        <v>6173</v>
      </c>
      <c r="E2444" s="2" t="s">
        <v>711</v>
      </c>
      <c r="F2444" t="s">
        <v>89</v>
      </c>
      <c r="G2444" t="str">
        <f>HYPERLINK("https://n.news.naver.com/mnews/article/036/0000044036?sid=102")</f>
        <v>https://n.news.naver.com/mnews/article/036/0000044036?sid=102</v>
      </c>
      <c r="H2444">
        <v>0.23799999999999999</v>
      </c>
    </row>
    <row r="2445" spans="1:8" x14ac:dyDescent="0.3">
      <c r="A2445" t="s">
        <v>5743</v>
      </c>
      <c r="B2445" t="s">
        <v>26951</v>
      </c>
      <c r="C2445" t="s">
        <v>6176</v>
      </c>
      <c r="D2445" t="s">
        <v>6175</v>
      </c>
      <c r="E2445" s="2" t="s">
        <v>711</v>
      </c>
      <c r="F2445" t="s">
        <v>2046</v>
      </c>
      <c r="G2445" t="str">
        <f>HYPERLINK("https://n.news.naver.com/mnews/article/654/0000128339?sid=102")</f>
        <v>https://n.news.naver.com/mnews/article/654/0000128339?sid=102</v>
      </c>
      <c r="H2445">
        <v>0.309</v>
      </c>
    </row>
    <row r="2446" spans="1:8" x14ac:dyDescent="0.3">
      <c r="A2446" t="s">
        <v>5743</v>
      </c>
      <c r="B2446" t="s">
        <v>26951</v>
      </c>
      <c r="C2446" t="s">
        <v>6178</v>
      </c>
      <c r="D2446" t="s">
        <v>6177</v>
      </c>
      <c r="E2446" s="2" t="s">
        <v>711</v>
      </c>
      <c r="F2446" t="s">
        <v>2349</v>
      </c>
      <c r="G2446" t="str">
        <f>HYPERLINK("https://n.news.naver.com/mnews/article/028/0002730634?sid=110")</f>
        <v>https://n.news.naver.com/mnews/article/028/0002730634?sid=110</v>
      </c>
      <c r="H2446">
        <v>0.33500000000000002</v>
      </c>
    </row>
    <row r="2447" spans="1:8" x14ac:dyDescent="0.3">
      <c r="A2447" t="s">
        <v>5743</v>
      </c>
      <c r="B2447" t="s">
        <v>26951</v>
      </c>
      <c r="C2447" t="s">
        <v>6180</v>
      </c>
      <c r="D2447" t="s">
        <v>6179</v>
      </c>
      <c r="E2447" s="2" t="s">
        <v>711</v>
      </c>
      <c r="F2447" t="s">
        <v>134</v>
      </c>
      <c r="G2447" t="str">
        <f>HYPERLINK("https://n.news.naver.com/mnews/article/006/0000130505?sid=102")</f>
        <v>https://n.news.naver.com/mnews/article/006/0000130505?sid=102</v>
      </c>
      <c r="H2447">
        <v>0.24099999999999999</v>
      </c>
    </row>
    <row r="2448" spans="1:8" x14ac:dyDescent="0.3">
      <c r="A2448" t="s">
        <v>5743</v>
      </c>
      <c r="B2448" t="s">
        <v>26951</v>
      </c>
      <c r="C2448" t="s">
        <v>6183</v>
      </c>
      <c r="D2448" t="s">
        <v>6182</v>
      </c>
      <c r="E2448" s="2" t="s">
        <v>711</v>
      </c>
      <c r="F2448" t="s">
        <v>6181</v>
      </c>
      <c r="G2448" t="str">
        <f>HYPERLINK("http://www.smedaily.co.kr/news/articleView.html?idxno=76282")</f>
        <v>http://www.smedaily.co.kr/news/articleView.html?idxno=76282</v>
      </c>
      <c r="H2448">
        <v>0.503</v>
      </c>
    </row>
    <row r="2449" spans="1:8" x14ac:dyDescent="0.3">
      <c r="A2449" t="s">
        <v>5743</v>
      </c>
      <c r="B2449" t="s">
        <v>26951</v>
      </c>
      <c r="C2449" t="s">
        <v>6186</v>
      </c>
      <c r="D2449" t="s">
        <v>6185</v>
      </c>
      <c r="E2449" s="2" t="s">
        <v>711</v>
      </c>
      <c r="F2449" t="s">
        <v>6184</v>
      </c>
      <c r="G2449" t="str">
        <f>HYPERLINK("http://ch.yes24.com/Article/View/55445")</f>
        <v>http://ch.yes24.com/Article/View/55445</v>
      </c>
      <c r="H2449">
        <v>0.61599999999999999</v>
      </c>
    </row>
    <row r="2450" spans="1:8" x14ac:dyDescent="0.3">
      <c r="A2450" t="s">
        <v>5743</v>
      </c>
      <c r="B2450" t="s">
        <v>26951</v>
      </c>
      <c r="C2450" t="s">
        <v>6188</v>
      </c>
      <c r="D2450" t="s">
        <v>6187</v>
      </c>
      <c r="E2450" s="2" t="s">
        <v>711</v>
      </c>
      <c r="F2450" t="s">
        <v>2498</v>
      </c>
      <c r="G2450" t="str">
        <f>HYPERLINK("http://www.ilemonde.com/news/articleView.html?idxno=20594")</f>
        <v>http://www.ilemonde.com/news/articleView.html?idxno=20594</v>
      </c>
      <c r="H2450">
        <v>0.63700000000000001</v>
      </c>
    </row>
    <row r="2451" spans="1:8" x14ac:dyDescent="0.3">
      <c r="A2451" t="s">
        <v>5743</v>
      </c>
      <c r="B2451" t="s">
        <v>26951</v>
      </c>
      <c r="C2451" t="s">
        <v>6191</v>
      </c>
      <c r="D2451" t="s">
        <v>6190</v>
      </c>
      <c r="E2451" s="2" t="s">
        <v>711</v>
      </c>
      <c r="F2451" t="s">
        <v>6189</v>
      </c>
      <c r="G2451" t="str">
        <f>HYPERLINK("http://www.redian.org/archive/132111")</f>
        <v>http://www.redian.org/archive/132111</v>
      </c>
      <c r="H2451">
        <v>0.51800000000000002</v>
      </c>
    </row>
    <row r="2452" spans="1:8" x14ac:dyDescent="0.3">
      <c r="A2452" t="s">
        <v>5743</v>
      </c>
      <c r="B2452" t="s">
        <v>26951</v>
      </c>
      <c r="C2452" t="s">
        <v>6193</v>
      </c>
      <c r="D2452" t="s">
        <v>6192</v>
      </c>
      <c r="E2452" s="2" t="s">
        <v>711</v>
      </c>
      <c r="F2452" t="s">
        <v>5724</v>
      </c>
      <c r="G2452" t="str">
        <f>HYPERLINK("https://n.news.naver.com/mnews/article/469/0000341024?sid=103")</f>
        <v>https://n.news.naver.com/mnews/article/469/0000341024?sid=103</v>
      </c>
      <c r="H2452">
        <v>0.214</v>
      </c>
    </row>
    <row r="2453" spans="1:8" x14ac:dyDescent="0.3">
      <c r="A2453" t="s">
        <v>5743</v>
      </c>
      <c r="B2453" t="s">
        <v>26951</v>
      </c>
      <c r="C2453" t="s">
        <v>6195</v>
      </c>
      <c r="D2453" t="s">
        <v>6194</v>
      </c>
      <c r="E2453" s="2" t="s">
        <v>711</v>
      </c>
      <c r="F2453" t="s">
        <v>2814</v>
      </c>
      <c r="G2453" t="str">
        <f>HYPERLINK("https://www.incheonilbo.com/news/articleView.html?idxno=1294377")</f>
        <v>https://www.incheonilbo.com/news/articleView.html?idxno=1294377</v>
      </c>
      <c r="H2453">
        <v>0.51400000000000001</v>
      </c>
    </row>
    <row r="2454" spans="1:8" x14ac:dyDescent="0.3">
      <c r="A2454" t="s">
        <v>5743</v>
      </c>
      <c r="B2454" t="s">
        <v>26951</v>
      </c>
      <c r="C2454" t="s">
        <v>6198</v>
      </c>
      <c r="D2454" t="s">
        <v>6197</v>
      </c>
      <c r="E2454" s="2" t="s">
        <v>711</v>
      </c>
      <c r="F2454" t="s">
        <v>6196</v>
      </c>
      <c r="G2454" t="str">
        <f>HYPERLINK("http://www.jejusori.net/news/articleView.html?idxno=82828")</f>
        <v>http://www.jejusori.net/news/articleView.html?idxno=82828</v>
      </c>
      <c r="H2454">
        <v>0.49</v>
      </c>
    </row>
    <row r="2455" spans="1:8" x14ac:dyDescent="0.3">
      <c r="A2455" t="s">
        <v>5743</v>
      </c>
      <c r="B2455" t="s">
        <v>26951</v>
      </c>
      <c r="C2455" t="s">
        <v>6201</v>
      </c>
      <c r="D2455" t="s">
        <v>6200</v>
      </c>
      <c r="E2455" s="2" t="s">
        <v>711</v>
      </c>
      <c r="F2455" t="s">
        <v>6199</v>
      </c>
      <c r="G2455" t="str">
        <f>HYPERLINK("http://www.dandinews.com/news/articleView.html?idxno=10890")</f>
        <v>http://www.dandinews.com/news/articleView.html?idxno=10890</v>
      </c>
      <c r="H2455">
        <v>0.44800000000000001</v>
      </c>
    </row>
    <row r="2456" spans="1:8" x14ac:dyDescent="0.3">
      <c r="A2456" t="s">
        <v>5743</v>
      </c>
      <c r="B2456" t="s">
        <v>26951</v>
      </c>
      <c r="C2456" t="s">
        <v>6203</v>
      </c>
      <c r="D2456" t="s">
        <v>6202</v>
      </c>
      <c r="E2456" s="2" t="s">
        <v>711</v>
      </c>
      <c r="F2456" t="s">
        <v>2124</v>
      </c>
      <c r="G2456" t="str">
        <f>HYPERLINK("https://www.bbc.com/korean/articles/cg4vdlypqqpo?xtor=AL-73-%5Bpartner%5D-%5Bnaver%5D-%5Bheadline%5D-%5Bkorean%5D-%5Bbizdev%5D-%5Bisapi%5D")</f>
        <v>https://www.bbc.com/korean/articles/cg4vdlypqqpo?xtor=AL-73-%5Bpartner%5D-%5Bnaver%5D-%5Bheadline%5D-%5Bkorean%5D-%5Bbizdev%5D-%5Bisapi%5D</v>
      </c>
      <c r="H2456">
        <v>0.76100000000000001</v>
      </c>
    </row>
    <row r="2457" spans="1:8" x14ac:dyDescent="0.3">
      <c r="A2457" t="s">
        <v>5743</v>
      </c>
      <c r="B2457" t="s">
        <v>26951</v>
      </c>
      <c r="C2457" t="s">
        <v>6205</v>
      </c>
      <c r="D2457" t="s">
        <v>6204</v>
      </c>
      <c r="E2457" s="2" t="s">
        <v>711</v>
      </c>
      <c r="F2457" t="s">
        <v>2124</v>
      </c>
      <c r="G2457" t="str">
        <f>HYPERLINK("http://www.nongaek.com/news/articleView.html?idxno=86364")</f>
        <v>http://www.nongaek.com/news/articleView.html?idxno=86364</v>
      </c>
      <c r="H2457">
        <v>0.59499999999999997</v>
      </c>
    </row>
    <row r="2458" spans="1:8" x14ac:dyDescent="0.3">
      <c r="A2458" t="s">
        <v>5743</v>
      </c>
      <c r="B2458" t="s">
        <v>26951</v>
      </c>
      <c r="C2458" t="s">
        <v>6208</v>
      </c>
      <c r="D2458" t="s">
        <v>6207</v>
      </c>
      <c r="E2458" s="2" t="s">
        <v>711</v>
      </c>
      <c r="F2458" t="s">
        <v>6206</v>
      </c>
      <c r="G2458" t="str">
        <f>HYPERLINK("https://n.news.naver.com/mnews/article/028/0002749255?sid=102")</f>
        <v>https://n.news.naver.com/mnews/article/028/0002749255?sid=102</v>
      </c>
      <c r="H2458">
        <v>0.29599999999999999</v>
      </c>
    </row>
    <row r="2459" spans="1:8" x14ac:dyDescent="0.3">
      <c r="A2459" t="s">
        <v>5743</v>
      </c>
      <c r="B2459" t="s">
        <v>26951</v>
      </c>
      <c r="C2459" t="s">
        <v>6211</v>
      </c>
      <c r="D2459" t="s">
        <v>6210</v>
      </c>
      <c r="E2459" s="2" t="s">
        <v>711</v>
      </c>
      <c r="F2459" t="s">
        <v>6209</v>
      </c>
      <c r="G2459" t="str">
        <f>HYPERLINK("https://www.m-joongang.com/news/articleView.html?idxno=400985")</f>
        <v>https://www.m-joongang.com/news/articleView.html?idxno=400985</v>
      </c>
      <c r="H2459">
        <v>0.40300000000000002</v>
      </c>
    </row>
    <row r="2460" spans="1:8" x14ac:dyDescent="0.3">
      <c r="A2460" t="s">
        <v>5743</v>
      </c>
      <c r="B2460" t="s">
        <v>26951</v>
      </c>
      <c r="C2460" t="s">
        <v>6214</v>
      </c>
      <c r="D2460" t="s">
        <v>6213</v>
      </c>
      <c r="E2460" s="2" t="s">
        <v>711</v>
      </c>
      <c r="F2460" t="s">
        <v>6212</v>
      </c>
      <c r="G2460" t="str">
        <f>HYPERLINK("https://n.news.naver.com/mnews/article/028/0002721736?sid=100")</f>
        <v>https://n.news.naver.com/mnews/article/028/0002721736?sid=100</v>
      </c>
      <c r="H2460">
        <v>0.26600000000000001</v>
      </c>
    </row>
    <row r="2461" spans="1:8" x14ac:dyDescent="0.3">
      <c r="A2461" t="s">
        <v>5743</v>
      </c>
      <c r="B2461" t="s">
        <v>26951</v>
      </c>
      <c r="C2461" t="s">
        <v>6217</v>
      </c>
      <c r="D2461" t="s">
        <v>6216</v>
      </c>
      <c r="E2461" s="2" t="s">
        <v>725</v>
      </c>
      <c r="F2461" t="s">
        <v>6215</v>
      </c>
      <c r="G2461" t="str">
        <f>HYPERLINK("https://n.news.naver.com/mnews/article/028/0002749794?sid=102")</f>
        <v>https://n.news.naver.com/mnews/article/028/0002749794?sid=102</v>
      </c>
      <c r="H2461">
        <v>0.29799999999999999</v>
      </c>
    </row>
    <row r="2462" spans="1:8" x14ac:dyDescent="0.3">
      <c r="A2462" t="s">
        <v>5743</v>
      </c>
      <c r="B2462" t="s">
        <v>26951</v>
      </c>
      <c r="C2462" t="s">
        <v>6220</v>
      </c>
      <c r="D2462" t="s">
        <v>6219</v>
      </c>
      <c r="E2462" s="2" t="s">
        <v>725</v>
      </c>
      <c r="F2462" t="s">
        <v>6218</v>
      </c>
      <c r="G2462" t="str">
        <f>HYPERLINK("https://www.yeongnam.com/web/view.php?key=20250221010002694")</f>
        <v>https://www.yeongnam.com/web/view.php?key=20250221010002694</v>
      </c>
      <c r="H2462">
        <v>0.40300000000000002</v>
      </c>
    </row>
    <row r="2463" spans="1:8" x14ac:dyDescent="0.3">
      <c r="A2463" t="s">
        <v>5743</v>
      </c>
      <c r="B2463" t="s">
        <v>26951</v>
      </c>
      <c r="C2463" t="s">
        <v>6222</v>
      </c>
      <c r="D2463" t="s">
        <v>6221</v>
      </c>
      <c r="E2463" s="2" t="s">
        <v>725</v>
      </c>
      <c r="F2463" t="s">
        <v>5753</v>
      </c>
      <c r="G2463" t="str">
        <f>HYPERLINK("https://n.news.naver.com/mnews/article/022/0004047460?sid=101")</f>
        <v>https://n.news.naver.com/mnews/article/022/0004047460?sid=101</v>
      </c>
      <c r="H2463">
        <v>0.38700000000000001</v>
      </c>
    </row>
    <row r="2464" spans="1:8" x14ac:dyDescent="0.3">
      <c r="A2464" t="s">
        <v>5743</v>
      </c>
      <c r="B2464" t="s">
        <v>26951</v>
      </c>
      <c r="C2464" t="s">
        <v>6225</v>
      </c>
      <c r="D2464" t="s">
        <v>6224</v>
      </c>
      <c r="E2464" s="2" t="s">
        <v>725</v>
      </c>
      <c r="F2464" t="s">
        <v>6223</v>
      </c>
      <c r="G2464" t="str">
        <f>HYPERLINK("https://n.news.naver.com/mnews/article/032/0003379542?sid=102")</f>
        <v>https://n.news.naver.com/mnews/article/032/0003379542?sid=102</v>
      </c>
      <c r="H2464">
        <v>0.35899999999999999</v>
      </c>
    </row>
    <row r="2465" spans="1:8" x14ac:dyDescent="0.3">
      <c r="A2465" t="s">
        <v>5743</v>
      </c>
      <c r="B2465" t="s">
        <v>26951</v>
      </c>
      <c r="C2465" t="s">
        <v>6229</v>
      </c>
      <c r="D2465" t="s">
        <v>6228</v>
      </c>
      <c r="E2465" s="2" t="s">
        <v>725</v>
      </c>
      <c r="F2465" t="s">
        <v>6227</v>
      </c>
      <c r="G2465" t="str">
        <f>HYPERLINK("https://www.danbinews.com/news/articleView.html?idxno=30092")</f>
        <v>https://www.danbinews.com/news/articleView.html?idxno=30092</v>
      </c>
      <c r="H2465">
        <v>0.34100000000000003</v>
      </c>
    </row>
    <row r="2466" spans="1:8" x14ac:dyDescent="0.3">
      <c r="A2466" t="s">
        <v>5743</v>
      </c>
      <c r="B2466" t="s">
        <v>26951</v>
      </c>
      <c r="C2466" t="s">
        <v>6231</v>
      </c>
      <c r="D2466" t="s">
        <v>6230</v>
      </c>
      <c r="E2466" s="2" t="s">
        <v>725</v>
      </c>
      <c r="F2466" t="s">
        <v>264</v>
      </c>
      <c r="G2466" t="str">
        <f>HYPERLINK("https://n.news.naver.com/mnews/article/028/0002348230?sid=102")</f>
        <v>https://n.news.naver.com/mnews/article/028/0002348230?sid=102</v>
      </c>
      <c r="H2466">
        <v>0.38700000000000001</v>
      </c>
    </row>
    <row r="2467" spans="1:8" x14ac:dyDescent="0.3">
      <c r="A2467" t="s">
        <v>5743</v>
      </c>
      <c r="B2467" t="s">
        <v>26951</v>
      </c>
      <c r="C2467" t="s">
        <v>6234</v>
      </c>
      <c r="D2467" t="s">
        <v>6233</v>
      </c>
      <c r="E2467" s="2" t="s">
        <v>725</v>
      </c>
      <c r="F2467" t="s">
        <v>6232</v>
      </c>
      <c r="G2467" t="str">
        <f>HYPERLINK("http://doc3.koreahealthlog.com/news/newsview.php?newscd=2012062000027")</f>
        <v>http://doc3.koreahealthlog.com/news/newsview.php?newscd=2012062000027</v>
      </c>
      <c r="H2467">
        <v>0.75700000000000001</v>
      </c>
    </row>
    <row r="2468" spans="1:8" x14ac:dyDescent="0.3">
      <c r="A2468" t="s">
        <v>5743</v>
      </c>
      <c r="B2468" t="s">
        <v>26951</v>
      </c>
      <c r="C2468" t="s">
        <v>6236</v>
      </c>
      <c r="D2468" t="s">
        <v>6235</v>
      </c>
      <c r="E2468" s="2" t="s">
        <v>725</v>
      </c>
      <c r="F2468" t="s">
        <v>5724</v>
      </c>
      <c r="G2468" t="str">
        <f>HYPERLINK("https://n.news.naver.com/mnews/article/214/0000848314?sid=102")</f>
        <v>https://n.news.naver.com/mnews/article/214/0000848314?sid=102</v>
      </c>
      <c r="H2468">
        <v>0.39500000000000002</v>
      </c>
    </row>
    <row r="2469" spans="1:8" x14ac:dyDescent="0.3">
      <c r="A2469" t="s">
        <v>5743</v>
      </c>
      <c r="B2469" t="s">
        <v>26951</v>
      </c>
      <c r="C2469" t="s">
        <v>6238</v>
      </c>
      <c r="D2469" t="s">
        <v>6237</v>
      </c>
      <c r="E2469" s="2" t="s">
        <v>725</v>
      </c>
      <c r="F2469" t="s">
        <v>2068</v>
      </c>
      <c r="G2469" t="str">
        <f>HYPERLINK("https://n.news.naver.com/mnews/article/006/0000124537?sid=102")</f>
        <v>https://n.news.naver.com/mnews/article/006/0000124537?sid=102</v>
      </c>
      <c r="H2469">
        <v>0.104</v>
      </c>
    </row>
    <row r="2470" spans="1:8" x14ac:dyDescent="0.3">
      <c r="A2470" t="s">
        <v>5743</v>
      </c>
      <c r="B2470" t="s">
        <v>26951</v>
      </c>
      <c r="C2470" t="s">
        <v>6240</v>
      </c>
      <c r="D2470" t="s">
        <v>6239</v>
      </c>
      <c r="E2470" s="2" t="s">
        <v>725</v>
      </c>
      <c r="F2470" t="s">
        <v>5724</v>
      </c>
      <c r="G2470" t="str">
        <f>HYPERLINK("http://www.gjdream.com/news/articleView.html?idxno=621229")</f>
        <v>http://www.gjdream.com/news/articleView.html?idxno=621229</v>
      </c>
      <c r="H2470">
        <v>0.28399999999999997</v>
      </c>
    </row>
    <row r="2471" spans="1:8" x14ac:dyDescent="0.3">
      <c r="A2471" t="s">
        <v>5743</v>
      </c>
      <c r="B2471" t="s">
        <v>26951</v>
      </c>
      <c r="C2471" t="s">
        <v>6243</v>
      </c>
      <c r="D2471" t="s">
        <v>6242</v>
      </c>
      <c r="E2471" s="2" t="s">
        <v>725</v>
      </c>
      <c r="F2471" t="s">
        <v>6241</v>
      </c>
      <c r="G2471" t="str">
        <f>HYPERLINK("http://www.arunews.com/news/articleView.html?idxno=49347")</f>
        <v>http://www.arunews.com/news/articleView.html?idxno=49347</v>
      </c>
      <c r="H2471">
        <v>0.56699999999999995</v>
      </c>
    </row>
    <row r="2472" spans="1:8" x14ac:dyDescent="0.3">
      <c r="A2472" t="s">
        <v>5743</v>
      </c>
      <c r="B2472" t="s">
        <v>26951</v>
      </c>
      <c r="C2472" t="s">
        <v>6245</v>
      </c>
      <c r="D2472" t="s">
        <v>6244</v>
      </c>
      <c r="E2472" s="2" t="s">
        <v>725</v>
      </c>
      <c r="F2472" t="s">
        <v>89</v>
      </c>
      <c r="G2472" t="str">
        <f>HYPERLINK("https://n.news.naver.com/mnews/article/006/0000126970?sid=102")</f>
        <v>https://n.news.naver.com/mnews/article/006/0000126970?sid=102</v>
      </c>
      <c r="H2472">
        <v>0.28000000000000003</v>
      </c>
    </row>
    <row r="2473" spans="1:8" x14ac:dyDescent="0.3">
      <c r="A2473" t="s">
        <v>5743</v>
      </c>
      <c r="B2473" t="s">
        <v>26951</v>
      </c>
      <c r="C2473" t="s">
        <v>6247</v>
      </c>
      <c r="D2473" t="s">
        <v>6246</v>
      </c>
      <c r="E2473" s="2" t="s">
        <v>725</v>
      </c>
      <c r="F2473" t="s">
        <v>6013</v>
      </c>
      <c r="G2473" t="str">
        <f>HYPERLINK("https://n.news.naver.com/mnews/article/028/0002562333?sid=100")</f>
        <v>https://n.news.naver.com/mnews/article/028/0002562333?sid=100</v>
      </c>
      <c r="H2473">
        <v>0.253</v>
      </c>
    </row>
    <row r="2474" spans="1:8" x14ac:dyDescent="0.3">
      <c r="A2474" t="s">
        <v>5743</v>
      </c>
      <c r="B2474" t="s">
        <v>26951</v>
      </c>
      <c r="C2474" t="s">
        <v>6250</v>
      </c>
      <c r="D2474" t="s">
        <v>6249</v>
      </c>
      <c r="E2474" s="2" t="s">
        <v>725</v>
      </c>
      <c r="F2474" t="s">
        <v>6248</v>
      </c>
      <c r="G2474" t="str">
        <f>HYPERLINK("https://n.news.naver.com/mnews/article/018/0006031729?sid=101")</f>
        <v>https://n.news.naver.com/mnews/article/018/0006031729?sid=101</v>
      </c>
      <c r="H2474">
        <v>0.248</v>
      </c>
    </row>
    <row r="2475" spans="1:8" x14ac:dyDescent="0.3">
      <c r="A2475" t="s">
        <v>5743</v>
      </c>
      <c r="B2475" t="s">
        <v>26951</v>
      </c>
      <c r="C2475" t="s">
        <v>6253</v>
      </c>
      <c r="D2475" t="s">
        <v>6252</v>
      </c>
      <c r="E2475" s="2" t="s">
        <v>725</v>
      </c>
      <c r="F2475" t="s">
        <v>6251</v>
      </c>
      <c r="G2475" t="str">
        <f>HYPERLINK("http://www.ggilbo.com/news/articleView.html?idxno=746979")</f>
        <v>http://www.ggilbo.com/news/articleView.html?idxno=746979</v>
      </c>
      <c r="H2475">
        <v>0.59</v>
      </c>
    </row>
    <row r="2476" spans="1:8" x14ac:dyDescent="0.3">
      <c r="A2476" t="s">
        <v>5743</v>
      </c>
      <c r="B2476" t="s">
        <v>26951</v>
      </c>
      <c r="C2476" t="s">
        <v>6255</v>
      </c>
      <c r="D2476" t="s">
        <v>6254</v>
      </c>
      <c r="E2476" s="2" t="s">
        <v>725</v>
      </c>
      <c r="F2476" t="s">
        <v>5724</v>
      </c>
      <c r="G2476" t="str">
        <f>HYPERLINK("https://n.news.naver.com/mnews/article/028/0002750974?sid=102")</f>
        <v>https://n.news.naver.com/mnews/article/028/0002750974?sid=102</v>
      </c>
      <c r="H2476">
        <v>0.23300000000000001</v>
      </c>
    </row>
    <row r="2477" spans="1:8" x14ac:dyDescent="0.3">
      <c r="A2477" t="s">
        <v>5743</v>
      </c>
      <c r="B2477" t="s">
        <v>26951</v>
      </c>
      <c r="C2477" t="s">
        <v>6257</v>
      </c>
      <c r="D2477" t="s">
        <v>6256</v>
      </c>
      <c r="E2477" s="2" t="s">
        <v>725</v>
      </c>
      <c r="F2477" t="s">
        <v>2064</v>
      </c>
      <c r="G2477" t="str">
        <f>HYPERLINK("https://n.news.naver.com/mnews/article/214/0001084634?sid=100")</f>
        <v>https://n.news.naver.com/mnews/article/214/0001084634?sid=100</v>
      </c>
      <c r="H2477">
        <v>0.218</v>
      </c>
    </row>
    <row r="2478" spans="1:8" x14ac:dyDescent="0.3">
      <c r="A2478" t="s">
        <v>5743</v>
      </c>
      <c r="B2478" t="s">
        <v>26951</v>
      </c>
      <c r="C2478" t="s">
        <v>6260</v>
      </c>
      <c r="D2478" t="s">
        <v>6259</v>
      </c>
      <c r="E2478" s="2" t="s">
        <v>725</v>
      </c>
      <c r="F2478" t="s">
        <v>6258</v>
      </c>
      <c r="G2478" t="str">
        <f>HYPERLINK("https://ppss.kr/archives/83694")</f>
        <v>https://ppss.kr/archives/83694</v>
      </c>
      <c r="H2478">
        <v>0.8</v>
      </c>
    </row>
    <row r="2479" spans="1:8" x14ac:dyDescent="0.3">
      <c r="A2479" t="s">
        <v>5743</v>
      </c>
      <c r="B2479" t="s">
        <v>26951</v>
      </c>
      <c r="C2479" t="s">
        <v>6262</v>
      </c>
      <c r="D2479" t="s">
        <v>6261</v>
      </c>
      <c r="E2479" s="2" t="s">
        <v>725</v>
      </c>
      <c r="F2479" t="s">
        <v>5782</v>
      </c>
      <c r="G2479" t="str">
        <f>HYPERLINK("http://www.press9.kr/news/articleView.html?idxno=59977")</f>
        <v>http://www.press9.kr/news/articleView.html?idxno=59977</v>
      </c>
      <c r="H2479">
        <v>0.25900000000000001</v>
      </c>
    </row>
    <row r="2480" spans="1:8" x14ac:dyDescent="0.3">
      <c r="A2480" t="s">
        <v>5743</v>
      </c>
      <c r="B2480" t="s">
        <v>26951</v>
      </c>
      <c r="C2480" t="s">
        <v>6265</v>
      </c>
      <c r="D2480" t="s">
        <v>6264</v>
      </c>
      <c r="E2480" s="2" t="s">
        <v>725</v>
      </c>
      <c r="F2480" t="s">
        <v>6263</v>
      </c>
      <c r="G2480" t="str">
        <f>HYPERLINK("https://www.econovill.com/news/articleView.html?idxno=698985")</f>
        <v>https://www.econovill.com/news/articleView.html?idxno=698985</v>
      </c>
      <c r="H2480">
        <v>0.71199999999999997</v>
      </c>
    </row>
    <row r="2481" spans="1:8" x14ac:dyDescent="0.3">
      <c r="A2481" t="s">
        <v>5743</v>
      </c>
      <c r="B2481" t="s">
        <v>26951</v>
      </c>
      <c r="C2481" t="s">
        <v>6267</v>
      </c>
      <c r="D2481" t="s">
        <v>6266</v>
      </c>
      <c r="E2481" s="2" t="s">
        <v>742</v>
      </c>
      <c r="F2481" t="s">
        <v>1606</v>
      </c>
      <c r="G2481" t="str">
        <f>HYPERLINK("https://n.news.naver.com/mnews/article/028/0002752096?sid=100")</f>
        <v>https://n.news.naver.com/mnews/article/028/0002752096?sid=100</v>
      </c>
      <c r="H2481">
        <v>0.21299999999999999</v>
      </c>
    </row>
    <row r="2482" spans="1:8" x14ac:dyDescent="0.3">
      <c r="A2482" t="s">
        <v>5743</v>
      </c>
      <c r="B2482" t="s">
        <v>26951</v>
      </c>
      <c r="C2482" t="s">
        <v>6270</v>
      </c>
      <c r="D2482" t="s">
        <v>6269</v>
      </c>
      <c r="E2482" s="2" t="s">
        <v>742</v>
      </c>
      <c r="F2482" t="s">
        <v>6268</v>
      </c>
      <c r="G2482" t="str">
        <f>HYPERLINK("https://www.hyunbulnews.com/news/articleView.html?idxno=410279")</f>
        <v>https://www.hyunbulnews.com/news/articleView.html?idxno=410279</v>
      </c>
      <c r="H2482">
        <v>0.57499999999999996</v>
      </c>
    </row>
    <row r="2483" spans="1:8" x14ac:dyDescent="0.3">
      <c r="A2483" t="s">
        <v>5743</v>
      </c>
      <c r="B2483" t="s">
        <v>26951</v>
      </c>
      <c r="C2483" t="s">
        <v>6273</v>
      </c>
      <c r="D2483" t="s">
        <v>6272</v>
      </c>
      <c r="E2483" s="2" t="s">
        <v>742</v>
      </c>
      <c r="F2483" t="s">
        <v>6271</v>
      </c>
      <c r="G2483" t="str">
        <f>HYPERLINK("https://n.news.naver.com/mnews/article/052/0002186363?sid=101")</f>
        <v>https://n.news.naver.com/mnews/article/052/0002186363?sid=101</v>
      </c>
      <c r="H2483">
        <v>0.313</v>
      </c>
    </row>
    <row r="2484" spans="1:8" x14ac:dyDescent="0.3">
      <c r="A2484" t="s">
        <v>5743</v>
      </c>
      <c r="B2484" t="s">
        <v>26951</v>
      </c>
      <c r="C2484" t="s">
        <v>6278</v>
      </c>
      <c r="D2484" t="s">
        <v>6277</v>
      </c>
      <c r="E2484" s="2" t="s">
        <v>742</v>
      </c>
      <c r="F2484" t="s">
        <v>6276</v>
      </c>
      <c r="G2484" t="str">
        <f>HYPERLINK("http://ch.yes24.com/Article/View/38345")</f>
        <v>http://ch.yes24.com/Article/View/38345</v>
      </c>
      <c r="H2484">
        <v>0.754</v>
      </c>
    </row>
    <row r="2485" spans="1:8" x14ac:dyDescent="0.3">
      <c r="A2485" t="s">
        <v>5743</v>
      </c>
      <c r="B2485" t="s">
        <v>26951</v>
      </c>
      <c r="C2485" t="s">
        <v>6280</v>
      </c>
      <c r="D2485" t="s">
        <v>6279</v>
      </c>
      <c r="E2485" s="2" t="s">
        <v>742</v>
      </c>
      <c r="F2485" t="s">
        <v>3934</v>
      </c>
      <c r="G2485" t="str">
        <f>HYPERLINK("https://www.meconomynews.com/news/articleView.html?idxno=113956")</f>
        <v>https://www.meconomynews.com/news/articleView.html?idxno=113956</v>
      </c>
      <c r="H2485">
        <v>0.499</v>
      </c>
    </row>
    <row r="2486" spans="1:8" x14ac:dyDescent="0.3">
      <c r="A2486" t="s">
        <v>5743</v>
      </c>
      <c r="B2486" t="s">
        <v>26951</v>
      </c>
      <c r="C2486" t="s">
        <v>6283</v>
      </c>
      <c r="D2486" t="s">
        <v>6282</v>
      </c>
      <c r="E2486" s="2" t="s">
        <v>742</v>
      </c>
      <c r="F2486" t="s">
        <v>6281</v>
      </c>
      <c r="G2486" t="str">
        <f>HYPERLINK("https://www.forbeskorea.co.kr/news/articleView.html?idxno=400220")</f>
        <v>https://www.forbeskorea.co.kr/news/articleView.html?idxno=400220</v>
      </c>
      <c r="H2486">
        <v>0.33600000000000002</v>
      </c>
    </row>
    <row r="2487" spans="1:8" x14ac:dyDescent="0.3">
      <c r="A2487" t="s">
        <v>5743</v>
      </c>
      <c r="B2487" t="s">
        <v>26951</v>
      </c>
      <c r="C2487" t="s">
        <v>6285</v>
      </c>
      <c r="D2487" t="s">
        <v>6284</v>
      </c>
      <c r="E2487" s="2" t="s">
        <v>742</v>
      </c>
      <c r="F2487" t="s">
        <v>2068</v>
      </c>
      <c r="G2487" t="str">
        <f>HYPERLINK("https://n.news.naver.com/mnews/article/028/0002749374?sid=154")</f>
        <v>https://n.news.naver.com/mnews/article/028/0002749374?sid=154</v>
      </c>
      <c r="H2487">
        <v>0.308</v>
      </c>
    </row>
    <row r="2488" spans="1:8" x14ac:dyDescent="0.3">
      <c r="A2488" t="s">
        <v>5743</v>
      </c>
      <c r="B2488" t="s">
        <v>26951</v>
      </c>
      <c r="C2488" t="s">
        <v>6288</v>
      </c>
      <c r="D2488" t="s">
        <v>6287</v>
      </c>
      <c r="E2488" s="2" t="s">
        <v>742</v>
      </c>
      <c r="F2488" t="s">
        <v>6286</v>
      </c>
      <c r="G2488" t="str">
        <f>HYPERLINK("https://www.apnews.kr/news/articleView.html?idxno=3035347")</f>
        <v>https://www.apnews.kr/news/articleView.html?idxno=3035347</v>
      </c>
      <c r="H2488">
        <v>0.14899999999999999</v>
      </c>
    </row>
    <row r="2489" spans="1:8" x14ac:dyDescent="0.3">
      <c r="A2489" t="s">
        <v>5743</v>
      </c>
      <c r="B2489" t="s">
        <v>26951</v>
      </c>
      <c r="C2489" t="s">
        <v>6291</v>
      </c>
      <c r="D2489" t="s">
        <v>6290</v>
      </c>
      <c r="E2489" s="2" t="s">
        <v>742</v>
      </c>
      <c r="F2489" t="s">
        <v>6289</v>
      </c>
      <c r="G2489" t="str">
        <f>HYPERLINK("https://www.medicaltimes.com/Main/News/NewsView.html?ID=1161888&amp;ref=naverpc")</f>
        <v>https://www.medicaltimes.com/Main/News/NewsView.html?ID=1161888&amp;ref=naverpc</v>
      </c>
      <c r="H2489">
        <v>0.33300000000000002</v>
      </c>
    </row>
    <row r="2490" spans="1:8" x14ac:dyDescent="0.3">
      <c r="A2490" t="s">
        <v>5743</v>
      </c>
      <c r="B2490" t="s">
        <v>26951</v>
      </c>
      <c r="C2490" t="s">
        <v>6294</v>
      </c>
      <c r="D2490" t="s">
        <v>6293</v>
      </c>
      <c r="E2490" s="2" t="s">
        <v>742</v>
      </c>
      <c r="F2490" t="s">
        <v>6292</v>
      </c>
      <c r="G2490" t="str">
        <f>HYPERLINK("https://n.news.naver.com/mnews/article/214/0001433484?sid=100")</f>
        <v>https://n.news.naver.com/mnews/article/214/0001433484?sid=100</v>
      </c>
      <c r="H2490">
        <v>0.378</v>
      </c>
    </row>
    <row r="2491" spans="1:8" x14ac:dyDescent="0.3">
      <c r="A2491" t="s">
        <v>5743</v>
      </c>
      <c r="B2491" t="s">
        <v>26951</v>
      </c>
      <c r="C2491" t="s">
        <v>6297</v>
      </c>
      <c r="D2491" t="s">
        <v>6296</v>
      </c>
      <c r="E2491" s="2" t="s">
        <v>742</v>
      </c>
      <c r="F2491" t="s">
        <v>6295</v>
      </c>
      <c r="G2491" t="str">
        <f>HYPERLINK("https://www.ilyoseoul.co.kr/news/articleView.html?idxno=504240")</f>
        <v>https://www.ilyoseoul.co.kr/news/articleView.html?idxno=504240</v>
      </c>
      <c r="H2491">
        <v>0.67800000000000005</v>
      </c>
    </row>
    <row r="2492" spans="1:8" x14ac:dyDescent="0.3">
      <c r="A2492" t="s">
        <v>5743</v>
      </c>
      <c r="B2492" t="s">
        <v>26951</v>
      </c>
      <c r="C2492" t="s">
        <v>6300</v>
      </c>
      <c r="D2492" t="s">
        <v>6299</v>
      </c>
      <c r="E2492" s="2" t="s">
        <v>742</v>
      </c>
      <c r="F2492" t="s">
        <v>6298</v>
      </c>
      <c r="G2492" t="str">
        <f>HYPERLINK("http://www.idomin.com/?mod=news&amp;act=articleView&amp;idxno=579005")</f>
        <v>http://www.idomin.com/?mod=news&amp;act=articleView&amp;idxno=579005</v>
      </c>
      <c r="H2492">
        <v>0.33300000000000002</v>
      </c>
    </row>
    <row r="2493" spans="1:8" x14ac:dyDescent="0.3">
      <c r="A2493" t="s">
        <v>5743</v>
      </c>
      <c r="B2493" t="s">
        <v>26951</v>
      </c>
      <c r="C2493" t="s">
        <v>6303</v>
      </c>
      <c r="D2493" t="s">
        <v>6302</v>
      </c>
      <c r="E2493" s="2" t="s">
        <v>742</v>
      </c>
      <c r="F2493" t="s">
        <v>6301</v>
      </c>
      <c r="G2493" t="str">
        <f>HYPERLINK("https://n.news.naver.com/mnews/article/036/0000051838?sid=102")</f>
        <v>https://n.news.naver.com/mnews/article/036/0000051838?sid=102</v>
      </c>
      <c r="H2493">
        <v>0.35799999999999998</v>
      </c>
    </row>
    <row r="2494" spans="1:8" x14ac:dyDescent="0.3">
      <c r="A2494" t="s">
        <v>5743</v>
      </c>
      <c r="B2494" t="s">
        <v>26951</v>
      </c>
      <c r="C2494" t="s">
        <v>6306</v>
      </c>
      <c r="D2494" t="s">
        <v>6305</v>
      </c>
      <c r="E2494" s="2" t="s">
        <v>742</v>
      </c>
      <c r="F2494" t="s">
        <v>6304</v>
      </c>
      <c r="G2494" t="str">
        <f>HYPERLINK("https://n.news.naver.com/mnews/article/028/0002749449?sid=102")</f>
        <v>https://n.news.naver.com/mnews/article/028/0002749449?sid=102</v>
      </c>
      <c r="H2494">
        <v>0.26800000000000002</v>
      </c>
    </row>
    <row r="2495" spans="1:8" x14ac:dyDescent="0.3">
      <c r="A2495" t="s">
        <v>5743</v>
      </c>
      <c r="B2495" t="s">
        <v>26951</v>
      </c>
      <c r="C2495" t="s">
        <v>6309</v>
      </c>
      <c r="D2495" t="s">
        <v>6308</v>
      </c>
      <c r="E2495" s="2" t="s">
        <v>742</v>
      </c>
      <c r="F2495" t="s">
        <v>6307</v>
      </c>
      <c r="G2495" t="str">
        <f>HYPERLINK("http://www.newspim.com/news/view/20211224000079")</f>
        <v>http://www.newspim.com/news/view/20211224000079</v>
      </c>
      <c r="H2495">
        <v>0.26900000000000002</v>
      </c>
    </row>
    <row r="2496" spans="1:8" x14ac:dyDescent="0.3">
      <c r="A2496" t="s">
        <v>5743</v>
      </c>
      <c r="B2496" t="s">
        <v>26951</v>
      </c>
      <c r="C2496" t="s">
        <v>6312</v>
      </c>
      <c r="D2496" t="s">
        <v>6311</v>
      </c>
      <c r="E2496" s="2" t="s">
        <v>742</v>
      </c>
      <c r="F2496" t="s">
        <v>6310</v>
      </c>
      <c r="G2496" t="str">
        <f>HYPERLINK("https://www.bbc.com/korean/articles/c9897nm84pzo?xtor=AL-73-%5Bpartner%5D-%5Bnaver%5D-%5Bheadline%5D-%5Bkorean%5D-%5Bbizdev%5D-%5Bisapi%5D")</f>
        <v>https://www.bbc.com/korean/articles/c9897nm84pzo?xtor=AL-73-%5Bpartner%5D-%5Bnaver%5D-%5Bheadline%5D-%5Bkorean%5D-%5Bbizdev%5D-%5Bisapi%5D</v>
      </c>
      <c r="H2496">
        <v>0.498</v>
      </c>
    </row>
    <row r="2497" spans="1:8" x14ac:dyDescent="0.3">
      <c r="A2497" t="s">
        <v>5743</v>
      </c>
      <c r="B2497" t="s">
        <v>26951</v>
      </c>
      <c r="C2497" t="s">
        <v>6314</v>
      </c>
      <c r="D2497" t="s">
        <v>6313</v>
      </c>
      <c r="E2497" s="2" t="s">
        <v>742</v>
      </c>
      <c r="F2497" t="s">
        <v>6032</v>
      </c>
      <c r="G2497" t="str">
        <f>HYPERLINK("https://n.news.naver.com/mnews/article/005/0001786733?sid=101")</f>
        <v>https://n.news.naver.com/mnews/article/005/0001786733?sid=101</v>
      </c>
      <c r="H2497">
        <v>0.19600000000000001</v>
      </c>
    </row>
    <row r="2498" spans="1:8" x14ac:dyDescent="0.3">
      <c r="A2498" t="s">
        <v>5743</v>
      </c>
      <c r="B2498" t="s">
        <v>26951</v>
      </c>
      <c r="C2498" t="s">
        <v>6317</v>
      </c>
      <c r="D2498" t="s">
        <v>6316</v>
      </c>
      <c r="E2498" s="2" t="s">
        <v>742</v>
      </c>
      <c r="F2498" t="s">
        <v>6315</v>
      </c>
      <c r="G2498" t="str">
        <f>HYPERLINK("https://n.news.naver.com/mnews/article/028/0002749227?sid=100")</f>
        <v>https://n.news.naver.com/mnews/article/028/0002749227?sid=100</v>
      </c>
      <c r="H2498">
        <v>0.14199999999999999</v>
      </c>
    </row>
    <row r="2499" spans="1:8" x14ac:dyDescent="0.3">
      <c r="A2499" t="s">
        <v>5743</v>
      </c>
      <c r="B2499" t="s">
        <v>26951</v>
      </c>
      <c r="C2499" t="s">
        <v>6319</v>
      </c>
      <c r="D2499" t="s">
        <v>6318</v>
      </c>
      <c r="E2499" s="2" t="s">
        <v>742</v>
      </c>
      <c r="F2499" t="s">
        <v>190</v>
      </c>
      <c r="G2499" t="str">
        <f>HYPERLINK("https://www.viva100.com/article/20250609501001")</f>
        <v>https://www.viva100.com/article/20250609501001</v>
      </c>
      <c r="H2499">
        <v>0.40100000000000002</v>
      </c>
    </row>
    <row r="2500" spans="1:8" x14ac:dyDescent="0.3">
      <c r="A2500" t="s">
        <v>5743</v>
      </c>
      <c r="B2500" t="s">
        <v>26951</v>
      </c>
      <c r="C2500" t="s">
        <v>6321</v>
      </c>
      <c r="D2500" t="s">
        <v>6320</v>
      </c>
      <c r="E2500" s="2" t="s">
        <v>742</v>
      </c>
      <c r="F2500" t="s">
        <v>776</v>
      </c>
      <c r="G2500" t="str">
        <f>HYPERLINK("https://n.news.naver.com/mnews/article/028/0002744773?sid=102")</f>
        <v>https://n.news.naver.com/mnews/article/028/0002744773?sid=102</v>
      </c>
      <c r="H2500">
        <v>0.251</v>
      </c>
    </row>
    <row r="2501" spans="1:8" x14ac:dyDescent="0.3">
      <c r="A2501" t="s">
        <v>5743</v>
      </c>
      <c r="B2501" t="s">
        <v>26951</v>
      </c>
      <c r="C2501" t="s">
        <v>2526</v>
      </c>
      <c r="D2501" t="s">
        <v>2525</v>
      </c>
      <c r="E2501" s="2" t="s">
        <v>742</v>
      </c>
      <c r="F2501" t="s">
        <v>898</v>
      </c>
      <c r="G2501" t="str">
        <f>HYPERLINK("https://www.apnews.kr/news/articleView.html?idxno=3029666")</f>
        <v>https://www.apnews.kr/news/articleView.html?idxno=3029666</v>
      </c>
      <c r="H2501">
        <v>0.55500000000000005</v>
      </c>
    </row>
    <row r="2502" spans="1:8" x14ac:dyDescent="0.3">
      <c r="A2502" t="s">
        <v>5743</v>
      </c>
      <c r="B2502" t="s">
        <v>26951</v>
      </c>
      <c r="C2502" t="s">
        <v>6323</v>
      </c>
      <c r="D2502" t="s">
        <v>6322</v>
      </c>
      <c r="E2502" s="2" t="s">
        <v>742</v>
      </c>
      <c r="F2502" t="s">
        <v>6010</v>
      </c>
      <c r="G2502" t="str">
        <f>HYPERLINK("https://n.news.naver.com/mnews/article/006/0000129825?sid=102")</f>
        <v>https://n.news.naver.com/mnews/article/006/0000129825?sid=102</v>
      </c>
      <c r="H2502">
        <v>0.35</v>
      </c>
    </row>
    <row r="2503" spans="1:8" x14ac:dyDescent="0.3">
      <c r="A2503" t="s">
        <v>5743</v>
      </c>
      <c r="B2503" t="s">
        <v>26951</v>
      </c>
      <c r="C2503" t="s">
        <v>6325</v>
      </c>
      <c r="D2503" t="s">
        <v>6324</v>
      </c>
      <c r="E2503" s="2" t="s">
        <v>799</v>
      </c>
      <c r="F2503" t="s">
        <v>1277</v>
      </c>
      <c r="G2503" t="str">
        <f>HYPERLINK("http://www.newscj.com/news/articleView.html?idxno=295346")</f>
        <v>http://www.newscj.com/news/articleView.html?idxno=295346</v>
      </c>
      <c r="H2503">
        <v>0.309</v>
      </c>
    </row>
    <row r="2504" spans="1:8" x14ac:dyDescent="0.3">
      <c r="A2504" t="s">
        <v>5743</v>
      </c>
      <c r="B2504" t="s">
        <v>26951</v>
      </c>
      <c r="C2504" t="s">
        <v>6327</v>
      </c>
      <c r="D2504" t="s">
        <v>6326</v>
      </c>
      <c r="E2504" s="2" t="s">
        <v>799</v>
      </c>
      <c r="F2504" t="s">
        <v>5888</v>
      </c>
      <c r="G2504" t="str">
        <f>HYPERLINK("http://ch.yes24.com/Article/View/54337")</f>
        <v>http://ch.yes24.com/Article/View/54337</v>
      </c>
      <c r="H2504">
        <v>0.44600000000000001</v>
      </c>
    </row>
    <row r="2505" spans="1:8" x14ac:dyDescent="0.3">
      <c r="A2505" t="s">
        <v>5743</v>
      </c>
      <c r="B2505" t="s">
        <v>26951</v>
      </c>
      <c r="C2505" t="s">
        <v>6329</v>
      </c>
      <c r="D2505" t="s">
        <v>6328</v>
      </c>
      <c r="E2505" s="2" t="s">
        <v>799</v>
      </c>
      <c r="F2505" t="s">
        <v>89</v>
      </c>
      <c r="G2505" t="str">
        <f>HYPERLINK("https://www.meconomynews.com/news/articleView.html?idxno=113956")</f>
        <v>https://www.meconomynews.com/news/articleView.html?idxno=113956</v>
      </c>
      <c r="H2505">
        <v>0.55800000000000005</v>
      </c>
    </row>
    <row r="2506" spans="1:8" x14ac:dyDescent="0.3">
      <c r="A2506" t="s">
        <v>5743</v>
      </c>
      <c r="B2506" t="s">
        <v>26951</v>
      </c>
      <c r="C2506" t="s">
        <v>6331</v>
      </c>
      <c r="D2506" t="s">
        <v>6330</v>
      </c>
      <c r="E2506" s="2" t="s">
        <v>799</v>
      </c>
      <c r="F2506" t="s">
        <v>197</v>
      </c>
      <c r="G2506" t="str">
        <f>HYPERLINK("https://n.news.naver.com/mnews/article/028/0002714454?sid=110")</f>
        <v>https://n.news.naver.com/mnews/article/028/0002714454?sid=110</v>
      </c>
      <c r="H2506">
        <v>0.29199999999999998</v>
      </c>
    </row>
    <row r="2507" spans="1:8" x14ac:dyDescent="0.3">
      <c r="A2507" t="s">
        <v>5743</v>
      </c>
      <c r="B2507" t="s">
        <v>26951</v>
      </c>
      <c r="C2507" t="s">
        <v>6333</v>
      </c>
      <c r="D2507" t="s">
        <v>6332</v>
      </c>
      <c r="E2507" s="2" t="s">
        <v>799</v>
      </c>
      <c r="F2507" t="s">
        <v>2109</v>
      </c>
      <c r="G2507" t="str">
        <f>HYPERLINK("https://www.ekn.kr/web/view.php?key=20250608029543906")</f>
        <v>https://www.ekn.kr/web/view.php?key=20250608029543906</v>
      </c>
      <c r="H2507">
        <v>0.72199999999999998</v>
      </c>
    </row>
    <row r="2508" spans="1:8" x14ac:dyDescent="0.3">
      <c r="A2508" t="s">
        <v>5743</v>
      </c>
      <c r="B2508" t="s">
        <v>26951</v>
      </c>
      <c r="C2508" t="s">
        <v>6336</v>
      </c>
      <c r="D2508" t="s">
        <v>6335</v>
      </c>
      <c r="E2508" s="2" t="s">
        <v>799</v>
      </c>
      <c r="F2508" t="s">
        <v>6334</v>
      </c>
      <c r="G2508" t="str">
        <f>HYPERLINK("http://www.bulkyo21.com/news/articleView.html?idxno=60577")</f>
        <v>http://www.bulkyo21.com/news/articleView.html?idxno=60577</v>
      </c>
      <c r="H2508">
        <v>0.78700000000000003</v>
      </c>
    </row>
    <row r="2509" spans="1:8" x14ac:dyDescent="0.3">
      <c r="A2509" t="s">
        <v>5743</v>
      </c>
      <c r="B2509" t="s">
        <v>26951</v>
      </c>
      <c r="C2509" t="s">
        <v>6338</v>
      </c>
      <c r="D2509" t="s">
        <v>6337</v>
      </c>
      <c r="E2509" s="2" t="s">
        <v>799</v>
      </c>
      <c r="F2509" t="s">
        <v>2212</v>
      </c>
      <c r="G2509" t="str">
        <f>HYPERLINK("https://www.incheontoday.com/news/articleView.html?idxno=304629")</f>
        <v>https://www.incheontoday.com/news/articleView.html?idxno=304629</v>
      </c>
      <c r="H2509">
        <v>0.72099999999999997</v>
      </c>
    </row>
    <row r="2510" spans="1:8" x14ac:dyDescent="0.3">
      <c r="A2510" t="s">
        <v>5743</v>
      </c>
      <c r="B2510" t="s">
        <v>26951</v>
      </c>
      <c r="C2510" t="s">
        <v>6341</v>
      </c>
      <c r="D2510" t="s">
        <v>6340</v>
      </c>
      <c r="E2510" s="2" t="s">
        <v>799</v>
      </c>
      <c r="F2510" t="s">
        <v>6339</v>
      </c>
      <c r="G2510" t="str">
        <f>HYPERLINK("https://www.safetimes.co.kr/news/articleView.html?idxno=230868")</f>
        <v>https://www.safetimes.co.kr/news/articleView.html?idxno=230868</v>
      </c>
      <c r="H2510">
        <v>0.67500000000000004</v>
      </c>
    </row>
    <row r="2511" spans="1:8" x14ac:dyDescent="0.3">
      <c r="A2511" t="s">
        <v>5743</v>
      </c>
      <c r="B2511" t="s">
        <v>26951</v>
      </c>
      <c r="C2511" t="s">
        <v>6344</v>
      </c>
      <c r="D2511" t="s">
        <v>6343</v>
      </c>
      <c r="E2511" s="2" t="s">
        <v>799</v>
      </c>
      <c r="F2511" t="s">
        <v>6342</v>
      </c>
      <c r="G2511" t="str">
        <f>HYPERLINK("http://www.readersnews.com/news/articleView.html?idxno=114215")</f>
        <v>http://www.readersnews.com/news/articleView.html?idxno=114215</v>
      </c>
      <c r="H2511">
        <v>0.312</v>
      </c>
    </row>
    <row r="2512" spans="1:8" x14ac:dyDescent="0.3">
      <c r="A2512" t="s">
        <v>5743</v>
      </c>
      <c r="B2512" t="s">
        <v>26951</v>
      </c>
      <c r="C2512" t="s">
        <v>6346</v>
      </c>
      <c r="D2512" t="s">
        <v>6345</v>
      </c>
      <c r="E2512" s="2" t="s">
        <v>799</v>
      </c>
      <c r="F2512" t="s">
        <v>5811</v>
      </c>
      <c r="G2512" t="str">
        <f>HYPERLINK("http://ch.yes24.com/Article/View/29921")</f>
        <v>http://ch.yes24.com/Article/View/29921</v>
      </c>
      <c r="H2512">
        <v>0.52500000000000002</v>
      </c>
    </row>
    <row r="2513" spans="1:8" x14ac:dyDescent="0.3">
      <c r="A2513" t="s">
        <v>5743</v>
      </c>
      <c r="B2513" t="s">
        <v>26951</v>
      </c>
      <c r="C2513" t="s">
        <v>6349</v>
      </c>
      <c r="D2513" t="s">
        <v>6348</v>
      </c>
      <c r="E2513" s="2" t="s">
        <v>799</v>
      </c>
      <c r="F2513" t="s">
        <v>6347</v>
      </c>
      <c r="G2513" t="str">
        <f>HYPERLINK("http://www.breaknews.com/1122095")</f>
        <v>http://www.breaknews.com/1122095</v>
      </c>
      <c r="H2513">
        <v>0.53700000000000003</v>
      </c>
    </row>
    <row r="2514" spans="1:8" x14ac:dyDescent="0.3">
      <c r="A2514" t="s">
        <v>5743</v>
      </c>
      <c r="B2514" t="s">
        <v>26951</v>
      </c>
      <c r="C2514" t="s">
        <v>6352</v>
      </c>
      <c r="D2514" t="s">
        <v>6351</v>
      </c>
      <c r="E2514" s="2" t="s">
        <v>799</v>
      </c>
      <c r="F2514" t="s">
        <v>6350</v>
      </c>
      <c r="G2514" t="str">
        <f>HYPERLINK("https://n.news.naver.com/mnews/article/028/0002345192?sid=103")</f>
        <v>https://n.news.naver.com/mnews/article/028/0002345192?sid=103</v>
      </c>
      <c r="H2514">
        <v>0.224</v>
      </c>
    </row>
    <row r="2515" spans="1:8" x14ac:dyDescent="0.3">
      <c r="A2515" t="s">
        <v>5743</v>
      </c>
      <c r="B2515" t="s">
        <v>26951</v>
      </c>
      <c r="C2515" t="s">
        <v>6355</v>
      </c>
      <c r="D2515" t="s">
        <v>6354</v>
      </c>
      <c r="E2515" s="2" t="s">
        <v>799</v>
      </c>
      <c r="F2515" t="s">
        <v>6353</v>
      </c>
      <c r="G2515" t="str">
        <f>HYPERLINK("https://n.news.naver.com/mnews/article/028/0002752143?sid=100")</f>
        <v>https://n.news.naver.com/mnews/article/028/0002752143?sid=100</v>
      </c>
      <c r="H2515">
        <v>0.32200000000000001</v>
      </c>
    </row>
    <row r="2516" spans="1:8" x14ac:dyDescent="0.3">
      <c r="A2516" t="s">
        <v>5743</v>
      </c>
      <c r="B2516" t="s">
        <v>26951</v>
      </c>
      <c r="C2516" t="s">
        <v>6358</v>
      </c>
      <c r="D2516" t="s">
        <v>6357</v>
      </c>
      <c r="E2516" s="2" t="s">
        <v>799</v>
      </c>
      <c r="F2516" t="s">
        <v>6356</v>
      </c>
      <c r="G2516" t="str">
        <f>HYPERLINK("http://www.impacton.net/news/articleView.html?idxno=12271")</f>
        <v>http://www.impacton.net/news/articleView.html?idxno=12271</v>
      </c>
      <c r="H2516">
        <v>0.35199999999999998</v>
      </c>
    </row>
    <row r="2517" spans="1:8" x14ac:dyDescent="0.3">
      <c r="A2517" t="s">
        <v>5743</v>
      </c>
      <c r="B2517" t="s">
        <v>26951</v>
      </c>
      <c r="C2517" t="s">
        <v>6362</v>
      </c>
      <c r="D2517" t="s">
        <v>6361</v>
      </c>
      <c r="E2517" s="2" t="s">
        <v>799</v>
      </c>
      <c r="F2517" t="s">
        <v>5724</v>
      </c>
      <c r="G2517" t="str">
        <f>HYPERLINK("https://n.news.naver.com/mnews/article/036/0000050547?sid=100")</f>
        <v>https://n.news.naver.com/mnews/article/036/0000050547?sid=100</v>
      </c>
      <c r="H2517">
        <v>0.16200000000000001</v>
      </c>
    </row>
    <row r="2518" spans="1:8" x14ac:dyDescent="0.3">
      <c r="A2518" t="s">
        <v>5743</v>
      </c>
      <c r="B2518" t="s">
        <v>26951</v>
      </c>
      <c r="C2518" t="s">
        <v>6365</v>
      </c>
      <c r="D2518" t="s">
        <v>6364</v>
      </c>
      <c r="E2518" s="2" t="s">
        <v>799</v>
      </c>
      <c r="F2518" t="s">
        <v>6363</v>
      </c>
      <c r="G2518" t="str">
        <f>HYPERLINK("https://www.danbinews.com/news/articleView.html?idxno=30751")</f>
        <v>https://www.danbinews.com/news/articleView.html?idxno=30751</v>
      </c>
      <c r="H2518">
        <v>0.38500000000000001</v>
      </c>
    </row>
    <row r="2519" spans="1:8" x14ac:dyDescent="0.3">
      <c r="A2519" t="s">
        <v>5743</v>
      </c>
      <c r="B2519" t="s">
        <v>26951</v>
      </c>
      <c r="C2519" t="s">
        <v>6368</v>
      </c>
      <c r="D2519" t="s">
        <v>6367</v>
      </c>
      <c r="E2519" s="2" t="s">
        <v>799</v>
      </c>
      <c r="F2519" t="s">
        <v>6366</v>
      </c>
      <c r="G2519" t="str">
        <f>HYPERLINK("http://www.ilemonde.com/news/articleView.html?idxno=20384")</f>
        <v>http://www.ilemonde.com/news/articleView.html?idxno=20384</v>
      </c>
      <c r="H2519">
        <v>0.50800000000000001</v>
      </c>
    </row>
    <row r="2520" spans="1:8" x14ac:dyDescent="0.3">
      <c r="A2520" t="s">
        <v>5743</v>
      </c>
      <c r="B2520" t="s">
        <v>26951</v>
      </c>
      <c r="C2520" t="s">
        <v>6370</v>
      </c>
      <c r="D2520" t="s">
        <v>6316</v>
      </c>
      <c r="E2520" s="2" t="s">
        <v>799</v>
      </c>
      <c r="F2520" t="s">
        <v>6369</v>
      </c>
      <c r="G2520" t="str">
        <f>HYPERLINK("https://n.news.naver.com/mnews/article/028/0002737759?sid=110")</f>
        <v>https://n.news.naver.com/mnews/article/028/0002737759?sid=110</v>
      </c>
      <c r="H2520">
        <v>0.14199999999999999</v>
      </c>
    </row>
    <row r="2521" spans="1:8" x14ac:dyDescent="0.3">
      <c r="A2521" t="s">
        <v>5743</v>
      </c>
      <c r="B2521" t="s">
        <v>26951</v>
      </c>
      <c r="C2521" t="s">
        <v>6373</v>
      </c>
      <c r="D2521" t="s">
        <v>6372</v>
      </c>
      <c r="E2521" s="2" t="s">
        <v>799</v>
      </c>
      <c r="F2521" t="s">
        <v>6371</v>
      </c>
      <c r="G2521" t="str">
        <f>HYPERLINK("http://www.kbmaeil.com/news/articleView.html?idxno=254191")</f>
        <v>http://www.kbmaeil.com/news/articleView.html?idxno=254191</v>
      </c>
      <c r="H2521">
        <v>0.34200000000000003</v>
      </c>
    </row>
    <row r="2522" spans="1:8" x14ac:dyDescent="0.3">
      <c r="A2522" t="s">
        <v>5743</v>
      </c>
      <c r="B2522" t="s">
        <v>26951</v>
      </c>
      <c r="C2522" t="s">
        <v>6376</v>
      </c>
      <c r="D2522" t="s">
        <v>6375</v>
      </c>
      <c r="E2522" s="2" t="s">
        <v>799</v>
      </c>
      <c r="F2522" t="s">
        <v>6374</v>
      </c>
      <c r="G2522" t="str">
        <f>HYPERLINK("https://www.lecturernews.com/news/articleView.html?idxno=178939")</f>
        <v>https://www.lecturernews.com/news/articleView.html?idxno=178939</v>
      </c>
      <c r="H2522">
        <v>0.48699999999999999</v>
      </c>
    </row>
    <row r="2523" spans="1:8" x14ac:dyDescent="0.3">
      <c r="A2523" t="s">
        <v>5743</v>
      </c>
      <c r="B2523" t="s">
        <v>26951</v>
      </c>
      <c r="C2523" t="s">
        <v>6378</v>
      </c>
      <c r="D2523" t="s">
        <v>6377</v>
      </c>
      <c r="E2523" s="2" t="s">
        <v>840</v>
      </c>
      <c r="F2523" t="s">
        <v>264</v>
      </c>
      <c r="G2523" t="str">
        <f>HYPERLINK("http://www.goodkyung.com/news/articleView.html?idxno=198623")</f>
        <v>http://www.goodkyung.com/news/articleView.html?idxno=198623</v>
      </c>
      <c r="H2523">
        <v>0.65100000000000002</v>
      </c>
    </row>
    <row r="2524" spans="1:8" x14ac:dyDescent="0.3">
      <c r="A2524" t="s">
        <v>5743</v>
      </c>
      <c r="B2524" t="s">
        <v>26951</v>
      </c>
      <c r="C2524" t="s">
        <v>6382</v>
      </c>
      <c r="D2524" t="s">
        <v>6381</v>
      </c>
      <c r="E2524" s="2" t="s">
        <v>840</v>
      </c>
      <c r="F2524" t="s">
        <v>6380</v>
      </c>
      <c r="G2524" t="str">
        <f>HYPERLINK("https://www.gokorea.kr/news/articleView.html?idxno=830868")</f>
        <v>https://www.gokorea.kr/news/articleView.html?idxno=830868</v>
      </c>
      <c r="H2524">
        <v>0.47399999999999998</v>
      </c>
    </row>
    <row r="2525" spans="1:8" x14ac:dyDescent="0.3">
      <c r="A2525" t="s">
        <v>5743</v>
      </c>
      <c r="B2525" t="s">
        <v>26951</v>
      </c>
      <c r="C2525" t="s">
        <v>6385</v>
      </c>
      <c r="D2525" t="s">
        <v>6384</v>
      </c>
      <c r="E2525" s="2" t="s">
        <v>840</v>
      </c>
      <c r="F2525" t="s">
        <v>6383</v>
      </c>
      <c r="G2525" t="str">
        <f>HYPERLINK("http://ch.yes24.com/Article/View/54731")</f>
        <v>http://ch.yes24.com/Article/View/54731</v>
      </c>
      <c r="H2525">
        <v>0.59899999999999998</v>
      </c>
    </row>
    <row r="2526" spans="1:8" x14ac:dyDescent="0.3">
      <c r="A2526" t="s">
        <v>5743</v>
      </c>
      <c r="B2526" t="s">
        <v>26951</v>
      </c>
      <c r="C2526" t="s">
        <v>6387</v>
      </c>
      <c r="D2526" t="s">
        <v>6386</v>
      </c>
      <c r="E2526" s="2" t="s">
        <v>840</v>
      </c>
      <c r="F2526" t="s">
        <v>2212</v>
      </c>
      <c r="G2526" t="str">
        <f>HYPERLINK("https://www.nbntv.co.kr/news/articleView.html?idxno=4001909")</f>
        <v>https://www.nbntv.co.kr/news/articleView.html?idxno=4001909</v>
      </c>
      <c r="H2526">
        <v>0.64</v>
      </c>
    </row>
    <row r="2527" spans="1:8" x14ac:dyDescent="0.3">
      <c r="A2527" t="s">
        <v>5743</v>
      </c>
      <c r="B2527" t="s">
        <v>26951</v>
      </c>
      <c r="C2527" t="s">
        <v>6389</v>
      </c>
      <c r="D2527" t="s">
        <v>6388</v>
      </c>
      <c r="E2527" s="2" t="s">
        <v>840</v>
      </c>
      <c r="F2527" t="s">
        <v>6369</v>
      </c>
      <c r="G2527" t="str">
        <f>HYPERLINK("https://n.news.naver.com/mnews/article/028/0002749087?sid=154")</f>
        <v>https://n.news.naver.com/mnews/article/028/0002749087?sid=154</v>
      </c>
      <c r="H2527">
        <v>0.19800000000000001</v>
      </c>
    </row>
    <row r="2528" spans="1:8" x14ac:dyDescent="0.3">
      <c r="A2528" t="s">
        <v>5743</v>
      </c>
      <c r="B2528" t="s">
        <v>26951</v>
      </c>
      <c r="C2528" t="s">
        <v>6391</v>
      </c>
      <c r="D2528" t="s">
        <v>6390</v>
      </c>
      <c r="E2528" s="2" t="s">
        <v>840</v>
      </c>
      <c r="F2528" t="s">
        <v>6339</v>
      </c>
      <c r="G2528" t="str">
        <f>HYPERLINK("https://www.ekn.kr/web/view.php?key=20250608029543906")</f>
        <v>https://www.ekn.kr/web/view.php?key=20250608029543906</v>
      </c>
      <c r="H2528">
        <v>0.27700000000000002</v>
      </c>
    </row>
    <row r="2529" spans="1:8" x14ac:dyDescent="0.3">
      <c r="A2529" t="s">
        <v>5743</v>
      </c>
      <c r="B2529" t="s">
        <v>26951</v>
      </c>
      <c r="C2529" t="s">
        <v>6394</v>
      </c>
      <c r="D2529" t="s">
        <v>6393</v>
      </c>
      <c r="E2529" s="2" t="s">
        <v>840</v>
      </c>
      <c r="F2529" t="s">
        <v>6392</v>
      </c>
      <c r="G2529" t="str">
        <f>HYPERLINK("https://n.news.naver.com/mnews/article/028/0002751514?sid=110")</f>
        <v>https://n.news.naver.com/mnews/article/028/0002751514?sid=110</v>
      </c>
      <c r="H2529">
        <v>0.36199999999999999</v>
      </c>
    </row>
    <row r="2530" spans="1:8" x14ac:dyDescent="0.3">
      <c r="A2530" t="s">
        <v>5743</v>
      </c>
      <c r="B2530" t="s">
        <v>26951</v>
      </c>
      <c r="C2530" t="s">
        <v>6397</v>
      </c>
      <c r="D2530" t="s">
        <v>6396</v>
      </c>
      <c r="E2530" s="2" t="s">
        <v>840</v>
      </c>
      <c r="F2530" t="s">
        <v>6395</v>
      </c>
      <c r="H2530">
        <v>0.72499999999999998</v>
      </c>
    </row>
    <row r="2531" spans="1:8" x14ac:dyDescent="0.3">
      <c r="A2531" t="s">
        <v>5743</v>
      </c>
      <c r="B2531" t="s">
        <v>26951</v>
      </c>
      <c r="C2531" t="s">
        <v>6399</v>
      </c>
      <c r="D2531" t="s">
        <v>6398</v>
      </c>
      <c r="E2531" s="2" t="s">
        <v>840</v>
      </c>
      <c r="F2531" t="s">
        <v>796</v>
      </c>
      <c r="G2531" t="str">
        <f>HYPERLINK("https://n.news.naver.com/mnews/article/028/0002678367?sid=105")</f>
        <v>https://n.news.naver.com/mnews/article/028/0002678367?sid=105</v>
      </c>
      <c r="H2531">
        <v>0.17599999999999999</v>
      </c>
    </row>
    <row r="2532" spans="1:8" x14ac:dyDescent="0.3">
      <c r="A2532" t="s">
        <v>5743</v>
      </c>
      <c r="B2532" t="s">
        <v>26951</v>
      </c>
      <c r="C2532" t="s">
        <v>6402</v>
      </c>
      <c r="D2532" t="s">
        <v>6401</v>
      </c>
      <c r="E2532" s="2" t="s">
        <v>840</v>
      </c>
      <c r="F2532" t="s">
        <v>6400</v>
      </c>
      <c r="G2532" t="str">
        <f>HYPERLINK("http://www.4th.kr/news/articleView.html?idxno=2087403")</f>
        <v>http://www.4th.kr/news/articleView.html?idxno=2087403</v>
      </c>
      <c r="H2532">
        <v>0.48899999999999999</v>
      </c>
    </row>
    <row r="2533" spans="1:8" x14ac:dyDescent="0.3">
      <c r="A2533" t="s">
        <v>5743</v>
      </c>
      <c r="B2533" t="s">
        <v>26951</v>
      </c>
      <c r="C2533" t="s">
        <v>6405</v>
      </c>
      <c r="D2533" t="s">
        <v>6404</v>
      </c>
      <c r="E2533" s="2" t="s">
        <v>840</v>
      </c>
      <c r="F2533" t="s">
        <v>6403</v>
      </c>
      <c r="G2533" t="str">
        <f>HYPERLINK("http://www.wikileaks-kr.org/news/articleView.html?idxno=71458")</f>
        <v>http://www.wikileaks-kr.org/news/articleView.html?idxno=71458</v>
      </c>
      <c r="H2533">
        <v>0.49099999999999999</v>
      </c>
    </row>
    <row r="2534" spans="1:8" x14ac:dyDescent="0.3">
      <c r="A2534" t="s">
        <v>5743</v>
      </c>
      <c r="B2534" t="s">
        <v>26951</v>
      </c>
      <c r="C2534" t="s">
        <v>6409</v>
      </c>
      <c r="D2534" t="s">
        <v>6408</v>
      </c>
      <c r="E2534" s="2" t="s">
        <v>840</v>
      </c>
      <c r="F2534" t="s">
        <v>6407</v>
      </c>
      <c r="G2534" t="str">
        <f>HYPERLINK("https://n.news.naver.com/mnews/article/214/0001385131?sid=100")</f>
        <v>https://n.news.naver.com/mnews/article/214/0001385131?sid=100</v>
      </c>
      <c r="H2534">
        <v>0.16500000000000001</v>
      </c>
    </row>
    <row r="2535" spans="1:8" x14ac:dyDescent="0.3">
      <c r="A2535" t="s">
        <v>5743</v>
      </c>
      <c r="B2535" t="s">
        <v>26951</v>
      </c>
      <c r="C2535" t="s">
        <v>6411</v>
      </c>
      <c r="D2535" t="s">
        <v>6410</v>
      </c>
      <c r="E2535" s="2" t="s">
        <v>840</v>
      </c>
      <c r="F2535" t="s">
        <v>2112</v>
      </c>
      <c r="G2535" t="str">
        <f>HYPERLINK("https://www.lecturernews.com/news/articleView.html?idxno=179569")</f>
        <v>https://www.lecturernews.com/news/articleView.html?idxno=179569</v>
      </c>
      <c r="H2535">
        <v>0.29499999999999998</v>
      </c>
    </row>
    <row r="2536" spans="1:8" x14ac:dyDescent="0.3">
      <c r="A2536" t="s">
        <v>5743</v>
      </c>
      <c r="B2536" t="s">
        <v>26951</v>
      </c>
      <c r="C2536" t="s">
        <v>6413</v>
      </c>
      <c r="D2536" t="s">
        <v>6412</v>
      </c>
      <c r="E2536" s="2" t="s">
        <v>860</v>
      </c>
      <c r="F2536" t="s">
        <v>3404</v>
      </c>
      <c r="G2536" t="str">
        <f>HYPERLINK("https://www.handmk.com/news/articleView.html?idxno=30866")</f>
        <v>https://www.handmk.com/news/articleView.html?idxno=30866</v>
      </c>
      <c r="H2536">
        <v>0.33600000000000002</v>
      </c>
    </row>
    <row r="2537" spans="1:8" x14ac:dyDescent="0.3">
      <c r="A2537" t="s">
        <v>5743</v>
      </c>
      <c r="B2537" t="s">
        <v>26951</v>
      </c>
      <c r="C2537" t="s">
        <v>6416</v>
      </c>
      <c r="D2537" t="s">
        <v>6415</v>
      </c>
      <c r="E2537" s="2" t="s">
        <v>860</v>
      </c>
      <c r="F2537" t="s">
        <v>6414</v>
      </c>
      <c r="G2537" t="str">
        <f>HYPERLINK("http://www.jjan.kr/news/articleView.html?idxno=2118506")</f>
        <v>http://www.jjan.kr/news/articleView.html?idxno=2118506</v>
      </c>
      <c r="H2537">
        <v>0.32400000000000001</v>
      </c>
    </row>
    <row r="2538" spans="1:8" x14ac:dyDescent="0.3">
      <c r="A2538" t="s">
        <v>5743</v>
      </c>
      <c r="B2538" t="s">
        <v>26951</v>
      </c>
      <c r="C2538" t="s">
        <v>6419</v>
      </c>
      <c r="D2538" t="s">
        <v>6418</v>
      </c>
      <c r="E2538" s="2" t="s">
        <v>860</v>
      </c>
      <c r="F2538" t="s">
        <v>6417</v>
      </c>
      <c r="G2538" t="str">
        <f>HYPERLINK("https://www.naeil.com/news/read/553044?ref=naver")</f>
        <v>https://www.naeil.com/news/read/553044?ref=naver</v>
      </c>
      <c r="H2538">
        <v>6.8000000000000005E-2</v>
      </c>
    </row>
    <row r="2539" spans="1:8" x14ac:dyDescent="0.3">
      <c r="A2539" t="s">
        <v>5743</v>
      </c>
      <c r="B2539" t="s">
        <v>26951</v>
      </c>
      <c r="C2539" t="s">
        <v>6422</v>
      </c>
      <c r="D2539" t="s">
        <v>6421</v>
      </c>
      <c r="E2539" s="2" t="s">
        <v>860</v>
      </c>
      <c r="F2539" t="s">
        <v>6420</v>
      </c>
      <c r="G2539" t="str">
        <f>HYPERLINK("http://www.pennmike.com/news/articleView.html?idxno=60966")</f>
        <v>http://www.pennmike.com/news/articleView.html?idxno=60966</v>
      </c>
      <c r="H2539">
        <v>0.28899999999999998</v>
      </c>
    </row>
    <row r="2540" spans="1:8" x14ac:dyDescent="0.3">
      <c r="A2540" t="s">
        <v>5743</v>
      </c>
      <c r="B2540" t="s">
        <v>26951</v>
      </c>
      <c r="C2540" t="s">
        <v>6425</v>
      </c>
      <c r="D2540" t="s">
        <v>6424</v>
      </c>
      <c r="E2540" s="2" t="s">
        <v>860</v>
      </c>
      <c r="F2540" t="s">
        <v>6423</v>
      </c>
      <c r="G2540" t="str">
        <f>HYPERLINK("https://n.news.naver.com/mnews/article/028/0002378613?sid=102")</f>
        <v>https://n.news.naver.com/mnews/article/028/0002378613?sid=102</v>
      </c>
      <c r="H2540">
        <v>0.10100000000000001</v>
      </c>
    </row>
    <row r="2541" spans="1:8" x14ac:dyDescent="0.3">
      <c r="A2541" t="s">
        <v>5743</v>
      </c>
      <c r="B2541" t="s">
        <v>26951</v>
      </c>
      <c r="C2541" t="s">
        <v>6428</v>
      </c>
      <c r="D2541" t="s">
        <v>6427</v>
      </c>
      <c r="E2541" s="2" t="s">
        <v>860</v>
      </c>
      <c r="F2541" t="s">
        <v>6426</v>
      </c>
      <c r="G2541" t="str">
        <f>HYPERLINK("http://www.gjdream.com/news/articleView.html?idxno=658620")</f>
        <v>http://www.gjdream.com/news/articleView.html?idxno=658620</v>
      </c>
      <c r="H2541">
        <v>0.34899999999999998</v>
      </c>
    </row>
    <row r="2542" spans="1:8" x14ac:dyDescent="0.3">
      <c r="A2542" t="s">
        <v>5743</v>
      </c>
      <c r="B2542" t="s">
        <v>26951</v>
      </c>
      <c r="C2542" t="s">
        <v>6431</v>
      </c>
      <c r="D2542" t="s">
        <v>6430</v>
      </c>
      <c r="E2542" s="2" t="s">
        <v>860</v>
      </c>
      <c r="F2542" t="s">
        <v>6429</v>
      </c>
      <c r="G2542" t="str">
        <f>HYPERLINK("https://n.news.naver.com/mnews/article/036/0000050423?sid=102")</f>
        <v>https://n.news.naver.com/mnews/article/036/0000050423?sid=102</v>
      </c>
      <c r="H2542">
        <v>0.32700000000000001</v>
      </c>
    </row>
    <row r="2543" spans="1:8" x14ac:dyDescent="0.3">
      <c r="A2543" t="s">
        <v>5743</v>
      </c>
      <c r="B2543" t="s">
        <v>26951</v>
      </c>
      <c r="C2543" t="s">
        <v>6434</v>
      </c>
      <c r="D2543" t="s">
        <v>6433</v>
      </c>
      <c r="E2543" s="2" t="s">
        <v>860</v>
      </c>
      <c r="F2543" t="s">
        <v>6432</v>
      </c>
      <c r="G2543" t="str">
        <f>HYPERLINK("http://www.mhj21.com/166508")</f>
        <v>http://www.mhj21.com/166508</v>
      </c>
      <c r="H2543">
        <v>0.81200000000000006</v>
      </c>
    </row>
    <row r="2544" spans="1:8" x14ac:dyDescent="0.3">
      <c r="A2544" t="s">
        <v>5743</v>
      </c>
      <c r="B2544" t="s">
        <v>26951</v>
      </c>
      <c r="C2544" t="s">
        <v>6437</v>
      </c>
      <c r="D2544" t="s">
        <v>6436</v>
      </c>
      <c r="E2544" s="2" t="s">
        <v>860</v>
      </c>
      <c r="F2544" t="s">
        <v>6435</v>
      </c>
      <c r="G2544" t="str">
        <f>HYPERLINK("http://www.nongaek.com/news/articleView.html?idxno=91171")</f>
        <v>http://www.nongaek.com/news/articleView.html?idxno=91171</v>
      </c>
      <c r="H2544">
        <v>0.51900000000000002</v>
      </c>
    </row>
    <row r="2545" spans="1:8" x14ac:dyDescent="0.3">
      <c r="A2545" t="s">
        <v>5743</v>
      </c>
      <c r="B2545" t="s">
        <v>26951</v>
      </c>
      <c r="C2545" t="s">
        <v>6440</v>
      </c>
      <c r="D2545" t="s">
        <v>6439</v>
      </c>
      <c r="E2545" s="2" t="s">
        <v>860</v>
      </c>
      <c r="F2545" t="s">
        <v>6438</v>
      </c>
      <c r="G2545" t="str">
        <f>HYPERLINK("http://apnews.kr/View.aspx?No=2170924")</f>
        <v>http://apnews.kr/View.aspx?No=2170924</v>
      </c>
      <c r="H2545">
        <v>0.18</v>
      </c>
    </row>
    <row r="2546" spans="1:8" x14ac:dyDescent="0.3">
      <c r="A2546" t="s">
        <v>5743</v>
      </c>
      <c r="B2546" t="s">
        <v>26951</v>
      </c>
      <c r="C2546" t="s">
        <v>6441</v>
      </c>
      <c r="D2546" t="s">
        <v>6436</v>
      </c>
      <c r="E2546" s="2" t="s">
        <v>860</v>
      </c>
      <c r="F2546" t="s">
        <v>2498</v>
      </c>
      <c r="G2546" t="str">
        <f>HYPERLINK("http://www.sisafocus.co.kr/news/articleView.html?idxno=339987")</f>
        <v>http://www.sisafocus.co.kr/news/articleView.html?idxno=339987</v>
      </c>
      <c r="H2546">
        <v>0.54</v>
      </c>
    </row>
    <row r="2547" spans="1:8" x14ac:dyDescent="0.3">
      <c r="A2547" t="s">
        <v>5743</v>
      </c>
      <c r="B2547" t="s">
        <v>26951</v>
      </c>
      <c r="C2547" t="s">
        <v>6444</v>
      </c>
      <c r="D2547" t="s">
        <v>6443</v>
      </c>
      <c r="E2547" s="2" t="s">
        <v>860</v>
      </c>
      <c r="F2547" t="s">
        <v>6442</v>
      </c>
      <c r="G2547" t="str">
        <f>HYPERLINK("https://n.news.naver.com/mnews/article/028/0002698935?sid=102")</f>
        <v>https://n.news.naver.com/mnews/article/028/0002698935?sid=102</v>
      </c>
      <c r="H2547">
        <v>0.32500000000000001</v>
      </c>
    </row>
    <row r="2548" spans="1:8" x14ac:dyDescent="0.3">
      <c r="A2548" t="s">
        <v>5743</v>
      </c>
      <c r="B2548" t="s">
        <v>26951</v>
      </c>
      <c r="C2548" t="s">
        <v>6446</v>
      </c>
      <c r="D2548" t="s">
        <v>6445</v>
      </c>
      <c r="E2548" s="2" t="s">
        <v>860</v>
      </c>
      <c r="F2548" t="s">
        <v>4598</v>
      </c>
      <c r="G2548" t="str">
        <f>HYPERLINK("https://n.news.naver.com/mnews/article/028/0002379944?sid=105")</f>
        <v>https://n.news.naver.com/mnews/article/028/0002379944?sid=105</v>
      </c>
      <c r="H2548">
        <v>0.26500000000000001</v>
      </c>
    </row>
    <row r="2549" spans="1:8" x14ac:dyDescent="0.3">
      <c r="A2549" t="s">
        <v>5743</v>
      </c>
      <c r="B2549" t="s">
        <v>26951</v>
      </c>
      <c r="C2549" t="s">
        <v>6449</v>
      </c>
      <c r="D2549" t="s">
        <v>6448</v>
      </c>
      <c r="E2549" s="2" t="s">
        <v>860</v>
      </c>
      <c r="F2549" t="s">
        <v>6447</v>
      </c>
      <c r="G2549" t="str">
        <f>HYPERLINK("https://n.news.naver.com/mnews/article/006/0000130665?sid=100")</f>
        <v>https://n.news.naver.com/mnews/article/006/0000130665?sid=100</v>
      </c>
      <c r="H2549">
        <v>0.28399999999999997</v>
      </c>
    </row>
    <row r="2550" spans="1:8" x14ac:dyDescent="0.3">
      <c r="A2550" t="s">
        <v>5743</v>
      </c>
      <c r="B2550" t="s">
        <v>26951</v>
      </c>
      <c r="C2550" t="s">
        <v>6451</v>
      </c>
      <c r="D2550" t="s">
        <v>6450</v>
      </c>
      <c r="E2550" s="2" t="s">
        <v>860</v>
      </c>
      <c r="F2550" t="s">
        <v>5845</v>
      </c>
      <c r="G2550" t="str">
        <f>HYPERLINK("http://www.nongaek.com/news/articleView.html?idxno=91730")</f>
        <v>http://www.nongaek.com/news/articleView.html?idxno=91730</v>
      </c>
      <c r="H2550">
        <v>0.54600000000000004</v>
      </c>
    </row>
    <row r="2551" spans="1:8" x14ac:dyDescent="0.3">
      <c r="A2551" t="s">
        <v>5743</v>
      </c>
      <c r="B2551" t="s">
        <v>26951</v>
      </c>
      <c r="C2551" t="s">
        <v>6454</v>
      </c>
      <c r="D2551" t="s">
        <v>6453</v>
      </c>
      <c r="E2551" s="2" t="s">
        <v>860</v>
      </c>
      <c r="F2551" t="s">
        <v>6452</v>
      </c>
      <c r="G2551" t="str">
        <f>HYPERLINK("http://www.redian.org/archive/129690")</f>
        <v>http://www.redian.org/archive/129690</v>
      </c>
      <c r="H2551">
        <v>0.48099999999999998</v>
      </c>
    </row>
    <row r="2552" spans="1:8" x14ac:dyDescent="0.3">
      <c r="A2552" t="s">
        <v>5743</v>
      </c>
      <c r="B2552" t="s">
        <v>26951</v>
      </c>
      <c r="C2552" t="s">
        <v>6457</v>
      </c>
      <c r="D2552" t="s">
        <v>6456</v>
      </c>
      <c r="E2552" s="2" t="s">
        <v>860</v>
      </c>
      <c r="F2552" t="s">
        <v>6455</v>
      </c>
      <c r="G2552" t="str">
        <f>HYPERLINK("https://radio.ytn.co.kr/program/?f=2&amp;id=98863&amp;s_mcd=0211&amp;s_hcd=09")</f>
        <v>https://radio.ytn.co.kr/program/?f=2&amp;id=98863&amp;s_mcd=0211&amp;s_hcd=09</v>
      </c>
      <c r="H2552">
        <v>0.56399999999999995</v>
      </c>
    </row>
    <row r="2553" spans="1:8" x14ac:dyDescent="0.3">
      <c r="A2553" t="s">
        <v>5743</v>
      </c>
      <c r="B2553" t="s">
        <v>26951</v>
      </c>
      <c r="C2553" t="s">
        <v>6459</v>
      </c>
      <c r="D2553" t="s">
        <v>6458</v>
      </c>
      <c r="E2553" s="2" t="s">
        <v>860</v>
      </c>
      <c r="F2553" t="s">
        <v>6281</v>
      </c>
      <c r="G2553" t="str">
        <f>HYPERLINK("https://www.ziksir.com/news/articleView.html?idxno=92561")</f>
        <v>https://www.ziksir.com/news/articleView.html?idxno=92561</v>
      </c>
      <c r="H2553">
        <v>0.61599999999999999</v>
      </c>
    </row>
    <row r="2554" spans="1:8" x14ac:dyDescent="0.3">
      <c r="A2554" t="s">
        <v>5743</v>
      </c>
      <c r="B2554" t="s">
        <v>26951</v>
      </c>
      <c r="C2554" t="s">
        <v>6462</v>
      </c>
      <c r="D2554" t="s">
        <v>6461</v>
      </c>
      <c r="E2554" s="2" t="s">
        <v>860</v>
      </c>
      <c r="F2554" t="s">
        <v>6460</v>
      </c>
      <c r="G2554" t="str">
        <f>HYPERLINK("https://ch.yes24.com/Article/View/81269")</f>
        <v>https://ch.yes24.com/Article/View/81269</v>
      </c>
      <c r="H2554">
        <v>0.436</v>
      </c>
    </row>
    <row r="2555" spans="1:8" x14ac:dyDescent="0.3">
      <c r="A2555" t="s">
        <v>5743</v>
      </c>
      <c r="B2555" t="s">
        <v>26951</v>
      </c>
      <c r="C2555" t="s">
        <v>6464</v>
      </c>
      <c r="D2555" t="s">
        <v>6463</v>
      </c>
      <c r="E2555" s="2" t="s">
        <v>860</v>
      </c>
      <c r="F2555" t="s">
        <v>1579</v>
      </c>
      <c r="G2555" t="str">
        <f>HYPERLINK("https://n.news.naver.com/mnews/article/214/0001245333?sid=100")</f>
        <v>https://n.news.naver.com/mnews/article/214/0001245333?sid=100</v>
      </c>
      <c r="H2555">
        <v>0.436</v>
      </c>
    </row>
    <row r="2556" spans="1:8" x14ac:dyDescent="0.3">
      <c r="A2556" t="s">
        <v>5743</v>
      </c>
      <c r="B2556" t="s">
        <v>26951</v>
      </c>
      <c r="C2556" t="s">
        <v>6466</v>
      </c>
      <c r="D2556" t="s">
        <v>6465</v>
      </c>
      <c r="E2556" s="2" t="s">
        <v>860</v>
      </c>
      <c r="F2556" t="s">
        <v>6347</v>
      </c>
      <c r="G2556" t="str">
        <f>HYPERLINK("https://www.ngonews.kr/news/articleView.html?idxno=208728")</f>
        <v>https://www.ngonews.kr/news/articleView.html?idxno=208728</v>
      </c>
      <c r="H2556">
        <v>0.48199999999999998</v>
      </c>
    </row>
    <row r="2557" spans="1:8" x14ac:dyDescent="0.3">
      <c r="A2557" t="s">
        <v>5743</v>
      </c>
      <c r="B2557" t="s">
        <v>26951</v>
      </c>
      <c r="C2557" t="s">
        <v>6468</v>
      </c>
      <c r="D2557" t="s">
        <v>6467</v>
      </c>
      <c r="E2557" s="2" t="s">
        <v>860</v>
      </c>
      <c r="F2557" t="s">
        <v>2891</v>
      </c>
      <c r="G2557" t="str">
        <f>HYPERLINK("https://n.news.naver.com/mnews/article/028/0002748855?sid=102")</f>
        <v>https://n.news.naver.com/mnews/article/028/0002748855?sid=102</v>
      </c>
      <c r="H2557">
        <v>0.22600000000000001</v>
      </c>
    </row>
    <row r="2558" spans="1:8" x14ac:dyDescent="0.3">
      <c r="A2558" t="s">
        <v>5743</v>
      </c>
      <c r="B2558" t="s">
        <v>26951</v>
      </c>
      <c r="C2558" t="s">
        <v>6471</v>
      </c>
      <c r="D2558" t="s">
        <v>6470</v>
      </c>
      <c r="E2558" s="2" t="s">
        <v>860</v>
      </c>
      <c r="F2558" t="s">
        <v>6469</v>
      </c>
      <c r="G2558" t="str">
        <f>HYPERLINK("https://n.news.naver.com/mnews/article/028/0002749443?sid=102")</f>
        <v>https://n.news.naver.com/mnews/article/028/0002749443?sid=102</v>
      </c>
      <c r="H2558">
        <v>0.26900000000000002</v>
      </c>
    </row>
    <row r="2559" spans="1:8" x14ac:dyDescent="0.3">
      <c r="A2559" t="s">
        <v>5743</v>
      </c>
      <c r="B2559" t="s">
        <v>26951</v>
      </c>
      <c r="C2559" t="s">
        <v>6474</v>
      </c>
      <c r="D2559" t="s">
        <v>6473</v>
      </c>
      <c r="E2559" s="2" t="s">
        <v>860</v>
      </c>
      <c r="F2559" t="s">
        <v>6472</v>
      </c>
      <c r="G2559" t="str">
        <f>HYPERLINK("http://www.doctorstimes.com/news/articleView.html?idxno=233048")</f>
        <v>http://www.doctorstimes.com/news/articleView.html?idxno=233048</v>
      </c>
      <c r="H2559">
        <v>0.70599999999999996</v>
      </c>
    </row>
    <row r="2560" spans="1:8" x14ac:dyDescent="0.3">
      <c r="A2560" t="s">
        <v>5743</v>
      </c>
      <c r="B2560" t="s">
        <v>26951</v>
      </c>
      <c r="C2560" t="s">
        <v>6477</v>
      </c>
      <c r="D2560" t="s">
        <v>6476</v>
      </c>
      <c r="E2560" s="2" t="s">
        <v>903</v>
      </c>
      <c r="F2560" t="s">
        <v>6475</v>
      </c>
      <c r="G2560" t="str">
        <f>HYPERLINK("https://n.news.naver.com/mnews/article/308/0000035466?sid=103")</f>
        <v>https://n.news.naver.com/mnews/article/308/0000035466?sid=103</v>
      </c>
      <c r="H2560">
        <v>0.43099999999999999</v>
      </c>
    </row>
    <row r="2561" spans="1:8" x14ac:dyDescent="0.3">
      <c r="A2561" t="s">
        <v>5743</v>
      </c>
      <c r="B2561" t="s">
        <v>26951</v>
      </c>
      <c r="C2561" t="s">
        <v>6480</v>
      </c>
      <c r="D2561" t="s">
        <v>6479</v>
      </c>
      <c r="E2561" s="2" t="s">
        <v>903</v>
      </c>
      <c r="F2561" t="s">
        <v>6478</v>
      </c>
      <c r="G2561" t="str">
        <f>HYPERLINK("https://n.news.naver.com/mnews/article/006/0000130246?sid=102")</f>
        <v>https://n.news.naver.com/mnews/article/006/0000130246?sid=102</v>
      </c>
      <c r="H2561">
        <v>0.34899999999999998</v>
      </c>
    </row>
    <row r="2562" spans="1:8" x14ac:dyDescent="0.3">
      <c r="A2562" t="s">
        <v>5743</v>
      </c>
      <c r="B2562" t="s">
        <v>26951</v>
      </c>
      <c r="C2562" t="s">
        <v>6483</v>
      </c>
      <c r="D2562" t="s">
        <v>6482</v>
      </c>
      <c r="E2562" s="2" t="s">
        <v>903</v>
      </c>
      <c r="F2562" t="s">
        <v>6481</v>
      </c>
      <c r="G2562" t="str">
        <f>HYPERLINK("http://www.fortunekorea.co.kr/news/articleView.html?idxno=12356")</f>
        <v>http://www.fortunekorea.co.kr/news/articleView.html?idxno=12356</v>
      </c>
      <c r="H2562">
        <v>0.379</v>
      </c>
    </row>
    <row r="2563" spans="1:8" x14ac:dyDescent="0.3">
      <c r="A2563" t="s">
        <v>5743</v>
      </c>
      <c r="B2563" t="s">
        <v>26951</v>
      </c>
      <c r="C2563" t="s">
        <v>6485</v>
      </c>
      <c r="D2563" t="s">
        <v>6484</v>
      </c>
      <c r="E2563" s="2" t="s">
        <v>903</v>
      </c>
      <c r="F2563" t="s">
        <v>6206</v>
      </c>
      <c r="G2563" t="str">
        <f>HYPERLINK("http://www.ibuan.com/news/articleView.html?idxno=22530")</f>
        <v>http://www.ibuan.com/news/articleView.html?idxno=22530</v>
      </c>
      <c r="H2563">
        <v>0.41599999999999998</v>
      </c>
    </row>
    <row r="2564" spans="1:8" x14ac:dyDescent="0.3">
      <c r="A2564" t="s">
        <v>5743</v>
      </c>
      <c r="B2564" t="s">
        <v>26951</v>
      </c>
      <c r="C2564" t="s">
        <v>6488</v>
      </c>
      <c r="D2564" t="s">
        <v>6487</v>
      </c>
      <c r="E2564" s="2" t="s">
        <v>903</v>
      </c>
      <c r="F2564" t="s">
        <v>6486</v>
      </c>
      <c r="G2564" t="str">
        <f>HYPERLINK("https://n.news.naver.com/mnews/article/028/0002595701?sid=103")</f>
        <v>https://n.news.naver.com/mnews/article/028/0002595701?sid=103</v>
      </c>
      <c r="H2564">
        <v>0.20899999999999999</v>
      </c>
    </row>
    <row r="2565" spans="1:8" x14ac:dyDescent="0.3">
      <c r="A2565" t="s">
        <v>5743</v>
      </c>
      <c r="B2565" t="s">
        <v>26951</v>
      </c>
      <c r="C2565" t="s">
        <v>6490</v>
      </c>
      <c r="D2565" t="s">
        <v>6489</v>
      </c>
      <c r="E2565" s="2" t="s">
        <v>903</v>
      </c>
      <c r="F2565" t="s">
        <v>6438</v>
      </c>
      <c r="G2565" t="str">
        <f>HYPERLINK("https://n.news.naver.com/mnews/article/002/0002006080?sid=102")</f>
        <v>https://n.news.naver.com/mnews/article/002/0002006080?sid=102</v>
      </c>
      <c r="H2565">
        <v>0.49399999999999999</v>
      </c>
    </row>
    <row r="2566" spans="1:8" x14ac:dyDescent="0.3">
      <c r="A2566" t="s">
        <v>5743</v>
      </c>
      <c r="B2566" t="s">
        <v>26951</v>
      </c>
      <c r="C2566" t="s">
        <v>6492</v>
      </c>
      <c r="D2566" t="s">
        <v>6491</v>
      </c>
      <c r="E2566" s="2" t="s">
        <v>903</v>
      </c>
      <c r="F2566" t="s">
        <v>6438</v>
      </c>
      <c r="G2566" t="str">
        <f>HYPERLINK("https://www.joongboo.com/news/articleView.html?idxno=363692955")</f>
        <v>https://www.joongboo.com/news/articleView.html?idxno=363692955</v>
      </c>
      <c r="H2566">
        <v>0.90400000000000003</v>
      </c>
    </row>
    <row r="2567" spans="1:8" x14ac:dyDescent="0.3">
      <c r="A2567" t="s">
        <v>5743</v>
      </c>
      <c r="B2567" t="s">
        <v>26951</v>
      </c>
      <c r="C2567" t="s">
        <v>6494</v>
      </c>
      <c r="D2567" t="s">
        <v>6493</v>
      </c>
      <c r="E2567" s="2" t="s">
        <v>903</v>
      </c>
      <c r="F2567" t="s">
        <v>6438</v>
      </c>
      <c r="G2567" t="str">
        <f>HYPERLINK("http://www.nongaek.com/news/articleView.html?idxno=31686")</f>
        <v>http://www.nongaek.com/news/articleView.html?idxno=31686</v>
      </c>
      <c r="H2567">
        <v>0.41499999999999998</v>
      </c>
    </row>
    <row r="2568" spans="1:8" x14ac:dyDescent="0.3">
      <c r="A2568" t="s">
        <v>5743</v>
      </c>
      <c r="B2568" t="s">
        <v>26951</v>
      </c>
      <c r="C2568" t="s">
        <v>6497</v>
      </c>
      <c r="D2568" t="s">
        <v>6496</v>
      </c>
      <c r="E2568" s="2" t="s">
        <v>903</v>
      </c>
      <c r="F2568" t="s">
        <v>6495</v>
      </c>
      <c r="G2568" t="str">
        <f>HYPERLINK("https://www.akomnews.com/bbs/board.php?bo_table=news&amp;wr_id=62592")</f>
        <v>https://www.akomnews.com/bbs/board.php?bo_table=news&amp;wr_id=62592</v>
      </c>
      <c r="H2568">
        <v>0.622</v>
      </c>
    </row>
    <row r="2569" spans="1:8" x14ac:dyDescent="0.3">
      <c r="A2569" t="s">
        <v>5743</v>
      </c>
      <c r="B2569" t="s">
        <v>26951</v>
      </c>
      <c r="C2569" t="s">
        <v>6500</v>
      </c>
      <c r="D2569" t="s">
        <v>6499</v>
      </c>
      <c r="E2569" s="2" t="s">
        <v>903</v>
      </c>
      <c r="F2569" t="s">
        <v>6498</v>
      </c>
      <c r="G2569" t="str">
        <f>HYPERLINK("http://ch.yes24.com/Article/View/54488")</f>
        <v>http://ch.yes24.com/Article/View/54488</v>
      </c>
      <c r="H2569">
        <v>0.61099999999999999</v>
      </c>
    </row>
    <row r="2570" spans="1:8" x14ac:dyDescent="0.3">
      <c r="A2570" t="s">
        <v>5743</v>
      </c>
      <c r="B2570" t="s">
        <v>26951</v>
      </c>
      <c r="C2570" t="s">
        <v>6502</v>
      </c>
      <c r="D2570" t="s">
        <v>6501</v>
      </c>
      <c r="E2570" s="2" t="s">
        <v>903</v>
      </c>
      <c r="F2570" t="s">
        <v>4321</v>
      </c>
      <c r="G2570" t="str">
        <f>HYPERLINK("https://n.news.naver.com/mnews/article/006/0000107416?sid=100")</f>
        <v>https://n.news.naver.com/mnews/article/006/0000107416?sid=100</v>
      </c>
      <c r="H2570">
        <v>0.219</v>
      </c>
    </row>
    <row r="2571" spans="1:8" x14ac:dyDescent="0.3">
      <c r="A2571" t="s">
        <v>5743</v>
      </c>
      <c r="B2571" t="s">
        <v>26951</v>
      </c>
      <c r="C2571" t="s">
        <v>6504</v>
      </c>
      <c r="D2571" t="s">
        <v>6503</v>
      </c>
      <c r="E2571" s="2" t="s">
        <v>903</v>
      </c>
      <c r="F2571" t="s">
        <v>5724</v>
      </c>
      <c r="G2571" t="str">
        <f>HYPERLINK("https://n.news.naver.com/mnews/article/006/0000107734?sid=105")</f>
        <v>https://n.news.naver.com/mnews/article/006/0000107734?sid=105</v>
      </c>
      <c r="H2571">
        <v>0.245</v>
      </c>
    </row>
    <row r="2572" spans="1:8" x14ac:dyDescent="0.3">
      <c r="A2572" t="s">
        <v>5743</v>
      </c>
      <c r="B2572" t="s">
        <v>26951</v>
      </c>
      <c r="C2572" t="s">
        <v>6507</v>
      </c>
      <c r="D2572" t="s">
        <v>6506</v>
      </c>
      <c r="E2572" s="2" t="s">
        <v>903</v>
      </c>
      <c r="F2572" t="s">
        <v>6505</v>
      </c>
      <c r="G2572" t="str">
        <f>HYPERLINK("https://www.apnews.kr/news/articleView.html?idxno=3023196")</f>
        <v>https://www.apnews.kr/news/articleView.html?idxno=3023196</v>
      </c>
      <c r="H2572">
        <v>0.23100000000000001</v>
      </c>
    </row>
    <row r="2573" spans="1:8" x14ac:dyDescent="0.3">
      <c r="A2573" t="s">
        <v>5743</v>
      </c>
      <c r="B2573" t="s">
        <v>26951</v>
      </c>
      <c r="C2573" t="s">
        <v>6509</v>
      </c>
      <c r="D2573" t="s">
        <v>6508</v>
      </c>
      <c r="E2573" s="2" t="s">
        <v>903</v>
      </c>
      <c r="F2573" t="s">
        <v>5724</v>
      </c>
      <c r="G2573" t="str">
        <f>HYPERLINK("http://www.jbsori.com/news/articleView.html?idxno=15451")</f>
        <v>http://www.jbsori.com/news/articleView.html?idxno=15451</v>
      </c>
      <c r="H2573">
        <v>0.33500000000000002</v>
      </c>
    </row>
    <row r="2574" spans="1:8" x14ac:dyDescent="0.3">
      <c r="A2574" t="s">
        <v>5743</v>
      </c>
      <c r="B2574" t="s">
        <v>26951</v>
      </c>
      <c r="C2574" t="s">
        <v>6511</v>
      </c>
      <c r="D2574" t="s">
        <v>6510</v>
      </c>
      <c r="E2574" s="2" t="s">
        <v>903</v>
      </c>
      <c r="F2574" t="s">
        <v>5887</v>
      </c>
      <c r="G2574" t="str">
        <f>HYPERLINK("https://n.news.naver.com/mnews/article/079/0002608492?sid=102")</f>
        <v>https://n.news.naver.com/mnews/article/079/0002608492?sid=102</v>
      </c>
      <c r="H2574">
        <v>0.26200000000000001</v>
      </c>
    </row>
    <row r="2575" spans="1:8" x14ac:dyDescent="0.3">
      <c r="A2575" t="s">
        <v>5743</v>
      </c>
      <c r="B2575" t="s">
        <v>26951</v>
      </c>
      <c r="C2575" t="s">
        <v>6514</v>
      </c>
      <c r="D2575" t="s">
        <v>6513</v>
      </c>
      <c r="E2575" s="2" t="s">
        <v>903</v>
      </c>
      <c r="F2575" t="s">
        <v>6512</v>
      </c>
      <c r="G2575" t="str">
        <f>HYPERLINK("http://www.christiantoday.co.kr/news/322670")</f>
        <v>http://www.christiantoday.co.kr/news/322670</v>
      </c>
      <c r="H2575">
        <v>0.5</v>
      </c>
    </row>
    <row r="2576" spans="1:8" x14ac:dyDescent="0.3">
      <c r="A2576" t="s">
        <v>5743</v>
      </c>
      <c r="B2576" t="s">
        <v>26951</v>
      </c>
      <c r="C2576" t="s">
        <v>6517</v>
      </c>
      <c r="D2576" t="s">
        <v>6516</v>
      </c>
      <c r="E2576" s="2" t="s">
        <v>903</v>
      </c>
      <c r="F2576" t="s">
        <v>6515</v>
      </c>
      <c r="G2576" t="str">
        <f>HYPERLINK("http://ch.yes24.com/Article/View/55732")</f>
        <v>http://ch.yes24.com/Article/View/55732</v>
      </c>
      <c r="H2576">
        <v>0.46899999999999997</v>
      </c>
    </row>
    <row r="2577" spans="1:8" x14ac:dyDescent="0.3">
      <c r="A2577" t="s">
        <v>5743</v>
      </c>
      <c r="B2577" t="s">
        <v>26951</v>
      </c>
      <c r="C2577" t="s">
        <v>6520</v>
      </c>
      <c r="D2577" t="s">
        <v>6519</v>
      </c>
      <c r="E2577" s="2" t="s">
        <v>7</v>
      </c>
      <c r="F2577" t="s">
        <v>6518</v>
      </c>
      <c r="G2577" t="str">
        <f>HYPERLINK("http://www.fntoday.co.kr/news/articleView.html?idxno=187212")</f>
        <v>http://www.fntoday.co.kr/news/articleView.html?idxno=187212</v>
      </c>
      <c r="H2577">
        <v>0.56599999999999995</v>
      </c>
    </row>
    <row r="2578" spans="1:8" x14ac:dyDescent="0.3">
      <c r="A2578" t="s">
        <v>5743</v>
      </c>
      <c r="B2578" t="s">
        <v>26951</v>
      </c>
      <c r="C2578" t="s">
        <v>6523</v>
      </c>
      <c r="D2578" t="s">
        <v>6522</v>
      </c>
      <c r="E2578" s="2" t="s">
        <v>7</v>
      </c>
      <c r="F2578" t="s">
        <v>6521</v>
      </c>
      <c r="G2578" t="str">
        <f>HYPERLINK("https://www.apnews.kr/news/articleView.html?idxno=3019539")</f>
        <v>https://www.apnews.kr/news/articleView.html?idxno=3019539</v>
      </c>
      <c r="H2578">
        <v>0.13600000000000001</v>
      </c>
    </row>
    <row r="2579" spans="1:8" x14ac:dyDescent="0.3">
      <c r="A2579" t="s">
        <v>5743</v>
      </c>
      <c r="B2579" t="s">
        <v>26951</v>
      </c>
      <c r="C2579" t="s">
        <v>6525</v>
      </c>
      <c r="D2579" t="s">
        <v>6524</v>
      </c>
      <c r="E2579" s="2" t="s">
        <v>7</v>
      </c>
      <c r="F2579" t="s">
        <v>5779</v>
      </c>
      <c r="G2579" t="str">
        <f>HYPERLINK("http://ch.yes24.com/Article/View/52243")</f>
        <v>http://ch.yes24.com/Article/View/52243</v>
      </c>
      <c r="H2579">
        <v>0.40200000000000002</v>
      </c>
    </row>
    <row r="2580" spans="1:8" x14ac:dyDescent="0.3">
      <c r="A2580" t="s">
        <v>5743</v>
      </c>
      <c r="B2580" t="s">
        <v>26951</v>
      </c>
      <c r="C2580" t="s">
        <v>6528</v>
      </c>
      <c r="D2580" t="s">
        <v>6527</v>
      </c>
      <c r="E2580" s="2" t="s">
        <v>7</v>
      </c>
      <c r="F2580" t="s">
        <v>6526</v>
      </c>
      <c r="G2580" t="str">
        <f>HYPERLINK("https://n.news.naver.com/mnews/article/022/0004047866?sid=102")</f>
        <v>https://n.news.naver.com/mnews/article/022/0004047866?sid=102</v>
      </c>
      <c r="H2580">
        <v>0.41499999999999998</v>
      </c>
    </row>
    <row r="2581" spans="1:8" x14ac:dyDescent="0.3">
      <c r="A2581" t="s">
        <v>5743</v>
      </c>
      <c r="B2581" t="s">
        <v>26951</v>
      </c>
      <c r="C2581" t="s">
        <v>6531</v>
      </c>
      <c r="D2581" t="s">
        <v>6530</v>
      </c>
      <c r="E2581" s="2" t="s">
        <v>7</v>
      </c>
      <c r="F2581" t="s">
        <v>6529</v>
      </c>
      <c r="G2581" t="str">
        <f>HYPERLINK("https://www.meconomynews.com/news/articleView.html?idxno=115248")</f>
        <v>https://www.meconomynews.com/news/articleView.html?idxno=115248</v>
      </c>
      <c r="H2581">
        <v>0.374</v>
      </c>
    </row>
    <row r="2582" spans="1:8" x14ac:dyDescent="0.3">
      <c r="A2582" t="s">
        <v>5743</v>
      </c>
      <c r="B2582" t="s">
        <v>26951</v>
      </c>
      <c r="C2582" t="s">
        <v>6534</v>
      </c>
      <c r="D2582" t="s">
        <v>6533</v>
      </c>
      <c r="E2582" s="2" t="s">
        <v>7</v>
      </c>
      <c r="F2582" t="s">
        <v>6532</v>
      </c>
      <c r="G2582" t="str">
        <f>HYPERLINK("https://n.news.naver.com/mnews/article/028/0002722687?sid=100")</f>
        <v>https://n.news.naver.com/mnews/article/028/0002722687?sid=100</v>
      </c>
      <c r="H2582">
        <v>0.21299999999999999</v>
      </c>
    </row>
    <row r="2583" spans="1:8" x14ac:dyDescent="0.3">
      <c r="A2583" t="s">
        <v>5743</v>
      </c>
      <c r="B2583" t="s">
        <v>26951</v>
      </c>
      <c r="C2583" t="s">
        <v>6537</v>
      </c>
      <c r="D2583" t="s">
        <v>6536</v>
      </c>
      <c r="E2583" s="2" t="s">
        <v>7</v>
      </c>
      <c r="F2583" t="s">
        <v>6535</v>
      </c>
      <c r="G2583" t="str">
        <f>HYPERLINK("https://n.news.naver.com/mnews/article/028/0002418090?sid=103")</f>
        <v>https://n.news.naver.com/mnews/article/028/0002418090?sid=103</v>
      </c>
      <c r="H2583">
        <v>0.27700000000000002</v>
      </c>
    </row>
    <row r="2584" spans="1:8" x14ac:dyDescent="0.3">
      <c r="A2584" t="s">
        <v>5743</v>
      </c>
      <c r="B2584" t="s">
        <v>26951</v>
      </c>
      <c r="C2584" t="s">
        <v>6540</v>
      </c>
      <c r="D2584" t="s">
        <v>6539</v>
      </c>
      <c r="E2584" s="2" t="s">
        <v>7</v>
      </c>
      <c r="F2584" t="s">
        <v>6538</v>
      </c>
      <c r="G2584" t="str">
        <f>HYPERLINK("http://ch.yes24.com/Article/View/28954")</f>
        <v>http://ch.yes24.com/Article/View/28954</v>
      </c>
      <c r="H2584">
        <v>0.60199999999999998</v>
      </c>
    </row>
    <row r="2585" spans="1:8" x14ac:dyDescent="0.3">
      <c r="A2585" t="s">
        <v>5743</v>
      </c>
      <c r="B2585" t="s">
        <v>26951</v>
      </c>
      <c r="C2585" t="s">
        <v>6542</v>
      </c>
      <c r="D2585" t="s">
        <v>6541</v>
      </c>
      <c r="E2585" s="2" t="s">
        <v>7</v>
      </c>
      <c r="F2585" t="s">
        <v>89</v>
      </c>
      <c r="G2585" t="str">
        <f>HYPERLINK("https://www.huffingtonpost.kr/news/articleView.html?idxno=201374")</f>
        <v>https://www.huffingtonpost.kr/news/articleView.html?idxno=201374</v>
      </c>
      <c r="H2585">
        <v>0.59599999999999997</v>
      </c>
    </row>
    <row r="2586" spans="1:8" x14ac:dyDescent="0.3">
      <c r="A2586" t="s">
        <v>5743</v>
      </c>
      <c r="B2586" t="s">
        <v>26951</v>
      </c>
      <c r="C2586" t="s">
        <v>6545</v>
      </c>
      <c r="D2586" t="s">
        <v>6544</v>
      </c>
      <c r="E2586" s="2" t="s">
        <v>7</v>
      </c>
      <c r="F2586" t="s">
        <v>6543</v>
      </c>
      <c r="G2586" t="str">
        <f>HYPERLINK("https://www.getnews.co.kr/news/articleView.html?idxno=696103")</f>
        <v>https://www.getnews.co.kr/news/articleView.html?idxno=696103</v>
      </c>
      <c r="H2586">
        <v>0.25700000000000001</v>
      </c>
    </row>
    <row r="2587" spans="1:8" x14ac:dyDescent="0.3">
      <c r="A2587" t="s">
        <v>5743</v>
      </c>
      <c r="B2587" t="s">
        <v>26951</v>
      </c>
      <c r="C2587" t="s">
        <v>6548</v>
      </c>
      <c r="D2587" t="s">
        <v>6547</v>
      </c>
      <c r="E2587" s="2" t="s">
        <v>7</v>
      </c>
      <c r="F2587" t="s">
        <v>6546</v>
      </c>
      <c r="G2587" t="str">
        <f>HYPERLINK("https://www.newscj.com/news/articleView.html?idxno=3228648")</f>
        <v>https://www.newscj.com/news/articleView.html?idxno=3228648</v>
      </c>
      <c r="H2587">
        <v>0.496</v>
      </c>
    </row>
    <row r="2588" spans="1:8" x14ac:dyDescent="0.3">
      <c r="A2588" t="s">
        <v>5743</v>
      </c>
      <c r="B2588" t="s">
        <v>26951</v>
      </c>
      <c r="C2588" t="s">
        <v>6550</v>
      </c>
      <c r="D2588" t="s">
        <v>6549</v>
      </c>
      <c r="E2588" s="2" t="s">
        <v>7</v>
      </c>
      <c r="F2588" t="s">
        <v>6090</v>
      </c>
      <c r="G2588" t="str">
        <f>HYPERLINK("https://n.news.naver.com/mnews/article/002/0002003941?sid=102")</f>
        <v>https://n.news.naver.com/mnews/article/002/0002003941?sid=102</v>
      </c>
      <c r="H2588">
        <v>0.34799999999999998</v>
      </c>
    </row>
    <row r="2589" spans="1:8" x14ac:dyDescent="0.3">
      <c r="A2589" t="s">
        <v>5743</v>
      </c>
      <c r="B2589" t="s">
        <v>26951</v>
      </c>
      <c r="C2589" t="s">
        <v>6552</v>
      </c>
      <c r="D2589" t="s">
        <v>6551</v>
      </c>
      <c r="E2589" s="2" t="s">
        <v>7</v>
      </c>
      <c r="F2589" t="s">
        <v>82</v>
      </c>
      <c r="G2589" t="str">
        <f>HYPERLINK("http://www.newspim.com/news/view/20220422000733")</f>
        <v>http://www.newspim.com/news/view/20220422000733</v>
      </c>
      <c r="H2589">
        <v>0.30399999999999999</v>
      </c>
    </row>
    <row r="2590" spans="1:8" x14ac:dyDescent="0.3">
      <c r="A2590" t="s">
        <v>5743</v>
      </c>
      <c r="B2590" t="s">
        <v>26951</v>
      </c>
      <c r="C2590" t="s">
        <v>6554</v>
      </c>
      <c r="D2590" t="s">
        <v>6553</v>
      </c>
      <c r="E2590" s="2" t="s">
        <v>7</v>
      </c>
      <c r="F2590" t="s">
        <v>2112</v>
      </c>
      <c r="G2590" t="str">
        <f>HYPERLINK("https://n.news.naver.com/mnews/article/028/0002750974?sid=102")</f>
        <v>https://n.news.naver.com/mnews/article/028/0002750974?sid=102</v>
      </c>
      <c r="H2590">
        <v>0.188</v>
      </c>
    </row>
    <row r="2591" spans="1:8" x14ac:dyDescent="0.3">
      <c r="A2591" t="s">
        <v>5743</v>
      </c>
      <c r="B2591" t="s">
        <v>26951</v>
      </c>
      <c r="C2591" t="s">
        <v>6556</v>
      </c>
      <c r="D2591" t="s">
        <v>6555</v>
      </c>
      <c r="E2591" s="2" t="s">
        <v>7</v>
      </c>
      <c r="F2591" t="s">
        <v>776</v>
      </c>
      <c r="G2591" t="str">
        <f>HYPERLINK("https://n.news.naver.com/mnews/article/028/0002744773?sid=102")</f>
        <v>https://n.news.naver.com/mnews/article/028/0002744773?sid=102</v>
      </c>
      <c r="H2591">
        <v>0.29599999999999999</v>
      </c>
    </row>
    <row r="2592" spans="1:8" x14ac:dyDescent="0.3">
      <c r="A2592" t="s">
        <v>5743</v>
      </c>
      <c r="B2592" t="s">
        <v>26951</v>
      </c>
      <c r="C2592" t="s">
        <v>6558</v>
      </c>
      <c r="D2592" t="s">
        <v>6557</v>
      </c>
      <c r="E2592" s="2" t="s">
        <v>7</v>
      </c>
      <c r="F2592" t="s">
        <v>2233</v>
      </c>
      <c r="G2592" t="str">
        <f>HYPERLINK("https://www.apnews.kr/news/articleView.html?idxno=3026479")</f>
        <v>https://www.apnews.kr/news/articleView.html?idxno=3026479</v>
      </c>
      <c r="H2592">
        <v>0.25</v>
      </c>
    </row>
    <row r="2593" spans="1:8" x14ac:dyDescent="0.3">
      <c r="A2593" t="s">
        <v>5743</v>
      </c>
      <c r="B2593" t="s">
        <v>26951</v>
      </c>
      <c r="C2593" t="s">
        <v>6560</v>
      </c>
      <c r="D2593" t="s">
        <v>6559</v>
      </c>
      <c r="E2593" s="2" t="s">
        <v>7</v>
      </c>
      <c r="F2593" t="s">
        <v>4321</v>
      </c>
      <c r="G2593" t="str">
        <f>HYPERLINK("https://n.news.naver.com/mnews/article/028/0002753642?sid=104")</f>
        <v>https://n.news.naver.com/mnews/article/028/0002753642?sid=104</v>
      </c>
      <c r="H2593">
        <v>0.23</v>
      </c>
    </row>
    <row r="2594" spans="1:8" x14ac:dyDescent="0.3">
      <c r="A2594" t="s">
        <v>5743</v>
      </c>
      <c r="B2594" t="s">
        <v>26951</v>
      </c>
      <c r="C2594" t="s">
        <v>6563</v>
      </c>
      <c r="D2594" t="s">
        <v>6562</v>
      </c>
      <c r="E2594" s="2" t="s">
        <v>7</v>
      </c>
      <c r="F2594" t="s">
        <v>6561</v>
      </c>
      <c r="G2594" t="str">
        <f>HYPERLINK("https://n.news.naver.com/mnews/article/119/0002972632?sid=101")</f>
        <v>https://n.news.naver.com/mnews/article/119/0002972632?sid=101</v>
      </c>
      <c r="H2594">
        <v>0.39300000000000002</v>
      </c>
    </row>
    <row r="2595" spans="1:8" x14ac:dyDescent="0.3">
      <c r="A2595" t="s">
        <v>5743</v>
      </c>
      <c r="B2595" t="s">
        <v>26951</v>
      </c>
      <c r="C2595" t="s">
        <v>6566</v>
      </c>
      <c r="D2595" t="s">
        <v>6565</v>
      </c>
      <c r="E2595" s="2" t="s">
        <v>7</v>
      </c>
      <c r="F2595" t="s">
        <v>6564</v>
      </c>
      <c r="G2595" t="str">
        <f>HYPERLINK("http://www.kyeongin.com/main/view.php?key=20191217010004907")</f>
        <v>http://www.kyeongin.com/main/view.php?key=20191217010004907</v>
      </c>
      <c r="H2595">
        <v>0.45900000000000002</v>
      </c>
    </row>
    <row r="2596" spans="1:8" x14ac:dyDescent="0.3">
      <c r="A2596" t="s">
        <v>5743</v>
      </c>
      <c r="B2596" t="s">
        <v>26951</v>
      </c>
      <c r="C2596" t="s">
        <v>6568</v>
      </c>
      <c r="D2596" t="s">
        <v>6567</v>
      </c>
      <c r="E2596" s="2" t="s">
        <v>66</v>
      </c>
      <c r="F2596" t="s">
        <v>2057</v>
      </c>
      <c r="G2596" t="str">
        <f>HYPERLINK("https://www.greened.kr/news/articleView.html?idxno=328144")</f>
        <v>https://www.greened.kr/news/articleView.html?idxno=328144</v>
      </c>
      <c r="H2596">
        <v>0.14399999999999999</v>
      </c>
    </row>
    <row r="2597" spans="1:8" x14ac:dyDescent="0.3">
      <c r="A2597" t="s">
        <v>5743</v>
      </c>
      <c r="B2597" t="s">
        <v>26951</v>
      </c>
      <c r="C2597" t="s">
        <v>6570</v>
      </c>
      <c r="D2597" t="s">
        <v>6569</v>
      </c>
      <c r="E2597" s="2" t="s">
        <v>66</v>
      </c>
      <c r="F2597" t="s">
        <v>2057</v>
      </c>
      <c r="G2597" t="str">
        <f>HYPERLINK("http://www.doctorstimes.com/news/articleView.html?idxno=229776")</f>
        <v>http://www.doctorstimes.com/news/articleView.html?idxno=229776</v>
      </c>
      <c r="H2597">
        <v>0.20699999999999999</v>
      </c>
    </row>
    <row r="2598" spans="1:8" x14ac:dyDescent="0.3">
      <c r="A2598" t="s">
        <v>5743</v>
      </c>
      <c r="B2598" t="s">
        <v>26951</v>
      </c>
      <c r="C2598" t="s">
        <v>6572</v>
      </c>
      <c r="D2598" t="s">
        <v>6571</v>
      </c>
      <c r="E2598" s="2" t="s">
        <v>66</v>
      </c>
      <c r="F2598" t="s">
        <v>2057</v>
      </c>
      <c r="G2598" t="str">
        <f>HYPERLINK("https://radio.ytn.co.kr/program/?f=2&amp;id=76065&amp;s_mcd=0206&amp;s_hcd=15")</f>
        <v>https://radio.ytn.co.kr/program/?f=2&amp;id=76065&amp;s_mcd=0206&amp;s_hcd=15</v>
      </c>
      <c r="H2598">
        <v>0.16800000000000001</v>
      </c>
    </row>
    <row r="2599" spans="1:8" x14ac:dyDescent="0.3">
      <c r="A2599" t="s">
        <v>5743</v>
      </c>
      <c r="B2599" t="s">
        <v>26951</v>
      </c>
      <c r="C2599" t="s">
        <v>5605</v>
      </c>
      <c r="D2599" t="s">
        <v>5604</v>
      </c>
      <c r="E2599" s="2" t="s">
        <v>66</v>
      </c>
      <c r="F2599" t="s">
        <v>89</v>
      </c>
      <c r="G2599" t="str">
        <f>HYPERLINK("https://n.news.naver.com/mnews/article/079/0002658128?sid=101")</f>
        <v>https://n.news.naver.com/mnews/article/079/0002658128?sid=101</v>
      </c>
      <c r="H2599">
        <v>0.24399999999999999</v>
      </c>
    </row>
    <row r="2600" spans="1:8" x14ac:dyDescent="0.3">
      <c r="A2600" t="s">
        <v>5743</v>
      </c>
      <c r="B2600" t="s">
        <v>26951</v>
      </c>
      <c r="C2600" t="s">
        <v>6577</v>
      </c>
      <c r="D2600" t="s">
        <v>6576</v>
      </c>
      <c r="E2600" s="2" t="s">
        <v>66</v>
      </c>
      <c r="F2600" t="s">
        <v>6575</v>
      </c>
      <c r="G2600" t="str">
        <f>HYPERLINK("https://n.news.naver.com/mnews/article/081/0002977478?sid=102")</f>
        <v>https://n.news.naver.com/mnews/article/081/0002977478?sid=102</v>
      </c>
      <c r="H2600">
        <v>0.36099999999999999</v>
      </c>
    </row>
    <row r="2601" spans="1:8" x14ac:dyDescent="0.3">
      <c r="A2601" t="s">
        <v>5743</v>
      </c>
      <c r="B2601" t="s">
        <v>26951</v>
      </c>
      <c r="C2601" t="s">
        <v>6580</v>
      </c>
      <c r="D2601" t="s">
        <v>6579</v>
      </c>
      <c r="E2601" s="2" t="s">
        <v>66</v>
      </c>
      <c r="F2601" t="s">
        <v>1957</v>
      </c>
      <c r="G2601" t="str">
        <f>HYPERLINK("http://www.nongaek.com/news/articleView.html?idxno=91747")</f>
        <v>http://www.nongaek.com/news/articleView.html?idxno=91747</v>
      </c>
      <c r="H2601">
        <v>0.19800000000000001</v>
      </c>
    </row>
    <row r="2602" spans="1:8" x14ac:dyDescent="0.3">
      <c r="A2602" t="s">
        <v>5743</v>
      </c>
      <c r="B2602" t="s">
        <v>26951</v>
      </c>
      <c r="C2602" t="s">
        <v>6583</v>
      </c>
      <c r="D2602" t="s">
        <v>6582</v>
      </c>
      <c r="E2602" s="2" t="s">
        <v>66</v>
      </c>
      <c r="F2602" t="s">
        <v>6581</v>
      </c>
      <c r="G2602" t="str">
        <f>HYPERLINK("http://www.gnmaeil.com/news/articleView.html?idxno=559436")</f>
        <v>http://www.gnmaeil.com/news/articleView.html?idxno=559436</v>
      </c>
      <c r="H2602">
        <v>0.625</v>
      </c>
    </row>
    <row r="2603" spans="1:8" x14ac:dyDescent="0.3">
      <c r="A2603" t="s">
        <v>5743</v>
      </c>
      <c r="B2603" t="s">
        <v>26951</v>
      </c>
      <c r="C2603" t="s">
        <v>6585</v>
      </c>
      <c r="D2603" t="s">
        <v>6584</v>
      </c>
      <c r="E2603" s="2" t="s">
        <v>66</v>
      </c>
      <c r="F2603" t="s">
        <v>467</v>
      </c>
      <c r="G2603" t="str">
        <f>HYPERLINK("https://n.news.naver.com/mnews/article/008/0005214394?sid=100")</f>
        <v>https://n.news.naver.com/mnews/article/008/0005214394?sid=100</v>
      </c>
      <c r="H2603">
        <v>0.313</v>
      </c>
    </row>
    <row r="2604" spans="1:8" x14ac:dyDescent="0.3">
      <c r="A2604" t="s">
        <v>5743</v>
      </c>
      <c r="B2604" t="s">
        <v>26951</v>
      </c>
      <c r="C2604" t="s">
        <v>6588</v>
      </c>
      <c r="D2604" t="s">
        <v>6587</v>
      </c>
      <c r="E2604" s="2" t="s">
        <v>66</v>
      </c>
      <c r="F2604" t="s">
        <v>6586</v>
      </c>
      <c r="G2604" t="str">
        <f>HYPERLINK("http://ch.yes24.com/Article/View/31187")</f>
        <v>http://ch.yes24.com/Article/View/31187</v>
      </c>
      <c r="H2604">
        <v>0.72899999999999998</v>
      </c>
    </row>
    <row r="2605" spans="1:8" x14ac:dyDescent="0.3">
      <c r="A2605" t="s">
        <v>5743</v>
      </c>
      <c r="B2605" t="s">
        <v>26951</v>
      </c>
      <c r="C2605" t="s">
        <v>6590</v>
      </c>
      <c r="D2605" t="s">
        <v>6589</v>
      </c>
      <c r="E2605" s="2" t="s">
        <v>66</v>
      </c>
      <c r="F2605" t="s">
        <v>5724</v>
      </c>
      <c r="G2605" t="str">
        <f>HYPERLINK("https://n.news.naver.com/mnews/article/028/0001951427?sid=102")</f>
        <v>https://n.news.naver.com/mnews/article/028/0001951427?sid=102</v>
      </c>
      <c r="H2605">
        <v>0.216</v>
      </c>
    </row>
    <row r="2606" spans="1:8" x14ac:dyDescent="0.3">
      <c r="A2606" t="s">
        <v>5743</v>
      </c>
      <c r="B2606" t="s">
        <v>26951</v>
      </c>
      <c r="C2606" t="s">
        <v>6592</v>
      </c>
      <c r="D2606" t="s">
        <v>6591</v>
      </c>
      <c r="E2606" s="2" t="s">
        <v>66</v>
      </c>
      <c r="F2606" t="s">
        <v>3420</v>
      </c>
      <c r="G2606" t="str">
        <f>HYPERLINK("https://www.ekoreanews.co.kr/news/articleView.html?idxno=80420")</f>
        <v>https://www.ekoreanews.co.kr/news/articleView.html?idxno=80420</v>
      </c>
      <c r="H2606">
        <v>0.54500000000000004</v>
      </c>
    </row>
    <row r="2607" spans="1:8" x14ac:dyDescent="0.3">
      <c r="A2607" t="s">
        <v>5743</v>
      </c>
      <c r="B2607" t="s">
        <v>26951</v>
      </c>
      <c r="C2607" t="s">
        <v>6595</v>
      </c>
      <c r="D2607" t="s">
        <v>6594</v>
      </c>
      <c r="E2607" s="2" t="s">
        <v>66</v>
      </c>
      <c r="F2607" t="s">
        <v>6593</v>
      </c>
      <c r="G2607" t="str">
        <f>HYPERLINK("https://www.bigtanews.co.kr/article/view/big202507010017")</f>
        <v>https://www.bigtanews.co.kr/article/view/big202507010017</v>
      </c>
      <c r="H2607">
        <v>0.42899999999999999</v>
      </c>
    </row>
    <row r="2608" spans="1:8" x14ac:dyDescent="0.3">
      <c r="A2608" t="s">
        <v>5743</v>
      </c>
      <c r="B2608" t="s">
        <v>26951</v>
      </c>
      <c r="C2608" t="s">
        <v>6598</v>
      </c>
      <c r="D2608" t="s">
        <v>6597</v>
      </c>
      <c r="E2608" s="2" t="s">
        <v>66</v>
      </c>
      <c r="F2608" t="s">
        <v>6596</v>
      </c>
      <c r="G2608" t="str">
        <f>HYPERLINK("http://kor.theasian.asia/archives/385117")</f>
        <v>http://kor.theasian.asia/archives/385117</v>
      </c>
      <c r="H2608">
        <v>0.12</v>
      </c>
    </row>
    <row r="2609" spans="1:8" x14ac:dyDescent="0.3">
      <c r="A2609" t="s">
        <v>5743</v>
      </c>
      <c r="B2609" t="s">
        <v>26951</v>
      </c>
      <c r="C2609" t="s">
        <v>6601</v>
      </c>
      <c r="D2609" t="s">
        <v>6600</v>
      </c>
      <c r="E2609" s="2" t="s">
        <v>66</v>
      </c>
      <c r="F2609" t="s">
        <v>6599</v>
      </c>
      <c r="G2609" t="str">
        <f>HYPERLINK("http://www.gimhaenews.co.kr/news/articleView.html?idxno=10077")</f>
        <v>http://www.gimhaenews.co.kr/news/articleView.html?idxno=10077</v>
      </c>
      <c r="H2609">
        <v>0.57799999999999996</v>
      </c>
    </row>
    <row r="2610" spans="1:8" x14ac:dyDescent="0.3">
      <c r="A2610" t="s">
        <v>5743</v>
      </c>
      <c r="B2610" t="s">
        <v>26951</v>
      </c>
      <c r="C2610" t="s">
        <v>6604</v>
      </c>
      <c r="D2610" t="s">
        <v>6603</v>
      </c>
      <c r="E2610" s="2" t="s">
        <v>66</v>
      </c>
      <c r="F2610" t="s">
        <v>6602</v>
      </c>
      <c r="G2610" t="str">
        <f>HYPERLINK("http://www.newsian.co.kr/news/articleView.html?idxno=70802")</f>
        <v>http://www.newsian.co.kr/news/articleView.html?idxno=70802</v>
      </c>
      <c r="H2610">
        <v>0.72299999999999998</v>
      </c>
    </row>
    <row r="2611" spans="1:8" x14ac:dyDescent="0.3">
      <c r="A2611" t="s">
        <v>5743</v>
      </c>
      <c r="B2611" t="s">
        <v>26951</v>
      </c>
      <c r="C2611" t="s">
        <v>6607</v>
      </c>
      <c r="D2611" t="s">
        <v>6606</v>
      </c>
      <c r="E2611" s="2" t="s">
        <v>66</v>
      </c>
      <c r="F2611" t="s">
        <v>6605</v>
      </c>
      <c r="G2611" t="str">
        <f>HYPERLINK("http://ch.yes24.com/Article/View/54731")</f>
        <v>http://ch.yes24.com/Article/View/54731</v>
      </c>
      <c r="H2611">
        <v>0.68400000000000005</v>
      </c>
    </row>
    <row r="2612" spans="1:8" x14ac:dyDescent="0.3">
      <c r="A2612" t="s">
        <v>5743</v>
      </c>
      <c r="B2612" t="s">
        <v>26951</v>
      </c>
      <c r="C2612" t="s">
        <v>6610</v>
      </c>
      <c r="D2612" t="s">
        <v>6609</v>
      </c>
      <c r="E2612" s="2" t="s">
        <v>66</v>
      </c>
      <c r="F2612" t="s">
        <v>6608</v>
      </c>
      <c r="G2612" t="str">
        <f>HYPERLINK("https://www.newsjeju.net/news/articleView.html?idxno=411564")</f>
        <v>https://www.newsjeju.net/news/articleView.html?idxno=411564</v>
      </c>
      <c r="H2612">
        <v>0.61699999999999999</v>
      </c>
    </row>
    <row r="2613" spans="1:8" x14ac:dyDescent="0.3">
      <c r="A2613" t="s">
        <v>5743</v>
      </c>
      <c r="B2613" t="s">
        <v>26951</v>
      </c>
      <c r="C2613" t="s">
        <v>6613</v>
      </c>
      <c r="D2613" t="s">
        <v>6612</v>
      </c>
      <c r="E2613" s="2" t="s">
        <v>66</v>
      </c>
      <c r="F2613" t="s">
        <v>6611</v>
      </c>
      <c r="G2613" t="str">
        <f>HYPERLINK("http://www.hangyo.com/news/article.html?no=87230")</f>
        <v>http://www.hangyo.com/news/article.html?no=87230</v>
      </c>
      <c r="H2613">
        <v>0.48599999999999999</v>
      </c>
    </row>
    <row r="2614" spans="1:8" x14ac:dyDescent="0.3">
      <c r="A2614" t="s">
        <v>5743</v>
      </c>
      <c r="B2614" t="s">
        <v>26951</v>
      </c>
      <c r="C2614" t="s">
        <v>6615</v>
      </c>
      <c r="D2614" t="s">
        <v>6614</v>
      </c>
      <c r="E2614" s="2" t="s">
        <v>66</v>
      </c>
      <c r="F2614" t="s">
        <v>1543</v>
      </c>
      <c r="G2614" t="str">
        <f>HYPERLINK("http://www.jbsori.com/news/articleView.html?idxno=15177")</f>
        <v>http://www.jbsori.com/news/articleView.html?idxno=15177</v>
      </c>
      <c r="H2614">
        <v>0.54500000000000004</v>
      </c>
    </row>
    <row r="2615" spans="1:8" x14ac:dyDescent="0.3">
      <c r="A2615" t="s">
        <v>5743</v>
      </c>
      <c r="B2615" t="s">
        <v>26951</v>
      </c>
      <c r="C2615" t="s">
        <v>6617</v>
      </c>
      <c r="D2615" t="s">
        <v>6616</v>
      </c>
      <c r="E2615" s="2" t="s">
        <v>66</v>
      </c>
      <c r="F2615" t="s">
        <v>5724</v>
      </c>
      <c r="G2615" t="str">
        <f>HYPERLINK("https://n.news.naver.com/mnews/article/081/0003553442?sid=102")</f>
        <v>https://n.news.naver.com/mnews/article/081/0003553442?sid=102</v>
      </c>
      <c r="H2615">
        <v>0.23499999999999999</v>
      </c>
    </row>
    <row r="2616" spans="1:8" x14ac:dyDescent="0.3">
      <c r="A2616" t="s">
        <v>5743</v>
      </c>
      <c r="B2616" t="s">
        <v>26951</v>
      </c>
      <c r="C2616" t="s">
        <v>6620</v>
      </c>
      <c r="D2616" t="s">
        <v>6619</v>
      </c>
      <c r="E2616" s="2" t="s">
        <v>66</v>
      </c>
      <c r="F2616" t="s">
        <v>6618</v>
      </c>
      <c r="G2616" t="str">
        <f>HYPERLINK("https://www.marieclairekorea.com/lifestyle/2022/06/body-talk/?utm_source=naver&amp;utm_medium=partnership")</f>
        <v>https://www.marieclairekorea.com/lifestyle/2022/06/body-talk/?utm_source=naver&amp;utm_medium=partnership</v>
      </c>
      <c r="H2616">
        <v>0.438</v>
      </c>
    </row>
    <row r="2617" spans="1:8" x14ac:dyDescent="0.3">
      <c r="A2617" t="s">
        <v>5743</v>
      </c>
      <c r="B2617" t="s">
        <v>26951</v>
      </c>
      <c r="C2617" t="s">
        <v>6623</v>
      </c>
      <c r="D2617" t="s">
        <v>6622</v>
      </c>
      <c r="E2617" s="2" t="s">
        <v>74</v>
      </c>
      <c r="F2617" t="s">
        <v>6621</v>
      </c>
      <c r="G2617" t="str">
        <f>HYPERLINK("http://www.the-stock.kr/news/articleView.html?idxno=19966")</f>
        <v>http://www.the-stock.kr/news/articleView.html?idxno=19966</v>
      </c>
      <c r="H2617">
        <v>0.28499999999999998</v>
      </c>
    </row>
    <row r="2618" spans="1:8" x14ac:dyDescent="0.3">
      <c r="A2618" t="s">
        <v>5743</v>
      </c>
      <c r="B2618" t="s">
        <v>26951</v>
      </c>
      <c r="C2618" t="s">
        <v>6626</v>
      </c>
      <c r="D2618" t="s">
        <v>6625</v>
      </c>
      <c r="E2618" s="2" t="s">
        <v>74</v>
      </c>
      <c r="F2618" t="s">
        <v>6624</v>
      </c>
      <c r="G2618" t="str">
        <f>HYPERLINK("https://www.huffingtonpost.kr/news/articleView.html?idxno=236629")</f>
        <v>https://www.huffingtonpost.kr/news/articleView.html?idxno=236629</v>
      </c>
      <c r="H2618">
        <v>0.29499999999999998</v>
      </c>
    </row>
    <row r="2619" spans="1:8" x14ac:dyDescent="0.3">
      <c r="A2619" t="s">
        <v>5743</v>
      </c>
      <c r="B2619" t="s">
        <v>26951</v>
      </c>
      <c r="C2619" t="s">
        <v>6629</v>
      </c>
      <c r="D2619" t="s">
        <v>6628</v>
      </c>
      <c r="E2619" s="2" t="s">
        <v>74</v>
      </c>
      <c r="F2619" t="s">
        <v>6627</v>
      </c>
      <c r="G2619" t="str">
        <f>HYPERLINK("https://www.eroun.net/news/articleView.html?idxno=47821")</f>
        <v>https://www.eroun.net/news/articleView.html?idxno=47821</v>
      </c>
      <c r="H2619">
        <v>0.47899999999999998</v>
      </c>
    </row>
    <row r="2620" spans="1:8" x14ac:dyDescent="0.3">
      <c r="A2620" t="s">
        <v>5743</v>
      </c>
      <c r="B2620" t="s">
        <v>26951</v>
      </c>
      <c r="C2620" t="s">
        <v>6632</v>
      </c>
      <c r="D2620" t="s">
        <v>6631</v>
      </c>
      <c r="E2620" s="2" t="s">
        <v>74</v>
      </c>
      <c r="F2620" t="s">
        <v>6630</v>
      </c>
      <c r="G2620" t="str">
        <f>HYPERLINK("http://www.newsfreezone.co.kr/news/articleView.html?idxno=390824")</f>
        <v>http://www.newsfreezone.co.kr/news/articleView.html?idxno=390824</v>
      </c>
      <c r="H2620">
        <v>0.53400000000000003</v>
      </c>
    </row>
    <row r="2621" spans="1:8" x14ac:dyDescent="0.3">
      <c r="A2621" t="s">
        <v>5743</v>
      </c>
      <c r="B2621" t="s">
        <v>26951</v>
      </c>
      <c r="C2621" t="s">
        <v>6635</v>
      </c>
      <c r="D2621" t="s">
        <v>6634</v>
      </c>
      <c r="E2621" s="2" t="s">
        <v>74</v>
      </c>
      <c r="F2621" t="s">
        <v>6633</v>
      </c>
      <c r="G2621" t="str">
        <f>HYPERLINK("https://www.mediajeju.com/news/articleView.html?idxno=358841")</f>
        <v>https://www.mediajeju.com/news/articleView.html?idxno=358841</v>
      </c>
      <c r="H2621">
        <v>0.36199999999999999</v>
      </c>
    </row>
    <row r="2622" spans="1:8" x14ac:dyDescent="0.3">
      <c r="A2622" t="s">
        <v>5743</v>
      </c>
      <c r="B2622" t="s">
        <v>26951</v>
      </c>
      <c r="C2622" t="s">
        <v>6638</v>
      </c>
      <c r="D2622" t="s">
        <v>6637</v>
      </c>
      <c r="E2622" s="2" t="s">
        <v>74</v>
      </c>
      <c r="F2622" t="s">
        <v>6636</v>
      </c>
      <c r="G2622" t="str">
        <f>HYPERLINK("https://n.news.naver.com/mnews/article/036/0000022253?sid=110")</f>
        <v>https://n.news.naver.com/mnews/article/036/0000022253?sid=110</v>
      </c>
      <c r="H2622">
        <v>0.24</v>
      </c>
    </row>
    <row r="2623" spans="1:8" x14ac:dyDescent="0.3">
      <c r="A2623" t="s">
        <v>5743</v>
      </c>
      <c r="B2623" t="s">
        <v>26951</v>
      </c>
      <c r="C2623" t="s">
        <v>6641</v>
      </c>
      <c r="D2623" t="s">
        <v>6640</v>
      </c>
      <c r="E2623" s="2" t="s">
        <v>74</v>
      </c>
      <c r="F2623" t="s">
        <v>6639</v>
      </c>
      <c r="G2623" t="str">
        <f>HYPERLINK("https://www.vogue.co.kr/2025/02/26/%ea%b4%80%ea%b3%84%ec%97%90-%ea%b4%80%ed%95%9c-%ec%97%90%ec%84%b8%ec%9d%b4-%ec%8b%a0%ea%b0%84-3/?utm_source=naver&amp;utm_medium=partnership")</f>
        <v>https://www.vogue.co.kr/2025/02/26/%ea%b4%80%ea%b3%84%ec%97%90-%ea%b4%80%ed%95%9c-%ec%97%90%ec%84%b8%ec%9d%b4-%ec%8b%a0%ea%b0%84-3/?utm_source=naver&amp;utm_medium=partnership</v>
      </c>
      <c r="H2623">
        <v>0.49099999999999999</v>
      </c>
    </row>
    <row r="2624" spans="1:8" x14ac:dyDescent="0.3">
      <c r="A2624" t="s">
        <v>5743</v>
      </c>
      <c r="B2624" t="s">
        <v>26951</v>
      </c>
      <c r="C2624" t="s">
        <v>6644</v>
      </c>
      <c r="D2624" t="s">
        <v>6643</v>
      </c>
      <c r="E2624" s="2" t="s">
        <v>74</v>
      </c>
      <c r="F2624" t="s">
        <v>6642</v>
      </c>
      <c r="G2624" t="str">
        <f>HYPERLINK("https://weekly.cnbnews.com/news/article.html?no=180593")</f>
        <v>https://weekly.cnbnews.com/news/article.html?no=180593</v>
      </c>
      <c r="H2624">
        <v>0.58299999999999996</v>
      </c>
    </row>
    <row r="2625" spans="1:8" x14ac:dyDescent="0.3">
      <c r="A2625" t="s">
        <v>5743</v>
      </c>
      <c r="B2625" t="s">
        <v>26951</v>
      </c>
      <c r="C2625" t="s">
        <v>6647</v>
      </c>
      <c r="D2625" t="s">
        <v>6646</v>
      </c>
      <c r="E2625" s="2" t="s">
        <v>74</v>
      </c>
      <c r="F2625" t="s">
        <v>6645</v>
      </c>
      <c r="G2625" t="str">
        <f>HYPERLINK("https://www.beminor.com/news/articleView.html?idxno=21412")</f>
        <v>https://www.beminor.com/news/articleView.html?idxno=21412</v>
      </c>
      <c r="H2625">
        <v>0.61599999999999999</v>
      </c>
    </row>
    <row r="2626" spans="1:8" x14ac:dyDescent="0.3">
      <c r="A2626" t="s">
        <v>5743</v>
      </c>
      <c r="B2626" t="s">
        <v>26951</v>
      </c>
      <c r="C2626" t="s">
        <v>6650</v>
      </c>
      <c r="D2626" t="s">
        <v>6649</v>
      </c>
      <c r="E2626" s="2" t="s">
        <v>74</v>
      </c>
      <c r="F2626" t="s">
        <v>6648</v>
      </c>
      <c r="G2626" t="str">
        <f>HYPERLINK("http://www.psychiatricnews.net/news/articleView.html?idxno=18241")</f>
        <v>http://www.psychiatricnews.net/news/articleView.html?idxno=18241</v>
      </c>
      <c r="H2626">
        <v>0.51300000000000001</v>
      </c>
    </row>
    <row r="2627" spans="1:8" x14ac:dyDescent="0.3">
      <c r="A2627" t="s">
        <v>5743</v>
      </c>
      <c r="B2627" t="s">
        <v>26951</v>
      </c>
      <c r="C2627" t="s">
        <v>6653</v>
      </c>
      <c r="D2627" t="s">
        <v>6652</v>
      </c>
      <c r="E2627" s="2" t="s">
        <v>105</v>
      </c>
      <c r="F2627" t="s">
        <v>6651</v>
      </c>
      <c r="G2627" t="str">
        <f>HYPERLINK("https://www.kpinews.kr/newsView/1065568027503936")</f>
        <v>https://www.kpinews.kr/newsView/1065568027503936</v>
      </c>
      <c r="H2627">
        <v>0.38500000000000001</v>
      </c>
    </row>
    <row r="2628" spans="1:8" x14ac:dyDescent="0.3">
      <c r="A2628" t="s">
        <v>5743</v>
      </c>
      <c r="B2628" t="s">
        <v>26951</v>
      </c>
      <c r="C2628" t="s">
        <v>6656</v>
      </c>
      <c r="D2628" t="s">
        <v>6655</v>
      </c>
      <c r="E2628" s="2" t="s">
        <v>105</v>
      </c>
      <c r="F2628" t="s">
        <v>6654</v>
      </c>
      <c r="G2628" t="str">
        <f>HYPERLINK("https://www.eroun.net/news/articleView.html?idxno=58757")</f>
        <v>https://www.eroun.net/news/articleView.html?idxno=58757</v>
      </c>
      <c r="H2628">
        <v>0.51700000000000002</v>
      </c>
    </row>
    <row r="2629" spans="1:8" x14ac:dyDescent="0.3">
      <c r="A2629" t="s">
        <v>5743</v>
      </c>
      <c r="B2629" t="s">
        <v>26951</v>
      </c>
      <c r="C2629" t="s">
        <v>6660</v>
      </c>
      <c r="D2629" t="s">
        <v>6659</v>
      </c>
      <c r="E2629" s="2" t="s">
        <v>105</v>
      </c>
      <c r="F2629" t="s">
        <v>6658</v>
      </c>
      <c r="G2629" t="str">
        <f>HYPERLINK("https://www.cts.tv/mission300/detail_mission/433/5290")</f>
        <v>https://www.cts.tv/mission300/detail_mission/433/5290</v>
      </c>
      <c r="H2629">
        <v>0.56999999999999995</v>
      </c>
    </row>
    <row r="2630" spans="1:8" x14ac:dyDescent="0.3">
      <c r="A2630" t="s">
        <v>5743</v>
      </c>
      <c r="B2630" t="s">
        <v>26951</v>
      </c>
      <c r="C2630" t="s">
        <v>6662</v>
      </c>
      <c r="D2630" t="s">
        <v>6661</v>
      </c>
      <c r="E2630" s="2" t="s">
        <v>105</v>
      </c>
      <c r="F2630" t="s">
        <v>1328</v>
      </c>
      <c r="G2630" t="str">
        <f>HYPERLINK("https://www.sisaweek.com/news/articleView.html?idxno=226767")</f>
        <v>https://www.sisaweek.com/news/articleView.html?idxno=226767</v>
      </c>
      <c r="H2630">
        <v>0.51700000000000002</v>
      </c>
    </row>
    <row r="2631" spans="1:8" x14ac:dyDescent="0.3">
      <c r="A2631" t="s">
        <v>5743</v>
      </c>
      <c r="B2631" t="s">
        <v>26951</v>
      </c>
      <c r="C2631" t="s">
        <v>6665</v>
      </c>
      <c r="D2631" t="s">
        <v>6664</v>
      </c>
      <c r="E2631" s="2" t="s">
        <v>105</v>
      </c>
      <c r="F2631" t="s">
        <v>6663</v>
      </c>
      <c r="G2631" t="str">
        <f>HYPERLINK("https://n.news.naver.com/mnews/article/028/0000157027?sid=103")</f>
        <v>https://n.news.naver.com/mnews/article/028/0000157027?sid=103</v>
      </c>
      <c r="H2631">
        <v>0.215</v>
      </c>
    </row>
    <row r="2632" spans="1:8" x14ac:dyDescent="0.3">
      <c r="A2632" t="s">
        <v>5743</v>
      </c>
      <c r="B2632" t="s">
        <v>26951</v>
      </c>
      <c r="C2632" t="s">
        <v>6667</v>
      </c>
      <c r="D2632" t="s">
        <v>6666</v>
      </c>
      <c r="E2632" s="2" t="s">
        <v>105</v>
      </c>
      <c r="F2632" t="s">
        <v>88</v>
      </c>
      <c r="G2632" t="str">
        <f>HYPERLINK("https://n.news.naver.com/mnews/article/079/0003969076?sid=100")</f>
        <v>https://n.news.naver.com/mnews/article/079/0003969076?sid=100</v>
      </c>
      <c r="H2632">
        <v>0.252</v>
      </c>
    </row>
    <row r="2633" spans="1:8" x14ac:dyDescent="0.3">
      <c r="A2633" t="s">
        <v>5743</v>
      </c>
      <c r="B2633" t="s">
        <v>26951</v>
      </c>
      <c r="C2633" t="s">
        <v>6669</v>
      </c>
      <c r="D2633" t="s">
        <v>6668</v>
      </c>
      <c r="E2633" s="2" t="s">
        <v>105</v>
      </c>
      <c r="F2633" t="s">
        <v>4321</v>
      </c>
      <c r="G2633" t="str">
        <f>HYPERLINK("https://www.dkilbo.com/news/articleView.html?idxno=503128")</f>
        <v>https://www.dkilbo.com/news/articleView.html?idxno=503128</v>
      </c>
      <c r="H2633">
        <v>0.55200000000000005</v>
      </c>
    </row>
    <row r="2634" spans="1:8" x14ac:dyDescent="0.3">
      <c r="A2634" t="s">
        <v>5743</v>
      </c>
      <c r="B2634" t="s">
        <v>26951</v>
      </c>
      <c r="C2634" t="s">
        <v>6671</v>
      </c>
      <c r="D2634" t="s">
        <v>6670</v>
      </c>
      <c r="E2634" s="2" t="s">
        <v>105</v>
      </c>
      <c r="F2634" t="s">
        <v>5845</v>
      </c>
      <c r="G2634" t="str">
        <f>HYPERLINK("http://www.nongaek.com/news/articleView.html?idxno=91730")</f>
        <v>http://www.nongaek.com/news/articleView.html?idxno=91730</v>
      </c>
      <c r="H2634">
        <v>0.56299999999999994</v>
      </c>
    </row>
    <row r="2635" spans="1:8" x14ac:dyDescent="0.3">
      <c r="A2635" t="s">
        <v>5743</v>
      </c>
      <c r="B2635" t="s">
        <v>26951</v>
      </c>
      <c r="C2635" t="s">
        <v>6674</v>
      </c>
      <c r="D2635" t="s">
        <v>6673</v>
      </c>
      <c r="E2635" s="2" t="s">
        <v>105</v>
      </c>
      <c r="F2635" t="s">
        <v>6672</v>
      </c>
      <c r="G2635" t="str">
        <f>HYPERLINK("http://www.redian.org/archive/165760")</f>
        <v>http://www.redian.org/archive/165760</v>
      </c>
      <c r="H2635">
        <v>0.40799999999999997</v>
      </c>
    </row>
    <row r="2636" spans="1:8" x14ac:dyDescent="0.3">
      <c r="A2636" t="s">
        <v>5743</v>
      </c>
      <c r="B2636" t="s">
        <v>26951</v>
      </c>
      <c r="C2636" t="s">
        <v>6677</v>
      </c>
      <c r="D2636" t="s">
        <v>6676</v>
      </c>
      <c r="E2636" s="2" t="s">
        <v>105</v>
      </c>
      <c r="F2636" t="s">
        <v>5724</v>
      </c>
      <c r="G2636" t="str">
        <f>HYPERLINK("https://n.news.naver.com/mnews/article/214/0001431799?sid=100")</f>
        <v>https://n.news.naver.com/mnews/article/214/0001431799?sid=100</v>
      </c>
      <c r="H2636">
        <v>0.33200000000000002</v>
      </c>
    </row>
    <row r="2637" spans="1:8" x14ac:dyDescent="0.3">
      <c r="A2637" t="s">
        <v>5743</v>
      </c>
      <c r="B2637" t="s">
        <v>26951</v>
      </c>
      <c r="C2637" t="s">
        <v>6679</v>
      </c>
      <c r="D2637" t="s">
        <v>6678</v>
      </c>
      <c r="E2637" s="2" t="s">
        <v>105</v>
      </c>
      <c r="F2637" t="s">
        <v>5724</v>
      </c>
      <c r="G2637" t="str">
        <f>HYPERLINK("https://n.news.naver.com/mnews/article/214/0001083096?sid=100")</f>
        <v>https://n.news.naver.com/mnews/article/214/0001083096?sid=100</v>
      </c>
      <c r="H2637">
        <v>0.33800000000000002</v>
      </c>
    </row>
    <row r="2638" spans="1:8" x14ac:dyDescent="0.3">
      <c r="A2638" t="s">
        <v>5743</v>
      </c>
      <c r="B2638" t="s">
        <v>26951</v>
      </c>
      <c r="C2638" t="s">
        <v>6681</v>
      </c>
      <c r="D2638" t="s">
        <v>6680</v>
      </c>
      <c r="E2638" s="2" t="s">
        <v>105</v>
      </c>
      <c r="F2638" t="s">
        <v>2233</v>
      </c>
      <c r="G2638" t="str">
        <f>HYPERLINK("https://www.apnews.kr/news/articleView.html?idxno=3026479")</f>
        <v>https://www.apnews.kr/news/articleView.html?idxno=3026479</v>
      </c>
      <c r="H2638">
        <v>0.309</v>
      </c>
    </row>
    <row r="2639" spans="1:8" x14ac:dyDescent="0.3">
      <c r="A2639" t="s">
        <v>5743</v>
      </c>
      <c r="B2639" t="s">
        <v>26951</v>
      </c>
      <c r="C2639" t="s">
        <v>6683</v>
      </c>
      <c r="D2639" t="s">
        <v>6682</v>
      </c>
      <c r="E2639" s="2" t="s">
        <v>133</v>
      </c>
      <c r="F2639" t="s">
        <v>197</v>
      </c>
      <c r="G2639" t="str">
        <f>HYPERLINK("https://www.ekn.kr/web/view.php?key=20250608029543906")</f>
        <v>https://www.ekn.kr/web/view.php?key=20250608029543906</v>
      </c>
      <c r="H2639">
        <v>0.71599999999999997</v>
      </c>
    </row>
    <row r="2640" spans="1:8" x14ac:dyDescent="0.3">
      <c r="A2640" t="s">
        <v>5743</v>
      </c>
      <c r="B2640" t="s">
        <v>26951</v>
      </c>
      <c r="C2640" t="s">
        <v>6685</v>
      </c>
      <c r="D2640" t="s">
        <v>6684</v>
      </c>
      <c r="E2640" s="2" t="s">
        <v>133</v>
      </c>
      <c r="F2640" t="s">
        <v>197</v>
      </c>
      <c r="G2640" t="str">
        <f>HYPERLINK("http://www.nongaek.com/news/articleView.html?idxno=87155")</f>
        <v>http://www.nongaek.com/news/articleView.html?idxno=87155</v>
      </c>
      <c r="H2640">
        <v>0.47599999999999998</v>
      </c>
    </row>
    <row r="2641" spans="1:8" x14ac:dyDescent="0.3">
      <c r="A2641" t="s">
        <v>5743</v>
      </c>
      <c r="B2641" t="s">
        <v>26951</v>
      </c>
      <c r="C2641" t="s">
        <v>6687</v>
      </c>
      <c r="D2641" t="s">
        <v>6686</v>
      </c>
      <c r="E2641" s="2" t="s">
        <v>133</v>
      </c>
      <c r="F2641" t="s">
        <v>197</v>
      </c>
      <c r="G2641" t="str">
        <f>HYPERLINK("https://n.news.naver.com/mnews/article/028/0002752629?sid=100")</f>
        <v>https://n.news.naver.com/mnews/article/028/0002752629?sid=100</v>
      </c>
      <c r="H2641">
        <v>0.27500000000000002</v>
      </c>
    </row>
    <row r="2642" spans="1:8" x14ac:dyDescent="0.3">
      <c r="A2642" t="s">
        <v>5743</v>
      </c>
      <c r="B2642" t="s">
        <v>26951</v>
      </c>
      <c r="C2642" t="s">
        <v>6690</v>
      </c>
      <c r="D2642" t="s">
        <v>6689</v>
      </c>
      <c r="E2642" s="2" t="s">
        <v>133</v>
      </c>
      <c r="F2642" t="s">
        <v>6688</v>
      </c>
      <c r="G2642" t="str">
        <f>HYPERLINK("http://ch.yes24.com/Article/View/55062")</f>
        <v>http://ch.yes24.com/Article/View/55062</v>
      </c>
      <c r="H2642">
        <v>0.59899999999999998</v>
      </c>
    </row>
    <row r="2643" spans="1:8" x14ac:dyDescent="0.3">
      <c r="A2643" t="s">
        <v>5743</v>
      </c>
      <c r="B2643" t="s">
        <v>26951</v>
      </c>
      <c r="C2643" t="s">
        <v>6692</v>
      </c>
      <c r="D2643" t="s">
        <v>6691</v>
      </c>
      <c r="E2643" s="2" t="s">
        <v>133</v>
      </c>
      <c r="F2643" t="s">
        <v>6438</v>
      </c>
      <c r="G2643" t="str">
        <f>HYPERLINK("https://www.jjan.kr/article/20240924580170")</f>
        <v>https://www.jjan.kr/article/20240924580170</v>
      </c>
      <c r="H2643">
        <v>0.371</v>
      </c>
    </row>
    <row r="2644" spans="1:8" x14ac:dyDescent="0.3">
      <c r="A2644" t="s">
        <v>5743</v>
      </c>
      <c r="B2644" t="s">
        <v>26951</v>
      </c>
      <c r="C2644" t="s">
        <v>6695</v>
      </c>
      <c r="D2644" t="s">
        <v>6694</v>
      </c>
      <c r="E2644" s="2" t="s">
        <v>133</v>
      </c>
      <c r="F2644" t="s">
        <v>6693</v>
      </c>
      <c r="G2644" t="str">
        <f>HYPERLINK("https://n.news.naver.com/mnews/article/028/0002274699?sid=102")</f>
        <v>https://n.news.naver.com/mnews/article/028/0002274699?sid=102</v>
      </c>
      <c r="H2644">
        <v>0.223</v>
      </c>
    </row>
    <row r="2645" spans="1:8" x14ac:dyDescent="0.3">
      <c r="A2645" t="s">
        <v>5743</v>
      </c>
      <c r="B2645" t="s">
        <v>26951</v>
      </c>
      <c r="C2645" t="s">
        <v>6698</v>
      </c>
      <c r="D2645" t="s">
        <v>6697</v>
      </c>
      <c r="E2645" s="2" t="s">
        <v>133</v>
      </c>
      <c r="F2645" t="s">
        <v>6696</v>
      </c>
      <c r="G2645" t="str">
        <f>HYPERLINK("https://www.edupress.kr/news/articleView.html?idxno=20856")</f>
        <v>https://www.edupress.kr/news/articleView.html?idxno=20856</v>
      </c>
      <c r="H2645">
        <v>0.52500000000000002</v>
      </c>
    </row>
    <row r="2646" spans="1:8" x14ac:dyDescent="0.3">
      <c r="A2646" t="s">
        <v>5743</v>
      </c>
      <c r="B2646" t="s">
        <v>26951</v>
      </c>
      <c r="C2646" t="s">
        <v>6701</v>
      </c>
      <c r="D2646" t="s">
        <v>6700</v>
      </c>
      <c r="E2646" s="2" t="s">
        <v>133</v>
      </c>
      <c r="F2646" t="s">
        <v>6699</v>
      </c>
      <c r="G2646" t="str">
        <f>HYPERLINK("https://n.news.naver.com/mnews/article/028/0002752893?sid=103")</f>
        <v>https://n.news.naver.com/mnews/article/028/0002752893?sid=103</v>
      </c>
      <c r="H2646">
        <v>0.27</v>
      </c>
    </row>
    <row r="2647" spans="1:8" x14ac:dyDescent="0.3">
      <c r="A2647" t="s">
        <v>5743</v>
      </c>
      <c r="B2647" t="s">
        <v>26951</v>
      </c>
      <c r="C2647" t="s">
        <v>6703</v>
      </c>
      <c r="D2647" t="s">
        <v>6702</v>
      </c>
      <c r="E2647" s="2" t="s">
        <v>133</v>
      </c>
      <c r="F2647" t="s">
        <v>6226</v>
      </c>
      <c r="G2647" t="str">
        <f>HYPERLINK("http://www.joongboo.com/news/articleView.html?idxno=363481806")</f>
        <v>http://www.joongboo.com/news/articleView.html?idxno=363481806</v>
      </c>
      <c r="H2647">
        <v>0.71399999999999997</v>
      </c>
    </row>
    <row r="2648" spans="1:8" x14ac:dyDescent="0.3">
      <c r="A2648" t="s">
        <v>5743</v>
      </c>
      <c r="B2648" t="s">
        <v>26951</v>
      </c>
      <c r="C2648" t="s">
        <v>6707</v>
      </c>
      <c r="D2648" t="s">
        <v>6706</v>
      </c>
      <c r="E2648" s="2" t="s">
        <v>133</v>
      </c>
      <c r="F2648" t="s">
        <v>6705</v>
      </c>
      <c r="G2648" t="str">
        <f>HYPERLINK("https://n.news.naver.com/mnews/article/022/0003817557?sid=103")</f>
        <v>https://n.news.naver.com/mnews/article/022/0003817557?sid=103</v>
      </c>
      <c r="H2648">
        <v>0.29799999999999999</v>
      </c>
    </row>
    <row r="2649" spans="1:8" x14ac:dyDescent="0.3">
      <c r="A2649" t="s">
        <v>5743</v>
      </c>
      <c r="B2649" t="s">
        <v>26951</v>
      </c>
      <c r="C2649" t="s">
        <v>2845</v>
      </c>
      <c r="D2649" t="s">
        <v>2844</v>
      </c>
      <c r="E2649" s="2" t="s">
        <v>133</v>
      </c>
      <c r="F2649" t="s">
        <v>89</v>
      </c>
      <c r="G2649" t="str">
        <f>HYPERLINK("https://n.news.naver.com/mnews/article/036/0000021131?sid=102")</f>
        <v>https://n.news.naver.com/mnews/article/036/0000021131?sid=102</v>
      </c>
      <c r="H2649">
        <v>0.309</v>
      </c>
    </row>
    <row r="2650" spans="1:8" x14ac:dyDescent="0.3">
      <c r="A2650" t="s">
        <v>5743</v>
      </c>
      <c r="B2650" t="s">
        <v>26951</v>
      </c>
      <c r="C2650" t="s">
        <v>6710</v>
      </c>
      <c r="D2650" t="s">
        <v>6709</v>
      </c>
      <c r="E2650" s="2" t="s">
        <v>133</v>
      </c>
      <c r="F2650" t="s">
        <v>6708</v>
      </c>
      <c r="G2650" t="str">
        <f>HYPERLINK("https://www.vogue.co.kr/2025/02/26/%ea%b4%80%ea%b3%84%ec%97%90-%ea%b4%80%ed%95%9c-%ec%97%90%ec%84%b8%ec%9d%b4-%ec%8b%a0%ea%b0%84-3/?utm_source=naver&amp;utm_medium=partnership")</f>
        <v>https://www.vogue.co.kr/2025/02/26/%ea%b4%80%ea%b3%84%ec%97%90-%ea%b4%80%ed%95%9c-%ec%97%90%ec%84%b8%ec%9d%b4-%ec%8b%a0%ea%b0%84-3/?utm_source=naver&amp;utm_medium=partnership</v>
      </c>
      <c r="H2650">
        <v>0.42699999999999999</v>
      </c>
    </row>
    <row r="2651" spans="1:8" x14ac:dyDescent="0.3">
      <c r="A2651" t="s">
        <v>5743</v>
      </c>
      <c r="B2651" t="s">
        <v>26951</v>
      </c>
      <c r="C2651" t="s">
        <v>2848</v>
      </c>
      <c r="D2651" t="s">
        <v>2847</v>
      </c>
      <c r="E2651" s="2" t="s">
        <v>133</v>
      </c>
      <c r="F2651" t="s">
        <v>2846</v>
      </c>
      <c r="G2651" t="str">
        <f>HYPERLINK("https://n.news.naver.com/mnews/article/028/0002349774?sid=104")</f>
        <v>https://n.news.naver.com/mnews/article/028/0002349774?sid=104</v>
      </c>
      <c r="H2651">
        <v>0.34499999999999997</v>
      </c>
    </row>
    <row r="2652" spans="1:8" x14ac:dyDescent="0.3">
      <c r="A2652" t="s">
        <v>5743</v>
      </c>
      <c r="B2652" t="s">
        <v>26951</v>
      </c>
      <c r="C2652" t="s">
        <v>6713</v>
      </c>
      <c r="D2652" t="s">
        <v>6712</v>
      </c>
      <c r="E2652" s="2" t="s">
        <v>133</v>
      </c>
      <c r="F2652" t="s">
        <v>6711</v>
      </c>
      <c r="G2652" t="str">
        <f>HYPERLINK("http://www.veritas-a.com/news/articleView.html?idxno=556464")</f>
        <v>http://www.veritas-a.com/news/articleView.html?idxno=556464</v>
      </c>
      <c r="H2652">
        <v>0.84299999999999997</v>
      </c>
    </row>
    <row r="2653" spans="1:8" x14ac:dyDescent="0.3">
      <c r="A2653" t="s">
        <v>5743</v>
      </c>
      <c r="B2653" t="s">
        <v>26951</v>
      </c>
      <c r="C2653" t="s">
        <v>6716</v>
      </c>
      <c r="D2653" t="s">
        <v>6715</v>
      </c>
      <c r="E2653" s="2" t="s">
        <v>133</v>
      </c>
      <c r="F2653" t="s">
        <v>6714</v>
      </c>
      <c r="G2653" t="str">
        <f>HYPERLINK("https://www.kbmaeil.com/news/articleView.html?idxno=1027160")</f>
        <v>https://www.kbmaeil.com/news/articleView.html?idxno=1027160</v>
      </c>
      <c r="H2653">
        <v>0.35299999999999998</v>
      </c>
    </row>
    <row r="2654" spans="1:8" x14ac:dyDescent="0.3">
      <c r="A2654" t="s">
        <v>5743</v>
      </c>
      <c r="B2654" t="s">
        <v>26951</v>
      </c>
      <c r="C2654" t="s">
        <v>6719</v>
      </c>
      <c r="D2654" t="s">
        <v>6718</v>
      </c>
      <c r="E2654" s="2" t="s">
        <v>133</v>
      </c>
      <c r="F2654" t="s">
        <v>6717</v>
      </c>
      <c r="G2654" t="str">
        <f>HYPERLINK("http://ch.yes24.com/Article/View/55597")</f>
        <v>http://ch.yes24.com/Article/View/55597</v>
      </c>
      <c r="H2654">
        <v>0.67100000000000004</v>
      </c>
    </row>
    <row r="2655" spans="1:8" x14ac:dyDescent="0.3">
      <c r="A2655" t="s">
        <v>5743</v>
      </c>
      <c r="B2655" t="s">
        <v>26951</v>
      </c>
      <c r="C2655" t="s">
        <v>6722</v>
      </c>
      <c r="D2655" t="s">
        <v>6721</v>
      </c>
      <c r="E2655" s="2" t="s">
        <v>133</v>
      </c>
      <c r="F2655" t="s">
        <v>6720</v>
      </c>
      <c r="G2655" t="str">
        <f>HYPERLINK("https://www.koreaittimes.com/news/articleView.html?idxno=134459")</f>
        <v>https://www.koreaittimes.com/news/articleView.html?idxno=134459</v>
      </c>
      <c r="H2655">
        <v>0.41699999999999998</v>
      </c>
    </row>
    <row r="2656" spans="1:8" x14ac:dyDescent="0.3">
      <c r="A2656" t="s">
        <v>5743</v>
      </c>
      <c r="B2656" t="s">
        <v>26951</v>
      </c>
      <c r="C2656" t="s">
        <v>6727</v>
      </c>
      <c r="D2656" t="s">
        <v>6726</v>
      </c>
      <c r="E2656" s="2" t="s">
        <v>133</v>
      </c>
      <c r="F2656" t="s">
        <v>6725</v>
      </c>
      <c r="G2656" t="str">
        <f>HYPERLINK("https://n.news.naver.com/mnews/article/028/0002752290?sid=105")</f>
        <v>https://n.news.naver.com/mnews/article/028/0002752290?sid=105</v>
      </c>
      <c r="H2656">
        <v>0.105</v>
      </c>
    </row>
    <row r="2657" spans="1:8" x14ac:dyDescent="0.3">
      <c r="A2657" t="s">
        <v>5743</v>
      </c>
      <c r="B2657" t="s">
        <v>26951</v>
      </c>
      <c r="C2657" t="s">
        <v>6730</v>
      </c>
      <c r="D2657" t="s">
        <v>6729</v>
      </c>
      <c r="E2657" s="2" t="s">
        <v>133</v>
      </c>
      <c r="F2657" t="s">
        <v>6728</v>
      </c>
      <c r="G2657" t="str">
        <f>HYPERLINK("https://news.unn.net/news/articleView.html?idxno=579201")</f>
        <v>https://news.unn.net/news/articleView.html?idxno=579201</v>
      </c>
      <c r="H2657">
        <v>0.45500000000000002</v>
      </c>
    </row>
    <row r="2658" spans="1:8" x14ac:dyDescent="0.3">
      <c r="A2658" t="s">
        <v>5743</v>
      </c>
      <c r="B2658" t="s">
        <v>26951</v>
      </c>
      <c r="C2658" t="s">
        <v>6733</v>
      </c>
      <c r="D2658" t="s">
        <v>6732</v>
      </c>
      <c r="E2658" s="2" t="s">
        <v>133</v>
      </c>
      <c r="F2658" t="s">
        <v>6731</v>
      </c>
      <c r="G2658" t="str">
        <f>HYPERLINK("http://www.breaknews.com/1053709")</f>
        <v>http://www.breaknews.com/1053709</v>
      </c>
      <c r="H2658">
        <v>0.86199999999999999</v>
      </c>
    </row>
    <row r="2659" spans="1:8" x14ac:dyDescent="0.3">
      <c r="A2659" t="s">
        <v>5743</v>
      </c>
      <c r="B2659" t="s">
        <v>26951</v>
      </c>
      <c r="C2659" t="s">
        <v>6736</v>
      </c>
      <c r="D2659" t="s">
        <v>6735</v>
      </c>
      <c r="E2659" s="2" t="s">
        <v>133</v>
      </c>
      <c r="F2659" t="s">
        <v>6734</v>
      </c>
      <c r="G2659" t="str">
        <f>HYPERLINK("http://www.pdjournal.com/news/articleView.html?idxno=21819")</f>
        <v>http://www.pdjournal.com/news/articleView.html?idxno=21819</v>
      </c>
      <c r="H2659">
        <v>0.68100000000000005</v>
      </c>
    </row>
    <row r="2660" spans="1:8" x14ac:dyDescent="0.3">
      <c r="A2660" t="s">
        <v>5743</v>
      </c>
      <c r="B2660" t="s">
        <v>26951</v>
      </c>
      <c r="C2660" t="s">
        <v>6739</v>
      </c>
      <c r="D2660" t="s">
        <v>6738</v>
      </c>
      <c r="E2660" s="2" t="s">
        <v>172</v>
      </c>
      <c r="F2660" t="s">
        <v>6737</v>
      </c>
      <c r="G2660" t="str">
        <f>HYPERLINK("https://n.news.naver.com/mnews/article/006/0000129710?sid=102")</f>
        <v>https://n.news.naver.com/mnews/article/006/0000129710?sid=102</v>
      </c>
      <c r="H2660">
        <v>0.26500000000000001</v>
      </c>
    </row>
    <row r="2661" spans="1:8" x14ac:dyDescent="0.3">
      <c r="A2661" t="s">
        <v>5743</v>
      </c>
      <c r="B2661" t="s">
        <v>26951</v>
      </c>
      <c r="C2661" t="s">
        <v>6742</v>
      </c>
      <c r="D2661" t="s">
        <v>6741</v>
      </c>
      <c r="E2661" s="2" t="s">
        <v>172</v>
      </c>
      <c r="F2661" t="s">
        <v>6740</v>
      </c>
      <c r="G2661" t="str">
        <f>HYPERLINK("https://n.news.naver.com/mnews/article/028/0002458143?sid=103")</f>
        <v>https://n.news.naver.com/mnews/article/028/0002458143?sid=103</v>
      </c>
      <c r="H2661">
        <v>0.317</v>
      </c>
    </row>
    <row r="2662" spans="1:8" x14ac:dyDescent="0.3">
      <c r="A2662" t="s">
        <v>5743</v>
      </c>
      <c r="B2662" t="s">
        <v>26951</v>
      </c>
      <c r="C2662" t="s">
        <v>6745</v>
      </c>
      <c r="D2662" t="s">
        <v>6744</v>
      </c>
      <c r="E2662" s="2" t="s">
        <v>172</v>
      </c>
      <c r="F2662" t="s">
        <v>6743</v>
      </c>
      <c r="G2662" t="str">
        <f>HYPERLINK("http://ch.yes24.com/Article/View/28596")</f>
        <v>http://ch.yes24.com/Article/View/28596</v>
      </c>
      <c r="H2662">
        <v>0.58099999999999996</v>
      </c>
    </row>
    <row r="2663" spans="1:8" x14ac:dyDescent="0.3">
      <c r="A2663" t="s">
        <v>5743</v>
      </c>
      <c r="B2663" t="s">
        <v>26951</v>
      </c>
      <c r="C2663" t="s">
        <v>6748</v>
      </c>
      <c r="D2663" t="s">
        <v>6747</v>
      </c>
      <c r="E2663" s="2" t="s">
        <v>172</v>
      </c>
      <c r="F2663" t="s">
        <v>6746</v>
      </c>
      <c r="G2663" t="str">
        <f>HYPERLINK("https://n.news.naver.com/mnews/article/028/0002753305?sid=103")</f>
        <v>https://n.news.naver.com/mnews/article/028/0002753305?sid=103</v>
      </c>
      <c r="H2663">
        <v>0.26500000000000001</v>
      </c>
    </row>
    <row r="2664" spans="1:8" x14ac:dyDescent="0.3">
      <c r="A2664" t="s">
        <v>5743</v>
      </c>
      <c r="B2664" t="s">
        <v>26951</v>
      </c>
      <c r="C2664" t="s">
        <v>6751</v>
      </c>
      <c r="D2664" t="s">
        <v>6750</v>
      </c>
      <c r="E2664" s="2" t="s">
        <v>172</v>
      </c>
      <c r="F2664" t="s">
        <v>6749</v>
      </c>
      <c r="G2664" t="str">
        <f>HYPERLINK("http://ch.yes24.com/Article/View/54731")</f>
        <v>http://ch.yes24.com/Article/View/54731</v>
      </c>
      <c r="H2664">
        <v>0.30399999999999999</v>
      </c>
    </row>
    <row r="2665" spans="1:8" x14ac:dyDescent="0.3">
      <c r="A2665" t="s">
        <v>5743</v>
      </c>
      <c r="B2665" t="s">
        <v>26951</v>
      </c>
      <c r="C2665" t="s">
        <v>6753</v>
      </c>
      <c r="D2665" t="s">
        <v>6752</v>
      </c>
      <c r="E2665" s="2" t="s">
        <v>172</v>
      </c>
      <c r="F2665" t="s">
        <v>1252</v>
      </c>
      <c r="G2665" t="str">
        <f>HYPERLINK("https://n.news.naver.com/mnews/article/308/0000036025?sid=100")</f>
        <v>https://n.news.naver.com/mnews/article/308/0000036025?sid=100</v>
      </c>
      <c r="H2665">
        <v>0.29699999999999999</v>
      </c>
    </row>
    <row r="2666" spans="1:8" x14ac:dyDescent="0.3">
      <c r="A2666" t="s">
        <v>5743</v>
      </c>
      <c r="B2666" t="s">
        <v>26951</v>
      </c>
      <c r="C2666" t="s">
        <v>6756</v>
      </c>
      <c r="D2666" t="s">
        <v>6755</v>
      </c>
      <c r="E2666" s="2" t="s">
        <v>172</v>
      </c>
      <c r="F2666" t="s">
        <v>6754</v>
      </c>
      <c r="G2666" t="str">
        <f>HYPERLINK("http://www.incheonin.com/news/articleView.html?idxno=110138")</f>
        <v>http://www.incheonin.com/news/articleView.html?idxno=110138</v>
      </c>
      <c r="H2666">
        <v>0.17699999999999999</v>
      </c>
    </row>
    <row r="2667" spans="1:8" x14ac:dyDescent="0.3">
      <c r="A2667" t="s">
        <v>5743</v>
      </c>
      <c r="B2667" t="s">
        <v>26951</v>
      </c>
      <c r="C2667" t="s">
        <v>6758</v>
      </c>
      <c r="D2667" t="s">
        <v>6757</v>
      </c>
      <c r="E2667" s="2" t="s">
        <v>172</v>
      </c>
      <c r="F2667" t="s">
        <v>4321</v>
      </c>
      <c r="G2667" t="str">
        <f>HYPERLINK("https://n.news.naver.com/mnews/article/036/0000051805?sid=103")</f>
        <v>https://n.news.naver.com/mnews/article/036/0000051805?sid=103</v>
      </c>
      <c r="H2667">
        <v>0.27400000000000002</v>
      </c>
    </row>
    <row r="2668" spans="1:8" x14ac:dyDescent="0.3">
      <c r="A2668" t="s">
        <v>5743</v>
      </c>
      <c r="B2668" t="s">
        <v>26951</v>
      </c>
      <c r="C2668" t="s">
        <v>2906</v>
      </c>
      <c r="D2668" t="s">
        <v>2905</v>
      </c>
      <c r="E2668" s="2" t="s">
        <v>172</v>
      </c>
      <c r="F2668" t="s">
        <v>2846</v>
      </c>
      <c r="G2668" t="str">
        <f>HYPERLINK("https://n.news.naver.com/mnews/article/308/0000026158?sid=004")</f>
        <v>https://n.news.naver.com/mnews/article/308/0000026158?sid=004</v>
      </c>
      <c r="H2668">
        <v>0.30099999999999999</v>
      </c>
    </row>
    <row r="2669" spans="1:8" x14ac:dyDescent="0.3">
      <c r="A2669" t="s">
        <v>5743</v>
      </c>
      <c r="B2669" t="s">
        <v>26951</v>
      </c>
      <c r="C2669" t="s">
        <v>6760</v>
      </c>
      <c r="D2669" t="s">
        <v>6759</v>
      </c>
      <c r="E2669" s="2" t="s">
        <v>172</v>
      </c>
      <c r="F2669" t="s">
        <v>1277</v>
      </c>
      <c r="G2669" t="str">
        <f>HYPERLINK("https://n.news.naver.com/mnews/article/018/0006053386?sid=101")</f>
        <v>https://n.news.naver.com/mnews/article/018/0006053386?sid=101</v>
      </c>
      <c r="H2669">
        <v>0.308</v>
      </c>
    </row>
    <row r="2670" spans="1:8" x14ac:dyDescent="0.3">
      <c r="A2670" t="s">
        <v>5743</v>
      </c>
      <c r="B2670" t="s">
        <v>26951</v>
      </c>
      <c r="C2670" t="s">
        <v>6762</v>
      </c>
      <c r="D2670" t="s">
        <v>6171</v>
      </c>
      <c r="E2670" s="2" t="s">
        <v>172</v>
      </c>
      <c r="F2670" t="s">
        <v>6761</v>
      </c>
      <c r="H2670">
        <v>0.21299999999999999</v>
      </c>
    </row>
    <row r="2671" spans="1:8" x14ac:dyDescent="0.3">
      <c r="A2671" t="s">
        <v>5743</v>
      </c>
      <c r="B2671" t="s">
        <v>26951</v>
      </c>
      <c r="C2671" t="s">
        <v>6765</v>
      </c>
      <c r="D2671" t="s">
        <v>6764</v>
      </c>
      <c r="E2671" s="2" t="s">
        <v>172</v>
      </c>
      <c r="F2671" t="s">
        <v>6763</v>
      </c>
      <c r="G2671" t="str">
        <f>HYPERLINK("https://n.news.naver.com/mnews/article/036/0000045179?sid=102")</f>
        <v>https://n.news.naver.com/mnews/article/036/0000045179?sid=102</v>
      </c>
      <c r="H2671">
        <v>0.29099999999999998</v>
      </c>
    </row>
    <row r="2672" spans="1:8" x14ac:dyDescent="0.3">
      <c r="A2672" t="s">
        <v>5743</v>
      </c>
      <c r="B2672" t="s">
        <v>26951</v>
      </c>
      <c r="C2672" t="s">
        <v>6767</v>
      </c>
      <c r="D2672" t="s">
        <v>6766</v>
      </c>
      <c r="E2672" s="2" t="s">
        <v>172</v>
      </c>
      <c r="F2672" t="s">
        <v>6521</v>
      </c>
      <c r="G2672" t="str">
        <f>HYPERLINK("https://radio.ytn.co.kr/program/?f=2&amp;id=99175&amp;s_mcd=0211&amp;s_hcd=09")</f>
        <v>https://radio.ytn.co.kr/program/?f=2&amp;id=99175&amp;s_mcd=0211&amp;s_hcd=09</v>
      </c>
      <c r="H2672">
        <v>0.16</v>
      </c>
    </row>
    <row r="2673" spans="1:8" x14ac:dyDescent="0.3">
      <c r="A2673" t="s">
        <v>5743</v>
      </c>
      <c r="B2673" t="s">
        <v>26951</v>
      </c>
      <c r="C2673" t="s">
        <v>6770</v>
      </c>
      <c r="D2673" t="s">
        <v>6769</v>
      </c>
      <c r="E2673" s="2" t="s">
        <v>172</v>
      </c>
      <c r="F2673" t="s">
        <v>6768</v>
      </c>
      <c r="G2673" t="str">
        <f>HYPERLINK("http://www.ggilbo.com/news/articleView.html?idxno=759003")</f>
        <v>http://www.ggilbo.com/news/articleView.html?idxno=759003</v>
      </c>
      <c r="H2673">
        <v>0.436</v>
      </c>
    </row>
    <row r="2674" spans="1:8" x14ac:dyDescent="0.3">
      <c r="A2674" t="s">
        <v>5743</v>
      </c>
      <c r="B2674" t="s">
        <v>26951</v>
      </c>
      <c r="C2674" t="s">
        <v>6772</v>
      </c>
      <c r="D2674" t="s">
        <v>6771</v>
      </c>
      <c r="E2674" s="2" t="s">
        <v>172</v>
      </c>
      <c r="F2674" t="s">
        <v>5009</v>
      </c>
      <c r="G2674" t="str">
        <f>HYPERLINK("https://n.news.naver.com/mnews/article/088/0000864971?sid=110")</f>
        <v>https://n.news.naver.com/mnews/article/088/0000864971?sid=110</v>
      </c>
      <c r="H2674">
        <v>0.128</v>
      </c>
    </row>
    <row r="2675" spans="1:8" x14ac:dyDescent="0.3">
      <c r="A2675" t="s">
        <v>5743</v>
      </c>
      <c r="B2675" t="s">
        <v>26951</v>
      </c>
      <c r="C2675" t="s">
        <v>6775</v>
      </c>
      <c r="D2675" t="s">
        <v>6774</v>
      </c>
      <c r="E2675" s="2" t="s">
        <v>172</v>
      </c>
      <c r="F2675" t="s">
        <v>6773</v>
      </c>
      <c r="G2675" t="str">
        <f>HYPERLINK("https://www.travie.com/news/articleView.html?idxno=54296")</f>
        <v>https://www.travie.com/news/articleView.html?idxno=54296</v>
      </c>
      <c r="H2675">
        <v>0.59899999999999998</v>
      </c>
    </row>
    <row r="2676" spans="1:8" x14ac:dyDescent="0.3">
      <c r="A2676" t="s">
        <v>5743</v>
      </c>
      <c r="B2676" t="s">
        <v>26951</v>
      </c>
      <c r="C2676" t="s">
        <v>6778</v>
      </c>
      <c r="D2676" t="s">
        <v>6777</v>
      </c>
      <c r="E2676" s="2" t="s">
        <v>196</v>
      </c>
      <c r="F2676" t="s">
        <v>6776</v>
      </c>
      <c r="G2676" t="str">
        <f>HYPERLINK("http://ch.yes24.com/Article/View/54950")</f>
        <v>http://ch.yes24.com/Article/View/54950</v>
      </c>
      <c r="H2676">
        <v>0.45800000000000002</v>
      </c>
    </row>
    <row r="2677" spans="1:8" x14ac:dyDescent="0.3">
      <c r="A2677" t="s">
        <v>5743</v>
      </c>
      <c r="B2677" t="s">
        <v>26951</v>
      </c>
      <c r="C2677" t="s">
        <v>6781</v>
      </c>
      <c r="D2677" t="s">
        <v>6780</v>
      </c>
      <c r="E2677" s="2" t="s">
        <v>196</v>
      </c>
      <c r="F2677" t="s">
        <v>6779</v>
      </c>
      <c r="G2677" t="str">
        <f>HYPERLINK("https://n.news.naver.com/mnews/article/028/0002730450?sid=101")</f>
        <v>https://n.news.naver.com/mnews/article/028/0002730450?sid=101</v>
      </c>
      <c r="H2677">
        <v>0.33300000000000002</v>
      </c>
    </row>
    <row r="2678" spans="1:8" x14ac:dyDescent="0.3">
      <c r="A2678" t="s">
        <v>5743</v>
      </c>
      <c r="B2678" t="s">
        <v>26951</v>
      </c>
      <c r="C2678" t="s">
        <v>6784</v>
      </c>
      <c r="D2678" t="s">
        <v>6783</v>
      </c>
      <c r="E2678" s="2" t="s">
        <v>196</v>
      </c>
      <c r="F2678" t="s">
        <v>6782</v>
      </c>
      <c r="G2678" t="str">
        <f>HYPERLINK("https://byline.network/?p=9004111222562878")</f>
        <v>https://byline.network/?p=9004111222562878</v>
      </c>
      <c r="H2678">
        <v>0.67100000000000004</v>
      </c>
    </row>
    <row r="2679" spans="1:8" x14ac:dyDescent="0.3">
      <c r="A2679" t="s">
        <v>5743</v>
      </c>
      <c r="B2679" t="s">
        <v>26951</v>
      </c>
      <c r="C2679" t="s">
        <v>6787</v>
      </c>
      <c r="D2679" t="s">
        <v>6786</v>
      </c>
      <c r="E2679" s="2" t="s">
        <v>196</v>
      </c>
      <c r="F2679" t="s">
        <v>6785</v>
      </c>
      <c r="G2679" t="str">
        <f>HYPERLINK("http://www.ikoreanspirit.com/news/articleView.html?idxno=80349")</f>
        <v>http://www.ikoreanspirit.com/news/articleView.html?idxno=80349</v>
      </c>
      <c r="H2679">
        <v>0.28499999999999998</v>
      </c>
    </row>
    <row r="2680" spans="1:8" x14ac:dyDescent="0.3">
      <c r="A2680" t="s">
        <v>5743</v>
      </c>
      <c r="B2680" t="s">
        <v>26951</v>
      </c>
      <c r="C2680" t="s">
        <v>6790</v>
      </c>
      <c r="D2680" t="s">
        <v>6789</v>
      </c>
      <c r="E2680" s="2" t="s">
        <v>196</v>
      </c>
      <c r="F2680" t="s">
        <v>6788</v>
      </c>
      <c r="G2680" t="str">
        <f>HYPERLINK("https://n.news.naver.com/mnews/article/088/0000949498?sid=100")</f>
        <v>https://n.news.naver.com/mnews/article/088/0000949498?sid=100</v>
      </c>
      <c r="H2680">
        <v>0.26900000000000002</v>
      </c>
    </row>
    <row r="2681" spans="1:8" x14ac:dyDescent="0.3">
      <c r="A2681" t="s">
        <v>5743</v>
      </c>
      <c r="B2681" t="s">
        <v>26951</v>
      </c>
      <c r="C2681" t="s">
        <v>6793</v>
      </c>
      <c r="D2681" t="s">
        <v>6792</v>
      </c>
      <c r="E2681" s="2" t="s">
        <v>196</v>
      </c>
      <c r="F2681" t="s">
        <v>6791</v>
      </c>
      <c r="G2681" t="str">
        <f>HYPERLINK("http://ch.yes24.com/Article/View/28118")</f>
        <v>http://ch.yes24.com/Article/View/28118</v>
      </c>
      <c r="H2681">
        <v>0.36799999999999999</v>
      </c>
    </row>
    <row r="2682" spans="1:8" x14ac:dyDescent="0.3">
      <c r="A2682" t="s">
        <v>5743</v>
      </c>
      <c r="B2682" t="s">
        <v>26951</v>
      </c>
      <c r="C2682" t="s">
        <v>6796</v>
      </c>
      <c r="D2682" t="s">
        <v>6795</v>
      </c>
      <c r="E2682" s="2" t="s">
        <v>196</v>
      </c>
      <c r="F2682" t="s">
        <v>6794</v>
      </c>
      <c r="G2682" t="str">
        <f>HYPERLINK("http://www.newspim.com/news/view/20210414000808")</f>
        <v>http://www.newspim.com/news/view/20210414000808</v>
      </c>
      <c r="H2682">
        <v>0.47399999999999998</v>
      </c>
    </row>
    <row r="2683" spans="1:8" x14ac:dyDescent="0.3">
      <c r="A2683" t="s">
        <v>5743</v>
      </c>
      <c r="B2683" t="s">
        <v>26951</v>
      </c>
      <c r="C2683" t="s">
        <v>6799</v>
      </c>
      <c r="D2683" t="s">
        <v>6798</v>
      </c>
      <c r="E2683" s="2" t="s">
        <v>196</v>
      </c>
      <c r="F2683" t="s">
        <v>6797</v>
      </c>
      <c r="G2683" t="str">
        <f>HYPERLINK("https://n.news.naver.com/mnews/article/036/0000038286?sid=102")</f>
        <v>https://n.news.naver.com/mnews/article/036/0000038286?sid=102</v>
      </c>
      <c r="H2683">
        <v>0.28799999999999998</v>
      </c>
    </row>
    <row r="2684" spans="1:8" x14ac:dyDescent="0.3">
      <c r="A2684" t="s">
        <v>5743</v>
      </c>
      <c r="B2684" t="s">
        <v>26951</v>
      </c>
      <c r="C2684" t="s">
        <v>6802</v>
      </c>
      <c r="D2684" t="s">
        <v>6801</v>
      </c>
      <c r="E2684" s="2" t="s">
        <v>196</v>
      </c>
      <c r="F2684" t="s">
        <v>6800</v>
      </c>
      <c r="G2684" t="str">
        <f>HYPERLINK("https://n.news.naver.com/mnews/article/006/0000130209?sid=102")</f>
        <v>https://n.news.naver.com/mnews/article/006/0000130209?sid=102</v>
      </c>
      <c r="H2684">
        <v>0.221</v>
      </c>
    </row>
    <row r="2685" spans="1:8" x14ac:dyDescent="0.3">
      <c r="A2685" t="s">
        <v>5743</v>
      </c>
      <c r="B2685" t="s">
        <v>26951</v>
      </c>
      <c r="C2685" t="s">
        <v>6805</v>
      </c>
      <c r="D2685" t="s">
        <v>6804</v>
      </c>
      <c r="E2685" s="2" t="s">
        <v>196</v>
      </c>
      <c r="F2685" t="s">
        <v>6803</v>
      </c>
      <c r="G2685" t="str">
        <f>HYPERLINK("http://ch.yes24.com/Article/View/52717")</f>
        <v>http://ch.yes24.com/Article/View/52717</v>
      </c>
      <c r="H2685">
        <v>0.48099999999999998</v>
      </c>
    </row>
    <row r="2686" spans="1:8" x14ac:dyDescent="0.3">
      <c r="A2686" t="s">
        <v>5743</v>
      </c>
      <c r="B2686" t="s">
        <v>26951</v>
      </c>
      <c r="C2686" t="s">
        <v>6808</v>
      </c>
      <c r="D2686" t="s">
        <v>6807</v>
      </c>
      <c r="E2686" s="2" t="s">
        <v>196</v>
      </c>
      <c r="F2686" t="s">
        <v>6806</v>
      </c>
      <c r="G2686" t="str">
        <f>HYPERLINK("http://ch.yes24.com/Article/View/52274")</f>
        <v>http://ch.yes24.com/Article/View/52274</v>
      </c>
      <c r="H2686">
        <v>0.51700000000000002</v>
      </c>
    </row>
    <row r="2687" spans="1:8" x14ac:dyDescent="0.3">
      <c r="A2687" t="s">
        <v>5743</v>
      </c>
      <c r="B2687" t="s">
        <v>26951</v>
      </c>
      <c r="C2687" t="s">
        <v>6811</v>
      </c>
      <c r="D2687" t="s">
        <v>6810</v>
      </c>
      <c r="E2687" s="2" t="s">
        <v>196</v>
      </c>
      <c r="F2687" t="s">
        <v>6809</v>
      </c>
      <c r="G2687" t="str">
        <f>HYPERLINK("https://www.eroun.net/news/articleView.html?idxno=56890")</f>
        <v>https://www.eroun.net/news/articleView.html?idxno=56890</v>
      </c>
      <c r="H2687">
        <v>0.56699999999999995</v>
      </c>
    </row>
    <row r="2688" spans="1:8" x14ac:dyDescent="0.3">
      <c r="A2688" t="s">
        <v>5743</v>
      </c>
      <c r="B2688" t="s">
        <v>26951</v>
      </c>
      <c r="C2688" t="s">
        <v>6813</v>
      </c>
      <c r="D2688" t="s">
        <v>6812</v>
      </c>
      <c r="E2688" s="2" t="s">
        <v>196</v>
      </c>
      <c r="F2688" t="s">
        <v>1277</v>
      </c>
      <c r="G2688" t="str">
        <f>HYPERLINK("https://n.news.naver.com/mnews/article/006/0000121560?sid=102")</f>
        <v>https://n.news.naver.com/mnews/article/006/0000121560?sid=102</v>
      </c>
      <c r="H2688">
        <v>0.376</v>
      </c>
    </row>
    <row r="2689" spans="1:8" x14ac:dyDescent="0.3">
      <c r="A2689" t="s">
        <v>5743</v>
      </c>
      <c r="B2689" t="s">
        <v>26951</v>
      </c>
      <c r="C2689" t="s">
        <v>6816</v>
      </c>
      <c r="D2689" t="s">
        <v>6815</v>
      </c>
      <c r="E2689" s="2" t="s">
        <v>196</v>
      </c>
      <c r="F2689" t="s">
        <v>6814</v>
      </c>
      <c r="G2689" t="str">
        <f>HYPERLINK("https://n.news.naver.com/mnews/article/028/0002316103?sid=102")</f>
        <v>https://n.news.naver.com/mnews/article/028/0002316103?sid=102</v>
      </c>
      <c r="H2689">
        <v>0.32800000000000001</v>
      </c>
    </row>
    <row r="2690" spans="1:8" x14ac:dyDescent="0.3">
      <c r="A2690" t="s">
        <v>5743</v>
      </c>
      <c r="B2690" t="s">
        <v>26951</v>
      </c>
      <c r="C2690" t="s">
        <v>6819</v>
      </c>
      <c r="D2690" t="s">
        <v>6818</v>
      </c>
      <c r="E2690" s="2" t="s">
        <v>196</v>
      </c>
      <c r="F2690" t="s">
        <v>6817</v>
      </c>
      <c r="G2690" t="str">
        <f>HYPERLINK("https://n.news.naver.com/mnews/article/036/0000037332?sid=104")</f>
        <v>https://n.news.naver.com/mnews/article/036/0000037332?sid=104</v>
      </c>
      <c r="H2690">
        <v>0.35899999999999999</v>
      </c>
    </row>
    <row r="2691" spans="1:8" x14ac:dyDescent="0.3">
      <c r="A2691" t="s">
        <v>5743</v>
      </c>
      <c r="B2691" t="s">
        <v>26951</v>
      </c>
      <c r="C2691" t="s">
        <v>6822</v>
      </c>
      <c r="D2691" t="s">
        <v>6821</v>
      </c>
      <c r="E2691" s="2" t="s">
        <v>196</v>
      </c>
      <c r="F2691" t="s">
        <v>6820</v>
      </c>
      <c r="G2691" t="str">
        <f>HYPERLINK("http://sports.hankooki.com/lpage/entv/201801/sp20180123113058136680.htm")</f>
        <v>http://sports.hankooki.com/lpage/entv/201801/sp20180123113058136680.htm</v>
      </c>
      <c r="H2691">
        <v>0.55500000000000005</v>
      </c>
    </row>
    <row r="2692" spans="1:8" x14ac:dyDescent="0.3">
      <c r="A2692" t="s">
        <v>5743</v>
      </c>
      <c r="B2692" t="s">
        <v>26951</v>
      </c>
      <c r="C2692" t="s">
        <v>6825</v>
      </c>
      <c r="D2692" t="s">
        <v>6824</v>
      </c>
      <c r="E2692" s="2" t="s">
        <v>196</v>
      </c>
      <c r="F2692" t="s">
        <v>6823</v>
      </c>
      <c r="G2692" t="str">
        <f>HYPERLINK("http://www.jjan.kr/news/articleView.html?idxno=1127289")</f>
        <v>http://www.jjan.kr/news/articleView.html?idxno=1127289</v>
      </c>
      <c r="H2692">
        <v>0.501</v>
      </c>
    </row>
    <row r="2693" spans="1:8" x14ac:dyDescent="0.3">
      <c r="A2693" t="s">
        <v>5743</v>
      </c>
      <c r="B2693" t="s">
        <v>26951</v>
      </c>
      <c r="C2693" t="s">
        <v>6827</v>
      </c>
      <c r="D2693" t="s">
        <v>6826</v>
      </c>
      <c r="E2693" s="2" t="s">
        <v>196</v>
      </c>
      <c r="F2693" t="s">
        <v>1328</v>
      </c>
      <c r="G2693" t="str">
        <f>HYPERLINK("https://n.news.naver.com/mnews/article/028/0002752517?sid=102")</f>
        <v>https://n.news.naver.com/mnews/article/028/0002752517?sid=102</v>
      </c>
      <c r="H2693">
        <v>0.22</v>
      </c>
    </row>
    <row r="2694" spans="1:8" x14ac:dyDescent="0.3">
      <c r="A2694" t="s">
        <v>5743</v>
      </c>
      <c r="B2694" t="s">
        <v>26951</v>
      </c>
      <c r="C2694" t="s">
        <v>6830</v>
      </c>
      <c r="D2694" t="s">
        <v>6829</v>
      </c>
      <c r="E2694" s="2" t="s">
        <v>196</v>
      </c>
      <c r="F2694" t="s">
        <v>6828</v>
      </c>
      <c r="G2694" t="str">
        <f>HYPERLINK("https://www.iusm.co.kr/news/articleView.html?idxno=1048635")</f>
        <v>https://www.iusm.co.kr/news/articleView.html?idxno=1048635</v>
      </c>
      <c r="H2694">
        <v>0.63800000000000001</v>
      </c>
    </row>
    <row r="2695" spans="1:8" x14ac:dyDescent="0.3">
      <c r="A2695" t="s">
        <v>5743</v>
      </c>
      <c r="B2695" t="s">
        <v>26951</v>
      </c>
      <c r="C2695" t="s">
        <v>6832</v>
      </c>
      <c r="D2695" t="s">
        <v>6831</v>
      </c>
      <c r="E2695" s="2" t="s">
        <v>196</v>
      </c>
      <c r="F2695" t="s">
        <v>1579</v>
      </c>
      <c r="G2695" t="str">
        <f>HYPERLINK("https://n.news.naver.com/mnews/article/006/0000050605?sid=102")</f>
        <v>https://n.news.naver.com/mnews/article/006/0000050605?sid=102</v>
      </c>
      <c r="H2695">
        <v>0.39600000000000002</v>
      </c>
    </row>
    <row r="2696" spans="1:8" x14ac:dyDescent="0.3">
      <c r="A2696" t="s">
        <v>5743</v>
      </c>
      <c r="B2696" t="s">
        <v>26951</v>
      </c>
      <c r="C2696" t="s">
        <v>6834</v>
      </c>
      <c r="D2696" t="s">
        <v>6833</v>
      </c>
      <c r="E2696" s="2" t="s">
        <v>196</v>
      </c>
      <c r="F2696" t="s">
        <v>89</v>
      </c>
      <c r="G2696" t="str">
        <f>HYPERLINK("https://n.news.naver.com/mnews/article/214/0001036406?sid=100")</f>
        <v>https://n.news.naver.com/mnews/article/214/0001036406?sid=100</v>
      </c>
      <c r="H2696">
        <v>0.314</v>
      </c>
    </row>
    <row r="2697" spans="1:8" x14ac:dyDescent="0.3">
      <c r="A2697" t="s">
        <v>5743</v>
      </c>
      <c r="B2697" t="s">
        <v>26951</v>
      </c>
      <c r="C2697" t="s">
        <v>6837</v>
      </c>
      <c r="D2697" t="s">
        <v>6836</v>
      </c>
      <c r="E2697" s="2" t="s">
        <v>230</v>
      </c>
      <c r="F2697" t="s">
        <v>6835</v>
      </c>
      <c r="G2697" t="str">
        <f>HYPERLINK("https://n.news.naver.com/mnews/article/036/0000042993?sid=102")</f>
        <v>https://n.news.naver.com/mnews/article/036/0000042993?sid=102</v>
      </c>
      <c r="H2697">
        <v>0.17</v>
      </c>
    </row>
    <row r="2698" spans="1:8" x14ac:dyDescent="0.3">
      <c r="A2698" t="s">
        <v>5743</v>
      </c>
      <c r="B2698" t="s">
        <v>26951</v>
      </c>
      <c r="C2698" t="s">
        <v>6840</v>
      </c>
      <c r="D2698" t="s">
        <v>6839</v>
      </c>
      <c r="E2698" s="2" t="s">
        <v>230</v>
      </c>
      <c r="F2698" t="s">
        <v>6838</v>
      </c>
      <c r="G2698" t="str">
        <f>HYPERLINK("http://www.bzeronews.com/news/articleView.html?idxno=642421")</f>
        <v>http://www.bzeronews.com/news/articleView.html?idxno=642421</v>
      </c>
      <c r="H2698">
        <v>0.42</v>
      </c>
    </row>
    <row r="2699" spans="1:8" x14ac:dyDescent="0.3">
      <c r="A2699" t="s">
        <v>5743</v>
      </c>
      <c r="B2699" t="s">
        <v>26951</v>
      </c>
      <c r="C2699" t="s">
        <v>6842</v>
      </c>
      <c r="D2699" t="s">
        <v>6841</v>
      </c>
      <c r="E2699" s="2" t="s">
        <v>230</v>
      </c>
      <c r="F2699" t="s">
        <v>3420</v>
      </c>
      <c r="G2699" t="str">
        <f>HYPERLINK("https://n.news.naver.com/mnews/article/057/0001892906?sid=100")</f>
        <v>https://n.news.naver.com/mnews/article/057/0001892906?sid=100</v>
      </c>
      <c r="H2699">
        <v>0.26400000000000001</v>
      </c>
    </row>
    <row r="2700" spans="1:8" x14ac:dyDescent="0.3">
      <c r="A2700" t="s">
        <v>5743</v>
      </c>
      <c r="B2700" t="s">
        <v>26951</v>
      </c>
      <c r="C2700" t="s">
        <v>6844</v>
      </c>
      <c r="D2700" t="s">
        <v>6843</v>
      </c>
      <c r="E2700" s="2" t="s">
        <v>230</v>
      </c>
      <c r="F2700" t="s">
        <v>5974</v>
      </c>
      <c r="G2700" t="str">
        <f>HYPERLINK("http://ch.yes24.com/Article/View/36658")</f>
        <v>http://ch.yes24.com/Article/View/36658</v>
      </c>
      <c r="H2700">
        <v>0.32700000000000001</v>
      </c>
    </row>
    <row r="2701" spans="1:8" x14ac:dyDescent="0.3">
      <c r="A2701" t="s">
        <v>5743</v>
      </c>
      <c r="B2701" t="s">
        <v>26951</v>
      </c>
      <c r="C2701" t="s">
        <v>6847</v>
      </c>
      <c r="D2701" t="s">
        <v>6846</v>
      </c>
      <c r="E2701" s="2" t="s">
        <v>230</v>
      </c>
      <c r="F2701" t="s">
        <v>6845</v>
      </c>
      <c r="G2701" t="str">
        <f>HYPERLINK("http://www.naeil.com/news_view/?id_art=432421")</f>
        <v>http://www.naeil.com/news_view/?id_art=432421</v>
      </c>
      <c r="H2701">
        <v>0.46600000000000003</v>
      </c>
    </row>
    <row r="2702" spans="1:8" x14ac:dyDescent="0.3">
      <c r="A2702" t="s">
        <v>5743</v>
      </c>
      <c r="B2702" t="s">
        <v>26951</v>
      </c>
      <c r="C2702" t="s">
        <v>6850</v>
      </c>
      <c r="D2702" t="s">
        <v>6849</v>
      </c>
      <c r="E2702" s="2" t="s">
        <v>230</v>
      </c>
      <c r="F2702" t="s">
        <v>6848</v>
      </c>
      <c r="G2702" t="str">
        <f>HYPERLINK("https://n.news.naver.com/mnews/article/308/0000036435?sid=102")</f>
        <v>https://n.news.naver.com/mnews/article/308/0000036435?sid=102</v>
      </c>
      <c r="H2702">
        <v>0.27100000000000002</v>
      </c>
    </row>
    <row r="2703" spans="1:8" x14ac:dyDescent="0.3">
      <c r="A2703" t="s">
        <v>5743</v>
      </c>
      <c r="B2703" t="s">
        <v>26951</v>
      </c>
      <c r="C2703" t="s">
        <v>6852</v>
      </c>
      <c r="D2703" t="s">
        <v>6851</v>
      </c>
      <c r="E2703" s="2" t="s">
        <v>230</v>
      </c>
      <c r="F2703" t="s">
        <v>6705</v>
      </c>
      <c r="G2703" t="str">
        <f>HYPERLINK("https://www.lecturernews.com/news/articleView.html?idxno=128453")</f>
        <v>https://www.lecturernews.com/news/articleView.html?idxno=128453</v>
      </c>
      <c r="H2703">
        <v>0.55200000000000005</v>
      </c>
    </row>
    <row r="2704" spans="1:8" x14ac:dyDescent="0.3">
      <c r="A2704" t="s">
        <v>5743</v>
      </c>
      <c r="B2704" t="s">
        <v>26951</v>
      </c>
      <c r="C2704" t="s">
        <v>6854</v>
      </c>
      <c r="D2704" t="s">
        <v>6853</v>
      </c>
      <c r="E2704" s="2" t="s">
        <v>230</v>
      </c>
      <c r="F2704" t="s">
        <v>5848</v>
      </c>
      <c r="G2704" t="str">
        <f>HYPERLINK("https://n.news.naver.com/mnews/article/002/0001995276?sid=102")</f>
        <v>https://n.news.naver.com/mnews/article/002/0001995276?sid=102</v>
      </c>
      <c r="H2704">
        <v>0.32100000000000001</v>
      </c>
    </row>
    <row r="2705" spans="1:8" x14ac:dyDescent="0.3">
      <c r="A2705" t="s">
        <v>5743</v>
      </c>
      <c r="B2705" t="s">
        <v>26951</v>
      </c>
      <c r="C2705" t="s">
        <v>6857</v>
      </c>
      <c r="D2705" t="s">
        <v>6856</v>
      </c>
      <c r="E2705" s="2" t="s">
        <v>230</v>
      </c>
      <c r="F2705" t="s">
        <v>6855</v>
      </c>
      <c r="G2705" t="str">
        <f>HYPERLINK("https://ditoday.com/%ec%9d%b8%ed%81%b4%eb%a3%a8%ec%8b%9c%eb%b8%8c-%eb%94%94%ec%9e%90%ec%9d%b8-%eb%84%88-%eb%8f%84%eb%8c%80%ec%b2%b4-%eb%ad%90%ec%95%bc-%eb%aa%a8%eb%91%90%eb%a5%bc-%ec%9c%84%ed%95%9c/")</f>
        <v>https://ditoday.com/%ec%9d%b8%ed%81%b4%eb%a3%a8%ec%8b%9c%eb%b8%8c-%eb%94%94%ec%9e%90%ec%9d%b8-%eb%84%88-%eb%8f%84%eb%8c%80%ec%b2%b4-%eb%ad%90%ec%95%bc-%eb%aa%a8%eb%91%90%eb%a5%bc-%ec%9c%84%ed%95%9c/</v>
      </c>
      <c r="H2705">
        <v>0.39400000000000002</v>
      </c>
    </row>
    <row r="2706" spans="1:8" x14ac:dyDescent="0.3">
      <c r="A2706" t="s">
        <v>5743</v>
      </c>
      <c r="B2706" t="s">
        <v>26951</v>
      </c>
      <c r="C2706" t="s">
        <v>6860</v>
      </c>
      <c r="D2706" t="s">
        <v>6859</v>
      </c>
      <c r="E2706" s="2" t="s">
        <v>230</v>
      </c>
      <c r="F2706" t="s">
        <v>6858</v>
      </c>
      <c r="G2706" t="str">
        <f>HYPERLINK("http://www.idomin.com/?mod=news&amp;act=articleView&amp;idxno=481992")</f>
        <v>http://www.idomin.com/?mod=news&amp;act=articleView&amp;idxno=481992</v>
      </c>
      <c r="H2706">
        <v>0.377</v>
      </c>
    </row>
    <row r="2707" spans="1:8" x14ac:dyDescent="0.3">
      <c r="A2707" t="s">
        <v>5743</v>
      </c>
      <c r="B2707" t="s">
        <v>26951</v>
      </c>
      <c r="C2707" t="s">
        <v>6863</v>
      </c>
      <c r="D2707" t="s">
        <v>6862</v>
      </c>
      <c r="E2707" s="2" t="s">
        <v>230</v>
      </c>
      <c r="F2707" t="s">
        <v>6861</v>
      </c>
      <c r="G2707" t="str">
        <f>HYPERLINK("https://news.bbsi.co.kr/news/articleView.html?idxno=3022885")</f>
        <v>https://news.bbsi.co.kr/news/articleView.html?idxno=3022885</v>
      </c>
      <c r="H2707">
        <v>0.51700000000000002</v>
      </c>
    </row>
    <row r="2708" spans="1:8" x14ac:dyDescent="0.3">
      <c r="A2708" t="s">
        <v>5743</v>
      </c>
      <c r="B2708" t="s">
        <v>26951</v>
      </c>
      <c r="C2708" t="s">
        <v>6865</v>
      </c>
      <c r="D2708" t="s">
        <v>6864</v>
      </c>
      <c r="E2708" s="2" t="s">
        <v>230</v>
      </c>
      <c r="F2708" t="s">
        <v>2215</v>
      </c>
      <c r="G2708" t="str">
        <f>HYPERLINK("http://www.nongaek.com/news/articleView.html?idxno=91747")</f>
        <v>http://www.nongaek.com/news/articleView.html?idxno=91747</v>
      </c>
      <c r="H2708">
        <v>0.30499999999999999</v>
      </c>
    </row>
    <row r="2709" spans="1:8" x14ac:dyDescent="0.3">
      <c r="A2709" t="s">
        <v>5743</v>
      </c>
      <c r="B2709" t="s">
        <v>26951</v>
      </c>
      <c r="C2709" t="s">
        <v>6868</v>
      </c>
      <c r="D2709" t="s">
        <v>6867</v>
      </c>
      <c r="E2709" s="2" t="s">
        <v>230</v>
      </c>
      <c r="F2709" t="s">
        <v>6866</v>
      </c>
      <c r="G2709" t="str">
        <f>HYPERLINK("http://www.economytalk.kr/news/articleView.html?idxno=266527")</f>
        <v>http://www.economytalk.kr/news/articleView.html?idxno=266527</v>
      </c>
      <c r="H2709">
        <v>0.38100000000000001</v>
      </c>
    </row>
    <row r="2710" spans="1:8" x14ac:dyDescent="0.3">
      <c r="A2710" t="s">
        <v>5743</v>
      </c>
      <c r="B2710" t="s">
        <v>26951</v>
      </c>
      <c r="C2710" t="s">
        <v>6870</v>
      </c>
      <c r="D2710" t="s">
        <v>6869</v>
      </c>
      <c r="E2710" s="2" t="s">
        <v>230</v>
      </c>
      <c r="F2710" t="s">
        <v>2215</v>
      </c>
      <c r="G2710" t="str">
        <f>HYPERLINK("https://n.news.naver.com/mnews/article/036/0000043773?sid=104")</f>
        <v>https://n.news.naver.com/mnews/article/036/0000043773?sid=104</v>
      </c>
      <c r="H2710">
        <v>0.17299999999999999</v>
      </c>
    </row>
    <row r="2711" spans="1:8" x14ac:dyDescent="0.3">
      <c r="A2711" t="s">
        <v>5743</v>
      </c>
      <c r="B2711" t="s">
        <v>26951</v>
      </c>
      <c r="C2711" t="s">
        <v>6873</v>
      </c>
      <c r="D2711" t="s">
        <v>6872</v>
      </c>
      <c r="E2711" s="2" t="s">
        <v>230</v>
      </c>
      <c r="F2711" t="s">
        <v>6871</v>
      </c>
      <c r="G2711" t="str">
        <f>HYPERLINK("https://n.news.naver.com/mnews/article/028/0002718958?sid=101")</f>
        <v>https://n.news.naver.com/mnews/article/028/0002718958?sid=101</v>
      </c>
      <c r="H2711">
        <v>0.311</v>
      </c>
    </row>
    <row r="2712" spans="1:8" x14ac:dyDescent="0.3">
      <c r="A2712" t="s">
        <v>5743</v>
      </c>
      <c r="B2712" t="s">
        <v>26951</v>
      </c>
      <c r="C2712" t="s">
        <v>6875</v>
      </c>
      <c r="D2712" t="s">
        <v>6874</v>
      </c>
      <c r="E2712" s="2" t="s">
        <v>230</v>
      </c>
      <c r="F2712" t="s">
        <v>6521</v>
      </c>
      <c r="G2712" t="str">
        <f>HYPERLINK("https://www.apnews.kr/news/articleView.html?idxno=3019539")</f>
        <v>https://www.apnews.kr/news/articleView.html?idxno=3019539</v>
      </c>
      <c r="H2712">
        <v>0.111</v>
      </c>
    </row>
    <row r="2713" spans="1:8" x14ac:dyDescent="0.3">
      <c r="A2713" t="s">
        <v>5743</v>
      </c>
      <c r="B2713" t="s">
        <v>26951</v>
      </c>
      <c r="C2713" t="s">
        <v>6878</v>
      </c>
      <c r="D2713" t="s">
        <v>6877</v>
      </c>
      <c r="E2713" s="2" t="s">
        <v>230</v>
      </c>
      <c r="F2713" t="s">
        <v>6876</v>
      </c>
      <c r="G2713" t="str">
        <f>HYPERLINK("https://n.news.naver.com/mnews/article/036/0000042489?sid=102")</f>
        <v>https://n.news.naver.com/mnews/article/036/0000042489?sid=102</v>
      </c>
      <c r="H2713">
        <v>0.34100000000000003</v>
      </c>
    </row>
    <row r="2714" spans="1:8" x14ac:dyDescent="0.3">
      <c r="A2714" t="s">
        <v>5743</v>
      </c>
      <c r="B2714" t="s">
        <v>26951</v>
      </c>
      <c r="C2714" t="s">
        <v>6880</v>
      </c>
      <c r="D2714" t="s">
        <v>6879</v>
      </c>
      <c r="E2714" s="2" t="s">
        <v>230</v>
      </c>
      <c r="F2714" t="s">
        <v>89</v>
      </c>
      <c r="G2714" t="str">
        <f>HYPERLINK("https://n.news.naver.com/mnews/article/006/0000060511?sid=100")</f>
        <v>https://n.news.naver.com/mnews/article/006/0000060511?sid=100</v>
      </c>
      <c r="H2714">
        <v>0.20899999999999999</v>
      </c>
    </row>
    <row r="2715" spans="1:8" x14ac:dyDescent="0.3">
      <c r="A2715" t="s">
        <v>5743</v>
      </c>
      <c r="B2715" t="s">
        <v>26951</v>
      </c>
      <c r="C2715" t="s">
        <v>6883</v>
      </c>
      <c r="D2715" t="s">
        <v>6882</v>
      </c>
      <c r="E2715" s="2" t="s">
        <v>230</v>
      </c>
      <c r="F2715" t="s">
        <v>6881</v>
      </c>
      <c r="G2715" t="str">
        <f>HYPERLINK("http://www.mygoyang.com/news/articleView.html?idxno=84445")</f>
        <v>http://www.mygoyang.com/news/articleView.html?idxno=84445</v>
      </c>
      <c r="H2715">
        <v>0.64400000000000002</v>
      </c>
    </row>
    <row r="2716" spans="1:8" x14ac:dyDescent="0.3">
      <c r="A2716" t="s">
        <v>5743</v>
      </c>
      <c r="B2716" t="s">
        <v>26951</v>
      </c>
      <c r="C2716" t="s">
        <v>5644</v>
      </c>
      <c r="D2716" t="s">
        <v>5643</v>
      </c>
      <c r="E2716" s="2" t="s">
        <v>230</v>
      </c>
      <c r="F2716" t="s">
        <v>89</v>
      </c>
      <c r="G2716" t="str">
        <f>HYPERLINK("https://n.news.naver.com/mnews/article/028/0002526574?sid=102")</f>
        <v>https://n.news.naver.com/mnews/article/028/0002526574?sid=102</v>
      </c>
      <c r="H2716">
        <v>0.19700000000000001</v>
      </c>
    </row>
    <row r="2717" spans="1:8" x14ac:dyDescent="0.3">
      <c r="A2717" t="s">
        <v>5743</v>
      </c>
      <c r="B2717" t="s">
        <v>26951</v>
      </c>
      <c r="C2717" t="s">
        <v>6886</v>
      </c>
      <c r="D2717" t="s">
        <v>6885</v>
      </c>
      <c r="E2717" s="2" t="s">
        <v>230</v>
      </c>
      <c r="F2717" t="s">
        <v>6884</v>
      </c>
      <c r="G2717" t="str">
        <f>HYPERLINK("http://www.ikoreanspirit.com/news/articleView.html?idxno=70682")</f>
        <v>http://www.ikoreanspirit.com/news/articleView.html?idxno=70682</v>
      </c>
      <c r="H2717">
        <v>0.55500000000000005</v>
      </c>
    </row>
    <row r="2718" spans="1:8" x14ac:dyDescent="0.3">
      <c r="A2718" t="s">
        <v>5743</v>
      </c>
      <c r="B2718" t="s">
        <v>26951</v>
      </c>
      <c r="C2718" t="s">
        <v>6889</v>
      </c>
      <c r="D2718" t="s">
        <v>6888</v>
      </c>
      <c r="E2718" s="2" t="s">
        <v>230</v>
      </c>
      <c r="F2718" t="s">
        <v>6887</v>
      </c>
      <c r="G2718" t="str">
        <f>HYPERLINK("https://n.news.naver.com/mnews/article/036/0000051661?sid=102")</f>
        <v>https://n.news.naver.com/mnews/article/036/0000051661?sid=102</v>
      </c>
      <c r="H2718">
        <v>0.35299999999999998</v>
      </c>
    </row>
    <row r="2719" spans="1:8" x14ac:dyDescent="0.3">
      <c r="A2719" t="s">
        <v>5743</v>
      </c>
      <c r="B2719" t="s">
        <v>26951</v>
      </c>
      <c r="C2719" t="s">
        <v>6891</v>
      </c>
      <c r="D2719" t="s">
        <v>6890</v>
      </c>
      <c r="E2719" s="2" t="s">
        <v>230</v>
      </c>
      <c r="F2719" t="s">
        <v>2950</v>
      </c>
      <c r="G2719" t="str">
        <f>HYPERLINK("http://www.themusical.co.kr/Magazine/Detail?num=5463")</f>
        <v>http://www.themusical.co.kr/Magazine/Detail?num=5463</v>
      </c>
      <c r="H2719">
        <v>0.28299999999999997</v>
      </c>
    </row>
    <row r="2720" spans="1:8" x14ac:dyDescent="0.3">
      <c r="A2720" t="s">
        <v>5743</v>
      </c>
      <c r="B2720" t="s">
        <v>26951</v>
      </c>
      <c r="C2720" t="s">
        <v>6894</v>
      </c>
      <c r="D2720" t="s">
        <v>6893</v>
      </c>
      <c r="E2720" s="2" t="s">
        <v>230</v>
      </c>
      <c r="F2720" t="s">
        <v>6892</v>
      </c>
      <c r="G2720" t="str">
        <f>HYPERLINK("https://n.news.naver.com/mnews/article/028/0002304685?sid=110")</f>
        <v>https://n.news.naver.com/mnews/article/028/0002304685?sid=110</v>
      </c>
      <c r="H2720">
        <v>0.20200000000000001</v>
      </c>
    </row>
    <row r="2721" spans="1:8" x14ac:dyDescent="0.3">
      <c r="A2721" t="s">
        <v>5743</v>
      </c>
      <c r="B2721" t="s">
        <v>26951</v>
      </c>
      <c r="C2721" t="s">
        <v>6897</v>
      </c>
      <c r="D2721" t="s">
        <v>6896</v>
      </c>
      <c r="E2721" s="2" t="s">
        <v>230</v>
      </c>
      <c r="F2721" t="s">
        <v>6895</v>
      </c>
      <c r="G2721" t="str">
        <f>HYPERLINK("https://n.news.naver.com/mnews/article/028/0002555829?sid=103")</f>
        <v>https://n.news.naver.com/mnews/article/028/0002555829?sid=103</v>
      </c>
      <c r="H2721">
        <v>0.28499999999999998</v>
      </c>
    </row>
    <row r="2722" spans="1:8" x14ac:dyDescent="0.3">
      <c r="A2722" t="s">
        <v>5743</v>
      </c>
      <c r="B2722" t="s">
        <v>26951</v>
      </c>
      <c r="C2722" t="s">
        <v>6900</v>
      </c>
      <c r="D2722" t="s">
        <v>6899</v>
      </c>
      <c r="E2722" s="2" t="s">
        <v>267</v>
      </c>
      <c r="F2722" t="s">
        <v>6898</v>
      </c>
      <c r="G2722" t="str">
        <f>HYPERLINK("https://www.lecturernews.com/news/articleView.html?idxno=139923")</f>
        <v>https://www.lecturernews.com/news/articleView.html?idxno=139923</v>
      </c>
      <c r="H2722">
        <v>0.56899999999999995</v>
      </c>
    </row>
    <row r="2723" spans="1:8" x14ac:dyDescent="0.3">
      <c r="A2723" t="s">
        <v>5743</v>
      </c>
      <c r="B2723" t="s">
        <v>26951</v>
      </c>
      <c r="C2723" t="s">
        <v>6903</v>
      </c>
      <c r="D2723" t="s">
        <v>6902</v>
      </c>
      <c r="E2723" s="2" t="s">
        <v>267</v>
      </c>
      <c r="F2723" t="s">
        <v>6901</v>
      </c>
      <c r="G2723" t="str">
        <f>HYPERLINK("http://ch.yes24.com/Article/View/37653")</f>
        <v>http://ch.yes24.com/Article/View/37653</v>
      </c>
      <c r="H2723">
        <v>0.434</v>
      </c>
    </row>
    <row r="2724" spans="1:8" x14ac:dyDescent="0.3">
      <c r="A2724" t="s">
        <v>5743</v>
      </c>
      <c r="B2724" t="s">
        <v>26951</v>
      </c>
      <c r="C2724" t="s">
        <v>6907</v>
      </c>
      <c r="D2724" t="s">
        <v>6906</v>
      </c>
      <c r="E2724" s="2" t="s">
        <v>267</v>
      </c>
      <c r="F2724" t="s">
        <v>5724</v>
      </c>
      <c r="G2724" t="str">
        <f>HYPERLINK("https://www.apnews.kr/news/articleView.html?idxno=3015406")</f>
        <v>https://www.apnews.kr/news/articleView.html?idxno=3015406</v>
      </c>
      <c r="H2724">
        <v>0.23100000000000001</v>
      </c>
    </row>
    <row r="2725" spans="1:8" x14ac:dyDescent="0.3">
      <c r="A2725" t="s">
        <v>5743</v>
      </c>
      <c r="B2725" t="s">
        <v>26951</v>
      </c>
      <c r="C2725" t="s">
        <v>6909</v>
      </c>
      <c r="D2725" t="s">
        <v>6908</v>
      </c>
      <c r="E2725" s="2" t="s">
        <v>267</v>
      </c>
      <c r="F2725" t="s">
        <v>4315</v>
      </c>
      <c r="G2725" t="str">
        <f>HYPERLINK("https://n.news.naver.com/mnews/article/011/0004503269?sid=104")</f>
        <v>https://n.news.naver.com/mnews/article/011/0004503269?sid=104</v>
      </c>
      <c r="H2725">
        <v>0.26</v>
      </c>
    </row>
    <row r="2726" spans="1:8" x14ac:dyDescent="0.3">
      <c r="A2726" t="s">
        <v>5743</v>
      </c>
      <c r="B2726" t="s">
        <v>26951</v>
      </c>
      <c r="C2726" t="s">
        <v>6912</v>
      </c>
      <c r="D2726" t="s">
        <v>6911</v>
      </c>
      <c r="E2726" s="2" t="s">
        <v>267</v>
      </c>
      <c r="F2726" t="s">
        <v>6910</v>
      </c>
      <c r="G2726" t="str">
        <f>HYPERLINK("http://www.jbsori.com/news/articleView.html?idxno=11311")</f>
        <v>http://www.jbsori.com/news/articleView.html?idxno=11311</v>
      </c>
      <c r="H2726">
        <v>0.59799999999999998</v>
      </c>
    </row>
    <row r="2727" spans="1:8" x14ac:dyDescent="0.3">
      <c r="A2727" t="s">
        <v>5743</v>
      </c>
      <c r="B2727" t="s">
        <v>26951</v>
      </c>
      <c r="C2727" t="s">
        <v>6915</v>
      </c>
      <c r="D2727" t="s">
        <v>6914</v>
      </c>
      <c r="E2727" s="2" t="s">
        <v>267</v>
      </c>
      <c r="F2727" t="s">
        <v>6913</v>
      </c>
      <c r="G2727" t="str">
        <f>HYPERLINK("https://n.news.naver.com/mnews/article/214/0001433403?sid=100")</f>
        <v>https://n.news.naver.com/mnews/article/214/0001433403?sid=100</v>
      </c>
      <c r="H2727">
        <v>0.624</v>
      </c>
    </row>
    <row r="2728" spans="1:8" x14ac:dyDescent="0.3">
      <c r="A2728" t="s">
        <v>5743</v>
      </c>
      <c r="B2728" t="s">
        <v>26951</v>
      </c>
      <c r="C2728" t="s">
        <v>6917</v>
      </c>
      <c r="D2728" t="s">
        <v>6916</v>
      </c>
      <c r="E2728" s="2" t="s">
        <v>267</v>
      </c>
      <c r="F2728" t="s">
        <v>2428</v>
      </c>
      <c r="G2728" t="str">
        <f>HYPERLINK("https://n.news.naver.com/mnews/article/036/0000051764?sid=100")</f>
        <v>https://n.news.naver.com/mnews/article/036/0000051764?sid=100</v>
      </c>
      <c r="H2728">
        <v>0.153</v>
      </c>
    </row>
    <row r="2729" spans="1:8" x14ac:dyDescent="0.3">
      <c r="A2729" t="s">
        <v>5743</v>
      </c>
      <c r="B2729" t="s">
        <v>26951</v>
      </c>
      <c r="C2729" t="s">
        <v>6919</v>
      </c>
      <c r="D2729" t="s">
        <v>6918</v>
      </c>
      <c r="E2729" s="2" t="s">
        <v>267</v>
      </c>
      <c r="F2729" t="s">
        <v>1957</v>
      </c>
      <c r="G2729" t="str">
        <f>HYPERLINK("http://www.nongaek.com/news/articleView.html?idxno=91747")</f>
        <v>http://www.nongaek.com/news/articleView.html?idxno=91747</v>
      </c>
      <c r="H2729">
        <v>0.50800000000000001</v>
      </c>
    </row>
    <row r="2730" spans="1:8" x14ac:dyDescent="0.3">
      <c r="A2730" t="s">
        <v>5743</v>
      </c>
      <c r="B2730" t="s">
        <v>26951</v>
      </c>
      <c r="C2730" t="s">
        <v>6921</v>
      </c>
      <c r="D2730" t="s">
        <v>6920</v>
      </c>
      <c r="E2730" s="2" t="s">
        <v>267</v>
      </c>
      <c r="F2730" t="s">
        <v>2710</v>
      </c>
      <c r="G2730" t="str">
        <f>HYPERLINK("http://www.ajunews.com/view/20171219134645343")</f>
        <v>http://www.ajunews.com/view/20171219134645343</v>
      </c>
      <c r="H2730">
        <v>0.13200000000000001</v>
      </c>
    </row>
    <row r="2731" spans="1:8" x14ac:dyDescent="0.3">
      <c r="A2731" t="s">
        <v>5743</v>
      </c>
      <c r="B2731" t="s">
        <v>26951</v>
      </c>
      <c r="C2731" t="s">
        <v>6923</v>
      </c>
      <c r="D2731" t="s">
        <v>6922</v>
      </c>
      <c r="E2731" s="2" t="s">
        <v>267</v>
      </c>
      <c r="F2731" t="s">
        <v>89</v>
      </c>
      <c r="G2731" t="str">
        <f>HYPERLINK("https://www.jjan.kr/article/20250422580145")</f>
        <v>https://www.jjan.kr/article/20250422580145</v>
      </c>
      <c r="H2731">
        <v>0.53700000000000003</v>
      </c>
    </row>
    <row r="2732" spans="1:8" x14ac:dyDescent="0.3">
      <c r="A2732" t="s">
        <v>5743</v>
      </c>
      <c r="B2732" t="s">
        <v>26951</v>
      </c>
      <c r="C2732" t="s">
        <v>6926</v>
      </c>
      <c r="D2732" t="s">
        <v>6925</v>
      </c>
      <c r="E2732" s="2" t="s">
        <v>267</v>
      </c>
      <c r="F2732" t="s">
        <v>6924</v>
      </c>
      <c r="G2732" t="str">
        <f>HYPERLINK("https://n.news.naver.com/mnews/article/028/0002263260?sid=103")</f>
        <v>https://n.news.naver.com/mnews/article/028/0002263260?sid=103</v>
      </c>
      <c r="H2732">
        <v>0.45500000000000002</v>
      </c>
    </row>
    <row r="2733" spans="1:8" x14ac:dyDescent="0.3">
      <c r="A2733" t="s">
        <v>5743</v>
      </c>
      <c r="B2733" t="s">
        <v>26951</v>
      </c>
      <c r="C2733" t="s">
        <v>6929</v>
      </c>
      <c r="D2733" t="s">
        <v>6928</v>
      </c>
      <c r="E2733" s="2" t="s">
        <v>267</v>
      </c>
      <c r="F2733" t="s">
        <v>6927</v>
      </c>
      <c r="G2733" t="str">
        <f>HYPERLINK("https://www.lecturernews.com/news/articleView.html?idxno=142938")</f>
        <v>https://www.lecturernews.com/news/articleView.html?idxno=142938</v>
      </c>
      <c r="H2733">
        <v>0.47</v>
      </c>
    </row>
    <row r="2734" spans="1:8" x14ac:dyDescent="0.3">
      <c r="A2734" t="s">
        <v>5743</v>
      </c>
      <c r="B2734" t="s">
        <v>26951</v>
      </c>
      <c r="C2734" t="s">
        <v>6932</v>
      </c>
      <c r="D2734" t="s">
        <v>6931</v>
      </c>
      <c r="E2734" s="2" t="s">
        <v>267</v>
      </c>
      <c r="F2734" t="s">
        <v>2064</v>
      </c>
      <c r="G2734" t="str">
        <f>HYPERLINK("https://n.news.naver.com/mnews/article/028/0002753080?sid=100")</f>
        <v>https://n.news.naver.com/mnews/article/028/0002753080?sid=100</v>
      </c>
      <c r="H2734">
        <v>0.129</v>
      </c>
    </row>
    <row r="2735" spans="1:8" x14ac:dyDescent="0.3">
      <c r="A2735" t="s">
        <v>5743</v>
      </c>
      <c r="B2735" t="s">
        <v>26951</v>
      </c>
      <c r="C2735" t="s">
        <v>6935</v>
      </c>
      <c r="D2735" t="s">
        <v>6934</v>
      </c>
      <c r="E2735" s="2" t="s">
        <v>267</v>
      </c>
      <c r="F2735" t="s">
        <v>6933</v>
      </c>
      <c r="G2735" t="str">
        <f>HYPERLINK("http://www.newsian.co.kr/news/articleView.html?idxno=72283")</f>
        <v>http://www.newsian.co.kr/news/articleView.html?idxno=72283</v>
      </c>
      <c r="H2735">
        <v>0.28000000000000003</v>
      </c>
    </row>
    <row r="2736" spans="1:8" x14ac:dyDescent="0.3">
      <c r="A2736" t="s">
        <v>5743</v>
      </c>
      <c r="B2736" t="s">
        <v>26951</v>
      </c>
      <c r="C2736" t="s">
        <v>6938</v>
      </c>
      <c r="D2736" t="s">
        <v>6937</v>
      </c>
      <c r="E2736" s="2" t="s">
        <v>267</v>
      </c>
      <c r="F2736" t="s">
        <v>6936</v>
      </c>
      <c r="G2736" t="str">
        <f>HYPERLINK("https://www.pinpointnews.co.kr/news/articleView.html?idxno=306898")</f>
        <v>https://www.pinpointnews.co.kr/news/articleView.html?idxno=306898</v>
      </c>
      <c r="H2736">
        <v>0.49399999999999999</v>
      </c>
    </row>
    <row r="2737" spans="1:8" x14ac:dyDescent="0.3">
      <c r="A2737" t="s">
        <v>5743</v>
      </c>
      <c r="B2737" t="s">
        <v>26951</v>
      </c>
      <c r="C2737" t="s">
        <v>6940</v>
      </c>
      <c r="D2737" t="s">
        <v>6939</v>
      </c>
      <c r="E2737" s="2" t="s">
        <v>267</v>
      </c>
      <c r="F2737" t="s">
        <v>2124</v>
      </c>
      <c r="G2737" t="str">
        <f>HYPERLINK("http://www.nongaek.com/news/articleView.html?idxno=91824")</f>
        <v>http://www.nongaek.com/news/articleView.html?idxno=91824</v>
      </c>
      <c r="H2737">
        <v>0.504</v>
      </c>
    </row>
    <row r="2738" spans="1:8" x14ac:dyDescent="0.3">
      <c r="A2738" t="s">
        <v>5743</v>
      </c>
      <c r="B2738" t="s">
        <v>26951</v>
      </c>
      <c r="C2738" t="s">
        <v>6942</v>
      </c>
      <c r="D2738" t="s">
        <v>6941</v>
      </c>
      <c r="E2738" s="2" t="s">
        <v>267</v>
      </c>
      <c r="F2738" t="s">
        <v>1423</v>
      </c>
      <c r="G2738" t="str">
        <f>HYPERLINK("http://www.ikoreanspirit.com/news/articleView.html?idxno=80349")</f>
        <v>http://www.ikoreanspirit.com/news/articleView.html?idxno=80349</v>
      </c>
      <c r="H2738">
        <v>0.442</v>
      </c>
    </row>
    <row r="2739" spans="1:8" x14ac:dyDescent="0.3">
      <c r="A2739" t="s">
        <v>5743</v>
      </c>
      <c r="B2739" t="s">
        <v>26951</v>
      </c>
      <c r="C2739" t="s">
        <v>6944</v>
      </c>
      <c r="D2739" t="s">
        <v>6943</v>
      </c>
      <c r="E2739" s="2" t="s">
        <v>267</v>
      </c>
      <c r="F2739" t="s">
        <v>1423</v>
      </c>
      <c r="G2739" t="str">
        <f>HYPERLINK("https://n.news.naver.com/mnews/article/002/0001988509?sid=103")</f>
        <v>https://n.news.naver.com/mnews/article/002/0001988509?sid=103</v>
      </c>
      <c r="H2739">
        <v>0.32100000000000001</v>
      </c>
    </row>
    <row r="2740" spans="1:8" x14ac:dyDescent="0.3">
      <c r="A2740" t="s">
        <v>5743</v>
      </c>
      <c r="B2740" t="s">
        <v>26951</v>
      </c>
      <c r="C2740" t="s">
        <v>6947</v>
      </c>
      <c r="D2740" t="s">
        <v>6946</v>
      </c>
      <c r="E2740" s="2" t="s">
        <v>280</v>
      </c>
      <c r="F2740" t="s">
        <v>6945</v>
      </c>
      <c r="G2740" t="str">
        <f>HYPERLINK("https://www.newspim.com/news/view/20250511000175")</f>
        <v>https://www.newspim.com/news/view/20250511000175</v>
      </c>
      <c r="H2740">
        <v>0.497</v>
      </c>
    </row>
    <row r="2741" spans="1:8" x14ac:dyDescent="0.3">
      <c r="A2741" t="s">
        <v>5743</v>
      </c>
      <c r="B2741" t="s">
        <v>26951</v>
      </c>
      <c r="C2741" t="s">
        <v>6950</v>
      </c>
      <c r="D2741" t="s">
        <v>6949</v>
      </c>
      <c r="E2741" s="2" t="s">
        <v>280</v>
      </c>
      <c r="F2741" t="s">
        <v>6948</v>
      </c>
      <c r="G2741" t="str">
        <f>HYPERLINK("https://www.yeongnam.com/web/view.php?key=20250626023447842")</f>
        <v>https://www.yeongnam.com/web/view.php?key=20250626023447842</v>
      </c>
      <c r="H2741">
        <v>0.432</v>
      </c>
    </row>
    <row r="2742" spans="1:8" x14ac:dyDescent="0.3">
      <c r="A2742" t="s">
        <v>5743</v>
      </c>
      <c r="B2742" t="s">
        <v>26951</v>
      </c>
      <c r="C2742" t="s">
        <v>6953</v>
      </c>
      <c r="D2742" t="s">
        <v>6952</v>
      </c>
      <c r="E2742" s="2" t="s">
        <v>280</v>
      </c>
      <c r="F2742" t="s">
        <v>6951</v>
      </c>
      <c r="G2742" t="str">
        <f>HYPERLINK("http://ch.yes24.com/Article/View/55545")</f>
        <v>http://ch.yes24.com/Article/View/55545</v>
      </c>
      <c r="H2742">
        <v>0.56999999999999995</v>
      </c>
    </row>
    <row r="2743" spans="1:8" x14ac:dyDescent="0.3">
      <c r="A2743" t="s">
        <v>5743</v>
      </c>
      <c r="B2743" t="s">
        <v>26951</v>
      </c>
      <c r="C2743" t="s">
        <v>6955</v>
      </c>
      <c r="D2743" t="s">
        <v>6954</v>
      </c>
      <c r="E2743" s="2" t="s">
        <v>280</v>
      </c>
      <c r="F2743" t="s">
        <v>6212</v>
      </c>
      <c r="G2743" t="str">
        <f>HYPERLINK("http://www.redian.org/archive/179177")</f>
        <v>http://www.redian.org/archive/179177</v>
      </c>
      <c r="H2743">
        <v>0.39900000000000002</v>
      </c>
    </row>
    <row r="2744" spans="1:8" x14ac:dyDescent="0.3">
      <c r="A2744" t="s">
        <v>5743</v>
      </c>
      <c r="B2744" t="s">
        <v>26951</v>
      </c>
      <c r="C2744" t="s">
        <v>6958</v>
      </c>
      <c r="D2744" t="s">
        <v>6957</v>
      </c>
      <c r="E2744" s="2" t="s">
        <v>280</v>
      </c>
      <c r="F2744" t="s">
        <v>6956</v>
      </c>
      <c r="G2744" t="str">
        <f>HYPERLINK("http://www.bulkwang.co.kr/news/articleView.html?idxno=39340")</f>
        <v>http://www.bulkwang.co.kr/news/articleView.html?idxno=39340</v>
      </c>
      <c r="H2744">
        <v>0.308</v>
      </c>
    </row>
    <row r="2745" spans="1:8" x14ac:dyDescent="0.3">
      <c r="A2745" t="s">
        <v>5743</v>
      </c>
      <c r="B2745" t="s">
        <v>26951</v>
      </c>
      <c r="C2745" t="s">
        <v>6961</v>
      </c>
      <c r="D2745" t="s">
        <v>6960</v>
      </c>
      <c r="E2745" s="2" t="s">
        <v>280</v>
      </c>
      <c r="F2745" t="s">
        <v>6959</v>
      </c>
      <c r="G2745" t="str">
        <f>HYPERLINK("https://www.ekn.kr/web/view.php?key=20250630023551828")</f>
        <v>https://www.ekn.kr/web/view.php?key=20250630023551828</v>
      </c>
      <c r="H2745">
        <v>0.123</v>
      </c>
    </row>
    <row r="2746" spans="1:8" x14ac:dyDescent="0.3">
      <c r="A2746" t="s">
        <v>5743</v>
      </c>
      <c r="B2746" t="s">
        <v>26951</v>
      </c>
      <c r="C2746" t="s">
        <v>6964</v>
      </c>
      <c r="D2746" t="s">
        <v>6963</v>
      </c>
      <c r="E2746" s="2" t="s">
        <v>280</v>
      </c>
      <c r="F2746" t="s">
        <v>6962</v>
      </c>
      <c r="G2746" t="str">
        <f>HYPERLINK("http://www.biztribune.co.kr/news/articleView.html?idxno=326689")</f>
        <v>http://www.biztribune.co.kr/news/articleView.html?idxno=326689</v>
      </c>
      <c r="H2746">
        <v>0.5</v>
      </c>
    </row>
    <row r="2747" spans="1:8" x14ac:dyDescent="0.3">
      <c r="A2747" t="s">
        <v>5743</v>
      </c>
      <c r="B2747" t="s">
        <v>26951</v>
      </c>
      <c r="C2747" t="s">
        <v>6967</v>
      </c>
      <c r="D2747" t="s">
        <v>6966</v>
      </c>
      <c r="E2747" s="2" t="s">
        <v>280</v>
      </c>
      <c r="F2747" t="s">
        <v>6965</v>
      </c>
      <c r="G2747" t="str">
        <f>HYPERLINK("http://ch.yes24.com/Article/View/25059")</f>
        <v>http://ch.yes24.com/Article/View/25059</v>
      </c>
      <c r="H2747">
        <v>0.40500000000000003</v>
      </c>
    </row>
    <row r="2748" spans="1:8" x14ac:dyDescent="0.3">
      <c r="A2748" t="s">
        <v>5743</v>
      </c>
      <c r="B2748" t="s">
        <v>26951</v>
      </c>
      <c r="C2748" t="s">
        <v>6970</v>
      </c>
      <c r="D2748" t="s">
        <v>6969</v>
      </c>
      <c r="E2748" s="2" t="s">
        <v>280</v>
      </c>
      <c r="F2748" t="s">
        <v>6968</v>
      </c>
      <c r="G2748" t="str">
        <f>HYPERLINK("https://n.news.naver.com/mnews/article/028/0002620905?sid=103")</f>
        <v>https://n.news.naver.com/mnews/article/028/0002620905?sid=103</v>
      </c>
      <c r="H2748">
        <v>0.378</v>
      </c>
    </row>
    <row r="2749" spans="1:8" x14ac:dyDescent="0.3">
      <c r="A2749" t="s">
        <v>5743</v>
      </c>
      <c r="B2749" t="s">
        <v>26951</v>
      </c>
      <c r="C2749" t="s">
        <v>6973</v>
      </c>
      <c r="D2749" t="s">
        <v>6972</v>
      </c>
      <c r="E2749" s="2" t="s">
        <v>280</v>
      </c>
      <c r="F2749" t="s">
        <v>6971</v>
      </c>
      <c r="G2749" t="str">
        <f>HYPERLINK("http://www.pennmike.com/news/articleView.html?idxno=49809")</f>
        <v>http://www.pennmike.com/news/articleView.html?idxno=49809</v>
      </c>
      <c r="H2749">
        <v>0.32300000000000001</v>
      </c>
    </row>
    <row r="2750" spans="1:8" x14ac:dyDescent="0.3">
      <c r="A2750" t="s">
        <v>5743</v>
      </c>
      <c r="B2750" t="s">
        <v>26951</v>
      </c>
      <c r="C2750" t="s">
        <v>6976</v>
      </c>
      <c r="D2750" t="s">
        <v>6975</v>
      </c>
      <c r="E2750" s="2" t="s">
        <v>280</v>
      </c>
      <c r="F2750" t="s">
        <v>6974</v>
      </c>
      <c r="G2750" t="str">
        <f>HYPERLINK("https://www.lecturernews.com/news/articleView.html?idxno=180220")</f>
        <v>https://www.lecturernews.com/news/articleView.html?idxno=180220</v>
      </c>
      <c r="H2750">
        <v>0.38100000000000001</v>
      </c>
    </row>
    <row r="2751" spans="1:8" x14ac:dyDescent="0.3">
      <c r="A2751" t="s">
        <v>5743</v>
      </c>
      <c r="B2751" t="s">
        <v>26951</v>
      </c>
      <c r="C2751" t="s">
        <v>6979</v>
      </c>
      <c r="D2751" t="s">
        <v>6978</v>
      </c>
      <c r="E2751" s="2" t="s">
        <v>280</v>
      </c>
      <c r="F2751" t="s">
        <v>6977</v>
      </c>
      <c r="G2751" t="str">
        <f>HYPERLINK("http://www.kyosu.net/news/articleView.html?idxno=90425")</f>
        <v>http://www.kyosu.net/news/articleView.html?idxno=90425</v>
      </c>
      <c r="H2751">
        <v>0.38700000000000001</v>
      </c>
    </row>
    <row r="2752" spans="1:8" x14ac:dyDescent="0.3">
      <c r="A2752" t="s">
        <v>5743</v>
      </c>
      <c r="B2752" t="s">
        <v>26951</v>
      </c>
      <c r="C2752" t="s">
        <v>6981</v>
      </c>
      <c r="D2752" t="s">
        <v>6980</v>
      </c>
      <c r="E2752" s="2" t="s">
        <v>280</v>
      </c>
      <c r="F2752" t="s">
        <v>2498</v>
      </c>
      <c r="G2752" t="str">
        <f>HYPERLINK("http://www.jejusori.net/news/articleView.html?idxno=403636")</f>
        <v>http://www.jejusori.net/news/articleView.html?idxno=403636</v>
      </c>
      <c r="H2752">
        <v>0.625</v>
      </c>
    </row>
    <row r="2753" spans="1:8" x14ac:dyDescent="0.3">
      <c r="A2753" t="s">
        <v>5743</v>
      </c>
      <c r="B2753" t="s">
        <v>26951</v>
      </c>
      <c r="C2753" t="s">
        <v>6983</v>
      </c>
      <c r="D2753" t="s">
        <v>6982</v>
      </c>
      <c r="E2753" s="2" t="s">
        <v>280</v>
      </c>
      <c r="F2753" t="s">
        <v>3420</v>
      </c>
      <c r="G2753" t="str">
        <f>HYPERLINK("https://n.news.naver.com/mnews/article/055/0001268423?sid=102")</f>
        <v>https://n.news.naver.com/mnews/article/055/0001268423?sid=102</v>
      </c>
      <c r="H2753">
        <v>0.30499999999999999</v>
      </c>
    </row>
    <row r="2754" spans="1:8" x14ac:dyDescent="0.3">
      <c r="A2754" t="s">
        <v>5743</v>
      </c>
      <c r="B2754" t="s">
        <v>26951</v>
      </c>
      <c r="C2754" t="s">
        <v>6985</v>
      </c>
      <c r="D2754" t="s">
        <v>6984</v>
      </c>
      <c r="E2754" s="2" t="s">
        <v>280</v>
      </c>
      <c r="F2754" t="s">
        <v>3003</v>
      </c>
      <c r="G2754" t="str">
        <f>HYPERLINK("http://www.ikoreanspirit.com/news/articleView.html?idxno=80349")</f>
        <v>http://www.ikoreanspirit.com/news/articleView.html?idxno=80349</v>
      </c>
      <c r="H2754">
        <v>0.48499999999999999</v>
      </c>
    </row>
    <row r="2755" spans="1:8" x14ac:dyDescent="0.3">
      <c r="A2755" t="s">
        <v>5743</v>
      </c>
      <c r="B2755" t="s">
        <v>26951</v>
      </c>
      <c r="C2755" t="s">
        <v>6987</v>
      </c>
      <c r="D2755" t="s">
        <v>6986</v>
      </c>
      <c r="E2755" s="2" t="s">
        <v>280</v>
      </c>
      <c r="F2755" t="s">
        <v>2274</v>
      </c>
      <c r="G2755" t="str">
        <f>HYPERLINK("http://daily.hankooki.com/news/articleView.html?idxno=794975")</f>
        <v>http://daily.hankooki.com/news/articleView.html?idxno=794975</v>
      </c>
      <c r="H2755">
        <v>0.7</v>
      </c>
    </row>
    <row r="2756" spans="1:8" x14ac:dyDescent="0.3">
      <c r="A2756" t="s">
        <v>5743</v>
      </c>
      <c r="B2756" t="s">
        <v>26951</v>
      </c>
      <c r="C2756" t="s">
        <v>6990</v>
      </c>
      <c r="D2756" t="s">
        <v>6989</v>
      </c>
      <c r="E2756" s="2" t="s">
        <v>280</v>
      </c>
      <c r="F2756" t="s">
        <v>6988</v>
      </c>
      <c r="G2756" t="str">
        <f>HYPERLINK("https://www.incheontoday.com/news/articleView.html?idxno=304630")</f>
        <v>https://www.incheontoday.com/news/articleView.html?idxno=304630</v>
      </c>
      <c r="H2756">
        <v>0.52100000000000002</v>
      </c>
    </row>
    <row r="2757" spans="1:8" x14ac:dyDescent="0.3">
      <c r="A2757" t="s">
        <v>5743</v>
      </c>
      <c r="B2757" t="s">
        <v>26951</v>
      </c>
      <c r="C2757" t="s">
        <v>6993</v>
      </c>
      <c r="D2757" t="s">
        <v>6992</v>
      </c>
      <c r="E2757" s="2" t="s">
        <v>280</v>
      </c>
      <c r="F2757" t="s">
        <v>6991</v>
      </c>
      <c r="G2757" t="str">
        <f>HYPERLINK("https://www.lecturernews.com/news/articleView.html?idxno=176478")</f>
        <v>https://www.lecturernews.com/news/articleView.html?idxno=176478</v>
      </c>
      <c r="H2757">
        <v>0.39200000000000002</v>
      </c>
    </row>
    <row r="2758" spans="1:8" x14ac:dyDescent="0.3">
      <c r="A2758" t="s">
        <v>5743</v>
      </c>
      <c r="B2758" t="s">
        <v>26951</v>
      </c>
      <c r="C2758" t="s">
        <v>6995</v>
      </c>
      <c r="D2758" t="s">
        <v>6994</v>
      </c>
      <c r="E2758" s="2" t="s">
        <v>280</v>
      </c>
      <c r="F2758" t="s">
        <v>4315</v>
      </c>
      <c r="G2758" t="str">
        <f>HYPERLINK("https://news.bbsi.co.kr/news/articleView.html?idxno=3095240")</f>
        <v>https://news.bbsi.co.kr/news/articleView.html?idxno=3095240</v>
      </c>
      <c r="H2758">
        <v>0.44800000000000001</v>
      </c>
    </row>
    <row r="2759" spans="1:8" x14ac:dyDescent="0.3">
      <c r="A2759" t="s">
        <v>5743</v>
      </c>
      <c r="B2759" t="s">
        <v>26951</v>
      </c>
      <c r="C2759" t="s">
        <v>6997</v>
      </c>
      <c r="D2759" t="s">
        <v>6996</v>
      </c>
      <c r="E2759" s="2" t="s">
        <v>280</v>
      </c>
      <c r="F2759" t="s">
        <v>89</v>
      </c>
      <c r="G2759" t="str">
        <f>HYPERLINK("http://www.nongaek.com/news/articleView.html?idxno=89707")</f>
        <v>http://www.nongaek.com/news/articleView.html?idxno=89707</v>
      </c>
      <c r="H2759">
        <v>0.379</v>
      </c>
    </row>
    <row r="2760" spans="1:8" x14ac:dyDescent="0.3">
      <c r="A2760" t="s">
        <v>5743</v>
      </c>
      <c r="B2760" t="s">
        <v>26951</v>
      </c>
      <c r="C2760" t="s">
        <v>7001</v>
      </c>
      <c r="D2760" t="s">
        <v>7000</v>
      </c>
      <c r="E2760" s="2" t="s">
        <v>280</v>
      </c>
      <c r="F2760" t="s">
        <v>6999</v>
      </c>
      <c r="G2760" t="str">
        <f>HYPERLINK("https://n.news.naver.com/mnews/article/028/0002752108?sid=102")</f>
        <v>https://n.news.naver.com/mnews/article/028/0002752108?sid=102</v>
      </c>
      <c r="H2760">
        <v>0.28000000000000003</v>
      </c>
    </row>
    <row r="2761" spans="1:8" x14ac:dyDescent="0.3">
      <c r="A2761" t="s">
        <v>5743</v>
      </c>
      <c r="B2761" t="s">
        <v>26951</v>
      </c>
      <c r="C2761" t="s">
        <v>7004</v>
      </c>
      <c r="D2761" t="s">
        <v>7003</v>
      </c>
      <c r="E2761" s="2" t="s">
        <v>280</v>
      </c>
      <c r="F2761" t="s">
        <v>7002</v>
      </c>
      <c r="G2761" t="str">
        <f>HYPERLINK("http://www.readersnews.com/news/articleView.html?idxno=100743")</f>
        <v>http://www.readersnews.com/news/articleView.html?idxno=100743</v>
      </c>
      <c r="H2761">
        <v>0.3</v>
      </c>
    </row>
    <row r="2762" spans="1:8" x14ac:dyDescent="0.3">
      <c r="A2762" t="s">
        <v>5743</v>
      </c>
      <c r="B2762" t="s">
        <v>26951</v>
      </c>
      <c r="C2762" t="s">
        <v>7007</v>
      </c>
      <c r="D2762" t="s">
        <v>7006</v>
      </c>
      <c r="E2762" s="2" t="s">
        <v>280</v>
      </c>
      <c r="F2762" t="s">
        <v>7005</v>
      </c>
      <c r="G2762" t="str">
        <f>HYPERLINK("http://www.readersnews.com/news/articleView.html?idxno=114335")</f>
        <v>http://www.readersnews.com/news/articleView.html?idxno=114335</v>
      </c>
      <c r="H2762">
        <v>0.44800000000000001</v>
      </c>
    </row>
    <row r="2763" spans="1:8" x14ac:dyDescent="0.3">
      <c r="A2763" t="s">
        <v>5743</v>
      </c>
      <c r="B2763" t="s">
        <v>26951</v>
      </c>
      <c r="C2763" t="s">
        <v>7009</v>
      </c>
      <c r="D2763" t="s">
        <v>7008</v>
      </c>
      <c r="E2763" s="2" t="s">
        <v>280</v>
      </c>
      <c r="F2763" t="s">
        <v>6895</v>
      </c>
      <c r="G2763" t="str">
        <f>HYPERLINK("https://www.jejusori.net/news/articleView.html?idxno=435238")</f>
        <v>https://www.jejusori.net/news/articleView.html?idxno=435238</v>
      </c>
      <c r="H2763">
        <v>0.55100000000000005</v>
      </c>
    </row>
    <row r="2764" spans="1:8" x14ac:dyDescent="0.3">
      <c r="A2764" t="s">
        <v>5743</v>
      </c>
      <c r="B2764" t="s">
        <v>26951</v>
      </c>
      <c r="C2764" t="s">
        <v>7011</v>
      </c>
      <c r="D2764" t="s">
        <v>7010</v>
      </c>
      <c r="E2764" s="2" t="s">
        <v>280</v>
      </c>
      <c r="F2764" t="s">
        <v>1423</v>
      </c>
      <c r="G2764" t="str">
        <f>HYPERLINK("https://n.news.naver.com/mnews/article/028/0001993431?sid=102")</f>
        <v>https://n.news.naver.com/mnews/article/028/0001993431?sid=102</v>
      </c>
      <c r="H2764">
        <v>0.29299999999999998</v>
      </c>
    </row>
    <row r="2765" spans="1:8" x14ac:dyDescent="0.3">
      <c r="A2765" t="s">
        <v>5743</v>
      </c>
      <c r="B2765" t="s">
        <v>26951</v>
      </c>
      <c r="C2765" t="s">
        <v>7014</v>
      </c>
      <c r="D2765" t="s">
        <v>7013</v>
      </c>
      <c r="E2765" s="2" t="s">
        <v>313</v>
      </c>
      <c r="F2765" t="s">
        <v>7012</v>
      </c>
      <c r="G2765" t="str">
        <f>HYPERLINK("http://www.ikoreanspirit.com/news/articleView.html?idxno=80349")</f>
        <v>http://www.ikoreanspirit.com/news/articleView.html?idxno=80349</v>
      </c>
      <c r="H2765">
        <v>0.26600000000000001</v>
      </c>
    </row>
    <row r="2766" spans="1:8" x14ac:dyDescent="0.3">
      <c r="A2766" t="s">
        <v>5743</v>
      </c>
      <c r="B2766" t="s">
        <v>26951</v>
      </c>
      <c r="C2766" t="s">
        <v>7017</v>
      </c>
      <c r="D2766" t="s">
        <v>7016</v>
      </c>
      <c r="E2766" s="2" t="s">
        <v>313</v>
      </c>
      <c r="F2766" t="s">
        <v>7015</v>
      </c>
      <c r="G2766" t="str">
        <f>HYPERLINK("https://n.news.naver.com/mnews/article/028/0002620905?sid=103")</f>
        <v>https://n.news.naver.com/mnews/article/028/0002620905?sid=103</v>
      </c>
      <c r="H2766">
        <v>0.28599999999999998</v>
      </c>
    </row>
    <row r="2767" spans="1:8" x14ac:dyDescent="0.3">
      <c r="A2767" t="s">
        <v>5743</v>
      </c>
      <c r="B2767" t="s">
        <v>26951</v>
      </c>
      <c r="C2767" t="s">
        <v>7020</v>
      </c>
      <c r="D2767" t="s">
        <v>7019</v>
      </c>
      <c r="E2767" s="2" t="s">
        <v>313</v>
      </c>
      <c r="F2767" t="s">
        <v>7018</v>
      </c>
      <c r="G2767" t="str">
        <f>HYPERLINK("http://ch.yes24.com/Article/View/44278")</f>
        <v>http://ch.yes24.com/Article/View/44278</v>
      </c>
      <c r="H2767">
        <v>0.31</v>
      </c>
    </row>
    <row r="2768" spans="1:8" x14ac:dyDescent="0.3">
      <c r="A2768" t="s">
        <v>5743</v>
      </c>
      <c r="B2768" t="s">
        <v>26951</v>
      </c>
      <c r="C2768" t="s">
        <v>7023</v>
      </c>
      <c r="D2768" t="s">
        <v>7022</v>
      </c>
      <c r="E2768" s="2" t="s">
        <v>313</v>
      </c>
      <c r="F2768" t="s">
        <v>7021</v>
      </c>
      <c r="G2768" t="str">
        <f>HYPERLINK("http://www.danbinews.com/news/articleView.html?idxno=22445")</f>
        <v>http://www.danbinews.com/news/articleView.html?idxno=22445</v>
      </c>
      <c r="H2768">
        <v>0.44400000000000001</v>
      </c>
    </row>
    <row r="2769" spans="1:8" x14ac:dyDescent="0.3">
      <c r="A2769" t="s">
        <v>5743</v>
      </c>
      <c r="B2769" t="s">
        <v>26951</v>
      </c>
      <c r="C2769" t="s">
        <v>7025</v>
      </c>
      <c r="D2769" t="s">
        <v>7024</v>
      </c>
      <c r="E2769" s="2" t="s">
        <v>313</v>
      </c>
      <c r="F2769" t="s">
        <v>197</v>
      </c>
      <c r="G2769" t="str">
        <f>HYPERLINK("https://n.news.naver.com/mnews/article/308/0000018260?sid=104")</f>
        <v>https://n.news.naver.com/mnews/article/308/0000018260?sid=104</v>
      </c>
      <c r="H2769">
        <v>0.371</v>
      </c>
    </row>
    <row r="2770" spans="1:8" x14ac:dyDescent="0.3">
      <c r="A2770" t="s">
        <v>5743</v>
      </c>
      <c r="B2770" t="s">
        <v>26951</v>
      </c>
      <c r="C2770" t="s">
        <v>7028</v>
      </c>
      <c r="D2770" t="s">
        <v>7027</v>
      </c>
      <c r="E2770" s="2" t="s">
        <v>313</v>
      </c>
      <c r="F2770" t="s">
        <v>7026</v>
      </c>
      <c r="G2770" t="str">
        <f>HYPERLINK("http://www.newspost.kr/news/articleView.html?idxno=57617")</f>
        <v>http://www.newspost.kr/news/articleView.html?idxno=57617</v>
      </c>
      <c r="H2770">
        <v>0.33900000000000002</v>
      </c>
    </row>
    <row r="2771" spans="1:8" x14ac:dyDescent="0.3">
      <c r="A2771" t="s">
        <v>5743</v>
      </c>
      <c r="B2771" t="s">
        <v>26951</v>
      </c>
      <c r="C2771" t="s">
        <v>7030</v>
      </c>
      <c r="D2771" t="s">
        <v>7029</v>
      </c>
      <c r="E2771" s="2" t="s">
        <v>313</v>
      </c>
      <c r="F2771" t="s">
        <v>5887</v>
      </c>
      <c r="G2771" t="str">
        <f>HYPERLINK("https://www.ggilbo.com/news/articleView.html?idxno=1093008")</f>
        <v>https://www.ggilbo.com/news/articleView.html?idxno=1093008</v>
      </c>
      <c r="H2771">
        <v>0.434</v>
      </c>
    </row>
    <row r="2772" spans="1:8" x14ac:dyDescent="0.3">
      <c r="A2772" t="s">
        <v>5743</v>
      </c>
      <c r="B2772" t="s">
        <v>26951</v>
      </c>
      <c r="C2772" t="s">
        <v>7033</v>
      </c>
      <c r="D2772" t="s">
        <v>7032</v>
      </c>
      <c r="E2772" s="2" t="s">
        <v>313</v>
      </c>
      <c r="F2772" t="s">
        <v>7031</v>
      </c>
      <c r="G2772" t="str">
        <f>HYPERLINK("http://jmagazine.joins.com/forbes/view/338192")</f>
        <v>http://jmagazine.joins.com/forbes/view/338192</v>
      </c>
      <c r="H2772">
        <v>0.42399999999999999</v>
      </c>
    </row>
    <row r="2773" spans="1:8" x14ac:dyDescent="0.3">
      <c r="A2773" t="s">
        <v>5743</v>
      </c>
      <c r="B2773" t="s">
        <v>26951</v>
      </c>
      <c r="C2773" t="s">
        <v>7036</v>
      </c>
      <c r="D2773" t="s">
        <v>7035</v>
      </c>
      <c r="E2773" s="2" t="s">
        <v>313</v>
      </c>
      <c r="F2773" t="s">
        <v>7034</v>
      </c>
      <c r="G2773" t="str">
        <f>HYPERLINK("https://www.jejusori.net/news/articleView.html?idxno=437191")</f>
        <v>https://www.jejusori.net/news/articleView.html?idxno=437191</v>
      </c>
      <c r="H2773">
        <v>0.51500000000000001</v>
      </c>
    </row>
    <row r="2774" spans="1:8" x14ac:dyDescent="0.3">
      <c r="A2774" t="s">
        <v>5743</v>
      </c>
      <c r="B2774" t="s">
        <v>26951</v>
      </c>
      <c r="C2774" t="s">
        <v>7039</v>
      </c>
      <c r="D2774" t="s">
        <v>7038</v>
      </c>
      <c r="E2774" s="2" t="s">
        <v>313</v>
      </c>
      <c r="F2774" t="s">
        <v>7037</v>
      </c>
      <c r="G2774" t="str">
        <f>HYPERLINK("https://n.news.naver.com/mnews/article/056/0011119114?sid=102")</f>
        <v>https://n.news.naver.com/mnews/article/056/0011119114?sid=102</v>
      </c>
      <c r="H2774">
        <v>0.26800000000000002</v>
      </c>
    </row>
    <row r="2775" spans="1:8" x14ac:dyDescent="0.3">
      <c r="A2775" t="s">
        <v>5743</v>
      </c>
      <c r="B2775" t="s">
        <v>26951</v>
      </c>
      <c r="C2775" t="s">
        <v>7042</v>
      </c>
      <c r="D2775" t="s">
        <v>7041</v>
      </c>
      <c r="E2775" s="2" t="s">
        <v>313</v>
      </c>
      <c r="F2775" t="s">
        <v>7040</v>
      </c>
      <c r="G2775" t="str">
        <f>HYPERLINK("http://www.newspim.com/news/view/20200520000059")</f>
        <v>http://www.newspim.com/news/view/20200520000059</v>
      </c>
      <c r="H2775">
        <v>0.443</v>
      </c>
    </row>
    <row r="2776" spans="1:8" x14ac:dyDescent="0.3">
      <c r="A2776" t="s">
        <v>5743</v>
      </c>
      <c r="B2776" t="s">
        <v>26951</v>
      </c>
      <c r="C2776" t="s">
        <v>7045</v>
      </c>
      <c r="D2776" t="s">
        <v>7044</v>
      </c>
      <c r="E2776" s="2" t="s">
        <v>313</v>
      </c>
      <c r="F2776" t="s">
        <v>7043</v>
      </c>
      <c r="G2776" t="str">
        <f>HYPERLINK("http://www.kyosu.net/news/articleView.html?idxno=90425")</f>
        <v>http://www.kyosu.net/news/articleView.html?idxno=90425</v>
      </c>
      <c r="H2776">
        <v>0.35299999999999998</v>
      </c>
    </row>
    <row r="2777" spans="1:8" x14ac:dyDescent="0.3">
      <c r="A2777" t="s">
        <v>5743</v>
      </c>
      <c r="B2777" t="s">
        <v>26951</v>
      </c>
      <c r="C2777" t="s">
        <v>7048</v>
      </c>
      <c r="D2777" t="s">
        <v>7047</v>
      </c>
      <c r="E2777" s="2" t="s">
        <v>313</v>
      </c>
      <c r="F2777" t="s">
        <v>7046</v>
      </c>
      <c r="G2777" t="str">
        <f>HYPERLINK("http://www.ikoreanspirit.com/news/articleView.html?idxno=80349")</f>
        <v>http://www.ikoreanspirit.com/news/articleView.html?idxno=80349</v>
      </c>
      <c r="H2777">
        <v>0.46200000000000002</v>
      </c>
    </row>
    <row r="2778" spans="1:8" x14ac:dyDescent="0.3">
      <c r="A2778" t="s">
        <v>5743</v>
      </c>
      <c r="B2778" t="s">
        <v>26951</v>
      </c>
      <c r="C2778" t="s">
        <v>7051</v>
      </c>
      <c r="D2778" t="s">
        <v>7050</v>
      </c>
      <c r="E2778" s="2" t="s">
        <v>313</v>
      </c>
      <c r="F2778" t="s">
        <v>7049</v>
      </c>
      <c r="G2778" t="str">
        <f>HYPERLINK("https://www.nbntv.co.kr/news/articleView.html?idxno=3028438")</f>
        <v>https://www.nbntv.co.kr/news/articleView.html?idxno=3028438</v>
      </c>
      <c r="H2778">
        <v>0.4</v>
      </c>
    </row>
    <row r="2779" spans="1:8" x14ac:dyDescent="0.3">
      <c r="A2779" t="s">
        <v>5743</v>
      </c>
      <c r="B2779" t="s">
        <v>26951</v>
      </c>
      <c r="C2779" t="s">
        <v>7054</v>
      </c>
      <c r="D2779" t="s">
        <v>7053</v>
      </c>
      <c r="E2779" s="2" t="s">
        <v>313</v>
      </c>
      <c r="F2779" t="s">
        <v>7052</v>
      </c>
      <c r="G2779" t="str">
        <f>HYPERLINK("https://n.news.naver.com/mnews/article/052/0002213069?sid=100")</f>
        <v>https://n.news.naver.com/mnews/article/052/0002213069?sid=100</v>
      </c>
      <c r="H2779">
        <v>0.20200000000000001</v>
      </c>
    </row>
    <row r="2780" spans="1:8" x14ac:dyDescent="0.3">
      <c r="A2780" t="s">
        <v>5743</v>
      </c>
      <c r="B2780" t="s">
        <v>26951</v>
      </c>
      <c r="C2780" t="s">
        <v>7057</v>
      </c>
      <c r="D2780" t="s">
        <v>7056</v>
      </c>
      <c r="E2780" s="2" t="s">
        <v>313</v>
      </c>
      <c r="F2780" t="s">
        <v>7055</v>
      </c>
      <c r="G2780" t="str">
        <f>HYPERLINK("https://n.news.naver.com/mnews/article/056/0011524353?sid=100")</f>
        <v>https://n.news.naver.com/mnews/article/056/0011524353?sid=100</v>
      </c>
      <c r="H2780">
        <v>0.252</v>
      </c>
    </row>
    <row r="2781" spans="1:8" x14ac:dyDescent="0.3">
      <c r="A2781" t="s">
        <v>5743</v>
      </c>
      <c r="B2781" t="s">
        <v>26951</v>
      </c>
      <c r="C2781" t="s">
        <v>7062</v>
      </c>
      <c r="D2781" t="s">
        <v>7061</v>
      </c>
      <c r="E2781" s="2" t="s">
        <v>313</v>
      </c>
      <c r="F2781" t="s">
        <v>7060</v>
      </c>
      <c r="G2781" t="str">
        <f>HYPERLINK("https://www.huffingtonpost.kr/news/articleView.html?idxno=236861")</f>
        <v>https://www.huffingtonpost.kr/news/articleView.html?idxno=236861</v>
      </c>
      <c r="H2781">
        <v>0.33</v>
      </c>
    </row>
    <row r="2782" spans="1:8" x14ac:dyDescent="0.3">
      <c r="A2782" t="s">
        <v>5743</v>
      </c>
      <c r="B2782" t="s">
        <v>26951</v>
      </c>
      <c r="C2782" t="s">
        <v>7065</v>
      </c>
      <c r="D2782" t="s">
        <v>7064</v>
      </c>
      <c r="E2782" s="2" t="s">
        <v>313</v>
      </c>
      <c r="F2782" t="s">
        <v>7063</v>
      </c>
      <c r="G2782" t="str">
        <f>HYPERLINK("http://www.jbnews.com/news/articleView.html?idxno=1252281")</f>
        <v>http://www.jbnews.com/news/articleView.html?idxno=1252281</v>
      </c>
      <c r="H2782">
        <v>0.44400000000000001</v>
      </c>
    </row>
    <row r="2783" spans="1:8" x14ac:dyDescent="0.3">
      <c r="A2783" t="s">
        <v>5743</v>
      </c>
      <c r="B2783" t="s">
        <v>26951</v>
      </c>
      <c r="C2783" t="s">
        <v>7068</v>
      </c>
      <c r="D2783" t="s">
        <v>7067</v>
      </c>
      <c r="E2783" s="2" t="s">
        <v>313</v>
      </c>
      <c r="F2783" t="s">
        <v>7066</v>
      </c>
      <c r="G2783" t="str">
        <f>HYPERLINK("https://n.news.naver.com/mnews/article/028/0002406837?sid=103")</f>
        <v>https://n.news.naver.com/mnews/article/028/0002406837?sid=103</v>
      </c>
      <c r="H2783">
        <v>0.246</v>
      </c>
    </row>
    <row r="2784" spans="1:8" x14ac:dyDescent="0.3">
      <c r="A2784" t="s">
        <v>5743</v>
      </c>
      <c r="B2784" t="s">
        <v>26951</v>
      </c>
      <c r="C2784" t="s">
        <v>7070</v>
      </c>
      <c r="D2784" t="s">
        <v>7069</v>
      </c>
      <c r="E2784" s="2" t="s">
        <v>313</v>
      </c>
      <c r="F2784" t="s">
        <v>960</v>
      </c>
      <c r="G2784" t="str">
        <f>HYPERLINK("http://www.breaknews.com/1098380")</f>
        <v>http://www.breaknews.com/1098380</v>
      </c>
      <c r="H2784">
        <v>0.35599999999999998</v>
      </c>
    </row>
    <row r="2785" spans="1:8" x14ac:dyDescent="0.3">
      <c r="A2785" t="s">
        <v>5743</v>
      </c>
      <c r="B2785" t="s">
        <v>26951</v>
      </c>
      <c r="C2785" t="s">
        <v>7073</v>
      </c>
      <c r="D2785" t="s">
        <v>7072</v>
      </c>
      <c r="E2785" s="2" t="s">
        <v>313</v>
      </c>
      <c r="F2785" t="s">
        <v>7071</v>
      </c>
      <c r="G2785" t="str">
        <f>HYPERLINK("http://www.ikoreanspirit.com/news/articleView.html?idxno=80349")</f>
        <v>http://www.ikoreanspirit.com/news/articleView.html?idxno=80349</v>
      </c>
      <c r="H2785">
        <v>0.35</v>
      </c>
    </row>
    <row r="2786" spans="1:8" x14ac:dyDescent="0.3">
      <c r="A2786" t="s">
        <v>5743</v>
      </c>
      <c r="B2786" t="s">
        <v>26951</v>
      </c>
      <c r="C2786" t="s">
        <v>7075</v>
      </c>
      <c r="D2786" t="s">
        <v>7074</v>
      </c>
      <c r="E2786" s="2" t="s">
        <v>313</v>
      </c>
      <c r="F2786" t="s">
        <v>5845</v>
      </c>
      <c r="G2786" t="str">
        <f>HYPERLINK("http://www.nongaek.com/news/articleView.html?idxno=91730")</f>
        <v>http://www.nongaek.com/news/articleView.html?idxno=91730</v>
      </c>
      <c r="H2786">
        <v>0.56999999999999995</v>
      </c>
    </row>
    <row r="2787" spans="1:8" x14ac:dyDescent="0.3">
      <c r="A2787" t="s">
        <v>5743</v>
      </c>
      <c r="B2787" t="s">
        <v>26951</v>
      </c>
      <c r="C2787" t="s">
        <v>7079</v>
      </c>
      <c r="D2787" t="s">
        <v>7078</v>
      </c>
      <c r="E2787" s="2" t="s">
        <v>313</v>
      </c>
      <c r="F2787" t="s">
        <v>7077</v>
      </c>
      <c r="G2787" t="str">
        <f>HYPERLINK("http://kor.theasian.asia/archives/160414")</f>
        <v>http://kor.theasian.asia/archives/160414</v>
      </c>
      <c r="H2787">
        <v>0.52600000000000002</v>
      </c>
    </row>
    <row r="2788" spans="1:8" x14ac:dyDescent="0.3">
      <c r="A2788" t="s">
        <v>5743</v>
      </c>
      <c r="B2788" t="s">
        <v>26951</v>
      </c>
      <c r="C2788" t="s">
        <v>7082</v>
      </c>
      <c r="D2788" t="s">
        <v>7081</v>
      </c>
      <c r="E2788" s="2" t="s">
        <v>313</v>
      </c>
      <c r="F2788" t="s">
        <v>7080</v>
      </c>
      <c r="G2788" t="str">
        <f>HYPERLINK("https://n.news.naver.com/mnews/article/081/0003553999?sid=104")</f>
        <v>https://n.news.naver.com/mnews/article/081/0003553999?sid=104</v>
      </c>
      <c r="H2788">
        <v>0.3</v>
      </c>
    </row>
    <row r="2789" spans="1:8" x14ac:dyDescent="0.3">
      <c r="A2789" t="s">
        <v>5743</v>
      </c>
      <c r="B2789" t="s">
        <v>26951</v>
      </c>
      <c r="C2789" t="s">
        <v>7085</v>
      </c>
      <c r="D2789" t="s">
        <v>7084</v>
      </c>
      <c r="E2789" s="2" t="s">
        <v>313</v>
      </c>
      <c r="F2789" t="s">
        <v>7083</v>
      </c>
      <c r="G2789" t="str">
        <f>HYPERLINK("http://www.mediawatch.kr/news/article.html?no=238570")</f>
        <v>http://www.mediawatch.kr/news/article.html?no=238570</v>
      </c>
      <c r="H2789">
        <v>0.4</v>
      </c>
    </row>
    <row r="2790" spans="1:8" x14ac:dyDescent="0.3">
      <c r="A2790" t="s">
        <v>5743</v>
      </c>
      <c r="B2790" t="s">
        <v>26951</v>
      </c>
      <c r="C2790" t="s">
        <v>7091</v>
      </c>
      <c r="D2790" t="s">
        <v>7090</v>
      </c>
      <c r="E2790" s="2" t="s">
        <v>313</v>
      </c>
      <c r="F2790" t="s">
        <v>7089</v>
      </c>
      <c r="G2790" t="str">
        <f>HYPERLINK("https://www.huffingtonpost.kr/news/articleView.html?idxno=210317")</f>
        <v>https://www.huffingtonpost.kr/news/articleView.html?idxno=210317</v>
      </c>
      <c r="H2790">
        <v>0.45600000000000002</v>
      </c>
    </row>
    <row r="2791" spans="1:8" x14ac:dyDescent="0.3">
      <c r="A2791" t="s">
        <v>5743</v>
      </c>
      <c r="B2791" t="s">
        <v>26951</v>
      </c>
      <c r="C2791" t="s">
        <v>7094</v>
      </c>
      <c r="D2791" t="s">
        <v>7093</v>
      </c>
      <c r="E2791" s="2" t="s">
        <v>313</v>
      </c>
      <c r="F2791" t="s">
        <v>7092</v>
      </c>
      <c r="G2791" t="str">
        <f>HYPERLINK("https://n.news.naver.com/mnews/article/032/0003379542?sid=102")</f>
        <v>https://n.news.naver.com/mnews/article/032/0003379542?sid=102</v>
      </c>
      <c r="H2791">
        <v>0.35299999999999998</v>
      </c>
    </row>
    <row r="2792" spans="1:8" x14ac:dyDescent="0.3">
      <c r="A2792" t="s">
        <v>5743</v>
      </c>
      <c r="B2792" t="s">
        <v>26951</v>
      </c>
      <c r="C2792" t="s">
        <v>7096</v>
      </c>
      <c r="D2792" t="s">
        <v>7095</v>
      </c>
      <c r="E2792" s="2" t="s">
        <v>313</v>
      </c>
      <c r="F2792" t="s">
        <v>2124</v>
      </c>
      <c r="G2792" t="str">
        <f>HYPERLINK("https://n.news.naver.com/mnews/article/028/0002751910?sid=110")</f>
        <v>https://n.news.naver.com/mnews/article/028/0002751910?sid=110</v>
      </c>
      <c r="H2792">
        <v>0.29799999999999999</v>
      </c>
    </row>
    <row r="2793" spans="1:8" x14ac:dyDescent="0.3">
      <c r="A2793" t="s">
        <v>5743</v>
      </c>
      <c r="B2793" t="s">
        <v>26951</v>
      </c>
      <c r="C2793" t="s">
        <v>7098</v>
      </c>
      <c r="D2793" t="s">
        <v>7097</v>
      </c>
      <c r="E2793" s="2" t="s">
        <v>313</v>
      </c>
      <c r="F2793" t="s">
        <v>2124</v>
      </c>
      <c r="G2793" t="str">
        <f>HYPERLINK("http://www.nongaek.com/news/articleView.html?idxno=87000")</f>
        <v>http://www.nongaek.com/news/articleView.html?idxno=87000</v>
      </c>
      <c r="H2793">
        <v>0.55800000000000005</v>
      </c>
    </row>
    <row r="2794" spans="1:8" x14ac:dyDescent="0.3">
      <c r="A2794" t="s">
        <v>5743</v>
      </c>
      <c r="B2794" t="s">
        <v>26951</v>
      </c>
      <c r="C2794" t="s">
        <v>7100</v>
      </c>
      <c r="D2794" t="s">
        <v>7099</v>
      </c>
      <c r="E2794" s="2" t="s">
        <v>313</v>
      </c>
      <c r="F2794" t="s">
        <v>2124</v>
      </c>
      <c r="G2794" t="str">
        <f>HYPERLINK("https://n.news.naver.com/mnews/article/036/0000051889?sid=102")</f>
        <v>https://n.news.naver.com/mnews/article/036/0000051889?sid=102</v>
      </c>
      <c r="H2794">
        <v>0.34599999999999997</v>
      </c>
    </row>
    <row r="2795" spans="1:8" x14ac:dyDescent="0.3">
      <c r="A2795" t="s">
        <v>5743</v>
      </c>
      <c r="B2795" t="s">
        <v>26951</v>
      </c>
      <c r="C2795" t="s">
        <v>7102</v>
      </c>
      <c r="D2795" t="s">
        <v>7101</v>
      </c>
      <c r="E2795" s="2" t="s">
        <v>313</v>
      </c>
      <c r="F2795" t="s">
        <v>2124</v>
      </c>
      <c r="G2795" t="str">
        <f>HYPERLINK("http://www.nongaek.com/news/articleView.html?idxno=91824")</f>
        <v>http://www.nongaek.com/news/articleView.html?idxno=91824</v>
      </c>
      <c r="H2795">
        <v>0.52400000000000002</v>
      </c>
    </row>
    <row r="2796" spans="1:8" x14ac:dyDescent="0.3">
      <c r="A2796" t="s">
        <v>5743</v>
      </c>
      <c r="B2796" t="s">
        <v>26951</v>
      </c>
      <c r="C2796" t="s">
        <v>7104</v>
      </c>
      <c r="D2796" t="s">
        <v>7103</v>
      </c>
      <c r="E2796" s="2" t="s">
        <v>313</v>
      </c>
      <c r="F2796" t="s">
        <v>2124</v>
      </c>
      <c r="G2796" t="str">
        <f>HYPERLINK("http://www.nongaek.com/news/articleView.html?idxno=91738")</f>
        <v>http://www.nongaek.com/news/articleView.html?idxno=91738</v>
      </c>
      <c r="H2796">
        <v>0.70799999999999996</v>
      </c>
    </row>
    <row r="2797" spans="1:8" x14ac:dyDescent="0.3">
      <c r="A2797" t="s">
        <v>5743</v>
      </c>
      <c r="B2797" t="s">
        <v>26951</v>
      </c>
      <c r="C2797" t="s">
        <v>7107</v>
      </c>
      <c r="D2797" t="s">
        <v>7106</v>
      </c>
      <c r="E2797" s="2" t="s">
        <v>313</v>
      </c>
      <c r="F2797" t="s">
        <v>7105</v>
      </c>
      <c r="G2797" t="str">
        <f>HYPERLINK("http://www.ikoreanspirit.com/news/articleView.html?idxno=80349")</f>
        <v>http://www.ikoreanspirit.com/news/articleView.html?idxno=80349</v>
      </c>
      <c r="H2797">
        <v>0.56000000000000005</v>
      </c>
    </row>
    <row r="2798" spans="1:8" x14ac:dyDescent="0.3">
      <c r="A2798" t="s">
        <v>5743</v>
      </c>
      <c r="B2798" t="s">
        <v>26951</v>
      </c>
      <c r="C2798" t="s">
        <v>7110</v>
      </c>
      <c r="D2798" t="s">
        <v>7109</v>
      </c>
      <c r="E2798" s="2" t="s">
        <v>313</v>
      </c>
      <c r="F2798" t="s">
        <v>7108</v>
      </c>
      <c r="G2798" t="str">
        <f>HYPERLINK("http://www.veritas-a.com/news/articleView.html?idxno=560936")</f>
        <v>http://www.veritas-a.com/news/articleView.html?idxno=560936</v>
      </c>
      <c r="H2798">
        <v>0.19400000000000001</v>
      </c>
    </row>
    <row r="2799" spans="1:8" x14ac:dyDescent="0.3">
      <c r="A2799" t="s">
        <v>5743</v>
      </c>
      <c r="B2799" t="s">
        <v>26951</v>
      </c>
      <c r="C2799" t="s">
        <v>7113</v>
      </c>
      <c r="D2799" t="s">
        <v>7112</v>
      </c>
      <c r="E2799" s="2" t="s">
        <v>313</v>
      </c>
      <c r="F2799" t="s">
        <v>7111</v>
      </c>
      <c r="G2799" t="str">
        <f>HYPERLINK("https://n.news.naver.com/mnews/article/028/0002234030?sid=102")</f>
        <v>https://n.news.naver.com/mnews/article/028/0002234030?sid=102</v>
      </c>
      <c r="H2799">
        <v>0.29099999999999998</v>
      </c>
    </row>
    <row r="2800" spans="1:8" x14ac:dyDescent="0.3">
      <c r="A2800" t="s">
        <v>5743</v>
      </c>
      <c r="B2800" t="s">
        <v>26951</v>
      </c>
      <c r="C2800" t="s">
        <v>7116</v>
      </c>
      <c r="D2800" t="s">
        <v>7115</v>
      </c>
      <c r="E2800" s="2" t="s">
        <v>356</v>
      </c>
      <c r="F2800" t="s">
        <v>7114</v>
      </c>
      <c r="G2800" t="str">
        <f>HYPERLINK("http://news.bbsi.co.kr/news/articleView.html?idxno=941640")</f>
        <v>http://news.bbsi.co.kr/news/articleView.html?idxno=941640</v>
      </c>
      <c r="H2800">
        <v>0.42099999999999999</v>
      </c>
    </row>
    <row r="2801" spans="1:8" x14ac:dyDescent="0.3">
      <c r="A2801" t="s">
        <v>5743</v>
      </c>
      <c r="B2801" t="s">
        <v>26951</v>
      </c>
      <c r="C2801" t="s">
        <v>7118</v>
      </c>
      <c r="D2801" t="s">
        <v>7117</v>
      </c>
      <c r="E2801" s="2" t="s">
        <v>356</v>
      </c>
      <c r="F2801" t="s">
        <v>6206</v>
      </c>
      <c r="G2801" t="str">
        <f>HYPERLINK("https://n.news.naver.com/mnews/article/028/0002751908?sid=100")</f>
        <v>https://n.news.naver.com/mnews/article/028/0002751908?sid=100</v>
      </c>
      <c r="H2801">
        <v>0.28599999999999998</v>
      </c>
    </row>
    <row r="2802" spans="1:8" x14ac:dyDescent="0.3">
      <c r="A2802" t="s">
        <v>5743</v>
      </c>
      <c r="B2802" t="s">
        <v>26951</v>
      </c>
      <c r="C2802" t="s">
        <v>7121</v>
      </c>
      <c r="D2802" t="s">
        <v>7120</v>
      </c>
      <c r="E2802" s="2" t="s">
        <v>356</v>
      </c>
      <c r="F2802" t="s">
        <v>7119</v>
      </c>
      <c r="G2802" t="str">
        <f>HYPERLINK("https://www.vogue.co.kr/2024/03/06/%ec%a0%84%ec%8b%a0-mri%ea%b0%80-%ec%83%88%eb%a1%9c%ec%9a%b4-%ec%9b%b0%eb%8b%88%ec%8a%a4%eb%9d%bc%ea%b3%a0/?utm_source=naver&amp;utm_medium=partnership")</f>
        <v>https://www.vogue.co.kr/2024/03/06/%ec%a0%84%ec%8b%a0-mri%ea%b0%80-%ec%83%88%eb%a1%9c%ec%9a%b4-%ec%9b%b0%eb%8b%88%ec%8a%a4%eb%9d%bc%ea%b3%a0/?utm_source=naver&amp;utm_medium=partnership</v>
      </c>
      <c r="H2802">
        <v>0.44500000000000001</v>
      </c>
    </row>
    <row r="2803" spans="1:8" x14ac:dyDescent="0.3">
      <c r="A2803" t="s">
        <v>5743</v>
      </c>
      <c r="B2803" t="s">
        <v>26951</v>
      </c>
      <c r="C2803" t="s">
        <v>7123</v>
      </c>
      <c r="D2803" t="s">
        <v>7122</v>
      </c>
      <c r="E2803" s="2" t="s">
        <v>356</v>
      </c>
      <c r="F2803" t="s">
        <v>1252</v>
      </c>
      <c r="G2803" t="str">
        <f>HYPERLINK("https://n.news.naver.com/mnews/article/052/0002212177?sid=102")</f>
        <v>https://n.news.naver.com/mnews/article/052/0002212177?sid=102</v>
      </c>
      <c r="H2803">
        <v>0.245</v>
      </c>
    </row>
    <row r="2804" spans="1:8" x14ac:dyDescent="0.3">
      <c r="A2804" t="s">
        <v>5743</v>
      </c>
      <c r="B2804" t="s">
        <v>26951</v>
      </c>
      <c r="C2804" t="s">
        <v>7125</v>
      </c>
      <c r="D2804" t="s">
        <v>7124</v>
      </c>
      <c r="E2804" s="2" t="s">
        <v>356</v>
      </c>
      <c r="F2804" t="s">
        <v>1252</v>
      </c>
      <c r="G2804" t="str">
        <f>HYPERLINK("https://n.news.naver.com/mnews/article/214/0001431472?sid=100")</f>
        <v>https://n.news.naver.com/mnews/article/214/0001431472?sid=100</v>
      </c>
      <c r="H2804">
        <v>0.25700000000000001</v>
      </c>
    </row>
    <row r="2805" spans="1:8" x14ac:dyDescent="0.3">
      <c r="A2805" t="s">
        <v>5743</v>
      </c>
      <c r="B2805" t="s">
        <v>26951</v>
      </c>
      <c r="C2805" t="s">
        <v>7128</v>
      </c>
      <c r="D2805" t="s">
        <v>7127</v>
      </c>
      <c r="E2805" s="2" t="s">
        <v>356</v>
      </c>
      <c r="F2805" t="s">
        <v>7126</v>
      </c>
      <c r="G2805" t="str">
        <f>HYPERLINK("http://www.ikoreanspirit.com/news/articleView.html?idxno=80349")</f>
        <v>http://www.ikoreanspirit.com/news/articleView.html?idxno=80349</v>
      </c>
      <c r="H2805">
        <v>0.41899999999999998</v>
      </c>
    </row>
    <row r="2806" spans="1:8" x14ac:dyDescent="0.3">
      <c r="A2806" t="s">
        <v>5743</v>
      </c>
      <c r="B2806" t="s">
        <v>26951</v>
      </c>
      <c r="C2806" t="s">
        <v>7130</v>
      </c>
      <c r="D2806" t="s">
        <v>7129</v>
      </c>
      <c r="E2806" s="2" t="s">
        <v>356</v>
      </c>
      <c r="F2806" t="s">
        <v>805</v>
      </c>
      <c r="G2806" t="str">
        <f>HYPERLINK("http://www.00news.co.kr/news/articleView.html?idxno=95022")</f>
        <v>http://www.00news.co.kr/news/articleView.html?idxno=95022</v>
      </c>
      <c r="H2806">
        <v>0.73199999999999998</v>
      </c>
    </row>
    <row r="2807" spans="1:8" x14ac:dyDescent="0.3">
      <c r="A2807" t="s">
        <v>5743</v>
      </c>
      <c r="B2807" t="s">
        <v>26951</v>
      </c>
      <c r="C2807" t="s">
        <v>7133</v>
      </c>
      <c r="D2807" t="s">
        <v>7132</v>
      </c>
      <c r="E2807" s="2" t="s">
        <v>356</v>
      </c>
      <c r="F2807" t="s">
        <v>7131</v>
      </c>
      <c r="G2807" t="str">
        <f>HYPERLINK("https://n.news.naver.com/mnews/article/002/0002393848?sid=102")</f>
        <v>https://n.news.naver.com/mnews/article/002/0002393848?sid=102</v>
      </c>
      <c r="H2807">
        <v>0.251</v>
      </c>
    </row>
    <row r="2808" spans="1:8" x14ac:dyDescent="0.3">
      <c r="A2808" t="s">
        <v>5743</v>
      </c>
      <c r="B2808" t="s">
        <v>26951</v>
      </c>
      <c r="C2808" t="s">
        <v>7136</v>
      </c>
      <c r="D2808" t="s">
        <v>7135</v>
      </c>
      <c r="E2808" s="2" t="s">
        <v>356</v>
      </c>
      <c r="F2808" t="s">
        <v>7134</v>
      </c>
      <c r="G2808" t="str">
        <f>HYPERLINK("https://n.news.naver.com/mnews/article/002/0001947802?sid=103")</f>
        <v>https://n.news.naver.com/mnews/article/002/0001947802?sid=103</v>
      </c>
      <c r="H2808">
        <v>0.29299999999999998</v>
      </c>
    </row>
    <row r="2809" spans="1:8" x14ac:dyDescent="0.3">
      <c r="A2809" t="s">
        <v>5743</v>
      </c>
      <c r="B2809" t="s">
        <v>26951</v>
      </c>
      <c r="C2809" t="s">
        <v>7139</v>
      </c>
      <c r="D2809" t="s">
        <v>7138</v>
      </c>
      <c r="E2809" s="2" t="s">
        <v>356</v>
      </c>
      <c r="F2809" t="s">
        <v>7137</v>
      </c>
      <c r="G2809" t="str">
        <f>HYPERLINK("https://www.newstof.com/news/articleView.html?idxno=20353")</f>
        <v>https://www.newstof.com/news/articleView.html?idxno=20353</v>
      </c>
      <c r="H2809">
        <v>0.505</v>
      </c>
    </row>
    <row r="2810" spans="1:8" x14ac:dyDescent="0.3">
      <c r="A2810" t="s">
        <v>5743</v>
      </c>
      <c r="B2810" t="s">
        <v>26951</v>
      </c>
      <c r="C2810" t="s">
        <v>7142</v>
      </c>
      <c r="D2810" t="s">
        <v>7141</v>
      </c>
      <c r="E2810" s="2" t="s">
        <v>356</v>
      </c>
      <c r="F2810" t="s">
        <v>7140</v>
      </c>
      <c r="G2810" t="str">
        <f>HYPERLINK("http://www.ikoreanspirit.com/news/articleView.html?idxno=80060")</f>
        <v>http://www.ikoreanspirit.com/news/articleView.html?idxno=80060</v>
      </c>
      <c r="H2810">
        <v>0.29499999999999998</v>
      </c>
    </row>
    <row r="2811" spans="1:8" x14ac:dyDescent="0.3">
      <c r="A2811" t="s">
        <v>5743</v>
      </c>
      <c r="B2811" t="s">
        <v>26951</v>
      </c>
      <c r="C2811" t="s">
        <v>7145</v>
      </c>
      <c r="D2811" t="s">
        <v>7144</v>
      </c>
      <c r="E2811" s="2" t="s">
        <v>356</v>
      </c>
      <c r="F2811" t="s">
        <v>7143</v>
      </c>
      <c r="G2811" t="str">
        <f>HYPERLINK("http://ch.yes24.com/Article/View/29633")</f>
        <v>http://ch.yes24.com/Article/View/29633</v>
      </c>
      <c r="H2811">
        <v>0.57899999999999996</v>
      </c>
    </row>
    <row r="2812" spans="1:8" x14ac:dyDescent="0.3">
      <c r="A2812" t="s">
        <v>5743</v>
      </c>
      <c r="B2812" t="s">
        <v>26951</v>
      </c>
      <c r="C2812" t="s">
        <v>7148</v>
      </c>
      <c r="D2812" t="s">
        <v>7147</v>
      </c>
      <c r="E2812" s="2" t="s">
        <v>356</v>
      </c>
      <c r="F2812" t="s">
        <v>7146</v>
      </c>
      <c r="G2812" t="str">
        <f>HYPERLINK("https://www.yeongnam.com/web/view.php?key=20250626023447842")</f>
        <v>https://www.yeongnam.com/web/view.php?key=20250626023447842</v>
      </c>
      <c r="H2812">
        <v>0.36599999999999999</v>
      </c>
    </row>
    <row r="2813" spans="1:8" x14ac:dyDescent="0.3">
      <c r="A2813" t="s">
        <v>5743</v>
      </c>
      <c r="B2813" t="s">
        <v>26951</v>
      </c>
      <c r="C2813" t="s">
        <v>7151</v>
      </c>
      <c r="D2813" t="s">
        <v>7150</v>
      </c>
      <c r="E2813" s="2" t="s">
        <v>356</v>
      </c>
      <c r="F2813" t="s">
        <v>7149</v>
      </c>
      <c r="G2813" t="str">
        <f>HYPERLINK("https://n.news.naver.com/mnews/article/036/0000020709?sid=104")</f>
        <v>https://n.news.naver.com/mnews/article/036/0000020709?sid=104</v>
      </c>
      <c r="H2813">
        <v>0.26700000000000002</v>
      </c>
    </row>
    <row r="2814" spans="1:8" x14ac:dyDescent="0.3">
      <c r="A2814" t="s">
        <v>5743</v>
      </c>
      <c r="B2814" t="s">
        <v>26951</v>
      </c>
      <c r="C2814" t="s">
        <v>7155</v>
      </c>
      <c r="D2814" t="s">
        <v>7154</v>
      </c>
      <c r="E2814" s="2" t="s">
        <v>356</v>
      </c>
      <c r="F2814" t="s">
        <v>7153</v>
      </c>
      <c r="G2814" t="str">
        <f>HYPERLINK("https://n.news.naver.com/mnews/article/028/0002753478?sid=110")</f>
        <v>https://n.news.naver.com/mnews/article/028/0002753478?sid=110</v>
      </c>
      <c r="H2814">
        <v>6.2E-2</v>
      </c>
    </row>
    <row r="2815" spans="1:8" x14ac:dyDescent="0.3">
      <c r="A2815" t="s">
        <v>5743</v>
      </c>
      <c r="B2815" t="s">
        <v>26951</v>
      </c>
      <c r="C2815" t="s">
        <v>7158</v>
      </c>
      <c r="D2815" t="s">
        <v>7157</v>
      </c>
      <c r="E2815" s="2" t="s">
        <v>356</v>
      </c>
      <c r="F2815" t="s">
        <v>7156</v>
      </c>
      <c r="G2815" t="str">
        <f>HYPERLINK("https://www.newscj.com/news/articleView.html?idxno=3287795")</f>
        <v>https://www.newscj.com/news/articleView.html?idxno=3287795</v>
      </c>
      <c r="H2815">
        <v>0.52700000000000002</v>
      </c>
    </row>
    <row r="2816" spans="1:8" x14ac:dyDescent="0.3">
      <c r="A2816" t="s">
        <v>5743</v>
      </c>
      <c r="B2816" t="s">
        <v>26951</v>
      </c>
      <c r="C2816" t="s">
        <v>7161</v>
      </c>
      <c r="D2816" t="s">
        <v>7160</v>
      </c>
      <c r="E2816" s="2" t="s">
        <v>356</v>
      </c>
      <c r="F2816" t="s">
        <v>6392</v>
      </c>
      <c r="G2816" t="str">
        <f>HYPERLINK("https://n.news.naver.com/mnews/article/028/0002749911?sid=100")</f>
        <v>https://n.news.naver.com/mnews/article/028/0002749911?sid=100</v>
      </c>
      <c r="H2816">
        <v>0.35199999999999998</v>
      </c>
    </row>
    <row r="2817" spans="1:8" x14ac:dyDescent="0.3">
      <c r="A2817" t="s">
        <v>5743</v>
      </c>
      <c r="B2817" t="s">
        <v>26951</v>
      </c>
      <c r="C2817" t="s">
        <v>7164</v>
      </c>
      <c r="D2817" t="s">
        <v>7163</v>
      </c>
      <c r="E2817" s="2" t="s">
        <v>356</v>
      </c>
      <c r="F2817" t="s">
        <v>7162</v>
      </c>
      <c r="G2817" t="str">
        <f>HYPERLINK("http://www.readersnews.com/news/articleView.html?idxno=96437")</f>
        <v>http://www.readersnews.com/news/articleView.html?idxno=96437</v>
      </c>
      <c r="H2817">
        <v>0.76700000000000002</v>
      </c>
    </row>
    <row r="2818" spans="1:8" x14ac:dyDescent="0.3">
      <c r="A2818" t="s">
        <v>5743</v>
      </c>
      <c r="B2818" t="s">
        <v>26951</v>
      </c>
      <c r="C2818" t="s">
        <v>7166</v>
      </c>
      <c r="D2818" t="s">
        <v>7165</v>
      </c>
      <c r="E2818" s="2" t="s">
        <v>356</v>
      </c>
      <c r="F2818" t="s">
        <v>179</v>
      </c>
      <c r="G2818" t="str">
        <f>HYPERLINK("http://www.womentimes.co.kr/news/articleView.html?idxno=58258")</f>
        <v>http://www.womentimes.co.kr/news/articleView.html?idxno=58258</v>
      </c>
      <c r="H2818">
        <v>0.56299999999999994</v>
      </c>
    </row>
    <row r="2819" spans="1:8" x14ac:dyDescent="0.3">
      <c r="A2819" t="s">
        <v>5743</v>
      </c>
      <c r="B2819" t="s">
        <v>26951</v>
      </c>
      <c r="C2819" t="s">
        <v>7168</v>
      </c>
      <c r="D2819" t="s">
        <v>7167</v>
      </c>
      <c r="E2819" s="2" t="s">
        <v>356</v>
      </c>
      <c r="F2819" t="s">
        <v>2215</v>
      </c>
      <c r="G2819" t="str">
        <f>HYPERLINK("https://n.news.naver.com/mnews/article/028/0002136829?sid=101")</f>
        <v>https://n.news.naver.com/mnews/article/028/0002136829?sid=101</v>
      </c>
      <c r="H2819">
        <v>9.7000000000000003E-2</v>
      </c>
    </row>
    <row r="2820" spans="1:8" x14ac:dyDescent="0.3">
      <c r="A2820" t="s">
        <v>5743</v>
      </c>
      <c r="B2820" t="s">
        <v>26951</v>
      </c>
      <c r="C2820" t="s">
        <v>7170</v>
      </c>
      <c r="D2820" t="s">
        <v>7169</v>
      </c>
      <c r="E2820" s="2" t="s">
        <v>356</v>
      </c>
      <c r="F2820" t="s">
        <v>2215</v>
      </c>
      <c r="G2820" t="str">
        <f>HYPERLINK("http://www.sisaon.co.kr/news/articleView.html?idxno=108364")</f>
        <v>http://www.sisaon.co.kr/news/articleView.html?idxno=108364</v>
      </c>
      <c r="H2820">
        <v>0.36899999999999999</v>
      </c>
    </row>
    <row r="2821" spans="1:8" x14ac:dyDescent="0.3">
      <c r="A2821" t="s">
        <v>5743</v>
      </c>
      <c r="B2821" t="s">
        <v>26951</v>
      </c>
      <c r="C2821" t="s">
        <v>7173</v>
      </c>
      <c r="D2821" t="s">
        <v>7172</v>
      </c>
      <c r="E2821" s="2" t="s">
        <v>356</v>
      </c>
      <c r="F2821" t="s">
        <v>7171</v>
      </c>
      <c r="G2821" t="str">
        <f>HYPERLINK("http://www.nongaek.com/news/articleView.html?idxno=86022")</f>
        <v>http://www.nongaek.com/news/articleView.html?idxno=86022</v>
      </c>
      <c r="H2821">
        <v>0.375</v>
      </c>
    </row>
    <row r="2822" spans="1:8" x14ac:dyDescent="0.3">
      <c r="A2822" t="s">
        <v>5743</v>
      </c>
      <c r="B2822" t="s">
        <v>26951</v>
      </c>
      <c r="C2822" t="s">
        <v>7176</v>
      </c>
      <c r="D2822" t="s">
        <v>7175</v>
      </c>
      <c r="E2822" s="2" t="s">
        <v>356</v>
      </c>
      <c r="F2822" t="s">
        <v>7174</v>
      </c>
      <c r="G2822" t="str">
        <f>HYPERLINK("http://www.cfnews.kr/news.aspx/94033")</f>
        <v>http://www.cfnews.kr/news.aspx/94033</v>
      </c>
      <c r="H2822">
        <v>0.27200000000000002</v>
      </c>
    </row>
    <row r="2823" spans="1:8" x14ac:dyDescent="0.3">
      <c r="A2823" t="s">
        <v>5743</v>
      </c>
      <c r="B2823" t="s">
        <v>26951</v>
      </c>
      <c r="C2823" t="s">
        <v>7179</v>
      </c>
      <c r="D2823" t="s">
        <v>7178</v>
      </c>
      <c r="E2823" s="2" t="s">
        <v>356</v>
      </c>
      <c r="F2823" t="s">
        <v>7177</v>
      </c>
      <c r="G2823" t="str">
        <f>HYPERLINK("https://www.newsfreezone.co.kr/news/articleView.html?idxno=631912")</f>
        <v>https://www.newsfreezone.co.kr/news/articleView.html?idxno=631912</v>
      </c>
      <c r="H2823">
        <v>0.995</v>
      </c>
    </row>
    <row r="2824" spans="1:8" x14ac:dyDescent="0.3">
      <c r="A2824" t="s">
        <v>5743</v>
      </c>
      <c r="B2824" t="s">
        <v>26951</v>
      </c>
      <c r="C2824" t="s">
        <v>7181</v>
      </c>
      <c r="D2824" t="s">
        <v>7180</v>
      </c>
      <c r="E2824" s="2" t="s">
        <v>356</v>
      </c>
      <c r="F2824" t="s">
        <v>1423</v>
      </c>
      <c r="G2824" t="str">
        <f>HYPERLINK("https://n.news.naver.com/mnews/article/028/0000183998?sid=103")</f>
        <v>https://n.news.naver.com/mnews/article/028/0000183998?sid=103</v>
      </c>
      <c r="H2824">
        <v>0.23699999999999999</v>
      </c>
    </row>
    <row r="2825" spans="1:8" x14ac:dyDescent="0.3">
      <c r="A2825" t="s">
        <v>5743</v>
      </c>
      <c r="B2825" t="s">
        <v>26951</v>
      </c>
      <c r="C2825" t="s">
        <v>7184</v>
      </c>
      <c r="D2825" t="s">
        <v>7183</v>
      </c>
      <c r="E2825" s="2" t="s">
        <v>394</v>
      </c>
      <c r="F2825" t="s">
        <v>7182</v>
      </c>
      <c r="G2825" t="str">
        <f>HYPERLINK("http://ch.yes24.com/Article/View/21588")</f>
        <v>http://ch.yes24.com/Article/View/21588</v>
      </c>
      <c r="H2825">
        <v>0.66400000000000003</v>
      </c>
    </row>
    <row r="2826" spans="1:8" x14ac:dyDescent="0.3">
      <c r="A2826" t="s">
        <v>5743</v>
      </c>
      <c r="B2826" t="s">
        <v>26951</v>
      </c>
      <c r="C2826" t="s">
        <v>7186</v>
      </c>
      <c r="D2826" t="s">
        <v>7185</v>
      </c>
      <c r="E2826" s="2" t="s">
        <v>394</v>
      </c>
      <c r="F2826" t="s">
        <v>197</v>
      </c>
      <c r="G2826" t="str">
        <f>HYPERLINK("https://www.huffingtonpost.kr/entry/story_kr_5c0734cce4b0a6e4ebd99189?utm_id=naver")</f>
        <v>https://www.huffingtonpost.kr/entry/story_kr_5c0734cce4b0a6e4ebd99189?utm_id=naver</v>
      </c>
      <c r="H2826">
        <v>0.61299999999999999</v>
      </c>
    </row>
    <row r="2827" spans="1:8" x14ac:dyDescent="0.3">
      <c r="A2827" t="s">
        <v>5743</v>
      </c>
      <c r="B2827" t="s">
        <v>26951</v>
      </c>
      <c r="C2827" t="s">
        <v>7189</v>
      </c>
      <c r="D2827" t="s">
        <v>7188</v>
      </c>
      <c r="E2827" s="2" t="s">
        <v>394</v>
      </c>
      <c r="F2827" t="s">
        <v>7187</v>
      </c>
      <c r="G2827" t="str">
        <f>HYPERLINK("http://www.ikoreanspirit.com/news/articleView.html?idxno=80349")</f>
        <v>http://www.ikoreanspirit.com/news/articleView.html?idxno=80349</v>
      </c>
      <c r="H2827">
        <v>0.51200000000000001</v>
      </c>
    </row>
    <row r="2828" spans="1:8" x14ac:dyDescent="0.3">
      <c r="A2828" t="s">
        <v>5743</v>
      </c>
      <c r="B2828" t="s">
        <v>26951</v>
      </c>
      <c r="C2828" t="s">
        <v>7194</v>
      </c>
      <c r="D2828" t="s">
        <v>7193</v>
      </c>
      <c r="E2828" s="2" t="s">
        <v>394</v>
      </c>
      <c r="F2828" t="s">
        <v>197</v>
      </c>
      <c r="G2828" t="str">
        <f>HYPERLINK("https://www.kyeongin.com/article/1743558")</f>
        <v>https://www.kyeongin.com/article/1743558</v>
      </c>
      <c r="H2828">
        <v>0.60899999999999999</v>
      </c>
    </row>
    <row r="2829" spans="1:8" x14ac:dyDescent="0.3">
      <c r="A2829" t="s">
        <v>5743</v>
      </c>
      <c r="B2829" t="s">
        <v>26951</v>
      </c>
      <c r="C2829" t="s">
        <v>7196</v>
      </c>
      <c r="D2829" t="s">
        <v>7195</v>
      </c>
      <c r="E2829" s="2" t="s">
        <v>394</v>
      </c>
      <c r="F2829" t="s">
        <v>197</v>
      </c>
      <c r="G2829" t="str">
        <f>HYPERLINK("https://www.newsfreezone.co.kr/news/articleView.html?idxno=505934")</f>
        <v>https://www.newsfreezone.co.kr/news/articleView.html?idxno=505934</v>
      </c>
      <c r="H2829">
        <v>0.57399999999999995</v>
      </c>
    </row>
    <row r="2830" spans="1:8" x14ac:dyDescent="0.3">
      <c r="A2830" t="s">
        <v>5743</v>
      </c>
      <c r="B2830" t="s">
        <v>26951</v>
      </c>
      <c r="C2830" t="s">
        <v>7198</v>
      </c>
      <c r="D2830" t="s">
        <v>7197</v>
      </c>
      <c r="E2830" s="2" t="s">
        <v>394</v>
      </c>
      <c r="F2830" t="s">
        <v>197</v>
      </c>
      <c r="G2830" t="str">
        <f>HYPERLINK("http://www.breaknews.com/954897")</f>
        <v>http://www.breaknews.com/954897</v>
      </c>
      <c r="H2830">
        <v>0.28000000000000003</v>
      </c>
    </row>
    <row r="2831" spans="1:8" x14ac:dyDescent="0.3">
      <c r="A2831" t="s">
        <v>5743</v>
      </c>
      <c r="B2831" t="s">
        <v>26951</v>
      </c>
      <c r="C2831" t="s">
        <v>7203</v>
      </c>
      <c r="D2831" t="s">
        <v>7202</v>
      </c>
      <c r="E2831" s="2" t="s">
        <v>394</v>
      </c>
      <c r="F2831" t="s">
        <v>7201</v>
      </c>
      <c r="G2831" t="str">
        <f>HYPERLINK("https://www.yeongnam.com/web/view.php?key=20250626023447842")</f>
        <v>https://www.yeongnam.com/web/view.php?key=20250626023447842</v>
      </c>
      <c r="H2831">
        <v>0.48799999999999999</v>
      </c>
    </row>
    <row r="2832" spans="1:8" x14ac:dyDescent="0.3">
      <c r="A2832" t="s">
        <v>5743</v>
      </c>
      <c r="B2832" t="s">
        <v>26951</v>
      </c>
      <c r="C2832" t="s">
        <v>7205</v>
      </c>
      <c r="D2832" t="s">
        <v>7204</v>
      </c>
      <c r="E2832" s="2" t="s">
        <v>394</v>
      </c>
      <c r="F2832" t="s">
        <v>2378</v>
      </c>
      <c r="G2832" t="str">
        <f>HYPERLINK("https://n.news.naver.com/mnews/article/011/0004503600?sid=102")</f>
        <v>https://n.news.naver.com/mnews/article/011/0004503600?sid=102</v>
      </c>
      <c r="H2832">
        <v>0.36399999999999999</v>
      </c>
    </row>
    <row r="2833" spans="1:8" x14ac:dyDescent="0.3">
      <c r="A2833" t="s">
        <v>5743</v>
      </c>
      <c r="B2833" t="s">
        <v>26951</v>
      </c>
      <c r="C2833" t="s">
        <v>7207</v>
      </c>
      <c r="D2833" t="s">
        <v>7178</v>
      </c>
      <c r="E2833" s="2" t="s">
        <v>394</v>
      </c>
      <c r="F2833" t="s">
        <v>7206</v>
      </c>
      <c r="G2833" t="str">
        <f>HYPERLINK("https://www.newsfreezone.co.kr/news/articleView.html?idxno=631912")</f>
        <v>https://www.newsfreezone.co.kr/news/articleView.html?idxno=631912</v>
      </c>
      <c r="H2833">
        <v>0.996</v>
      </c>
    </row>
    <row r="2834" spans="1:8" x14ac:dyDescent="0.3">
      <c r="A2834" t="s">
        <v>5743</v>
      </c>
      <c r="B2834" t="s">
        <v>26951</v>
      </c>
      <c r="C2834" t="s">
        <v>7210</v>
      </c>
      <c r="D2834" t="s">
        <v>7209</v>
      </c>
      <c r="E2834" s="2" t="s">
        <v>394</v>
      </c>
      <c r="F2834" t="s">
        <v>7208</v>
      </c>
      <c r="G2834" t="str">
        <f>HYPERLINK("https://n.news.naver.com/mnews/article/308/0000035507?sid=103")</f>
        <v>https://n.news.naver.com/mnews/article/308/0000035507?sid=103</v>
      </c>
      <c r="H2834">
        <v>0.35599999999999998</v>
      </c>
    </row>
    <row r="2835" spans="1:8" x14ac:dyDescent="0.3">
      <c r="A2835" t="s">
        <v>5743</v>
      </c>
      <c r="B2835" t="s">
        <v>26951</v>
      </c>
      <c r="C2835" t="s">
        <v>7213</v>
      </c>
      <c r="D2835" t="s">
        <v>7212</v>
      </c>
      <c r="E2835" s="2" t="s">
        <v>394</v>
      </c>
      <c r="F2835" t="s">
        <v>1960</v>
      </c>
      <c r="G2835" t="str">
        <f>HYPERLINK("http://kor.theasian.asia/archives/383307")</f>
        <v>http://kor.theasian.asia/archives/383307</v>
      </c>
      <c r="H2835">
        <v>0.314</v>
      </c>
    </row>
    <row r="2836" spans="1:8" x14ac:dyDescent="0.3">
      <c r="A2836" t="s">
        <v>5743</v>
      </c>
      <c r="B2836" t="s">
        <v>26951</v>
      </c>
      <c r="C2836" t="s">
        <v>7216</v>
      </c>
      <c r="D2836" t="s">
        <v>7215</v>
      </c>
      <c r="E2836" s="2" t="s">
        <v>394</v>
      </c>
      <c r="F2836" t="s">
        <v>7214</v>
      </c>
      <c r="G2836" t="str">
        <f>HYPERLINK("https://n.news.naver.com/mnews/article/028/0002369426?sid=103")</f>
        <v>https://n.news.naver.com/mnews/article/028/0002369426?sid=103</v>
      </c>
      <c r="H2836">
        <v>0.26800000000000002</v>
      </c>
    </row>
    <row r="2837" spans="1:8" x14ac:dyDescent="0.3">
      <c r="A2837" t="s">
        <v>5743</v>
      </c>
      <c r="B2837" t="s">
        <v>26951</v>
      </c>
      <c r="C2837" t="s">
        <v>7218</v>
      </c>
      <c r="D2837" t="s">
        <v>7178</v>
      </c>
      <c r="E2837" s="2" t="s">
        <v>394</v>
      </c>
      <c r="F2837" t="s">
        <v>7217</v>
      </c>
      <c r="G2837" t="str">
        <f>HYPERLINK("https://www.newsfreezone.co.kr/news/articleView.html?idxno=631912")</f>
        <v>https://www.newsfreezone.co.kr/news/articleView.html?idxno=631912</v>
      </c>
      <c r="H2837">
        <v>0.997</v>
      </c>
    </row>
    <row r="2838" spans="1:8" x14ac:dyDescent="0.3">
      <c r="A2838" t="s">
        <v>5743</v>
      </c>
      <c r="B2838" t="s">
        <v>26951</v>
      </c>
      <c r="C2838" t="s">
        <v>7221</v>
      </c>
      <c r="D2838" t="s">
        <v>7220</v>
      </c>
      <c r="E2838" s="2" t="s">
        <v>394</v>
      </c>
      <c r="F2838" t="s">
        <v>7219</v>
      </c>
      <c r="G2838" t="str">
        <f>HYPERLINK("http://www.danbinews.com/news/articleView.html?idxno=24123")</f>
        <v>http://www.danbinews.com/news/articleView.html?idxno=24123</v>
      </c>
      <c r="H2838">
        <v>0.5</v>
      </c>
    </row>
    <row r="2839" spans="1:8" x14ac:dyDescent="0.3">
      <c r="A2839" t="s">
        <v>5743</v>
      </c>
      <c r="B2839" t="s">
        <v>26951</v>
      </c>
      <c r="C2839" t="s">
        <v>7223</v>
      </c>
      <c r="D2839" t="s">
        <v>7222</v>
      </c>
      <c r="E2839" s="2" t="s">
        <v>394</v>
      </c>
      <c r="F2839" t="s">
        <v>6564</v>
      </c>
      <c r="G2839" t="str">
        <f>HYPERLINK("https://n.news.naver.com/mnews/article/016/0000380258?sid=103")</f>
        <v>https://n.news.naver.com/mnews/article/016/0000380258?sid=103</v>
      </c>
      <c r="H2839">
        <v>0.28999999999999998</v>
      </c>
    </row>
    <row r="2840" spans="1:8" x14ac:dyDescent="0.3">
      <c r="A2840" t="s">
        <v>5743</v>
      </c>
      <c r="B2840" t="s">
        <v>26951</v>
      </c>
      <c r="C2840" t="s">
        <v>7225</v>
      </c>
      <c r="D2840" t="s">
        <v>7178</v>
      </c>
      <c r="E2840" s="2" t="s">
        <v>394</v>
      </c>
      <c r="F2840" t="s">
        <v>7224</v>
      </c>
      <c r="G2840" t="str">
        <f>HYPERLINK("https://www.newsfreezone.co.kr/news/articleView.html?idxno=631912")</f>
        <v>https://www.newsfreezone.co.kr/news/articleView.html?idxno=631912</v>
      </c>
      <c r="H2840">
        <v>0.996</v>
      </c>
    </row>
    <row r="2841" spans="1:8" x14ac:dyDescent="0.3">
      <c r="A2841" t="s">
        <v>5743</v>
      </c>
      <c r="B2841" t="s">
        <v>26951</v>
      </c>
      <c r="C2841" t="s">
        <v>7227</v>
      </c>
      <c r="D2841" t="s">
        <v>7226</v>
      </c>
      <c r="E2841" s="2" t="s">
        <v>394</v>
      </c>
      <c r="F2841" t="s">
        <v>7208</v>
      </c>
      <c r="G2841" t="str">
        <f>HYPERLINK("https://n.news.naver.com/mnews/article/028/0002061082?sid=103")</f>
        <v>https://n.news.naver.com/mnews/article/028/0002061082?sid=103</v>
      </c>
      <c r="H2841">
        <v>0.33200000000000002</v>
      </c>
    </row>
    <row r="2842" spans="1:8" x14ac:dyDescent="0.3">
      <c r="A2842" t="s">
        <v>5743</v>
      </c>
      <c r="B2842" t="s">
        <v>26951</v>
      </c>
      <c r="C2842" t="s">
        <v>7230</v>
      </c>
      <c r="D2842" t="s">
        <v>7229</v>
      </c>
      <c r="E2842" s="2" t="s">
        <v>394</v>
      </c>
      <c r="F2842" t="s">
        <v>7228</v>
      </c>
      <c r="G2842" t="str">
        <f>HYPERLINK("http://www.asiaa.co.kr/news/articleView.html?idxno=187939")</f>
        <v>http://www.asiaa.co.kr/news/articleView.html?idxno=187939</v>
      </c>
      <c r="H2842">
        <v>0.57699999999999996</v>
      </c>
    </row>
    <row r="2843" spans="1:8" x14ac:dyDescent="0.3">
      <c r="A2843" t="s">
        <v>5743</v>
      </c>
      <c r="B2843" t="s">
        <v>26951</v>
      </c>
      <c r="C2843" t="s">
        <v>7233</v>
      </c>
      <c r="D2843" t="s">
        <v>7232</v>
      </c>
      <c r="E2843" s="2" t="s">
        <v>394</v>
      </c>
      <c r="F2843" t="s">
        <v>7231</v>
      </c>
      <c r="G2843" t="str">
        <f>HYPERLINK("https://www.newspim.com/news/view/20250618000749")</f>
        <v>https://www.newspim.com/news/view/20250618000749</v>
      </c>
      <c r="H2843">
        <v>0.35499999999999998</v>
      </c>
    </row>
    <row r="2844" spans="1:8" x14ac:dyDescent="0.3">
      <c r="A2844" t="s">
        <v>5743</v>
      </c>
      <c r="B2844" t="s">
        <v>26951</v>
      </c>
      <c r="C2844" t="s">
        <v>7235</v>
      </c>
      <c r="D2844" t="s">
        <v>7234</v>
      </c>
      <c r="E2844" s="2" t="s">
        <v>394</v>
      </c>
      <c r="F2844" t="s">
        <v>1722</v>
      </c>
      <c r="G2844" t="str">
        <f>HYPERLINK("http://www.kyosu.net/news/articleView.html?idxno=63464")</f>
        <v>http://www.kyosu.net/news/articleView.html?idxno=63464</v>
      </c>
      <c r="H2844">
        <v>0.56699999999999995</v>
      </c>
    </row>
    <row r="2845" spans="1:8" x14ac:dyDescent="0.3">
      <c r="A2845" t="s">
        <v>5743</v>
      </c>
      <c r="B2845" t="s">
        <v>26951</v>
      </c>
      <c r="C2845" t="s">
        <v>7237</v>
      </c>
      <c r="D2845" t="s">
        <v>7236</v>
      </c>
      <c r="E2845" s="2" t="s">
        <v>394</v>
      </c>
      <c r="F2845" t="s">
        <v>1722</v>
      </c>
      <c r="G2845" t="str">
        <f>HYPERLINK("https://n.news.naver.com/mnews/article/022/0004047866?sid=102")</f>
        <v>https://n.news.naver.com/mnews/article/022/0004047866?sid=102</v>
      </c>
      <c r="H2845">
        <v>0.3</v>
      </c>
    </row>
    <row r="2846" spans="1:8" x14ac:dyDescent="0.3">
      <c r="A2846" t="s">
        <v>5743</v>
      </c>
      <c r="B2846" t="s">
        <v>26951</v>
      </c>
      <c r="C2846" t="s">
        <v>7239</v>
      </c>
      <c r="D2846" t="s">
        <v>7238</v>
      </c>
      <c r="E2846" s="2" t="s">
        <v>394</v>
      </c>
      <c r="F2846" t="s">
        <v>1722</v>
      </c>
      <c r="G2846" t="str">
        <f>HYPERLINK("https://n.news.naver.com/mnews/article/028/0000182615?sid=103")</f>
        <v>https://n.news.naver.com/mnews/article/028/0000182615?sid=103</v>
      </c>
      <c r="H2846">
        <v>0.33700000000000002</v>
      </c>
    </row>
    <row r="2847" spans="1:8" x14ac:dyDescent="0.3">
      <c r="A2847" t="s">
        <v>5743</v>
      </c>
      <c r="B2847" t="s">
        <v>26951</v>
      </c>
      <c r="C2847" t="s">
        <v>7242</v>
      </c>
      <c r="D2847" t="s">
        <v>7241</v>
      </c>
      <c r="E2847" s="2" t="s">
        <v>394</v>
      </c>
      <c r="F2847" t="s">
        <v>7240</v>
      </c>
      <c r="G2847" t="str">
        <f>HYPERLINK("http://www.jejusori.net/news/articleView.html?idxno=413261")</f>
        <v>http://www.jejusori.net/news/articleView.html?idxno=413261</v>
      </c>
      <c r="H2847">
        <v>0.749</v>
      </c>
    </row>
    <row r="2848" spans="1:8" x14ac:dyDescent="0.3">
      <c r="A2848" t="s">
        <v>5743</v>
      </c>
      <c r="B2848" t="s">
        <v>26951</v>
      </c>
      <c r="C2848" t="s">
        <v>7245</v>
      </c>
      <c r="D2848" t="s">
        <v>7244</v>
      </c>
      <c r="E2848" s="2" t="s">
        <v>394</v>
      </c>
      <c r="F2848" t="s">
        <v>7243</v>
      </c>
      <c r="G2848" t="str">
        <f>HYPERLINK("https://n.news.naver.com/mnews/article/002/0002211078?sid=102")</f>
        <v>https://n.news.naver.com/mnews/article/002/0002211078?sid=102</v>
      </c>
      <c r="H2848">
        <v>0.33300000000000002</v>
      </c>
    </row>
    <row r="2849" spans="1:8" x14ac:dyDescent="0.3">
      <c r="A2849" t="s">
        <v>5743</v>
      </c>
      <c r="B2849" t="s">
        <v>26951</v>
      </c>
      <c r="C2849" t="s">
        <v>7248</v>
      </c>
      <c r="D2849" t="s">
        <v>7247</v>
      </c>
      <c r="E2849" s="2" t="s">
        <v>394</v>
      </c>
      <c r="F2849" t="s">
        <v>7246</v>
      </c>
      <c r="G2849" t="str">
        <f>HYPERLINK("https://n.news.naver.com/mnews/article/308/0000006459?sid=102")</f>
        <v>https://n.news.naver.com/mnews/article/308/0000006459?sid=102</v>
      </c>
      <c r="H2849">
        <v>0.38300000000000001</v>
      </c>
    </row>
    <row r="2850" spans="1:8" x14ac:dyDescent="0.3">
      <c r="A2850" t="s">
        <v>5743</v>
      </c>
      <c r="B2850" t="s">
        <v>26951</v>
      </c>
      <c r="C2850" t="s">
        <v>7250</v>
      </c>
      <c r="D2850" t="s">
        <v>7249</v>
      </c>
      <c r="E2850" s="2" t="s">
        <v>394</v>
      </c>
      <c r="F2850" t="s">
        <v>2215</v>
      </c>
      <c r="G2850" t="str">
        <f>HYPERLINK("https://n.news.naver.com/mnews/article/036/0000025642?sid=102")</f>
        <v>https://n.news.naver.com/mnews/article/036/0000025642?sid=102</v>
      </c>
      <c r="H2850">
        <v>0.14799999999999999</v>
      </c>
    </row>
    <row r="2851" spans="1:8" x14ac:dyDescent="0.3">
      <c r="A2851" t="s">
        <v>5743</v>
      </c>
      <c r="B2851" t="s">
        <v>26951</v>
      </c>
      <c r="C2851" t="s">
        <v>7252</v>
      </c>
      <c r="D2851" t="s">
        <v>7251</v>
      </c>
      <c r="E2851" s="2" t="s">
        <v>394</v>
      </c>
      <c r="F2851" t="s">
        <v>2215</v>
      </c>
      <c r="G2851" t="str">
        <f>HYPERLINK("http://www.laborplus.co.kr/news/articleView.html?idxno=29014")</f>
        <v>http://www.laborplus.co.kr/news/articleView.html?idxno=29014</v>
      </c>
      <c r="H2851">
        <v>0.28199999999999997</v>
      </c>
    </row>
    <row r="2852" spans="1:8" x14ac:dyDescent="0.3">
      <c r="A2852" t="s">
        <v>5743</v>
      </c>
      <c r="B2852" t="s">
        <v>26951</v>
      </c>
      <c r="C2852" t="s">
        <v>7254</v>
      </c>
      <c r="D2852" t="s">
        <v>7253</v>
      </c>
      <c r="E2852" s="2" t="s">
        <v>394</v>
      </c>
      <c r="F2852" t="s">
        <v>6032</v>
      </c>
      <c r="G2852" t="str">
        <f>HYPERLINK("https://n.news.naver.com/mnews/article/006/0000130665?sid=100")</f>
        <v>https://n.news.naver.com/mnews/article/006/0000130665?sid=100</v>
      </c>
      <c r="H2852">
        <v>0.14699999999999999</v>
      </c>
    </row>
    <row r="2853" spans="1:8" x14ac:dyDescent="0.3">
      <c r="A2853" t="s">
        <v>5743</v>
      </c>
      <c r="B2853" t="s">
        <v>26951</v>
      </c>
      <c r="C2853" t="s">
        <v>7257</v>
      </c>
      <c r="D2853" t="s">
        <v>7256</v>
      </c>
      <c r="E2853" s="2" t="s">
        <v>394</v>
      </c>
      <c r="F2853" t="s">
        <v>7255</v>
      </c>
      <c r="G2853" t="str">
        <f>HYPERLINK("https://www.foodneconomy.com/news/articleView.html?idxno=359467")</f>
        <v>https://www.foodneconomy.com/news/articleView.html?idxno=359467</v>
      </c>
      <c r="H2853">
        <v>0.373</v>
      </c>
    </row>
    <row r="2854" spans="1:8" x14ac:dyDescent="0.3">
      <c r="A2854" t="s">
        <v>5743</v>
      </c>
      <c r="B2854" t="s">
        <v>26951</v>
      </c>
      <c r="C2854" t="s">
        <v>7259</v>
      </c>
      <c r="D2854" t="s">
        <v>7258</v>
      </c>
      <c r="E2854" s="2" t="s">
        <v>394</v>
      </c>
      <c r="F2854" t="s">
        <v>2124</v>
      </c>
      <c r="G2854" t="str">
        <f>HYPERLINK("http://www.nongaek.com/news/articleView.html?idxno=91760")</f>
        <v>http://www.nongaek.com/news/articleView.html?idxno=91760</v>
      </c>
      <c r="H2854">
        <v>0.48499999999999999</v>
      </c>
    </row>
    <row r="2855" spans="1:8" x14ac:dyDescent="0.3">
      <c r="A2855" t="s">
        <v>5743</v>
      </c>
      <c r="B2855" t="s">
        <v>26951</v>
      </c>
      <c r="C2855" t="s">
        <v>7261</v>
      </c>
      <c r="D2855" t="s">
        <v>7260</v>
      </c>
      <c r="E2855" s="2" t="s">
        <v>394</v>
      </c>
      <c r="F2855" t="s">
        <v>2124</v>
      </c>
      <c r="G2855" t="str">
        <f>HYPERLINK("http://www.nongaek.com/news/articleView.html?idxno=91774")</f>
        <v>http://www.nongaek.com/news/articleView.html?idxno=91774</v>
      </c>
      <c r="H2855">
        <v>0.46300000000000002</v>
      </c>
    </row>
    <row r="2856" spans="1:8" x14ac:dyDescent="0.3">
      <c r="A2856" t="s">
        <v>5743</v>
      </c>
      <c r="B2856" t="s">
        <v>26951</v>
      </c>
      <c r="C2856" t="s">
        <v>7263</v>
      </c>
      <c r="D2856" t="s">
        <v>7262</v>
      </c>
      <c r="E2856" s="2" t="s">
        <v>394</v>
      </c>
      <c r="F2856" t="s">
        <v>2124</v>
      </c>
      <c r="G2856" t="str">
        <f>HYPERLINK("http://www.sisafocus.co.kr/news/articleView.html?idxno=341155")</f>
        <v>http://www.sisafocus.co.kr/news/articleView.html?idxno=341155</v>
      </c>
      <c r="H2856">
        <v>0.65500000000000003</v>
      </c>
    </row>
    <row r="2857" spans="1:8" x14ac:dyDescent="0.3">
      <c r="A2857" t="s">
        <v>5743</v>
      </c>
      <c r="B2857" t="s">
        <v>26951</v>
      </c>
      <c r="C2857" t="s">
        <v>7266</v>
      </c>
      <c r="D2857" t="s">
        <v>7265</v>
      </c>
      <c r="E2857" s="2" t="s">
        <v>394</v>
      </c>
      <c r="F2857" t="s">
        <v>7264</v>
      </c>
      <c r="G2857" t="str">
        <f>HYPERLINK("http://kor.theasian.asia/archives/384058")</f>
        <v>http://kor.theasian.asia/archives/384058</v>
      </c>
      <c r="H2857">
        <v>0.63500000000000001</v>
      </c>
    </row>
    <row r="2858" spans="1:8" x14ac:dyDescent="0.3">
      <c r="A2858" t="s">
        <v>5743</v>
      </c>
      <c r="B2858" t="s">
        <v>26951</v>
      </c>
      <c r="C2858" t="s">
        <v>7268</v>
      </c>
      <c r="D2858" t="s">
        <v>7267</v>
      </c>
      <c r="E2858" s="2" t="s">
        <v>394</v>
      </c>
      <c r="F2858" t="s">
        <v>5724</v>
      </c>
      <c r="G2858" t="str">
        <f>HYPERLINK("https://www.sisamagazine.co.kr/news/articleView.html?idxno=512500")</f>
        <v>https://www.sisamagazine.co.kr/news/articleView.html?idxno=512500</v>
      </c>
      <c r="H2858">
        <v>0.38</v>
      </c>
    </row>
    <row r="2859" spans="1:8" x14ac:dyDescent="0.3">
      <c r="A2859" t="s">
        <v>5743</v>
      </c>
      <c r="B2859" t="s">
        <v>26951</v>
      </c>
      <c r="C2859" t="s">
        <v>7270</v>
      </c>
      <c r="D2859" t="s">
        <v>7269</v>
      </c>
      <c r="E2859" s="2" t="s">
        <v>394</v>
      </c>
      <c r="F2859" t="s">
        <v>3048</v>
      </c>
      <c r="G2859" t="str">
        <f>HYPERLINK("https://www.huffingtonpost.kr/news/articleView.html?idxno=236688")</f>
        <v>https://www.huffingtonpost.kr/news/articleView.html?idxno=236688</v>
      </c>
      <c r="H2859">
        <v>0.71899999999999997</v>
      </c>
    </row>
    <row r="2860" spans="1:8" x14ac:dyDescent="0.3">
      <c r="A2860" t="s">
        <v>5743</v>
      </c>
      <c r="B2860" t="s">
        <v>26951</v>
      </c>
      <c r="C2860" t="s">
        <v>7273</v>
      </c>
      <c r="D2860" t="s">
        <v>7272</v>
      </c>
      <c r="E2860" s="2" t="s">
        <v>394</v>
      </c>
      <c r="F2860" t="s">
        <v>7271</v>
      </c>
      <c r="G2860" t="str">
        <f>HYPERLINK("https://n.news.naver.com/mnews/article/057/0001894176?sid=102")</f>
        <v>https://n.news.naver.com/mnews/article/057/0001894176?sid=102</v>
      </c>
      <c r="H2860">
        <v>7.2999999999999995E-2</v>
      </c>
    </row>
    <row r="2861" spans="1:8" x14ac:dyDescent="0.3">
      <c r="A2861" t="s">
        <v>5743</v>
      </c>
      <c r="B2861" t="s">
        <v>26951</v>
      </c>
      <c r="C2861" t="s">
        <v>7275</v>
      </c>
      <c r="D2861" t="s">
        <v>7274</v>
      </c>
      <c r="E2861" s="2" t="s">
        <v>418</v>
      </c>
      <c r="F2861" t="s">
        <v>197</v>
      </c>
      <c r="G2861" t="str">
        <f>HYPERLINK("https://n.news.naver.com/mnews/article/006/0000123268?sid=102")</f>
        <v>https://n.news.naver.com/mnews/article/006/0000123268?sid=102</v>
      </c>
      <c r="H2861">
        <v>0.28599999999999998</v>
      </c>
    </row>
    <row r="2862" spans="1:8" x14ac:dyDescent="0.3">
      <c r="A2862" t="s">
        <v>5743</v>
      </c>
      <c r="B2862" t="s">
        <v>26951</v>
      </c>
      <c r="C2862" t="s">
        <v>7279</v>
      </c>
      <c r="D2862" t="s">
        <v>7278</v>
      </c>
      <c r="E2862" s="2" t="s">
        <v>418</v>
      </c>
      <c r="F2862" t="s">
        <v>197</v>
      </c>
      <c r="G2862" t="str">
        <f>HYPERLINK("https://newscham.net/articles/112827")</f>
        <v>https://newscham.net/articles/112827</v>
      </c>
      <c r="H2862">
        <v>4.0000000000000001E-3</v>
      </c>
    </row>
    <row r="2863" spans="1:8" x14ac:dyDescent="0.3">
      <c r="A2863" t="s">
        <v>5743</v>
      </c>
      <c r="B2863" t="s">
        <v>26951</v>
      </c>
      <c r="C2863" t="s">
        <v>7281</v>
      </c>
      <c r="D2863" t="s">
        <v>7280</v>
      </c>
      <c r="E2863" s="2" t="s">
        <v>418</v>
      </c>
      <c r="F2863" t="s">
        <v>197</v>
      </c>
      <c r="G2863" t="str">
        <f>HYPERLINK("https://n.news.naver.com/mnews/article/308/0000036674?sid=100")</f>
        <v>https://n.news.naver.com/mnews/article/308/0000036674?sid=100</v>
      </c>
      <c r="H2863">
        <v>0.28799999999999998</v>
      </c>
    </row>
    <row r="2864" spans="1:8" x14ac:dyDescent="0.3">
      <c r="A2864" t="s">
        <v>5743</v>
      </c>
      <c r="B2864" t="s">
        <v>26951</v>
      </c>
      <c r="C2864" t="s">
        <v>7283</v>
      </c>
      <c r="D2864" t="s">
        <v>7282</v>
      </c>
      <c r="E2864" s="2" t="s">
        <v>418</v>
      </c>
      <c r="F2864" t="s">
        <v>197</v>
      </c>
      <c r="G2864" t="str">
        <f>HYPERLINK("https://n.news.naver.com/mnews/article/006/0000130573?sid=102")</f>
        <v>https://n.news.naver.com/mnews/article/006/0000130573?sid=102</v>
      </c>
      <c r="H2864">
        <v>0.28000000000000003</v>
      </c>
    </row>
    <row r="2865" spans="1:8" x14ac:dyDescent="0.3">
      <c r="A2865" t="s">
        <v>5743</v>
      </c>
      <c r="B2865" t="s">
        <v>26951</v>
      </c>
      <c r="C2865" t="s">
        <v>7285</v>
      </c>
      <c r="D2865" t="s">
        <v>7284</v>
      </c>
      <c r="E2865" s="2" t="s">
        <v>418</v>
      </c>
      <c r="F2865" t="s">
        <v>197</v>
      </c>
      <c r="G2865" t="str">
        <f>HYPERLINK("https://www.ntoday.co.kr/news/articleView.html?idxno=105261")</f>
        <v>https://www.ntoday.co.kr/news/articleView.html?idxno=105261</v>
      </c>
      <c r="H2865">
        <v>0.68400000000000005</v>
      </c>
    </row>
    <row r="2866" spans="1:8" x14ac:dyDescent="0.3">
      <c r="A2866" t="s">
        <v>5743</v>
      </c>
      <c r="B2866" t="s">
        <v>26951</v>
      </c>
      <c r="C2866" t="s">
        <v>7287</v>
      </c>
      <c r="D2866" t="s">
        <v>7286</v>
      </c>
      <c r="E2866" s="2" t="s">
        <v>418</v>
      </c>
      <c r="F2866" t="s">
        <v>197</v>
      </c>
      <c r="G2866" t="str">
        <f>HYPERLINK("https://www.naeil.com/news/read/551484?ref=naver")</f>
        <v>https://www.naeil.com/news/read/551484?ref=naver</v>
      </c>
      <c r="H2866">
        <v>0.59399999999999997</v>
      </c>
    </row>
    <row r="2867" spans="1:8" x14ac:dyDescent="0.3">
      <c r="A2867" t="s">
        <v>5743</v>
      </c>
      <c r="B2867" t="s">
        <v>26951</v>
      </c>
      <c r="C2867" t="s">
        <v>7289</v>
      </c>
      <c r="D2867" t="s">
        <v>7288</v>
      </c>
      <c r="E2867" s="2" t="s">
        <v>418</v>
      </c>
      <c r="F2867" t="s">
        <v>197</v>
      </c>
      <c r="G2867" t="str">
        <f>HYPERLINK("https://www.naeil.com/news/read/551484?ref=naver")</f>
        <v>https://www.naeil.com/news/read/551484?ref=naver</v>
      </c>
      <c r="H2867">
        <v>0.628</v>
      </c>
    </row>
    <row r="2868" spans="1:8" x14ac:dyDescent="0.3">
      <c r="A2868" t="s">
        <v>5743</v>
      </c>
      <c r="B2868" t="s">
        <v>26951</v>
      </c>
      <c r="C2868" t="s">
        <v>7292</v>
      </c>
      <c r="D2868" t="s">
        <v>7291</v>
      </c>
      <c r="E2868" s="2" t="s">
        <v>418</v>
      </c>
      <c r="F2868" t="s">
        <v>7290</v>
      </c>
      <c r="G2868" t="str">
        <f>HYPERLINK("https://bravo.etoday.co.kr/view/atc_view/16363")</f>
        <v>https://bravo.etoday.co.kr/view/atc_view/16363</v>
      </c>
      <c r="H2868">
        <v>0.66100000000000003</v>
      </c>
    </row>
    <row r="2869" spans="1:8" x14ac:dyDescent="0.3">
      <c r="A2869" t="s">
        <v>5743</v>
      </c>
      <c r="B2869" t="s">
        <v>26951</v>
      </c>
      <c r="C2869" t="s">
        <v>7295</v>
      </c>
      <c r="D2869" t="s">
        <v>7294</v>
      </c>
      <c r="E2869" s="2" t="s">
        <v>418</v>
      </c>
      <c r="F2869" t="s">
        <v>7293</v>
      </c>
      <c r="G2869" t="str">
        <f>HYPERLINK("https://n.news.naver.com/mnews/article/028/0002751255?sid=102")</f>
        <v>https://n.news.naver.com/mnews/article/028/0002751255?sid=102</v>
      </c>
      <c r="H2869">
        <v>0.314</v>
      </c>
    </row>
    <row r="2870" spans="1:8" x14ac:dyDescent="0.3">
      <c r="A2870" t="s">
        <v>5743</v>
      </c>
      <c r="B2870" t="s">
        <v>26951</v>
      </c>
      <c r="C2870" t="s">
        <v>7298</v>
      </c>
      <c r="D2870" t="s">
        <v>7297</v>
      </c>
      <c r="E2870" s="2" t="s">
        <v>418</v>
      </c>
      <c r="F2870" t="s">
        <v>7296</v>
      </c>
      <c r="G2870" t="str">
        <f>HYPERLINK("https://n.news.naver.com/mnews/article/002/0002307045?sid=102")</f>
        <v>https://n.news.naver.com/mnews/article/002/0002307045?sid=102</v>
      </c>
      <c r="H2870">
        <v>0.35799999999999998</v>
      </c>
    </row>
    <row r="2871" spans="1:8" x14ac:dyDescent="0.3">
      <c r="A2871" t="s">
        <v>5743</v>
      </c>
      <c r="B2871" t="s">
        <v>26951</v>
      </c>
      <c r="C2871" t="s">
        <v>7300</v>
      </c>
      <c r="D2871" t="s">
        <v>7299</v>
      </c>
      <c r="E2871" s="2" t="s">
        <v>418</v>
      </c>
      <c r="F2871" t="s">
        <v>6369</v>
      </c>
      <c r="G2871" t="str">
        <f>HYPERLINK("https://n.news.naver.com/mnews/article/028/0002598991?sid=100")</f>
        <v>https://n.news.naver.com/mnews/article/028/0002598991?sid=100</v>
      </c>
      <c r="H2871">
        <v>0.27100000000000002</v>
      </c>
    </row>
    <row r="2872" spans="1:8" x14ac:dyDescent="0.3">
      <c r="A2872" t="s">
        <v>5743</v>
      </c>
      <c r="B2872" t="s">
        <v>26951</v>
      </c>
      <c r="C2872" t="s">
        <v>7302</v>
      </c>
      <c r="D2872" t="s">
        <v>7301</v>
      </c>
      <c r="E2872" s="2" t="s">
        <v>418</v>
      </c>
      <c r="F2872" t="s">
        <v>184</v>
      </c>
      <c r="G2872" t="str">
        <f>HYPERLINK("https://n.news.naver.com/mnews/article/028/0002745399?sid=102")</f>
        <v>https://n.news.naver.com/mnews/article/028/0002745399?sid=102</v>
      </c>
      <c r="H2872">
        <v>0.23699999999999999</v>
      </c>
    </row>
    <row r="2873" spans="1:8" x14ac:dyDescent="0.3">
      <c r="A2873" t="s">
        <v>5743</v>
      </c>
      <c r="B2873" t="s">
        <v>26951</v>
      </c>
      <c r="C2873" t="s">
        <v>7304</v>
      </c>
      <c r="D2873" t="s">
        <v>7303</v>
      </c>
      <c r="E2873" s="2" t="s">
        <v>418</v>
      </c>
      <c r="F2873" t="s">
        <v>7211</v>
      </c>
      <c r="G2873" t="str">
        <f>HYPERLINK("https://ch.yes24.com/Article/View/81099")</f>
        <v>https://ch.yes24.com/Article/View/81099</v>
      </c>
      <c r="H2873">
        <v>0.38200000000000001</v>
      </c>
    </row>
    <row r="2874" spans="1:8" x14ac:dyDescent="0.3">
      <c r="A2874" t="s">
        <v>5743</v>
      </c>
      <c r="B2874" t="s">
        <v>26951</v>
      </c>
      <c r="C2874" t="s">
        <v>7306</v>
      </c>
      <c r="D2874" t="s">
        <v>7305</v>
      </c>
      <c r="E2874" s="2" t="s">
        <v>418</v>
      </c>
      <c r="F2874" t="s">
        <v>3242</v>
      </c>
      <c r="G2874" t="str">
        <f>HYPERLINK("https://n.news.naver.com/mnews/article/036/0000049863?sid=102")</f>
        <v>https://n.news.naver.com/mnews/article/036/0000049863?sid=102</v>
      </c>
      <c r="H2874">
        <v>0.29099999999999998</v>
      </c>
    </row>
    <row r="2875" spans="1:8" x14ac:dyDescent="0.3">
      <c r="A2875" t="s">
        <v>5743</v>
      </c>
      <c r="B2875" t="s">
        <v>26951</v>
      </c>
      <c r="C2875" t="s">
        <v>7308</v>
      </c>
      <c r="D2875" t="s">
        <v>7307</v>
      </c>
      <c r="E2875" s="2" t="s">
        <v>418</v>
      </c>
      <c r="F2875" t="s">
        <v>184</v>
      </c>
      <c r="G2875" t="str">
        <f>HYPERLINK("https://www.geconomy.co.kr/news/article.html?no=291165")</f>
        <v>https://www.geconomy.co.kr/news/article.html?no=291165</v>
      </c>
      <c r="H2875">
        <v>0.498</v>
      </c>
    </row>
    <row r="2876" spans="1:8" x14ac:dyDescent="0.3">
      <c r="A2876" t="s">
        <v>5743</v>
      </c>
      <c r="B2876" t="s">
        <v>26951</v>
      </c>
      <c r="C2876" t="s">
        <v>7310</v>
      </c>
      <c r="D2876" t="s">
        <v>7309</v>
      </c>
      <c r="E2876" s="2" t="s">
        <v>418</v>
      </c>
      <c r="F2876" t="s">
        <v>6010</v>
      </c>
      <c r="G2876" t="str">
        <f>HYPERLINK("http://www.agrinet.co.kr/news/articleView.html?idxno=179796")</f>
        <v>http://www.agrinet.co.kr/news/articleView.html?idxno=179796</v>
      </c>
      <c r="H2876">
        <v>0.63900000000000001</v>
      </c>
    </row>
    <row r="2877" spans="1:8" x14ac:dyDescent="0.3">
      <c r="A2877" t="s">
        <v>5743</v>
      </c>
      <c r="B2877" t="s">
        <v>26951</v>
      </c>
      <c r="C2877" t="s">
        <v>7313</v>
      </c>
      <c r="D2877" t="s">
        <v>7312</v>
      </c>
      <c r="E2877" s="2" t="s">
        <v>418</v>
      </c>
      <c r="F2877" t="s">
        <v>7311</v>
      </c>
      <c r="G2877" t="str">
        <f>HYPERLINK("https://www.dkilbo.com/news/articleView.html?idxno=501342")</f>
        <v>https://www.dkilbo.com/news/articleView.html?idxno=501342</v>
      </c>
      <c r="H2877">
        <v>0.69699999999999995</v>
      </c>
    </row>
    <row r="2878" spans="1:8" x14ac:dyDescent="0.3">
      <c r="A2878" t="s">
        <v>5743</v>
      </c>
      <c r="B2878" t="s">
        <v>26951</v>
      </c>
      <c r="C2878" t="s">
        <v>7316</v>
      </c>
      <c r="D2878" t="s">
        <v>7315</v>
      </c>
      <c r="E2878" s="2" t="s">
        <v>418</v>
      </c>
      <c r="F2878" t="s">
        <v>7314</v>
      </c>
      <c r="G2878" t="str">
        <f>HYPERLINK("http://www.sisafocus.co.kr/news/articleView.html?idxno=316485")</f>
        <v>http://www.sisafocus.co.kr/news/articleView.html?idxno=316485</v>
      </c>
      <c r="H2878">
        <v>0.34300000000000003</v>
      </c>
    </row>
    <row r="2879" spans="1:8" x14ac:dyDescent="0.3">
      <c r="A2879" t="s">
        <v>5743</v>
      </c>
      <c r="B2879" t="s">
        <v>26951</v>
      </c>
      <c r="C2879" t="s">
        <v>7318</v>
      </c>
      <c r="D2879" t="s">
        <v>7317</v>
      </c>
      <c r="E2879" s="2" t="s">
        <v>418</v>
      </c>
      <c r="F2879" t="s">
        <v>7246</v>
      </c>
      <c r="G2879" t="str">
        <f>HYPERLINK("https://n.news.naver.com/mnews/article/036/0000017483?sid=102")</f>
        <v>https://n.news.naver.com/mnews/article/036/0000017483?sid=102</v>
      </c>
      <c r="H2879">
        <v>0.26900000000000002</v>
      </c>
    </row>
    <row r="2880" spans="1:8" x14ac:dyDescent="0.3">
      <c r="A2880" t="s">
        <v>5743</v>
      </c>
      <c r="B2880" t="s">
        <v>26951</v>
      </c>
      <c r="C2880" t="s">
        <v>3219</v>
      </c>
      <c r="D2880" t="s">
        <v>3218</v>
      </c>
      <c r="E2880" s="2" t="s">
        <v>418</v>
      </c>
      <c r="F2880" t="s">
        <v>197</v>
      </c>
      <c r="G2880" t="str">
        <f>HYPERLINK("https://n.news.naver.com/mnews/article/036/0000037424?sid=102")</f>
        <v>https://n.news.naver.com/mnews/article/036/0000037424?sid=102</v>
      </c>
      <c r="H2880">
        <v>0.29699999999999999</v>
      </c>
    </row>
    <row r="2881" spans="1:8" x14ac:dyDescent="0.3">
      <c r="A2881" t="s">
        <v>5743</v>
      </c>
      <c r="B2881" t="s">
        <v>26951</v>
      </c>
      <c r="C2881" t="s">
        <v>7321</v>
      </c>
      <c r="D2881" t="s">
        <v>7320</v>
      </c>
      <c r="E2881" s="2" t="s">
        <v>418</v>
      </c>
      <c r="F2881" t="s">
        <v>7319</v>
      </c>
      <c r="G2881" t="str">
        <f>HYPERLINK("http://www.sisaon.co.kr/news/articleView.html?idxno=139727")</f>
        <v>http://www.sisaon.co.kr/news/articleView.html?idxno=139727</v>
      </c>
      <c r="H2881">
        <v>0.52100000000000002</v>
      </c>
    </row>
    <row r="2882" spans="1:8" x14ac:dyDescent="0.3">
      <c r="A2882" t="s">
        <v>5743</v>
      </c>
      <c r="B2882" t="s">
        <v>26951</v>
      </c>
      <c r="C2882" t="s">
        <v>7324</v>
      </c>
      <c r="D2882" t="s">
        <v>7323</v>
      </c>
      <c r="E2882" s="2" t="s">
        <v>418</v>
      </c>
      <c r="F2882" t="s">
        <v>7322</v>
      </c>
      <c r="G2882" t="str">
        <f>HYPERLINK("https://n.news.naver.com/mnews/article/028/0002751311?sid=102")</f>
        <v>https://n.news.naver.com/mnews/article/028/0002751311?sid=102</v>
      </c>
      <c r="H2882">
        <v>0.28299999999999997</v>
      </c>
    </row>
    <row r="2883" spans="1:8" x14ac:dyDescent="0.3">
      <c r="A2883" t="s">
        <v>5743</v>
      </c>
      <c r="B2883" t="s">
        <v>26951</v>
      </c>
      <c r="C2883" t="s">
        <v>7326</v>
      </c>
      <c r="D2883" t="s">
        <v>7325</v>
      </c>
      <c r="E2883" s="2" t="s">
        <v>418</v>
      </c>
      <c r="F2883" t="s">
        <v>6032</v>
      </c>
      <c r="G2883" t="str">
        <f>HYPERLINK("https://n.news.naver.com/mnews/article/032/0003379542?sid=102")</f>
        <v>https://n.news.naver.com/mnews/article/032/0003379542?sid=102</v>
      </c>
      <c r="H2883">
        <v>0.26</v>
      </c>
    </row>
    <row r="2884" spans="1:8" x14ac:dyDescent="0.3">
      <c r="A2884" t="s">
        <v>5743</v>
      </c>
      <c r="B2884" t="s">
        <v>26951</v>
      </c>
      <c r="C2884" t="s">
        <v>7328</v>
      </c>
      <c r="D2884" t="s">
        <v>7327</v>
      </c>
      <c r="E2884" s="2" t="s">
        <v>418</v>
      </c>
      <c r="F2884" t="s">
        <v>5724</v>
      </c>
      <c r="G2884" t="str">
        <f>HYPERLINK("https://n.news.naver.com/mnews/article/016/0002490802?sid=102")</f>
        <v>https://n.news.naver.com/mnews/article/016/0002490802?sid=102</v>
      </c>
      <c r="H2884">
        <v>0.216</v>
      </c>
    </row>
    <row r="2885" spans="1:8" x14ac:dyDescent="0.3">
      <c r="A2885" t="s">
        <v>5743</v>
      </c>
      <c r="B2885" t="s">
        <v>26951</v>
      </c>
      <c r="C2885" t="s">
        <v>7330</v>
      </c>
      <c r="D2885" t="s">
        <v>7329</v>
      </c>
      <c r="E2885" s="2" t="s">
        <v>418</v>
      </c>
      <c r="F2885" t="s">
        <v>2233</v>
      </c>
      <c r="G2885" t="str">
        <f>HYPERLINK("https://www.apnews.kr/news/articleView.html?idxno=3026479")</f>
        <v>https://www.apnews.kr/news/articleView.html?idxno=3026479</v>
      </c>
      <c r="H2885">
        <v>0.28299999999999997</v>
      </c>
    </row>
    <row r="2886" spans="1:8" x14ac:dyDescent="0.3">
      <c r="A2886" t="s">
        <v>5743</v>
      </c>
      <c r="B2886" t="s">
        <v>26951</v>
      </c>
      <c r="C2886" t="s">
        <v>7333</v>
      </c>
      <c r="D2886" t="s">
        <v>7332</v>
      </c>
      <c r="E2886" s="2" t="s">
        <v>418</v>
      </c>
      <c r="F2886" t="s">
        <v>7331</v>
      </c>
      <c r="G2886" t="str">
        <f>HYPERLINK("http://ch.yes24.com/Article/View/54834")</f>
        <v>http://ch.yes24.com/Article/View/54834</v>
      </c>
      <c r="H2886">
        <v>0.27900000000000003</v>
      </c>
    </row>
    <row r="2887" spans="1:8" x14ac:dyDescent="0.3">
      <c r="A2887" t="s">
        <v>5743</v>
      </c>
      <c r="B2887" t="s">
        <v>26951</v>
      </c>
      <c r="C2887" t="s">
        <v>7335</v>
      </c>
      <c r="D2887" t="s">
        <v>7334</v>
      </c>
      <c r="E2887" s="2" t="s">
        <v>418</v>
      </c>
      <c r="F2887" t="s">
        <v>6895</v>
      </c>
      <c r="G2887" t="str">
        <f>HYPERLINK("http://www.cctoday.co.kr/news/articleView.html?idxno=696307")</f>
        <v>http://www.cctoday.co.kr/news/articleView.html?idxno=696307</v>
      </c>
      <c r="H2887">
        <v>0.40300000000000002</v>
      </c>
    </row>
    <row r="2888" spans="1:8" x14ac:dyDescent="0.3">
      <c r="A2888" t="s">
        <v>5743</v>
      </c>
      <c r="B2888" t="s">
        <v>26951</v>
      </c>
      <c r="C2888" t="s">
        <v>7338</v>
      </c>
      <c r="D2888" t="s">
        <v>7337</v>
      </c>
      <c r="E2888" s="2" t="s">
        <v>452</v>
      </c>
      <c r="F2888" t="s">
        <v>7336</v>
      </c>
      <c r="G2888" t="str">
        <f>HYPERLINK("https://n.news.naver.com/mnews/article/008/0004892152?sid=102")</f>
        <v>https://n.news.naver.com/mnews/article/008/0004892152?sid=102</v>
      </c>
      <c r="H2888">
        <v>0.29299999999999998</v>
      </c>
    </row>
    <row r="2889" spans="1:8" x14ac:dyDescent="0.3">
      <c r="A2889" t="s">
        <v>5743</v>
      </c>
      <c r="B2889" t="s">
        <v>26951</v>
      </c>
      <c r="C2889" t="s">
        <v>7340</v>
      </c>
      <c r="D2889" t="s">
        <v>7339</v>
      </c>
      <c r="E2889" s="2" t="s">
        <v>452</v>
      </c>
      <c r="F2889" t="s">
        <v>805</v>
      </c>
      <c r="G2889" t="str">
        <f>HYPERLINK("https://n.news.naver.com/mnews/article/028/0002751245?sid=102")</f>
        <v>https://n.news.naver.com/mnews/article/028/0002751245?sid=102</v>
      </c>
      <c r="H2889">
        <v>0.251</v>
      </c>
    </row>
    <row r="2890" spans="1:8" x14ac:dyDescent="0.3">
      <c r="A2890" t="s">
        <v>5743</v>
      </c>
      <c r="B2890" t="s">
        <v>26951</v>
      </c>
      <c r="C2890" t="s">
        <v>7343</v>
      </c>
      <c r="D2890" t="s">
        <v>7342</v>
      </c>
      <c r="E2890" s="2" t="s">
        <v>452</v>
      </c>
      <c r="F2890" t="s">
        <v>7341</v>
      </c>
      <c r="G2890" t="str">
        <f>HYPERLINK("http://www.ntoday.co.kr/news/articleView.html?idxno=96601")</f>
        <v>http://www.ntoday.co.kr/news/articleView.html?idxno=96601</v>
      </c>
      <c r="H2890">
        <v>0.64400000000000002</v>
      </c>
    </row>
    <row r="2891" spans="1:8" x14ac:dyDescent="0.3">
      <c r="A2891" t="s">
        <v>5743</v>
      </c>
      <c r="B2891" t="s">
        <v>26951</v>
      </c>
      <c r="C2891" t="s">
        <v>1780</v>
      </c>
      <c r="D2891" t="s">
        <v>1779</v>
      </c>
      <c r="E2891" s="2" t="s">
        <v>452</v>
      </c>
      <c r="F2891" t="s">
        <v>197</v>
      </c>
      <c r="G2891" t="str">
        <f>HYPERLINK("https://n.news.naver.com/mnews/article/028/0002598837?sid=102")</f>
        <v>https://n.news.naver.com/mnews/article/028/0002598837?sid=102</v>
      </c>
      <c r="H2891">
        <v>0.27100000000000002</v>
      </c>
    </row>
    <row r="2892" spans="1:8" x14ac:dyDescent="0.3">
      <c r="A2892" t="s">
        <v>5743</v>
      </c>
      <c r="B2892" t="s">
        <v>26951</v>
      </c>
      <c r="C2892" t="s">
        <v>7345</v>
      </c>
      <c r="D2892" t="s">
        <v>7344</v>
      </c>
      <c r="E2892" s="2" t="s">
        <v>452</v>
      </c>
      <c r="F2892" t="s">
        <v>197</v>
      </c>
      <c r="G2892" t="str">
        <f>HYPERLINK("https://n.news.naver.com/mnews/article/028/0002350698?sid=104")</f>
        <v>https://n.news.naver.com/mnews/article/028/0002350698?sid=104</v>
      </c>
      <c r="H2892">
        <v>0.29899999999999999</v>
      </c>
    </row>
    <row r="2893" spans="1:8" x14ac:dyDescent="0.3">
      <c r="A2893" t="s">
        <v>5743</v>
      </c>
      <c r="B2893" t="s">
        <v>26951</v>
      </c>
      <c r="C2893" t="s">
        <v>7348</v>
      </c>
      <c r="D2893" t="s">
        <v>7347</v>
      </c>
      <c r="E2893" s="2" t="s">
        <v>452</v>
      </c>
      <c r="F2893" t="s">
        <v>7346</v>
      </c>
      <c r="G2893" t="str">
        <f>HYPERLINK("http://ch.yes24.com/Article/View/34005")</f>
        <v>http://ch.yes24.com/Article/View/34005</v>
      </c>
      <c r="H2893">
        <v>0.74399999999999999</v>
      </c>
    </row>
    <row r="2894" spans="1:8" x14ac:dyDescent="0.3">
      <c r="A2894" t="s">
        <v>5743</v>
      </c>
      <c r="B2894" t="s">
        <v>26951</v>
      </c>
      <c r="C2894" t="s">
        <v>7350</v>
      </c>
      <c r="D2894" t="s">
        <v>7349</v>
      </c>
      <c r="E2894" s="2" t="s">
        <v>452</v>
      </c>
      <c r="F2894" t="s">
        <v>5848</v>
      </c>
      <c r="G2894" t="str">
        <f>HYPERLINK("https://n.news.naver.com/mnews/article/002/0001995276?sid=102")</f>
        <v>https://n.news.naver.com/mnews/article/002/0001995276?sid=102</v>
      </c>
      <c r="H2894">
        <v>0.314</v>
      </c>
    </row>
    <row r="2895" spans="1:8" x14ac:dyDescent="0.3">
      <c r="A2895" t="s">
        <v>5743</v>
      </c>
      <c r="B2895" t="s">
        <v>26951</v>
      </c>
      <c r="C2895" t="s">
        <v>7353</v>
      </c>
      <c r="D2895" t="s">
        <v>7352</v>
      </c>
      <c r="E2895" s="2" t="s">
        <v>452</v>
      </c>
      <c r="F2895" t="s">
        <v>7351</v>
      </c>
      <c r="G2895" t="str">
        <f>HYPERLINK("http://www.nongaek.com/news/articleView.html?idxno=88563")</f>
        <v>http://www.nongaek.com/news/articleView.html?idxno=88563</v>
      </c>
      <c r="H2895">
        <v>0.27500000000000002</v>
      </c>
    </row>
    <row r="2896" spans="1:8" x14ac:dyDescent="0.3">
      <c r="A2896" t="s">
        <v>5743</v>
      </c>
      <c r="B2896" t="s">
        <v>26951</v>
      </c>
      <c r="C2896" t="s">
        <v>7356</v>
      </c>
      <c r="D2896" t="s">
        <v>7355</v>
      </c>
      <c r="E2896" s="2" t="s">
        <v>452</v>
      </c>
      <c r="F2896" t="s">
        <v>7354</v>
      </c>
      <c r="G2896" t="str">
        <f>HYPERLINK("http://www.ikoreanspirit.com/news/articleView.html?idxno=80349")</f>
        <v>http://www.ikoreanspirit.com/news/articleView.html?idxno=80349</v>
      </c>
      <c r="H2896">
        <v>0.222</v>
      </c>
    </row>
    <row r="2897" spans="1:8" x14ac:dyDescent="0.3">
      <c r="A2897" t="s">
        <v>5743</v>
      </c>
      <c r="B2897" t="s">
        <v>26951</v>
      </c>
      <c r="C2897" t="s">
        <v>7358</v>
      </c>
      <c r="D2897" t="s">
        <v>7357</v>
      </c>
      <c r="E2897" s="2" t="s">
        <v>452</v>
      </c>
      <c r="F2897" t="s">
        <v>5845</v>
      </c>
      <c r="G2897" t="str">
        <f>HYPERLINK("http://www.nongaek.com/news/articleView.html?idxno=91730")</f>
        <v>http://www.nongaek.com/news/articleView.html?idxno=91730</v>
      </c>
      <c r="H2897">
        <v>0.53</v>
      </c>
    </row>
    <row r="2898" spans="1:8" x14ac:dyDescent="0.3">
      <c r="A2898" t="s">
        <v>5743</v>
      </c>
      <c r="B2898" t="s">
        <v>26951</v>
      </c>
      <c r="C2898" t="s">
        <v>7361</v>
      </c>
      <c r="D2898" t="s">
        <v>7360</v>
      </c>
      <c r="E2898" s="2" t="s">
        <v>452</v>
      </c>
      <c r="F2898" t="s">
        <v>7359</v>
      </c>
      <c r="G2898" t="str">
        <f>HYPERLINK("http://www.hyunbulnews.com/news/articleView.html?idxno=304454")</f>
        <v>http://www.hyunbulnews.com/news/articleView.html?idxno=304454</v>
      </c>
      <c r="H2898">
        <v>0.504</v>
      </c>
    </row>
    <row r="2899" spans="1:8" x14ac:dyDescent="0.3">
      <c r="A2899" t="s">
        <v>5743</v>
      </c>
      <c r="B2899" t="s">
        <v>26951</v>
      </c>
      <c r="C2899" t="s">
        <v>7363</v>
      </c>
      <c r="D2899" t="s">
        <v>7362</v>
      </c>
      <c r="E2899" s="2" t="s">
        <v>452</v>
      </c>
      <c r="F2899" t="s">
        <v>1252</v>
      </c>
      <c r="G2899" t="str">
        <f>HYPERLINK("https://n.news.naver.com/mnews/article/214/0001430386?sid=102")</f>
        <v>https://n.news.naver.com/mnews/article/214/0001430386?sid=102</v>
      </c>
      <c r="H2899">
        <v>0.184</v>
      </c>
    </row>
    <row r="2900" spans="1:8" x14ac:dyDescent="0.3">
      <c r="A2900" t="s">
        <v>5743</v>
      </c>
      <c r="B2900" t="s">
        <v>26951</v>
      </c>
      <c r="C2900" t="s">
        <v>7365</v>
      </c>
      <c r="D2900" t="s">
        <v>7364</v>
      </c>
      <c r="E2900" s="2" t="s">
        <v>452</v>
      </c>
      <c r="F2900" t="s">
        <v>2378</v>
      </c>
      <c r="G2900" t="str">
        <f>HYPERLINK("https://n.news.naver.com/mnews/article/028/0002752109?sid=101")</f>
        <v>https://n.news.naver.com/mnews/article/028/0002752109?sid=101</v>
      </c>
      <c r="H2900">
        <v>0.35699999999999998</v>
      </c>
    </row>
    <row r="2901" spans="1:8" x14ac:dyDescent="0.3">
      <c r="A2901" t="s">
        <v>5743</v>
      </c>
      <c r="B2901" t="s">
        <v>26951</v>
      </c>
      <c r="C2901" t="s">
        <v>7368</v>
      </c>
      <c r="D2901" t="s">
        <v>7367</v>
      </c>
      <c r="E2901" s="2" t="s">
        <v>452</v>
      </c>
      <c r="F2901" t="s">
        <v>7366</v>
      </c>
      <c r="G2901" t="str">
        <f>HYPERLINK("https://www.pinpointnews.co.kr/news/articleView.html?idxno=351779")</f>
        <v>https://www.pinpointnews.co.kr/news/articleView.html?idxno=351779</v>
      </c>
      <c r="H2901">
        <v>0.878</v>
      </c>
    </row>
    <row r="2902" spans="1:8" x14ac:dyDescent="0.3">
      <c r="A2902" t="s">
        <v>5743</v>
      </c>
      <c r="B2902" t="s">
        <v>26951</v>
      </c>
      <c r="C2902" t="s">
        <v>7371</v>
      </c>
      <c r="D2902" t="s">
        <v>7370</v>
      </c>
      <c r="E2902" s="2" t="s">
        <v>452</v>
      </c>
      <c r="F2902" t="s">
        <v>7369</v>
      </c>
      <c r="G2902" t="str">
        <f>HYPERLINK("https://www.kyongbuk.co.kr/news/articleView.html?idxno=4045799")</f>
        <v>https://www.kyongbuk.co.kr/news/articleView.html?idxno=4045799</v>
      </c>
      <c r="H2902">
        <v>0.41399999999999998</v>
      </c>
    </row>
    <row r="2903" spans="1:8" x14ac:dyDescent="0.3">
      <c r="A2903" t="s">
        <v>5743</v>
      </c>
      <c r="B2903" t="s">
        <v>26951</v>
      </c>
      <c r="C2903" t="s">
        <v>7373</v>
      </c>
      <c r="D2903" t="s">
        <v>7372</v>
      </c>
      <c r="E2903" s="2" t="s">
        <v>452</v>
      </c>
      <c r="F2903" t="s">
        <v>3006</v>
      </c>
      <c r="G2903" t="str">
        <f>HYPERLINK("https://news.einfomax.co.kr/news/articleView.html?idxno=4360215")</f>
        <v>https://news.einfomax.co.kr/news/articleView.html?idxno=4360215</v>
      </c>
      <c r="H2903">
        <v>0.60399999999999998</v>
      </c>
    </row>
    <row r="2904" spans="1:8" x14ac:dyDescent="0.3">
      <c r="A2904" t="s">
        <v>5743</v>
      </c>
      <c r="B2904" t="s">
        <v>26951</v>
      </c>
      <c r="C2904" t="s">
        <v>7375</v>
      </c>
      <c r="D2904" t="s">
        <v>7374</v>
      </c>
      <c r="E2904" s="2" t="s">
        <v>452</v>
      </c>
      <c r="F2904" t="s">
        <v>2057</v>
      </c>
      <c r="G2904" t="str">
        <f>HYPERLINK("http://www.00news.co.kr/news/articleView.html?idxno=87664")</f>
        <v>http://www.00news.co.kr/news/articleView.html?idxno=87664</v>
      </c>
      <c r="H2904">
        <v>0.40699999999999997</v>
      </c>
    </row>
    <row r="2905" spans="1:8" x14ac:dyDescent="0.3">
      <c r="A2905" t="s">
        <v>5743</v>
      </c>
      <c r="B2905" t="s">
        <v>26951</v>
      </c>
      <c r="C2905" t="s">
        <v>7377</v>
      </c>
      <c r="D2905" t="s">
        <v>7376</v>
      </c>
      <c r="E2905" s="2" t="s">
        <v>452</v>
      </c>
      <c r="F2905" t="s">
        <v>2661</v>
      </c>
      <c r="G2905" t="str">
        <f>HYPERLINK("https://n.news.naver.com/mnews/article/028/0002731281?sid=100")</f>
        <v>https://n.news.naver.com/mnews/article/028/0002731281?sid=100</v>
      </c>
      <c r="H2905">
        <v>0.32300000000000001</v>
      </c>
    </row>
    <row r="2906" spans="1:8" x14ac:dyDescent="0.3">
      <c r="A2906" t="s">
        <v>5743</v>
      </c>
      <c r="B2906" t="s">
        <v>26951</v>
      </c>
      <c r="C2906" t="s">
        <v>7379</v>
      </c>
      <c r="D2906" t="s">
        <v>7378</v>
      </c>
      <c r="E2906" s="2" t="s">
        <v>452</v>
      </c>
      <c r="F2906" t="s">
        <v>2215</v>
      </c>
      <c r="G2906" t="str">
        <f>HYPERLINK("https://n.news.naver.com/mnews/article/028/0002751083?sid=101")</f>
        <v>https://n.news.naver.com/mnews/article/028/0002751083?sid=101</v>
      </c>
      <c r="H2906">
        <v>0.16</v>
      </c>
    </row>
    <row r="2907" spans="1:8" x14ac:dyDescent="0.3">
      <c r="A2907" t="s">
        <v>5743</v>
      </c>
      <c r="B2907" t="s">
        <v>26951</v>
      </c>
      <c r="C2907" t="s">
        <v>7381</v>
      </c>
      <c r="D2907" t="s">
        <v>7380</v>
      </c>
      <c r="E2907" s="2" t="s">
        <v>452</v>
      </c>
      <c r="F2907" t="s">
        <v>2215</v>
      </c>
      <c r="G2907" t="str">
        <f>HYPERLINK("https://n.news.naver.com/mnews/article/036/0000017106?sid=101")</f>
        <v>https://n.news.naver.com/mnews/article/036/0000017106?sid=101</v>
      </c>
      <c r="H2907">
        <v>0.161</v>
      </c>
    </row>
    <row r="2908" spans="1:8" x14ac:dyDescent="0.3">
      <c r="A2908" t="s">
        <v>5743</v>
      </c>
      <c r="B2908" t="s">
        <v>26951</v>
      </c>
      <c r="C2908" t="s">
        <v>7384</v>
      </c>
      <c r="D2908" t="s">
        <v>7383</v>
      </c>
      <c r="E2908" s="2" t="s">
        <v>452</v>
      </c>
      <c r="F2908" t="s">
        <v>7382</v>
      </c>
      <c r="G2908" t="str">
        <f>HYPERLINK("https://www.ksilbo.co.kr/news/articleView.html?idxno=1020378")</f>
        <v>https://www.ksilbo.co.kr/news/articleView.html?idxno=1020378</v>
      </c>
      <c r="H2908">
        <v>0.20300000000000001</v>
      </c>
    </row>
    <row r="2909" spans="1:8" x14ac:dyDescent="0.3">
      <c r="A2909" t="s">
        <v>5743</v>
      </c>
      <c r="B2909" t="s">
        <v>26951</v>
      </c>
      <c r="C2909" t="s">
        <v>7388</v>
      </c>
      <c r="D2909" t="s">
        <v>7387</v>
      </c>
      <c r="E2909" s="2" t="s">
        <v>452</v>
      </c>
      <c r="F2909" t="s">
        <v>7386</v>
      </c>
      <c r="G2909" t="str">
        <f>HYPERLINK("http://kor.theasian.asia/archives/328170")</f>
        <v>http://kor.theasian.asia/archives/328170</v>
      </c>
      <c r="H2909">
        <v>0.51300000000000001</v>
      </c>
    </row>
    <row r="2910" spans="1:8" x14ac:dyDescent="0.3">
      <c r="A2910" t="s">
        <v>5743</v>
      </c>
      <c r="B2910" t="s">
        <v>26951</v>
      </c>
      <c r="C2910" t="s">
        <v>7391</v>
      </c>
      <c r="D2910" t="s">
        <v>7390</v>
      </c>
      <c r="E2910" s="2" t="s">
        <v>452</v>
      </c>
      <c r="F2910" t="s">
        <v>7389</v>
      </c>
      <c r="G2910" t="str">
        <f>HYPERLINK("https://n.news.naver.com/mnews/article/006/0000130665?sid=100")</f>
        <v>https://n.news.naver.com/mnews/article/006/0000130665?sid=100</v>
      </c>
      <c r="H2910">
        <v>0.20200000000000001</v>
      </c>
    </row>
    <row r="2911" spans="1:8" x14ac:dyDescent="0.3">
      <c r="A2911" t="s">
        <v>5743</v>
      </c>
      <c r="B2911" t="s">
        <v>26951</v>
      </c>
      <c r="C2911" t="s">
        <v>7394</v>
      </c>
      <c r="D2911" t="s">
        <v>7393</v>
      </c>
      <c r="E2911" s="2" t="s">
        <v>452</v>
      </c>
      <c r="F2911" t="s">
        <v>7392</v>
      </c>
      <c r="G2911" t="str">
        <f>HYPERLINK("http://www.jjan.kr/news/articleView.html?idxno=2116972")</f>
        <v>http://www.jjan.kr/news/articleView.html?idxno=2116972</v>
      </c>
      <c r="H2911">
        <v>0.55900000000000005</v>
      </c>
    </row>
    <row r="2912" spans="1:8" x14ac:dyDescent="0.3">
      <c r="A2912" t="s">
        <v>5743</v>
      </c>
      <c r="B2912" t="s">
        <v>26951</v>
      </c>
      <c r="C2912" t="s">
        <v>7396</v>
      </c>
      <c r="D2912" t="s">
        <v>7395</v>
      </c>
      <c r="E2912" s="2" t="s">
        <v>452</v>
      </c>
      <c r="F2912" t="s">
        <v>6895</v>
      </c>
      <c r="G2912" t="str">
        <f>HYPERLINK("https://www.christiantoday.co.kr/news/358496")</f>
        <v>https://www.christiantoday.co.kr/news/358496</v>
      </c>
      <c r="H2912">
        <v>0.41299999999999998</v>
      </c>
    </row>
    <row r="2913" spans="1:8" x14ac:dyDescent="0.3">
      <c r="A2913" t="s">
        <v>7397</v>
      </c>
      <c r="B2913" t="s">
        <v>26951</v>
      </c>
      <c r="C2913" t="s">
        <v>7399</v>
      </c>
      <c r="D2913" t="s">
        <v>7398</v>
      </c>
      <c r="E2913" s="2" t="s">
        <v>66</v>
      </c>
      <c r="F2913" t="s">
        <v>737</v>
      </c>
      <c r="G2913" t="str">
        <f>HYPERLINK("https://www.newspim.com/news/view/20250630001002")</f>
        <v>https://www.newspim.com/news/view/20250630001002</v>
      </c>
      <c r="H2913">
        <v>0.29499999999999998</v>
      </c>
    </row>
    <row r="2914" spans="1:8" x14ac:dyDescent="0.3">
      <c r="A2914" t="s">
        <v>7397</v>
      </c>
      <c r="B2914" t="s">
        <v>26951</v>
      </c>
      <c r="C2914" t="s">
        <v>7401</v>
      </c>
      <c r="D2914" t="s">
        <v>7400</v>
      </c>
      <c r="E2914" s="2" t="s">
        <v>66</v>
      </c>
      <c r="F2914" t="s">
        <v>25</v>
      </c>
      <c r="G2914" t="str">
        <f>HYPERLINK("https://news.einfomax.co.kr/news/articleView.html?idxno=4361310")</f>
        <v>https://news.einfomax.co.kr/news/articleView.html?idxno=4361310</v>
      </c>
      <c r="H2914">
        <v>0.79900000000000004</v>
      </c>
    </row>
    <row r="2915" spans="1:8" x14ac:dyDescent="0.3">
      <c r="A2915" t="s">
        <v>7397</v>
      </c>
      <c r="B2915" t="s">
        <v>26951</v>
      </c>
      <c r="C2915" t="s">
        <v>7403</v>
      </c>
      <c r="D2915" t="s">
        <v>7402</v>
      </c>
      <c r="E2915" s="2" t="s">
        <v>74</v>
      </c>
      <c r="F2915" t="s">
        <v>2073</v>
      </c>
      <c r="G2915" t="str">
        <f>HYPERLINK("https://n.news.naver.com/mnews/article/079/0003766223?sid=103")</f>
        <v>https://n.news.naver.com/mnews/article/079/0003766223?sid=103</v>
      </c>
      <c r="H2915">
        <v>0.224</v>
      </c>
    </row>
    <row r="2916" spans="1:8" x14ac:dyDescent="0.3">
      <c r="A2916" t="s">
        <v>7397</v>
      </c>
      <c r="B2916" t="s">
        <v>26951</v>
      </c>
      <c r="C2916" t="s">
        <v>7407</v>
      </c>
      <c r="D2916" t="s">
        <v>7406</v>
      </c>
      <c r="E2916" s="2" t="s">
        <v>105</v>
      </c>
      <c r="F2916" t="s">
        <v>7405</v>
      </c>
      <c r="G2916" t="str">
        <f>HYPERLINK("https://n.news.naver.com/mnews/article/079/0003124816?sid=101")</f>
        <v>https://n.news.naver.com/mnews/article/079/0003124816?sid=101</v>
      </c>
      <c r="H2916">
        <v>0.19800000000000001</v>
      </c>
    </row>
    <row r="2917" spans="1:8" x14ac:dyDescent="0.3">
      <c r="A2917" t="s">
        <v>7397</v>
      </c>
      <c r="B2917" t="s">
        <v>26951</v>
      </c>
      <c r="C2917" t="s">
        <v>7409</v>
      </c>
      <c r="D2917" t="s">
        <v>7408</v>
      </c>
      <c r="E2917" s="2" t="s">
        <v>105</v>
      </c>
      <c r="F2917" t="s">
        <v>5290</v>
      </c>
      <c r="G2917" t="str">
        <f>HYPERLINK("https://www.ekoreanews.co.kr/news/articleView.html?idxno=80870")</f>
        <v>https://www.ekoreanews.co.kr/news/articleView.html?idxno=80870</v>
      </c>
      <c r="H2917">
        <v>0.61899999999999999</v>
      </c>
    </row>
    <row r="2918" spans="1:8" x14ac:dyDescent="0.3">
      <c r="A2918" t="s">
        <v>7397</v>
      </c>
      <c r="B2918" t="s">
        <v>26951</v>
      </c>
      <c r="C2918" t="s">
        <v>7411</v>
      </c>
      <c r="D2918" t="s">
        <v>7410</v>
      </c>
      <c r="E2918" s="2" t="s">
        <v>105</v>
      </c>
      <c r="F2918" t="s">
        <v>89</v>
      </c>
      <c r="G2918" t="str">
        <f>HYPERLINK("https://n.news.naver.com/mnews/article/079/0003875731?sid=100")</f>
        <v>https://n.news.naver.com/mnews/article/079/0003875731?sid=100</v>
      </c>
      <c r="H2918">
        <v>0.26500000000000001</v>
      </c>
    </row>
    <row r="2919" spans="1:8" x14ac:dyDescent="0.3">
      <c r="A2919" t="s">
        <v>7397</v>
      </c>
      <c r="B2919" t="s">
        <v>26951</v>
      </c>
      <c r="C2919" t="s">
        <v>7413</v>
      </c>
      <c r="D2919" t="s">
        <v>7412</v>
      </c>
      <c r="E2919" s="2" t="s">
        <v>133</v>
      </c>
      <c r="F2919" t="s">
        <v>197</v>
      </c>
      <c r="G2919" t="str">
        <f>HYPERLINK("https://n.news.naver.com/mnews/article/079/0004033499?sid=100")</f>
        <v>https://n.news.naver.com/mnews/article/079/0004033499?sid=100</v>
      </c>
      <c r="H2919">
        <v>0.27600000000000002</v>
      </c>
    </row>
    <row r="2920" spans="1:8" x14ac:dyDescent="0.3">
      <c r="A2920" t="s">
        <v>7397</v>
      </c>
      <c r="B2920" t="s">
        <v>26951</v>
      </c>
      <c r="C2920" t="s">
        <v>7416</v>
      </c>
      <c r="D2920" t="s">
        <v>7415</v>
      </c>
      <c r="E2920" s="2" t="s">
        <v>133</v>
      </c>
      <c r="F2920" t="s">
        <v>7414</v>
      </c>
      <c r="G2920" t="str">
        <f>HYPERLINK("http://www.ggilbo.com/news/articleView.html?idxno=767549")</f>
        <v>http://www.ggilbo.com/news/articleView.html?idxno=767549</v>
      </c>
      <c r="H2920">
        <v>0.63700000000000001</v>
      </c>
    </row>
    <row r="2921" spans="1:8" x14ac:dyDescent="0.3">
      <c r="A2921" t="s">
        <v>7397</v>
      </c>
      <c r="B2921" t="s">
        <v>26951</v>
      </c>
      <c r="C2921" t="s">
        <v>7419</v>
      </c>
      <c r="D2921" t="s">
        <v>7418</v>
      </c>
      <c r="E2921" s="2" t="s">
        <v>133</v>
      </c>
      <c r="F2921" t="s">
        <v>7417</v>
      </c>
      <c r="G2921" t="str">
        <f>HYPERLINK("https://n.news.naver.com/mnews/article/079/0003992465?sid=101")</f>
        <v>https://n.news.naver.com/mnews/article/079/0003992465?sid=101</v>
      </c>
      <c r="H2921">
        <v>8.4000000000000005E-2</v>
      </c>
    </row>
    <row r="2922" spans="1:8" x14ac:dyDescent="0.3">
      <c r="A2922" t="s">
        <v>7397</v>
      </c>
      <c r="B2922" t="s">
        <v>26951</v>
      </c>
      <c r="C2922" t="s">
        <v>7421</v>
      </c>
      <c r="D2922" t="s">
        <v>7420</v>
      </c>
      <c r="E2922" s="2" t="s">
        <v>133</v>
      </c>
      <c r="F2922" t="s">
        <v>7417</v>
      </c>
      <c r="G2922" t="str">
        <f>HYPERLINK("https://n.news.naver.com/mnews/article/030/0003109061?sid=100")</f>
        <v>https://n.news.naver.com/mnews/article/030/0003109061?sid=100</v>
      </c>
      <c r="H2922">
        <v>7.0999999999999994E-2</v>
      </c>
    </row>
    <row r="2923" spans="1:8" x14ac:dyDescent="0.3">
      <c r="A2923" t="s">
        <v>7397</v>
      </c>
      <c r="B2923" t="s">
        <v>26951</v>
      </c>
      <c r="C2923" t="s">
        <v>7423</v>
      </c>
      <c r="D2923" t="s">
        <v>7422</v>
      </c>
      <c r="E2923" s="2" t="s">
        <v>133</v>
      </c>
      <c r="F2923" t="s">
        <v>7417</v>
      </c>
      <c r="G2923" t="str">
        <f>HYPERLINK("https://n.news.naver.com/mnews/article/079/0004034835?sid=101")</f>
        <v>https://n.news.naver.com/mnews/article/079/0004034835?sid=101</v>
      </c>
      <c r="H2923">
        <v>4.1000000000000002E-2</v>
      </c>
    </row>
    <row r="2924" spans="1:8" x14ac:dyDescent="0.3">
      <c r="A2924" t="s">
        <v>7397</v>
      </c>
      <c r="B2924" t="s">
        <v>26951</v>
      </c>
      <c r="C2924" t="s">
        <v>7426</v>
      </c>
      <c r="D2924" t="s">
        <v>7425</v>
      </c>
      <c r="E2924" s="2" t="s">
        <v>172</v>
      </c>
      <c r="F2924" t="s">
        <v>5724</v>
      </c>
      <c r="G2924" t="str">
        <f>HYPERLINK("https://n.news.naver.com/mnews/article/022/0004047866?sid=102")</f>
        <v>https://n.news.naver.com/mnews/article/022/0004047866?sid=102</v>
      </c>
      <c r="H2924">
        <v>0.245</v>
      </c>
    </row>
    <row r="2925" spans="1:8" x14ac:dyDescent="0.3">
      <c r="A2925" t="s">
        <v>7397</v>
      </c>
      <c r="B2925" t="s">
        <v>26951</v>
      </c>
      <c r="C2925" t="s">
        <v>7429</v>
      </c>
      <c r="D2925" t="s">
        <v>7428</v>
      </c>
      <c r="E2925" s="2" t="s">
        <v>172</v>
      </c>
      <c r="F2925" t="s">
        <v>7427</v>
      </c>
      <c r="G2925" t="str">
        <f>HYPERLINK("https://n.news.naver.com/mnews/article/079/0002934756?sid=100")</f>
        <v>https://n.news.naver.com/mnews/article/079/0002934756?sid=100</v>
      </c>
      <c r="H2925">
        <v>0.24099999999999999</v>
      </c>
    </row>
    <row r="2926" spans="1:8" x14ac:dyDescent="0.3">
      <c r="A2926" t="s">
        <v>7397</v>
      </c>
      <c r="B2926" t="s">
        <v>26951</v>
      </c>
      <c r="C2926" t="s">
        <v>7432</v>
      </c>
      <c r="D2926" t="s">
        <v>7431</v>
      </c>
      <c r="E2926" s="2" t="s">
        <v>172</v>
      </c>
      <c r="F2926" t="s">
        <v>7430</v>
      </c>
      <c r="G2926" t="str">
        <f>HYPERLINK("http://www.ifm.kr/news/335607")</f>
        <v>http://www.ifm.kr/news/335607</v>
      </c>
      <c r="H2926">
        <v>0.39</v>
      </c>
    </row>
    <row r="2927" spans="1:8" x14ac:dyDescent="0.3">
      <c r="A2927" t="s">
        <v>7397</v>
      </c>
      <c r="B2927" t="s">
        <v>26951</v>
      </c>
      <c r="C2927" t="s">
        <v>7434</v>
      </c>
      <c r="D2927" t="s">
        <v>7433</v>
      </c>
      <c r="E2927" s="2" t="s">
        <v>196</v>
      </c>
      <c r="F2927" t="s">
        <v>776</v>
      </c>
      <c r="G2927" t="str">
        <f>HYPERLINK("https://n.news.naver.com/mnews/article/079/0004036676?sid=102")</f>
        <v>https://n.news.naver.com/mnews/article/079/0004036676?sid=102</v>
      </c>
      <c r="H2927">
        <v>0.249</v>
      </c>
    </row>
    <row r="2928" spans="1:8" x14ac:dyDescent="0.3">
      <c r="A2928" t="s">
        <v>7397</v>
      </c>
      <c r="B2928" t="s">
        <v>26951</v>
      </c>
      <c r="C2928" t="s">
        <v>7437</v>
      </c>
      <c r="D2928" t="s">
        <v>7436</v>
      </c>
      <c r="E2928" s="2" t="s">
        <v>196</v>
      </c>
      <c r="F2928" t="s">
        <v>7435</v>
      </c>
      <c r="G2928" t="str">
        <f>HYPERLINK("https://n.news.naver.com/mnews/article/016/0002442143?sid=101")</f>
        <v>https://n.news.naver.com/mnews/article/016/0002442143?sid=101</v>
      </c>
      <c r="H2928">
        <v>0.218</v>
      </c>
    </row>
    <row r="2929" spans="1:8" x14ac:dyDescent="0.3">
      <c r="A2929" t="s">
        <v>7397</v>
      </c>
      <c r="B2929" t="s">
        <v>26951</v>
      </c>
      <c r="C2929" t="s">
        <v>7439</v>
      </c>
      <c r="D2929" t="s">
        <v>7438</v>
      </c>
      <c r="E2929" s="2" t="s">
        <v>230</v>
      </c>
      <c r="F2929" t="s">
        <v>3086</v>
      </c>
      <c r="G2929" t="str">
        <f>HYPERLINK("https://mdtoday.co.kr/news/view/1065595635340956")</f>
        <v>https://mdtoday.co.kr/news/view/1065595635340956</v>
      </c>
      <c r="H2929">
        <v>0.82299999999999995</v>
      </c>
    </row>
    <row r="2930" spans="1:8" x14ac:dyDescent="0.3">
      <c r="A2930" t="s">
        <v>7397</v>
      </c>
      <c r="B2930" t="s">
        <v>26951</v>
      </c>
      <c r="C2930" t="s">
        <v>7442</v>
      </c>
      <c r="D2930" t="s">
        <v>7441</v>
      </c>
      <c r="E2930" s="2" t="s">
        <v>230</v>
      </c>
      <c r="F2930" t="s">
        <v>7440</v>
      </c>
      <c r="G2930" t="str">
        <f>HYPERLINK("https://n.news.naver.com/mnews/article/079/0004037232?sid=102")</f>
        <v>https://n.news.naver.com/mnews/article/079/0004037232?sid=102</v>
      </c>
      <c r="H2930">
        <v>0.22</v>
      </c>
    </row>
    <row r="2931" spans="1:8" x14ac:dyDescent="0.3">
      <c r="A2931" t="s">
        <v>7397</v>
      </c>
      <c r="B2931" t="s">
        <v>26951</v>
      </c>
      <c r="C2931" t="s">
        <v>7445</v>
      </c>
      <c r="D2931" t="s">
        <v>7444</v>
      </c>
      <c r="E2931" s="2" t="s">
        <v>230</v>
      </c>
      <c r="F2931" t="s">
        <v>7443</v>
      </c>
      <c r="G2931" t="str">
        <f>HYPERLINK("https://kookbang.dema.mil.kr/newsWeb/20250626/1/ATCE_CTGR_0020020015/view.do")</f>
        <v>https://kookbang.dema.mil.kr/newsWeb/20250626/1/ATCE_CTGR_0020020015/view.do</v>
      </c>
      <c r="H2931">
        <v>0.46800000000000003</v>
      </c>
    </row>
    <row r="2932" spans="1:8" x14ac:dyDescent="0.3">
      <c r="A2932" t="s">
        <v>7397</v>
      </c>
      <c r="B2932" t="s">
        <v>26951</v>
      </c>
      <c r="C2932" t="s">
        <v>7448</v>
      </c>
      <c r="D2932" t="s">
        <v>7447</v>
      </c>
      <c r="E2932" s="2" t="s">
        <v>230</v>
      </c>
      <c r="F2932" t="s">
        <v>7446</v>
      </c>
      <c r="G2932" t="str">
        <f>HYPERLINK("http://www.jbsori.com/news/articleView.html?idxno=14919")</f>
        <v>http://www.jbsori.com/news/articleView.html?idxno=14919</v>
      </c>
      <c r="H2932">
        <v>6.7000000000000004E-2</v>
      </c>
    </row>
    <row r="2933" spans="1:8" x14ac:dyDescent="0.3">
      <c r="A2933" t="s">
        <v>7397</v>
      </c>
      <c r="B2933" t="s">
        <v>26951</v>
      </c>
      <c r="C2933" t="s">
        <v>7451</v>
      </c>
      <c r="D2933" t="s">
        <v>7450</v>
      </c>
      <c r="E2933" s="2" t="s">
        <v>267</v>
      </c>
      <c r="F2933" t="s">
        <v>7449</v>
      </c>
      <c r="G2933" t="str">
        <f>HYPERLINK("http://www.ksilbo.co.kr/news/articleView.html?idxno=958380")</f>
        <v>http://www.ksilbo.co.kr/news/articleView.html?idxno=958380</v>
      </c>
      <c r="H2933">
        <v>0.28799999999999998</v>
      </c>
    </row>
    <row r="2934" spans="1:8" x14ac:dyDescent="0.3">
      <c r="A2934" t="s">
        <v>7397</v>
      </c>
      <c r="B2934" t="s">
        <v>26951</v>
      </c>
      <c r="C2934" t="s">
        <v>7453</v>
      </c>
      <c r="D2934" t="s">
        <v>7452</v>
      </c>
      <c r="E2934" s="2" t="s">
        <v>267</v>
      </c>
      <c r="F2934" t="s">
        <v>7424</v>
      </c>
      <c r="G2934" t="str">
        <f>HYPERLINK("https://n.news.naver.com/mnews/article/079/0004037092?sid=102")</f>
        <v>https://n.news.naver.com/mnews/article/079/0004037092?sid=102</v>
      </c>
      <c r="H2934">
        <v>0.30299999999999999</v>
      </c>
    </row>
    <row r="2935" spans="1:8" x14ac:dyDescent="0.3">
      <c r="A2935" t="s">
        <v>7397</v>
      </c>
      <c r="B2935" t="s">
        <v>26951</v>
      </c>
      <c r="C2935" t="s">
        <v>7460</v>
      </c>
      <c r="D2935" t="s">
        <v>7459</v>
      </c>
      <c r="E2935" s="2" t="s">
        <v>313</v>
      </c>
      <c r="F2935" t="s">
        <v>7458</v>
      </c>
      <c r="G2935" t="str">
        <f>HYPERLINK("https://n.news.naver.com/mnews/article/079/0004013137?sid=102")</f>
        <v>https://n.news.naver.com/mnews/article/079/0004013137?sid=102</v>
      </c>
      <c r="H2935">
        <v>0.25800000000000001</v>
      </c>
    </row>
    <row r="2936" spans="1:8" x14ac:dyDescent="0.3">
      <c r="A2936" t="s">
        <v>7397</v>
      </c>
      <c r="B2936" t="s">
        <v>26951</v>
      </c>
      <c r="C2936" t="s">
        <v>7462</v>
      </c>
      <c r="D2936" t="s">
        <v>7461</v>
      </c>
      <c r="E2936" s="2" t="s">
        <v>313</v>
      </c>
      <c r="F2936" t="s">
        <v>7446</v>
      </c>
      <c r="G2936" t="str">
        <f>HYPERLINK("http://www.banronbodo.com/news/articleView.html?idxno=23092")</f>
        <v>http://www.banronbodo.com/news/articleView.html?idxno=23092</v>
      </c>
      <c r="H2936">
        <v>9.1999999999999998E-2</v>
      </c>
    </row>
    <row r="2937" spans="1:8" x14ac:dyDescent="0.3">
      <c r="A2937" t="s">
        <v>7397</v>
      </c>
      <c r="B2937" t="s">
        <v>26951</v>
      </c>
      <c r="C2937" t="s">
        <v>7464</v>
      </c>
      <c r="D2937" t="s">
        <v>7463</v>
      </c>
      <c r="E2937" s="2" t="s">
        <v>356</v>
      </c>
      <c r="F2937" t="s">
        <v>148</v>
      </c>
      <c r="G2937" t="str">
        <f>HYPERLINK("https://n.news.naver.com/mnews/article/079/0004040312?sid=102")</f>
        <v>https://n.news.naver.com/mnews/article/079/0004040312?sid=102</v>
      </c>
      <c r="H2937">
        <v>0.187</v>
      </c>
    </row>
    <row r="2938" spans="1:8" x14ac:dyDescent="0.3">
      <c r="A2938" t="s">
        <v>7397</v>
      </c>
      <c r="B2938" t="s">
        <v>26951</v>
      </c>
      <c r="C2938" t="s">
        <v>7467</v>
      </c>
      <c r="D2938" t="s">
        <v>7466</v>
      </c>
      <c r="E2938" s="2" t="s">
        <v>356</v>
      </c>
      <c r="F2938" t="s">
        <v>7465</v>
      </c>
      <c r="G2938" t="str">
        <f>HYPERLINK("https://n.news.naver.com/mnews/article/214/0001274814?sid=101")</f>
        <v>https://n.news.naver.com/mnews/article/214/0001274814?sid=101</v>
      </c>
      <c r="H2938">
        <v>7.0000000000000007E-2</v>
      </c>
    </row>
    <row r="2939" spans="1:8" x14ac:dyDescent="0.3">
      <c r="A2939" t="s">
        <v>7397</v>
      </c>
      <c r="B2939" t="s">
        <v>26951</v>
      </c>
      <c r="C2939" t="s">
        <v>7470</v>
      </c>
      <c r="D2939" t="s">
        <v>7469</v>
      </c>
      <c r="E2939" s="2" t="s">
        <v>356</v>
      </c>
      <c r="F2939" t="s">
        <v>3833</v>
      </c>
      <c r="G2939" t="str">
        <f>HYPERLINK("https://n.news.naver.com/mnews/article/079/0004026704?sid=102")</f>
        <v>https://n.news.naver.com/mnews/article/079/0004026704?sid=102</v>
      </c>
      <c r="H2939">
        <v>0.10299999999999999</v>
      </c>
    </row>
    <row r="2940" spans="1:8" x14ac:dyDescent="0.3">
      <c r="A2940" t="s">
        <v>7397</v>
      </c>
      <c r="B2940" t="s">
        <v>26951</v>
      </c>
      <c r="C2940" t="s">
        <v>7473</v>
      </c>
      <c r="D2940" t="s">
        <v>7472</v>
      </c>
      <c r="E2940" s="2" t="s">
        <v>356</v>
      </c>
      <c r="F2940" t="s">
        <v>7471</v>
      </c>
      <c r="G2940" t="str">
        <f>HYPERLINK("https://www.ajunews.com/view/20240806073459265")</f>
        <v>https://www.ajunews.com/view/20240806073459265</v>
      </c>
      <c r="H2940">
        <v>0.52300000000000002</v>
      </c>
    </row>
    <row r="2941" spans="1:8" x14ac:dyDescent="0.3">
      <c r="A2941" t="s">
        <v>7397</v>
      </c>
      <c r="B2941" t="s">
        <v>26951</v>
      </c>
      <c r="C2941" t="s">
        <v>7475</v>
      </c>
      <c r="D2941" t="s">
        <v>7474</v>
      </c>
      <c r="E2941" s="2" t="s">
        <v>394</v>
      </c>
      <c r="F2941" t="s">
        <v>3006</v>
      </c>
      <c r="G2941" t="str">
        <f>HYPERLINK("https://n.news.naver.com/mnews/article/081/0003550061?sid=102")</f>
        <v>https://n.news.naver.com/mnews/article/081/0003550061?sid=102</v>
      </c>
      <c r="H2941">
        <v>0.29299999999999998</v>
      </c>
    </row>
    <row r="2942" spans="1:8" x14ac:dyDescent="0.3">
      <c r="A2942" t="s">
        <v>7397</v>
      </c>
      <c r="B2942" t="s">
        <v>26951</v>
      </c>
      <c r="C2942" t="s">
        <v>7478</v>
      </c>
      <c r="D2942" t="s">
        <v>7477</v>
      </c>
      <c r="E2942" s="2" t="s">
        <v>394</v>
      </c>
      <c r="F2942" t="s">
        <v>7476</v>
      </c>
      <c r="G2942" t="str">
        <f>HYPERLINK("https://www.ksilbo.co.kr/news/articleView.html?idxno=1028479")</f>
        <v>https://www.ksilbo.co.kr/news/articleView.html?idxno=1028479</v>
      </c>
      <c r="H2942">
        <v>0.74099999999999999</v>
      </c>
    </row>
    <row r="2943" spans="1:8" x14ac:dyDescent="0.3">
      <c r="A2943" t="s">
        <v>7397</v>
      </c>
      <c r="B2943" t="s">
        <v>26951</v>
      </c>
      <c r="C2943" t="s">
        <v>7480</v>
      </c>
      <c r="D2943" t="s">
        <v>7479</v>
      </c>
      <c r="E2943" s="2" t="s">
        <v>418</v>
      </c>
      <c r="F2943" t="s">
        <v>5664</v>
      </c>
      <c r="G2943" t="str">
        <f>HYPERLINK("https://jhealthmedia.joins.com/news/articleView.html?idxno=30576")</f>
        <v>https://jhealthmedia.joins.com/news/articleView.html?idxno=30576</v>
      </c>
      <c r="H2943">
        <v>0.28699999999999998</v>
      </c>
    </row>
    <row r="2944" spans="1:8" x14ac:dyDescent="0.3">
      <c r="A2944" t="s">
        <v>7397</v>
      </c>
      <c r="B2944" t="s">
        <v>26951</v>
      </c>
      <c r="C2944" t="s">
        <v>7482</v>
      </c>
      <c r="D2944" t="s">
        <v>7481</v>
      </c>
      <c r="E2944" s="2" t="s">
        <v>418</v>
      </c>
      <c r="F2944" t="s">
        <v>148</v>
      </c>
      <c r="G2944" t="str">
        <f>HYPERLINK("https://n.news.naver.com/mnews/article/079/0004010206?sid=102")</f>
        <v>https://n.news.naver.com/mnews/article/079/0004010206?sid=102</v>
      </c>
      <c r="H2944">
        <v>0.161</v>
      </c>
    </row>
    <row r="2945" spans="1:8" x14ac:dyDescent="0.3">
      <c r="A2945" t="s">
        <v>7397</v>
      </c>
      <c r="B2945" t="s">
        <v>26951</v>
      </c>
      <c r="C2945" t="s">
        <v>7484</v>
      </c>
      <c r="D2945" t="s">
        <v>7483</v>
      </c>
      <c r="E2945" s="2" t="s">
        <v>418</v>
      </c>
      <c r="F2945" t="s">
        <v>7446</v>
      </c>
      <c r="G2945" t="str">
        <f>HYPERLINK("http://www.ifs.or.kr/bbs/board.php?bo_table=News&amp;wr_id=53684")</f>
        <v>http://www.ifs.or.kr/bbs/board.php?bo_table=News&amp;wr_id=53684</v>
      </c>
      <c r="H2945">
        <v>0.16600000000000001</v>
      </c>
    </row>
    <row r="2946" spans="1:8" x14ac:dyDescent="0.3">
      <c r="A2946" t="s">
        <v>7397</v>
      </c>
      <c r="B2946" t="s">
        <v>26951</v>
      </c>
      <c r="C2946" t="s">
        <v>7486</v>
      </c>
      <c r="D2946" t="s">
        <v>7485</v>
      </c>
      <c r="E2946" s="2" t="s">
        <v>452</v>
      </c>
      <c r="F2946" t="s">
        <v>6704</v>
      </c>
      <c r="G2946" t="str">
        <f>HYPERLINK("https://n.news.naver.com/mnews/article/018/0006041323?sid=102")</f>
        <v>https://n.news.naver.com/mnews/article/018/0006041323?sid=102</v>
      </c>
      <c r="H2946">
        <v>0.11799999999999999</v>
      </c>
    </row>
    <row r="2947" spans="1:8" x14ac:dyDescent="0.3">
      <c r="A2947" t="s">
        <v>7397</v>
      </c>
      <c r="B2947" t="s">
        <v>26951</v>
      </c>
      <c r="C2947" t="s">
        <v>7488</v>
      </c>
      <c r="D2947" t="s">
        <v>7487</v>
      </c>
      <c r="E2947" s="2" t="s">
        <v>452</v>
      </c>
      <c r="F2947" t="s">
        <v>7446</v>
      </c>
      <c r="G2947" t="str">
        <f>HYPERLINK("http://www.jbsori.com/news/articleView.html?idxno=14919")</f>
        <v>http://www.jbsori.com/news/articleView.html?idxno=14919</v>
      </c>
      <c r="H2947">
        <v>6.0999999999999999E-2</v>
      </c>
    </row>
    <row r="2948" spans="1:8" x14ac:dyDescent="0.3">
      <c r="A2948" t="s">
        <v>7397</v>
      </c>
      <c r="B2948" t="s">
        <v>26951</v>
      </c>
      <c r="C2948" t="s">
        <v>7490</v>
      </c>
      <c r="D2948" t="s">
        <v>7489</v>
      </c>
      <c r="E2948" s="2" t="s">
        <v>502</v>
      </c>
      <c r="F2948" t="s">
        <v>264</v>
      </c>
      <c r="G2948" t="str">
        <f>HYPERLINK("https://n.news.naver.com/mnews/article/079/0003070229?sid=102")</f>
        <v>https://n.news.naver.com/mnews/article/079/0003070229?sid=102</v>
      </c>
      <c r="H2948">
        <v>0.34699999999999998</v>
      </c>
    </row>
    <row r="2949" spans="1:8" x14ac:dyDescent="0.3">
      <c r="A2949" t="s">
        <v>7397</v>
      </c>
      <c r="B2949" t="s">
        <v>26951</v>
      </c>
      <c r="C2949" t="s">
        <v>7493</v>
      </c>
      <c r="D2949" t="s">
        <v>7492</v>
      </c>
      <c r="E2949" s="2" t="s">
        <v>502</v>
      </c>
      <c r="F2949" t="s">
        <v>7491</v>
      </c>
      <c r="G2949" t="str">
        <f>HYPERLINK("https://www.korea.kr/news/policyNewsView.do?newsId=148934084&amp;call_from=naver_news")</f>
        <v>https://www.korea.kr/news/policyNewsView.do?newsId=148934084&amp;call_from=naver_news</v>
      </c>
      <c r="H2949">
        <v>0.59199999999999997</v>
      </c>
    </row>
    <row r="2950" spans="1:8" x14ac:dyDescent="0.3">
      <c r="A2950" t="s">
        <v>7397</v>
      </c>
      <c r="B2950" t="s">
        <v>26951</v>
      </c>
      <c r="C2950" t="s">
        <v>7496</v>
      </c>
      <c r="D2950" t="s">
        <v>7495</v>
      </c>
      <c r="E2950" s="2" t="s">
        <v>502</v>
      </c>
      <c r="F2950" t="s">
        <v>7494</v>
      </c>
      <c r="G2950" t="str">
        <f>HYPERLINK("https://www.goodnews1.com/news/articleView.html?idxno=430852")</f>
        <v>https://www.goodnews1.com/news/articleView.html?idxno=430852</v>
      </c>
      <c r="H2950">
        <v>0.57599999999999996</v>
      </c>
    </row>
    <row r="2951" spans="1:8" x14ac:dyDescent="0.3">
      <c r="A2951" t="s">
        <v>7397</v>
      </c>
      <c r="B2951" t="s">
        <v>26951</v>
      </c>
      <c r="C2951" t="s">
        <v>7498</v>
      </c>
      <c r="D2951" t="s">
        <v>7497</v>
      </c>
      <c r="E2951" s="2" t="s">
        <v>517</v>
      </c>
      <c r="F2951" t="s">
        <v>3501</v>
      </c>
      <c r="G2951" t="str">
        <f>HYPERLINK("https://www.jemin.com/news/articleView.html?idxno=813634")</f>
        <v>https://www.jemin.com/news/articleView.html?idxno=813634</v>
      </c>
      <c r="H2951">
        <v>0.67300000000000004</v>
      </c>
    </row>
    <row r="2952" spans="1:8" x14ac:dyDescent="0.3">
      <c r="A2952" t="s">
        <v>7397</v>
      </c>
      <c r="B2952" t="s">
        <v>26951</v>
      </c>
      <c r="C2952" t="s">
        <v>7500</v>
      </c>
      <c r="D2952" t="s">
        <v>7499</v>
      </c>
      <c r="E2952" s="2" t="s">
        <v>517</v>
      </c>
      <c r="F2952" t="s">
        <v>1960</v>
      </c>
      <c r="G2952" t="str">
        <f>HYPERLINK("https://n.news.naver.com/mnews/article/079/0004039349?sid=102")</f>
        <v>https://n.news.naver.com/mnews/article/079/0004039349?sid=102</v>
      </c>
      <c r="H2952">
        <v>0.36699999999999999</v>
      </c>
    </row>
    <row r="2953" spans="1:8" x14ac:dyDescent="0.3">
      <c r="A2953" t="s">
        <v>7397</v>
      </c>
      <c r="B2953" t="s">
        <v>26951</v>
      </c>
      <c r="C2953" t="s">
        <v>7502</v>
      </c>
      <c r="D2953" t="s">
        <v>7501</v>
      </c>
      <c r="E2953" s="2" t="s">
        <v>538</v>
      </c>
      <c r="F2953" t="s">
        <v>6281</v>
      </c>
      <c r="G2953" t="str">
        <f>HYPERLINK("http://www.jbsori.com/news/articleView.html?idxno=14765")</f>
        <v>http://www.jbsori.com/news/articleView.html?idxno=14765</v>
      </c>
      <c r="H2953">
        <v>0.54600000000000004</v>
      </c>
    </row>
    <row r="2954" spans="1:8" x14ac:dyDescent="0.3">
      <c r="A2954" t="s">
        <v>7397</v>
      </c>
      <c r="B2954" t="s">
        <v>26951</v>
      </c>
      <c r="C2954" t="s">
        <v>7505</v>
      </c>
      <c r="D2954" t="s">
        <v>7504</v>
      </c>
      <c r="E2954" s="2" t="s">
        <v>538</v>
      </c>
      <c r="F2954" t="s">
        <v>7503</v>
      </c>
      <c r="G2954" t="str">
        <f>HYPERLINK("https://www.newscj.com/news/articleView.html?idxno=3280758")</f>
        <v>https://www.newscj.com/news/articleView.html?idxno=3280758</v>
      </c>
      <c r="H2954">
        <v>0.73699999999999999</v>
      </c>
    </row>
    <row r="2955" spans="1:8" x14ac:dyDescent="0.3">
      <c r="A2955" t="s">
        <v>7397</v>
      </c>
      <c r="B2955" t="s">
        <v>26951</v>
      </c>
      <c r="C2955" t="s">
        <v>7508</v>
      </c>
      <c r="D2955" t="s">
        <v>7507</v>
      </c>
      <c r="E2955" s="2" t="s">
        <v>538</v>
      </c>
      <c r="F2955" t="s">
        <v>7506</v>
      </c>
      <c r="G2955" t="str">
        <f>HYPERLINK("https://n.news.naver.com/mnews/article/079/0004039090?sid=100")</f>
        <v>https://n.news.naver.com/mnews/article/079/0004039090?sid=100</v>
      </c>
      <c r="H2955">
        <v>0.12</v>
      </c>
    </row>
    <row r="2956" spans="1:8" x14ac:dyDescent="0.3">
      <c r="A2956" t="s">
        <v>7397</v>
      </c>
      <c r="B2956" t="s">
        <v>26951</v>
      </c>
      <c r="C2956" t="s">
        <v>7511</v>
      </c>
      <c r="D2956" t="s">
        <v>7510</v>
      </c>
      <c r="E2956" s="2" t="s">
        <v>538</v>
      </c>
      <c r="F2956" t="s">
        <v>7509</v>
      </c>
      <c r="G2956" t="str">
        <f>HYPERLINK("https://n.news.naver.com/mnews/article/016/0002484731?sid=104")</f>
        <v>https://n.news.naver.com/mnews/article/016/0002484731?sid=104</v>
      </c>
      <c r="H2956">
        <v>0.219</v>
      </c>
    </row>
    <row r="2957" spans="1:8" x14ac:dyDescent="0.3">
      <c r="A2957" t="s">
        <v>7397</v>
      </c>
      <c r="B2957" t="s">
        <v>26951</v>
      </c>
      <c r="C2957" t="s">
        <v>7513</v>
      </c>
      <c r="D2957" t="s">
        <v>7512</v>
      </c>
      <c r="E2957" s="2" t="s">
        <v>572</v>
      </c>
      <c r="F2957" t="s">
        <v>1964</v>
      </c>
      <c r="G2957" t="str">
        <f>HYPERLINK("http://www.ngonews.kr/news/articleView.html?idxno=143201")</f>
        <v>http://www.ngonews.kr/news/articleView.html?idxno=143201</v>
      </c>
      <c r="H2957">
        <v>0.27700000000000002</v>
      </c>
    </row>
    <row r="2958" spans="1:8" x14ac:dyDescent="0.3">
      <c r="A2958" t="s">
        <v>7397</v>
      </c>
      <c r="B2958" t="s">
        <v>26951</v>
      </c>
      <c r="C2958" t="s">
        <v>7515</v>
      </c>
      <c r="D2958" t="s">
        <v>7514</v>
      </c>
      <c r="E2958" s="2" t="s">
        <v>572</v>
      </c>
      <c r="F2958" t="s">
        <v>4210</v>
      </c>
      <c r="G2958" t="str">
        <f>HYPERLINK("https://www.newsfreezone.co.kr/news/articleView.html?idxno=626831")</f>
        <v>https://www.newsfreezone.co.kr/news/articleView.html?idxno=626831</v>
      </c>
      <c r="H2958">
        <v>0.66</v>
      </c>
    </row>
    <row r="2959" spans="1:8" x14ac:dyDescent="0.3">
      <c r="A2959" t="s">
        <v>7397</v>
      </c>
      <c r="B2959" t="s">
        <v>26951</v>
      </c>
      <c r="C2959" t="s">
        <v>7517</v>
      </c>
      <c r="D2959" t="s">
        <v>7516</v>
      </c>
      <c r="E2959" s="2" t="s">
        <v>609</v>
      </c>
      <c r="F2959" t="s">
        <v>2802</v>
      </c>
      <c r="G2959" t="str">
        <f>HYPERLINK("https://n.news.naver.com/mnews/article/079/0004033504?sid=100")</f>
        <v>https://n.news.naver.com/mnews/article/079/0004033504?sid=100</v>
      </c>
      <c r="H2959">
        <v>0.17299999999999999</v>
      </c>
    </row>
    <row r="2960" spans="1:8" x14ac:dyDescent="0.3">
      <c r="A2960" t="s">
        <v>7397</v>
      </c>
      <c r="B2960" t="s">
        <v>26951</v>
      </c>
      <c r="C2960" t="s">
        <v>7519</v>
      </c>
      <c r="D2960" t="s">
        <v>7518</v>
      </c>
      <c r="E2960" s="2" t="s">
        <v>609</v>
      </c>
      <c r="F2960" t="s">
        <v>2802</v>
      </c>
      <c r="G2960" t="str">
        <f>HYPERLINK("https://n.news.naver.com/mnews/article/081/0003547101?sid=102")</f>
        <v>https://n.news.naver.com/mnews/article/081/0003547101?sid=102</v>
      </c>
      <c r="H2960">
        <v>0.22600000000000001</v>
      </c>
    </row>
    <row r="2961" spans="1:8" x14ac:dyDescent="0.3">
      <c r="A2961" t="s">
        <v>7397</v>
      </c>
      <c r="B2961" t="s">
        <v>26951</v>
      </c>
      <c r="C2961" t="s">
        <v>7521</v>
      </c>
      <c r="D2961" t="s">
        <v>7520</v>
      </c>
      <c r="E2961" s="2" t="s">
        <v>653</v>
      </c>
      <c r="F2961" t="s">
        <v>4598</v>
      </c>
      <c r="G2961" t="str">
        <f>HYPERLINK("http://www.kukinews.com/newsView/kuk202305080099")</f>
        <v>http://www.kukinews.com/newsView/kuk202305080099</v>
      </c>
      <c r="H2961">
        <v>0.193</v>
      </c>
    </row>
    <row r="2962" spans="1:8" x14ac:dyDescent="0.3">
      <c r="A2962" t="s">
        <v>7397</v>
      </c>
      <c r="B2962" t="s">
        <v>26951</v>
      </c>
      <c r="C2962" t="s">
        <v>7523</v>
      </c>
      <c r="D2962" t="s">
        <v>7522</v>
      </c>
      <c r="E2962" s="2" t="s">
        <v>653</v>
      </c>
      <c r="F2962" t="s">
        <v>89</v>
      </c>
      <c r="G2962" t="str">
        <f>HYPERLINK("https://n.news.naver.com/mnews/article/079/0004032695?sid=104")</f>
        <v>https://n.news.naver.com/mnews/article/079/0004032695?sid=104</v>
      </c>
      <c r="H2962">
        <v>0.29499999999999998</v>
      </c>
    </row>
    <row r="2963" spans="1:8" x14ac:dyDescent="0.3">
      <c r="A2963" t="s">
        <v>7397</v>
      </c>
      <c r="B2963" t="s">
        <v>26951</v>
      </c>
      <c r="C2963" t="s">
        <v>7525</v>
      </c>
      <c r="D2963" t="s">
        <v>7524</v>
      </c>
      <c r="E2963" s="2" t="s">
        <v>692</v>
      </c>
      <c r="F2963" t="s">
        <v>1266</v>
      </c>
      <c r="G2963" t="str">
        <f>HYPERLINK("https://n.news.naver.com/mnews/article/079/0004033507?sid=102")</f>
        <v>https://n.news.naver.com/mnews/article/079/0004033507?sid=102</v>
      </c>
      <c r="H2963">
        <v>0.24199999999999999</v>
      </c>
    </row>
    <row r="2964" spans="1:8" x14ac:dyDescent="0.3">
      <c r="A2964" t="s">
        <v>7397</v>
      </c>
      <c r="B2964" t="s">
        <v>26951</v>
      </c>
      <c r="C2964" t="s">
        <v>7529</v>
      </c>
      <c r="D2964" t="s">
        <v>7528</v>
      </c>
      <c r="E2964" s="2" t="s">
        <v>725</v>
      </c>
      <c r="F2964" t="s">
        <v>7527</v>
      </c>
      <c r="G2964" t="str">
        <f>HYPERLINK("https://www.apnews.kr/news/articleView.html?idxno=3036701")</f>
        <v>https://www.apnews.kr/news/articleView.html?idxno=3036701</v>
      </c>
      <c r="H2964">
        <v>0.245</v>
      </c>
    </row>
    <row r="2965" spans="1:8" x14ac:dyDescent="0.3">
      <c r="A2965" t="s">
        <v>7397</v>
      </c>
      <c r="B2965" t="s">
        <v>26951</v>
      </c>
      <c r="C2965" t="s">
        <v>7531</v>
      </c>
      <c r="D2965" t="s">
        <v>7530</v>
      </c>
      <c r="E2965" s="2" t="s">
        <v>725</v>
      </c>
      <c r="F2965" t="s">
        <v>6206</v>
      </c>
      <c r="G2965" t="str">
        <f>HYPERLINK("https://n.news.naver.com/mnews/article/079/0004032410?sid=100")</f>
        <v>https://n.news.naver.com/mnews/article/079/0004032410?sid=100</v>
      </c>
      <c r="H2965">
        <v>7.4999999999999997E-2</v>
      </c>
    </row>
    <row r="2966" spans="1:8" x14ac:dyDescent="0.3">
      <c r="A2966" t="s">
        <v>7397</v>
      </c>
      <c r="B2966" t="s">
        <v>26951</v>
      </c>
      <c r="C2966" t="s">
        <v>7533</v>
      </c>
      <c r="D2966" t="s">
        <v>7532</v>
      </c>
      <c r="E2966" s="2" t="s">
        <v>725</v>
      </c>
      <c r="F2966" t="s">
        <v>5087</v>
      </c>
      <c r="G2966" t="str">
        <f>HYPERLINK("https://n.news.naver.com/mnews/article/016/0002482159?sid=102")</f>
        <v>https://n.news.naver.com/mnews/article/016/0002482159?sid=102</v>
      </c>
      <c r="H2966">
        <v>0.22900000000000001</v>
      </c>
    </row>
    <row r="2967" spans="1:8" x14ac:dyDescent="0.3">
      <c r="A2967" t="s">
        <v>7397</v>
      </c>
      <c r="B2967" t="s">
        <v>26951</v>
      </c>
      <c r="C2967" t="s">
        <v>7535</v>
      </c>
      <c r="D2967" t="s">
        <v>7534</v>
      </c>
      <c r="E2967" s="2" t="s">
        <v>742</v>
      </c>
      <c r="F2967" t="s">
        <v>1795</v>
      </c>
      <c r="G2967" t="str">
        <f>HYPERLINK("https://n.news.naver.com/mnews/article/079/0004029227?sid=104")</f>
        <v>https://n.news.naver.com/mnews/article/079/0004029227?sid=104</v>
      </c>
      <c r="H2967">
        <v>0.18</v>
      </c>
    </row>
    <row r="2968" spans="1:8" x14ac:dyDescent="0.3">
      <c r="A2968" t="s">
        <v>7397</v>
      </c>
      <c r="B2968" t="s">
        <v>26951</v>
      </c>
      <c r="C2968" t="s">
        <v>7537</v>
      </c>
      <c r="D2968" t="s">
        <v>7536</v>
      </c>
      <c r="E2968" s="2" t="s">
        <v>742</v>
      </c>
      <c r="F2968" t="s">
        <v>2661</v>
      </c>
      <c r="G2968" t="str">
        <f>HYPERLINK("https://n.news.naver.com/mnews/article/079/0004033577?sid=100")</f>
        <v>https://n.news.naver.com/mnews/article/079/0004033577?sid=100</v>
      </c>
      <c r="H2968">
        <v>0.308</v>
      </c>
    </row>
    <row r="2969" spans="1:8" x14ac:dyDescent="0.3">
      <c r="A2969" t="s">
        <v>7397</v>
      </c>
      <c r="B2969" t="s">
        <v>26951</v>
      </c>
      <c r="C2969" t="s">
        <v>7540</v>
      </c>
      <c r="D2969" t="s">
        <v>7539</v>
      </c>
      <c r="E2969" s="2" t="s">
        <v>742</v>
      </c>
      <c r="F2969" t="s">
        <v>7538</v>
      </c>
      <c r="G2969" t="str">
        <f>HYPERLINK("https://n.news.naver.com/mnews/article/014/0005370676?sid=105")</f>
        <v>https://n.news.naver.com/mnews/article/014/0005370676?sid=105</v>
      </c>
      <c r="H2969">
        <v>0.16600000000000001</v>
      </c>
    </row>
    <row r="2970" spans="1:8" x14ac:dyDescent="0.3">
      <c r="A2970" t="s">
        <v>7397</v>
      </c>
      <c r="B2970" t="s">
        <v>26951</v>
      </c>
      <c r="C2970" t="s">
        <v>7542</v>
      </c>
      <c r="D2970" t="s">
        <v>7541</v>
      </c>
      <c r="E2970" s="2" t="s">
        <v>742</v>
      </c>
      <c r="F2970" t="s">
        <v>197</v>
      </c>
      <c r="G2970" t="str">
        <f>HYPERLINK("https://n.news.naver.com/mnews/article/079/0004036718?sid=101")</f>
        <v>https://n.news.naver.com/mnews/article/079/0004036718?sid=101</v>
      </c>
      <c r="H2970">
        <v>0.32800000000000001</v>
      </c>
    </row>
    <row r="2971" spans="1:8" x14ac:dyDescent="0.3">
      <c r="A2971" t="s">
        <v>7397</v>
      </c>
      <c r="B2971" t="s">
        <v>26951</v>
      </c>
      <c r="C2971" t="s">
        <v>7545</v>
      </c>
      <c r="D2971" t="s">
        <v>7544</v>
      </c>
      <c r="E2971" s="2" t="s">
        <v>799</v>
      </c>
      <c r="F2971" t="s">
        <v>7543</v>
      </c>
      <c r="G2971" t="str">
        <f>HYPERLINK("https://n.news.naver.com/mnews/article/079/0002916376?sid=102")</f>
        <v>https://n.news.naver.com/mnews/article/079/0002916376?sid=102</v>
      </c>
      <c r="H2971">
        <v>0.13900000000000001</v>
      </c>
    </row>
    <row r="2972" spans="1:8" x14ac:dyDescent="0.3">
      <c r="A2972" t="s">
        <v>7397</v>
      </c>
      <c r="B2972" t="s">
        <v>26951</v>
      </c>
      <c r="C2972" t="s">
        <v>7547</v>
      </c>
      <c r="D2972" t="s">
        <v>7546</v>
      </c>
      <c r="E2972" s="2" t="s">
        <v>840</v>
      </c>
      <c r="F2972" t="s">
        <v>1277</v>
      </c>
      <c r="G2972" t="str">
        <f>HYPERLINK("https://news.ifm.kr/news/articleView.html?idxno=444084")</f>
        <v>https://news.ifm.kr/news/articleView.html?idxno=444084</v>
      </c>
      <c r="H2972">
        <v>0.60499999999999998</v>
      </c>
    </row>
    <row r="2973" spans="1:8" x14ac:dyDescent="0.3">
      <c r="A2973" t="s">
        <v>7397</v>
      </c>
      <c r="B2973" t="s">
        <v>26951</v>
      </c>
      <c r="C2973" t="s">
        <v>7549</v>
      </c>
      <c r="D2973" t="s">
        <v>7548</v>
      </c>
      <c r="E2973" s="2" t="s">
        <v>860</v>
      </c>
      <c r="F2973" t="s">
        <v>3501</v>
      </c>
      <c r="G2973" t="str">
        <f>HYPERLINK("https://medicalworldnews.co.kr/news/view.php?idx=1510967915")</f>
        <v>https://medicalworldnews.co.kr/news/view.php?idx=1510967915</v>
      </c>
      <c r="H2973">
        <v>0.78500000000000003</v>
      </c>
    </row>
    <row r="2974" spans="1:8" x14ac:dyDescent="0.3">
      <c r="A2974" t="s">
        <v>7397</v>
      </c>
      <c r="B2974" t="s">
        <v>26951</v>
      </c>
      <c r="C2974" t="s">
        <v>7552</v>
      </c>
      <c r="D2974" t="s">
        <v>7551</v>
      </c>
      <c r="E2974" s="2" t="s">
        <v>860</v>
      </c>
      <c r="F2974" t="s">
        <v>7550</v>
      </c>
      <c r="G2974" t="str">
        <f>HYPERLINK("https://n.news.naver.com/mnews/article/079/0003942587?sid=102")</f>
        <v>https://n.news.naver.com/mnews/article/079/0003942587?sid=102</v>
      </c>
      <c r="H2974">
        <v>0.26300000000000001</v>
      </c>
    </row>
    <row r="2975" spans="1:8" x14ac:dyDescent="0.3">
      <c r="A2975" t="s">
        <v>7397</v>
      </c>
      <c r="B2975" t="s">
        <v>26951</v>
      </c>
      <c r="C2975" t="s">
        <v>7554</v>
      </c>
      <c r="D2975" t="s">
        <v>7553</v>
      </c>
      <c r="E2975" s="2" t="s">
        <v>860</v>
      </c>
      <c r="F2975" t="s">
        <v>1277</v>
      </c>
      <c r="G2975" t="str">
        <f>HYPERLINK("https://www.pennmike.com/news/articleView.html?idxno=102387")</f>
        <v>https://www.pennmike.com/news/articleView.html?idxno=102387</v>
      </c>
      <c r="H2975">
        <v>0.79800000000000004</v>
      </c>
    </row>
    <row r="2976" spans="1:8" x14ac:dyDescent="0.3">
      <c r="A2976" t="s">
        <v>7397</v>
      </c>
      <c r="B2976" t="s">
        <v>26951</v>
      </c>
      <c r="C2976" t="s">
        <v>7556</v>
      </c>
      <c r="D2976" t="s">
        <v>7555</v>
      </c>
      <c r="E2976" s="2" t="s">
        <v>903</v>
      </c>
      <c r="F2976" t="s">
        <v>2710</v>
      </c>
      <c r="G2976" t="str">
        <f>HYPERLINK("https://n.news.naver.com/mnews/article/006/0000130246?sid=102")</f>
        <v>https://n.news.naver.com/mnews/article/006/0000130246?sid=102</v>
      </c>
      <c r="H2976">
        <v>0.29699999999999999</v>
      </c>
    </row>
    <row r="2977" spans="1:8" x14ac:dyDescent="0.3">
      <c r="A2977" t="s">
        <v>7397</v>
      </c>
      <c r="B2977" t="s">
        <v>26951</v>
      </c>
      <c r="C2977" t="s">
        <v>7558</v>
      </c>
      <c r="D2977" t="s">
        <v>7557</v>
      </c>
      <c r="E2977" s="2" t="s">
        <v>903</v>
      </c>
      <c r="F2977" t="s">
        <v>1615</v>
      </c>
      <c r="G2977" t="str">
        <f>HYPERLINK("https://n.news.naver.com/mnews/article/079/0004034104?sid=101")</f>
        <v>https://n.news.naver.com/mnews/article/079/0004034104?sid=101</v>
      </c>
      <c r="H2977">
        <v>0.26800000000000002</v>
      </c>
    </row>
    <row r="2978" spans="1:8" x14ac:dyDescent="0.3">
      <c r="A2978" t="s">
        <v>7559</v>
      </c>
      <c r="B2978" t="s">
        <v>26951</v>
      </c>
      <c r="C2978" t="s">
        <v>7561</v>
      </c>
      <c r="D2978" t="s">
        <v>7560</v>
      </c>
      <c r="E2978" s="2" t="s">
        <v>481</v>
      </c>
      <c r="F2978" t="s">
        <v>5724</v>
      </c>
      <c r="G2978" t="str">
        <f>HYPERLINK("https://radio.ytn.co.kr/program/?f=2&amp;id=88084&amp;s_mcd=0452&amp;s_hcd=01")</f>
        <v>https://radio.ytn.co.kr/program/?f=2&amp;id=88084&amp;s_mcd=0452&amp;s_hcd=01</v>
      </c>
      <c r="H2978">
        <v>0.26900000000000002</v>
      </c>
    </row>
    <row r="2979" spans="1:8" x14ac:dyDescent="0.3">
      <c r="A2979" t="s">
        <v>7559</v>
      </c>
      <c r="B2979" t="s">
        <v>26951</v>
      </c>
      <c r="C2979" t="s">
        <v>7564</v>
      </c>
      <c r="D2979" t="s">
        <v>7563</v>
      </c>
      <c r="E2979" s="2" t="s">
        <v>481</v>
      </c>
      <c r="F2979" t="s">
        <v>7562</v>
      </c>
      <c r="G2979" t="str">
        <f>HYPERLINK("https://news.dealsitetv.com/articles/155823")</f>
        <v>https://news.dealsitetv.com/articles/155823</v>
      </c>
      <c r="H2979">
        <v>0.36699999999999999</v>
      </c>
    </row>
    <row r="2980" spans="1:8" x14ac:dyDescent="0.3">
      <c r="A2980" t="s">
        <v>7559</v>
      </c>
      <c r="B2980" t="s">
        <v>26951</v>
      </c>
      <c r="C2980" t="s">
        <v>7567</v>
      </c>
      <c r="D2980" t="s">
        <v>7566</v>
      </c>
      <c r="E2980" s="2" t="s">
        <v>481</v>
      </c>
      <c r="F2980" t="s">
        <v>7565</v>
      </c>
      <c r="G2980" t="str">
        <f>HYPERLINK("https://n.news.naver.com/mnews/article/052/0000973177?sid=102")</f>
        <v>https://n.news.naver.com/mnews/article/052/0000973177?sid=102</v>
      </c>
      <c r="H2980">
        <v>0.158</v>
      </c>
    </row>
    <row r="2981" spans="1:8" x14ac:dyDescent="0.3">
      <c r="A2981" t="s">
        <v>7559</v>
      </c>
      <c r="B2981" t="s">
        <v>26951</v>
      </c>
      <c r="C2981" t="s">
        <v>7572</v>
      </c>
      <c r="D2981" t="s">
        <v>7571</v>
      </c>
      <c r="E2981" s="2" t="s">
        <v>481</v>
      </c>
      <c r="F2981" t="s">
        <v>1327</v>
      </c>
      <c r="G2981" t="str">
        <f>HYPERLINK("https://www.danbinews.com/news/articleView.html?idxno=30751")</f>
        <v>https://www.danbinews.com/news/articleView.html?idxno=30751</v>
      </c>
      <c r="H2981">
        <v>0.373</v>
      </c>
    </row>
    <row r="2982" spans="1:8" x14ac:dyDescent="0.3">
      <c r="A2982" t="s">
        <v>7559</v>
      </c>
      <c r="B2982" t="s">
        <v>26951</v>
      </c>
      <c r="C2982" t="s">
        <v>7575</v>
      </c>
      <c r="D2982" t="s">
        <v>7574</v>
      </c>
      <c r="E2982" s="2" t="s">
        <v>481</v>
      </c>
      <c r="F2982" t="s">
        <v>7573</v>
      </c>
      <c r="G2982" t="str">
        <f>HYPERLINK("https://www.etoday.co.kr/news/view/2478877")</f>
        <v>https://www.etoday.co.kr/news/view/2478877</v>
      </c>
      <c r="H2982">
        <v>0.53300000000000003</v>
      </c>
    </row>
    <row r="2983" spans="1:8" x14ac:dyDescent="0.3">
      <c r="A2983" t="s">
        <v>7559</v>
      </c>
      <c r="B2983" t="s">
        <v>26951</v>
      </c>
      <c r="C2983" t="s">
        <v>7578</v>
      </c>
      <c r="D2983" t="s">
        <v>7577</v>
      </c>
      <c r="E2983" s="2" t="s">
        <v>481</v>
      </c>
      <c r="F2983" t="s">
        <v>7576</v>
      </c>
      <c r="G2983" t="str">
        <f>HYPERLINK("http://www.pdjournal.com/news/articleView.html?idxno=23702")</f>
        <v>http://www.pdjournal.com/news/articleView.html?idxno=23702</v>
      </c>
      <c r="H2983">
        <v>0.19600000000000001</v>
      </c>
    </row>
    <row r="2984" spans="1:8" x14ac:dyDescent="0.3">
      <c r="A2984" t="s">
        <v>7559</v>
      </c>
      <c r="B2984" t="s">
        <v>26951</v>
      </c>
      <c r="C2984" t="s">
        <v>7582</v>
      </c>
      <c r="D2984" t="s">
        <v>7581</v>
      </c>
      <c r="E2984" s="2" t="s">
        <v>502</v>
      </c>
      <c r="F2984" t="s">
        <v>7580</v>
      </c>
      <c r="G2984" t="str">
        <f>HYPERLINK("https://www.apnews.kr/news/articleView.html?idxno=3019539")</f>
        <v>https://www.apnews.kr/news/articleView.html?idxno=3019539</v>
      </c>
      <c r="H2984">
        <v>0.41499999999999998</v>
      </c>
    </row>
    <row r="2985" spans="1:8" x14ac:dyDescent="0.3">
      <c r="A2985" t="s">
        <v>7559</v>
      </c>
      <c r="B2985" t="s">
        <v>26951</v>
      </c>
      <c r="C2985" t="s">
        <v>7585</v>
      </c>
      <c r="D2985" t="s">
        <v>7584</v>
      </c>
      <c r="E2985" s="2" t="s">
        <v>502</v>
      </c>
      <c r="F2985" t="s">
        <v>7583</v>
      </c>
      <c r="G2985" t="str">
        <f>HYPERLINK("https://n.news.naver.com/mnews/article/052/0000529082?sid=102")</f>
        <v>https://n.news.naver.com/mnews/article/052/0000529082?sid=102</v>
      </c>
      <c r="H2985">
        <v>0.20399999999999999</v>
      </c>
    </row>
    <row r="2986" spans="1:8" x14ac:dyDescent="0.3">
      <c r="A2986" t="s">
        <v>7559</v>
      </c>
      <c r="B2986" t="s">
        <v>26951</v>
      </c>
      <c r="C2986" t="s">
        <v>7588</v>
      </c>
      <c r="D2986" t="s">
        <v>7587</v>
      </c>
      <c r="E2986" s="2" t="s">
        <v>502</v>
      </c>
      <c r="F2986" t="s">
        <v>7586</v>
      </c>
      <c r="G2986" t="str">
        <f>HYPERLINK("http://www.opinionnews.co.kr/news/articleView.html?idxno=90715")</f>
        <v>http://www.opinionnews.co.kr/news/articleView.html?idxno=90715</v>
      </c>
      <c r="H2986">
        <v>0.59099999999999997</v>
      </c>
    </row>
    <row r="2987" spans="1:8" x14ac:dyDescent="0.3">
      <c r="A2987" t="s">
        <v>7559</v>
      </c>
      <c r="B2987" t="s">
        <v>26951</v>
      </c>
      <c r="C2987" t="s">
        <v>7591</v>
      </c>
      <c r="D2987" t="s">
        <v>7590</v>
      </c>
      <c r="E2987" s="2" t="s">
        <v>502</v>
      </c>
      <c r="F2987" t="s">
        <v>7589</v>
      </c>
      <c r="G2987" t="str">
        <f>HYPERLINK("http://www.hansbiz.co.kr/news/articleView.html?idxno=758159")</f>
        <v>http://www.hansbiz.co.kr/news/articleView.html?idxno=758159</v>
      </c>
      <c r="H2987">
        <v>0.57599999999999996</v>
      </c>
    </row>
    <row r="2988" spans="1:8" x14ac:dyDescent="0.3">
      <c r="A2988" t="s">
        <v>7559</v>
      </c>
      <c r="B2988" t="s">
        <v>26951</v>
      </c>
      <c r="C2988" t="s">
        <v>7594</v>
      </c>
      <c r="D2988" t="s">
        <v>7593</v>
      </c>
      <c r="E2988" s="2" t="s">
        <v>502</v>
      </c>
      <c r="F2988" t="s">
        <v>7592</v>
      </c>
      <c r="G2988" t="str">
        <f>HYPERLINK("https://n.news.naver.com/mnews/article/052/0002200739?sid=101")</f>
        <v>https://n.news.naver.com/mnews/article/052/0002200739?sid=101</v>
      </c>
      <c r="H2988">
        <v>7.2999999999999995E-2</v>
      </c>
    </row>
    <row r="2989" spans="1:8" x14ac:dyDescent="0.3">
      <c r="A2989" t="s">
        <v>7559</v>
      </c>
      <c r="B2989" t="s">
        <v>26951</v>
      </c>
      <c r="C2989" t="s">
        <v>7597</v>
      </c>
      <c r="D2989" t="s">
        <v>7596</v>
      </c>
      <c r="E2989" s="2" t="s">
        <v>502</v>
      </c>
      <c r="F2989" t="s">
        <v>7595</v>
      </c>
      <c r="G2989" t="str">
        <f>HYPERLINK("https://www.etoday.co.kr/news/view/2481008")</f>
        <v>https://www.etoday.co.kr/news/view/2481008</v>
      </c>
      <c r="H2989">
        <v>0.49099999999999999</v>
      </c>
    </row>
    <row r="2990" spans="1:8" x14ac:dyDescent="0.3">
      <c r="A2990" t="s">
        <v>7559</v>
      </c>
      <c r="B2990" t="s">
        <v>26951</v>
      </c>
      <c r="C2990" t="s">
        <v>7599</v>
      </c>
      <c r="D2990" t="s">
        <v>7598</v>
      </c>
      <c r="E2990" s="2" t="s">
        <v>517</v>
      </c>
      <c r="F2990" t="s">
        <v>1210</v>
      </c>
      <c r="G2990" t="str">
        <f>HYPERLINK("http://www.safetimes.co.kr/news/articleView.html?idxno=210373")</f>
        <v>http://www.safetimes.co.kr/news/articleView.html?idxno=210373</v>
      </c>
      <c r="H2990">
        <v>8.4000000000000005E-2</v>
      </c>
    </row>
    <row r="2991" spans="1:8" x14ac:dyDescent="0.3">
      <c r="A2991" t="s">
        <v>7559</v>
      </c>
      <c r="B2991" t="s">
        <v>26951</v>
      </c>
      <c r="C2991" t="s">
        <v>7601</v>
      </c>
      <c r="D2991" t="s">
        <v>7600</v>
      </c>
      <c r="E2991" s="2" t="s">
        <v>517</v>
      </c>
      <c r="F2991" t="s">
        <v>7562</v>
      </c>
      <c r="G2991" t="str">
        <f>HYPERLINK("https://n.news.naver.com/mnews/article/052/0002212604?sid=101")</f>
        <v>https://n.news.naver.com/mnews/article/052/0002212604?sid=101</v>
      </c>
      <c r="H2991">
        <v>0.23</v>
      </c>
    </row>
    <row r="2992" spans="1:8" x14ac:dyDescent="0.3">
      <c r="A2992" t="s">
        <v>7559</v>
      </c>
      <c r="B2992" t="s">
        <v>26951</v>
      </c>
      <c r="C2992" t="s">
        <v>7605</v>
      </c>
      <c r="D2992" t="s">
        <v>7604</v>
      </c>
      <c r="E2992" s="2" t="s">
        <v>517</v>
      </c>
      <c r="F2992" t="s">
        <v>7603</v>
      </c>
      <c r="G2992" t="str">
        <f>HYPERLINK("https://n.news.naver.com/mnews/article/052/0002205024?sid=102")</f>
        <v>https://n.news.naver.com/mnews/article/052/0002205024?sid=102</v>
      </c>
      <c r="H2992">
        <v>6.2E-2</v>
      </c>
    </row>
    <row r="2993" spans="1:8" x14ac:dyDescent="0.3">
      <c r="A2993" t="s">
        <v>7559</v>
      </c>
      <c r="B2993" t="s">
        <v>26951</v>
      </c>
      <c r="C2993" t="s">
        <v>7608</v>
      </c>
      <c r="D2993" t="s">
        <v>7607</v>
      </c>
      <c r="E2993" s="2" t="s">
        <v>517</v>
      </c>
      <c r="F2993" t="s">
        <v>7606</v>
      </c>
      <c r="G2993" t="str">
        <f>HYPERLINK("http://www.ziksir.com/ziksir/view/8804")</f>
        <v>http://www.ziksir.com/ziksir/view/8804</v>
      </c>
      <c r="H2993">
        <v>0.64800000000000002</v>
      </c>
    </row>
    <row r="2994" spans="1:8" x14ac:dyDescent="0.3">
      <c r="A2994" t="s">
        <v>7559</v>
      </c>
      <c r="B2994" t="s">
        <v>26951</v>
      </c>
      <c r="C2994" t="s">
        <v>7611</v>
      </c>
      <c r="D2994" t="s">
        <v>7610</v>
      </c>
      <c r="E2994" s="2" t="s">
        <v>517</v>
      </c>
      <c r="F2994" t="s">
        <v>7609</v>
      </c>
      <c r="G2994" t="str">
        <f>HYPERLINK("https://n.news.naver.com/mnews/article/022/0003979024?sid=102")</f>
        <v>https://n.news.naver.com/mnews/article/022/0003979024?sid=102</v>
      </c>
      <c r="H2994">
        <v>0.35099999999999998</v>
      </c>
    </row>
    <row r="2995" spans="1:8" x14ac:dyDescent="0.3">
      <c r="A2995" t="s">
        <v>7559</v>
      </c>
      <c r="B2995" t="s">
        <v>26951</v>
      </c>
      <c r="C2995" t="s">
        <v>7614</v>
      </c>
      <c r="D2995" t="s">
        <v>7613</v>
      </c>
      <c r="E2995" s="2" t="s">
        <v>517</v>
      </c>
      <c r="F2995" t="s">
        <v>7612</v>
      </c>
      <c r="G2995" t="str">
        <f>HYPERLINK("https://n.news.naver.com/mnews/article/006/0000129982?sid=102")</f>
        <v>https://n.news.naver.com/mnews/article/006/0000129982?sid=102</v>
      </c>
      <c r="H2995">
        <v>0.38100000000000001</v>
      </c>
    </row>
    <row r="2996" spans="1:8" x14ac:dyDescent="0.3">
      <c r="A2996" t="s">
        <v>7559</v>
      </c>
      <c r="B2996" t="s">
        <v>26951</v>
      </c>
      <c r="C2996" t="s">
        <v>7617</v>
      </c>
      <c r="D2996" t="s">
        <v>7616</v>
      </c>
      <c r="E2996" s="2" t="s">
        <v>517</v>
      </c>
      <c r="F2996" t="s">
        <v>7615</v>
      </c>
      <c r="G2996" t="str">
        <f>HYPERLINK("https://n.news.naver.com/mnews/article/052/0001167923?sid=104")</f>
        <v>https://n.news.naver.com/mnews/article/052/0001167923?sid=104</v>
      </c>
      <c r="H2996">
        <v>0.21299999999999999</v>
      </c>
    </row>
    <row r="2997" spans="1:8" x14ac:dyDescent="0.3">
      <c r="A2997" t="s">
        <v>7559</v>
      </c>
      <c r="B2997" t="s">
        <v>26951</v>
      </c>
      <c r="C2997" t="s">
        <v>7620</v>
      </c>
      <c r="D2997" t="s">
        <v>7619</v>
      </c>
      <c r="E2997" s="2" t="s">
        <v>517</v>
      </c>
      <c r="F2997" t="s">
        <v>7618</v>
      </c>
      <c r="G2997" t="str">
        <f>HYPERLINK("https://n.news.naver.com/mnews/article/052/0002023193?sid=104")</f>
        <v>https://n.news.naver.com/mnews/article/052/0002023193?sid=104</v>
      </c>
      <c r="H2997">
        <v>0.20599999999999999</v>
      </c>
    </row>
    <row r="2998" spans="1:8" x14ac:dyDescent="0.3">
      <c r="A2998" t="s">
        <v>7559</v>
      </c>
      <c r="B2998" t="s">
        <v>26951</v>
      </c>
      <c r="C2998" t="s">
        <v>7623</v>
      </c>
      <c r="D2998" t="s">
        <v>7622</v>
      </c>
      <c r="E2998" s="2" t="s">
        <v>517</v>
      </c>
      <c r="F2998" t="s">
        <v>7621</v>
      </c>
      <c r="G2998" t="str">
        <f>HYPERLINK("https://www.laborplus.co.kr/news/articleView.html?idxno=35845")</f>
        <v>https://www.laborplus.co.kr/news/articleView.html?idxno=35845</v>
      </c>
      <c r="H2998">
        <v>0.23100000000000001</v>
      </c>
    </row>
    <row r="2999" spans="1:8" x14ac:dyDescent="0.3">
      <c r="A2999" t="s">
        <v>7559</v>
      </c>
      <c r="B2999" t="s">
        <v>26951</v>
      </c>
      <c r="C2999" t="s">
        <v>7626</v>
      </c>
      <c r="D2999" t="s">
        <v>7625</v>
      </c>
      <c r="E2999" s="2" t="s">
        <v>517</v>
      </c>
      <c r="F2999" t="s">
        <v>7624</v>
      </c>
      <c r="G2999" t="str">
        <f>HYPERLINK("https://science.ytn.co.kr/program/view.php?mcd=0082&amp;hcd=&amp;key=202506131105593825")</f>
        <v>https://science.ytn.co.kr/program/view.php?mcd=0082&amp;hcd=&amp;key=202506131105593825</v>
      </c>
      <c r="H2999">
        <v>6.0999999999999999E-2</v>
      </c>
    </row>
    <row r="3000" spans="1:8" x14ac:dyDescent="0.3">
      <c r="A3000" t="s">
        <v>7559</v>
      </c>
      <c r="B3000" t="s">
        <v>26951</v>
      </c>
      <c r="C3000" t="s">
        <v>7629</v>
      </c>
      <c r="D3000" t="s">
        <v>7628</v>
      </c>
      <c r="E3000" s="2" t="s">
        <v>517</v>
      </c>
      <c r="F3000" t="s">
        <v>7627</v>
      </c>
      <c r="G3000" t="str">
        <f>HYPERLINK("https://www.apnews.kr/news/articleView.html?idxno=3028169")</f>
        <v>https://www.apnews.kr/news/articleView.html?idxno=3028169</v>
      </c>
      <c r="H3000">
        <v>0.21199999999999999</v>
      </c>
    </row>
    <row r="3001" spans="1:8" x14ac:dyDescent="0.3">
      <c r="A3001" t="s">
        <v>7559</v>
      </c>
      <c r="B3001" t="s">
        <v>26951</v>
      </c>
      <c r="C3001" t="s">
        <v>7632</v>
      </c>
      <c r="D3001" t="s">
        <v>7631</v>
      </c>
      <c r="E3001" s="2" t="s">
        <v>517</v>
      </c>
      <c r="F3001" t="s">
        <v>7630</v>
      </c>
      <c r="G3001" t="str">
        <f>HYPERLINK("https://n.news.naver.com/mnews/article/052/0002213014?sid=102")</f>
        <v>https://n.news.naver.com/mnews/article/052/0002213014?sid=102</v>
      </c>
      <c r="H3001">
        <v>0.24199999999999999</v>
      </c>
    </row>
    <row r="3002" spans="1:8" x14ac:dyDescent="0.3">
      <c r="A3002" t="s">
        <v>7559</v>
      </c>
      <c r="B3002" t="s">
        <v>26951</v>
      </c>
      <c r="C3002" t="s">
        <v>7634</v>
      </c>
      <c r="D3002" t="s">
        <v>7633</v>
      </c>
      <c r="E3002" s="2" t="s">
        <v>517</v>
      </c>
      <c r="F3002" t="s">
        <v>7618</v>
      </c>
      <c r="G3002" t="str">
        <f>HYPERLINK("https://n.news.naver.com/mnews/article/052/0002205133?sid=102")</f>
        <v>https://n.news.naver.com/mnews/article/052/0002205133?sid=102</v>
      </c>
      <c r="H3002">
        <v>0.20300000000000001</v>
      </c>
    </row>
    <row r="3003" spans="1:8" x14ac:dyDescent="0.3">
      <c r="A3003" t="s">
        <v>7559</v>
      </c>
      <c r="B3003" t="s">
        <v>26951</v>
      </c>
      <c r="C3003" t="s">
        <v>7637</v>
      </c>
      <c r="D3003" t="s">
        <v>7636</v>
      </c>
      <c r="E3003" s="2" t="s">
        <v>517</v>
      </c>
      <c r="F3003" t="s">
        <v>7635</v>
      </c>
      <c r="G3003" t="str">
        <f>HYPERLINK("https://www.apnews.kr/news/articleView.html?idxno=3028169")</f>
        <v>https://www.apnews.kr/news/articleView.html?idxno=3028169</v>
      </c>
      <c r="H3003">
        <v>0.30299999999999999</v>
      </c>
    </row>
    <row r="3004" spans="1:8" x14ac:dyDescent="0.3">
      <c r="A3004" t="s">
        <v>7559</v>
      </c>
      <c r="B3004" t="s">
        <v>26951</v>
      </c>
      <c r="C3004" t="s">
        <v>7639</v>
      </c>
      <c r="D3004" t="s">
        <v>7638</v>
      </c>
      <c r="E3004" s="2" t="s">
        <v>517</v>
      </c>
      <c r="F3004" t="s">
        <v>2483</v>
      </c>
      <c r="G3004" t="str">
        <f>HYPERLINK("https://n.news.naver.com/mnews/article/081/0003553928?sid=102")</f>
        <v>https://n.news.naver.com/mnews/article/081/0003553928?sid=102</v>
      </c>
      <c r="H3004">
        <v>0.24199999999999999</v>
      </c>
    </row>
    <row r="3005" spans="1:8" x14ac:dyDescent="0.3">
      <c r="A3005" t="s">
        <v>7559</v>
      </c>
      <c r="B3005" t="s">
        <v>26951</v>
      </c>
      <c r="C3005" t="s">
        <v>7642</v>
      </c>
      <c r="D3005" t="s">
        <v>7641</v>
      </c>
      <c r="E3005" s="2" t="s">
        <v>517</v>
      </c>
      <c r="F3005" t="s">
        <v>7640</v>
      </c>
      <c r="G3005" t="str">
        <f>HYPERLINK("http://www.outdoornews.co.kr/news/articleView.html?idxno=31741")</f>
        <v>http://www.outdoornews.co.kr/news/articleView.html?idxno=31741</v>
      </c>
      <c r="H3005">
        <v>0.186</v>
      </c>
    </row>
    <row r="3006" spans="1:8" x14ac:dyDescent="0.3">
      <c r="A3006" t="s">
        <v>7559</v>
      </c>
      <c r="B3006" t="s">
        <v>26951</v>
      </c>
      <c r="C3006" t="s">
        <v>7644</v>
      </c>
      <c r="D3006" t="s">
        <v>7643</v>
      </c>
      <c r="E3006" s="2" t="s">
        <v>538</v>
      </c>
      <c r="F3006" t="s">
        <v>197</v>
      </c>
      <c r="G3006" t="str">
        <f>HYPERLINK("http://www.sisafocus.co.kr/news/articleView.html?idxno=341675")</f>
        <v>http://www.sisafocus.co.kr/news/articleView.html?idxno=341675</v>
      </c>
      <c r="H3006">
        <v>0.57499999999999996</v>
      </c>
    </row>
    <row r="3007" spans="1:8" x14ac:dyDescent="0.3">
      <c r="A3007" t="s">
        <v>7559</v>
      </c>
      <c r="B3007" t="s">
        <v>26951</v>
      </c>
      <c r="C3007" t="s">
        <v>7646</v>
      </c>
      <c r="D3007" t="s">
        <v>7645</v>
      </c>
      <c r="E3007" s="2" t="s">
        <v>538</v>
      </c>
      <c r="F3007" t="s">
        <v>7562</v>
      </c>
      <c r="G3007" t="str">
        <f>HYPERLINK("https://n.news.naver.com/mnews/article/052/0002123624?sid=101")</f>
        <v>https://n.news.naver.com/mnews/article/052/0002123624?sid=101</v>
      </c>
      <c r="H3007">
        <v>0.24199999999999999</v>
      </c>
    </row>
    <row r="3008" spans="1:8" x14ac:dyDescent="0.3">
      <c r="A3008" t="s">
        <v>7559</v>
      </c>
      <c r="B3008" t="s">
        <v>26951</v>
      </c>
      <c r="C3008" t="s">
        <v>7649</v>
      </c>
      <c r="D3008" t="s">
        <v>7648</v>
      </c>
      <c r="E3008" s="2" t="s">
        <v>538</v>
      </c>
      <c r="F3008" t="s">
        <v>7647</v>
      </c>
      <c r="G3008" t="str">
        <f>HYPERLINK("http://www.mhj21.com/167457")</f>
        <v>http://www.mhj21.com/167457</v>
      </c>
      <c r="H3008">
        <v>0.44800000000000001</v>
      </c>
    </row>
    <row r="3009" spans="1:8" x14ac:dyDescent="0.3">
      <c r="A3009" t="s">
        <v>7559</v>
      </c>
      <c r="B3009" t="s">
        <v>26951</v>
      </c>
      <c r="C3009" t="s">
        <v>7652</v>
      </c>
      <c r="D3009" t="s">
        <v>7651</v>
      </c>
      <c r="E3009" s="2" t="s">
        <v>538</v>
      </c>
      <c r="F3009" t="s">
        <v>7650</v>
      </c>
      <c r="G3009" t="str">
        <f>HYPERLINK("http://www.readersnews.com/news/articleView.html?idxno=113755")</f>
        <v>http://www.readersnews.com/news/articleView.html?idxno=113755</v>
      </c>
      <c r="H3009">
        <v>0.66700000000000004</v>
      </c>
    </row>
    <row r="3010" spans="1:8" x14ac:dyDescent="0.3">
      <c r="A3010" t="s">
        <v>7559</v>
      </c>
      <c r="B3010" t="s">
        <v>26951</v>
      </c>
      <c r="C3010" t="s">
        <v>7655</v>
      </c>
      <c r="D3010" t="s">
        <v>7654</v>
      </c>
      <c r="E3010" s="2" t="s">
        <v>538</v>
      </c>
      <c r="F3010" t="s">
        <v>7653</v>
      </c>
      <c r="G3010" t="str">
        <f>HYPERLINK("http://www.e2news.com/news/articleView.html?idxno=304905")</f>
        <v>http://www.e2news.com/news/articleView.html?idxno=304905</v>
      </c>
      <c r="H3010">
        <v>0.28899999999999998</v>
      </c>
    </row>
    <row r="3011" spans="1:8" x14ac:dyDescent="0.3">
      <c r="A3011" t="s">
        <v>7559</v>
      </c>
      <c r="B3011" t="s">
        <v>26951</v>
      </c>
      <c r="C3011" t="s">
        <v>7658</v>
      </c>
      <c r="D3011" t="s">
        <v>7657</v>
      </c>
      <c r="E3011" s="2" t="s">
        <v>538</v>
      </c>
      <c r="F3011" t="s">
        <v>7656</v>
      </c>
      <c r="G3011" t="str">
        <f>HYPERLINK("http://www.kbiznews.co.kr/news/articleView.html?idxno=103707")</f>
        <v>http://www.kbiznews.co.kr/news/articleView.html?idxno=103707</v>
      </c>
      <c r="H3011">
        <v>0.46899999999999997</v>
      </c>
    </row>
    <row r="3012" spans="1:8" x14ac:dyDescent="0.3">
      <c r="A3012" t="s">
        <v>7559</v>
      </c>
      <c r="B3012" t="s">
        <v>26951</v>
      </c>
      <c r="C3012" t="s">
        <v>7660</v>
      </c>
      <c r="D3012" t="s">
        <v>7659</v>
      </c>
      <c r="E3012" s="2" t="s">
        <v>538</v>
      </c>
      <c r="F3012" t="s">
        <v>1327</v>
      </c>
      <c r="G3012" t="str">
        <f>HYPERLINK("https://www.danbinews.com/news/articleView.html?idxno=30758")</f>
        <v>https://www.danbinews.com/news/articleView.html?idxno=30758</v>
      </c>
      <c r="H3012">
        <v>0.40699999999999997</v>
      </c>
    </row>
    <row r="3013" spans="1:8" x14ac:dyDescent="0.3">
      <c r="A3013" t="s">
        <v>7559</v>
      </c>
      <c r="B3013" t="s">
        <v>26951</v>
      </c>
      <c r="C3013" t="s">
        <v>7662</v>
      </c>
      <c r="D3013" t="s">
        <v>7661</v>
      </c>
      <c r="E3013" s="2" t="s">
        <v>538</v>
      </c>
      <c r="F3013" t="s">
        <v>7621</v>
      </c>
      <c r="G3013" t="str">
        <f>HYPERLINK("https://www.laborplus.co.kr/news/articleView.html?idxno=35845")</f>
        <v>https://www.laborplus.co.kr/news/articleView.html?idxno=35845</v>
      </c>
      <c r="H3013">
        <v>0.20399999999999999</v>
      </c>
    </row>
    <row r="3014" spans="1:8" x14ac:dyDescent="0.3">
      <c r="A3014" t="s">
        <v>7559</v>
      </c>
      <c r="B3014" t="s">
        <v>26951</v>
      </c>
      <c r="C3014" t="s">
        <v>7664</v>
      </c>
      <c r="D3014" t="s">
        <v>7663</v>
      </c>
      <c r="E3014" s="2" t="s">
        <v>538</v>
      </c>
      <c r="F3014" t="s">
        <v>898</v>
      </c>
      <c r="G3014" t="str">
        <f>HYPERLINK("https://www.apnews.kr/news/articleView.html?idxno=3029666")</f>
        <v>https://www.apnews.kr/news/articleView.html?idxno=3029666</v>
      </c>
      <c r="H3014">
        <v>0.67700000000000005</v>
      </c>
    </row>
    <row r="3015" spans="1:8" x14ac:dyDescent="0.3">
      <c r="A3015" t="s">
        <v>7559</v>
      </c>
      <c r="B3015" t="s">
        <v>26951</v>
      </c>
      <c r="C3015" t="s">
        <v>7667</v>
      </c>
      <c r="D3015" t="s">
        <v>7666</v>
      </c>
      <c r="E3015" s="2" t="s">
        <v>538</v>
      </c>
      <c r="F3015" t="s">
        <v>7665</v>
      </c>
      <c r="G3015" t="str">
        <f>HYPERLINK("http://www.m-economynews.com/news/article.html?no=15245")</f>
        <v>http://www.m-economynews.com/news/article.html?no=15245</v>
      </c>
      <c r="H3015">
        <v>0.54300000000000004</v>
      </c>
    </row>
    <row r="3016" spans="1:8" x14ac:dyDescent="0.3">
      <c r="A3016" t="s">
        <v>7559</v>
      </c>
      <c r="B3016" t="s">
        <v>26951</v>
      </c>
      <c r="C3016" t="s">
        <v>7669</v>
      </c>
      <c r="D3016" t="s">
        <v>7668</v>
      </c>
      <c r="E3016" s="2" t="s">
        <v>572</v>
      </c>
      <c r="F3016" t="s">
        <v>7562</v>
      </c>
      <c r="G3016" t="str">
        <f>HYPERLINK("https://n.news.naver.com/mnews/article/052/0002189768?sid=101")</f>
        <v>https://n.news.naver.com/mnews/article/052/0002189768?sid=101</v>
      </c>
      <c r="H3016">
        <v>0.23599999999999999</v>
      </c>
    </row>
    <row r="3017" spans="1:8" x14ac:dyDescent="0.3">
      <c r="A3017" t="s">
        <v>7559</v>
      </c>
      <c r="B3017" t="s">
        <v>26951</v>
      </c>
      <c r="C3017" t="s">
        <v>7672</v>
      </c>
      <c r="D3017" t="s">
        <v>7671</v>
      </c>
      <c r="E3017" s="2" t="s">
        <v>572</v>
      </c>
      <c r="F3017" t="s">
        <v>7670</v>
      </c>
      <c r="G3017" t="str">
        <f>HYPERLINK("https://www.huffingtonpost.kr/news/articleView.html?idxno=236770")</f>
        <v>https://www.huffingtonpost.kr/news/articleView.html?idxno=236770</v>
      </c>
      <c r="H3017">
        <v>0.41699999999999998</v>
      </c>
    </row>
    <row r="3018" spans="1:8" x14ac:dyDescent="0.3">
      <c r="A3018" t="s">
        <v>7559</v>
      </c>
      <c r="B3018" t="s">
        <v>26951</v>
      </c>
      <c r="C3018" t="s">
        <v>7675</v>
      </c>
      <c r="D3018" t="s">
        <v>7674</v>
      </c>
      <c r="E3018" s="2" t="s">
        <v>572</v>
      </c>
      <c r="F3018" t="s">
        <v>7673</v>
      </c>
      <c r="G3018" t="str">
        <f>HYPERLINK("https://www.ntoday.co.kr/news/articleView.html?idxno=105261")</f>
        <v>https://www.ntoday.co.kr/news/articleView.html?idxno=105261</v>
      </c>
      <c r="H3018">
        <v>0.58899999999999997</v>
      </c>
    </row>
    <row r="3019" spans="1:8" x14ac:dyDescent="0.3">
      <c r="A3019" t="s">
        <v>7559</v>
      </c>
      <c r="B3019" t="s">
        <v>26951</v>
      </c>
      <c r="C3019" t="s">
        <v>7677</v>
      </c>
      <c r="D3019" t="s">
        <v>7676</v>
      </c>
      <c r="E3019" s="2" t="s">
        <v>572</v>
      </c>
      <c r="F3019" t="s">
        <v>3934</v>
      </c>
      <c r="G3019" t="str">
        <f>HYPERLINK("https://www.ntoday.co.kr/news/articleView.html?idxno=105261")</f>
        <v>https://www.ntoday.co.kr/news/articleView.html?idxno=105261</v>
      </c>
      <c r="H3019">
        <v>0.495</v>
      </c>
    </row>
    <row r="3020" spans="1:8" x14ac:dyDescent="0.3">
      <c r="A3020" t="s">
        <v>7559</v>
      </c>
      <c r="B3020" t="s">
        <v>26951</v>
      </c>
      <c r="C3020" t="s">
        <v>7680</v>
      </c>
      <c r="D3020" t="s">
        <v>7679</v>
      </c>
      <c r="E3020" s="2" t="s">
        <v>572</v>
      </c>
      <c r="F3020" t="s">
        <v>7678</v>
      </c>
      <c r="G3020" t="str">
        <f>HYPERLINK("https://www.thekpm.com/news/articleView.html?idxno=170714")</f>
        <v>https://www.thekpm.com/news/articleView.html?idxno=170714</v>
      </c>
      <c r="H3020">
        <v>0.223</v>
      </c>
    </row>
    <row r="3021" spans="1:8" x14ac:dyDescent="0.3">
      <c r="A3021" t="s">
        <v>7559</v>
      </c>
      <c r="B3021" t="s">
        <v>26951</v>
      </c>
      <c r="C3021" t="s">
        <v>7682</v>
      </c>
      <c r="D3021" t="s">
        <v>7681</v>
      </c>
      <c r="E3021" s="2" t="s">
        <v>572</v>
      </c>
      <c r="F3021" t="s">
        <v>3879</v>
      </c>
      <c r="G3021" t="str">
        <f>HYPERLINK("https://n.news.naver.com/mnews/article/052/0002198760?sid=100")</f>
        <v>https://n.news.naver.com/mnews/article/052/0002198760?sid=100</v>
      </c>
      <c r="H3021">
        <v>0.24399999999999999</v>
      </c>
    </row>
    <row r="3022" spans="1:8" x14ac:dyDescent="0.3">
      <c r="A3022" t="s">
        <v>7559</v>
      </c>
      <c r="B3022" t="s">
        <v>26951</v>
      </c>
      <c r="C3022" t="s">
        <v>7684</v>
      </c>
      <c r="D3022" t="s">
        <v>7683</v>
      </c>
      <c r="E3022" s="2" t="s">
        <v>572</v>
      </c>
      <c r="F3022" t="s">
        <v>1327</v>
      </c>
      <c r="G3022" t="str">
        <f>HYPERLINK("https://n.news.naver.com/mnews/article/008/0005213644?sid=101")</f>
        <v>https://n.news.naver.com/mnews/article/008/0005213644?sid=101</v>
      </c>
      <c r="H3022">
        <v>0.27900000000000003</v>
      </c>
    </row>
    <row r="3023" spans="1:8" x14ac:dyDescent="0.3">
      <c r="A3023" t="s">
        <v>7559</v>
      </c>
      <c r="B3023" t="s">
        <v>26951</v>
      </c>
      <c r="C3023" t="s">
        <v>7686</v>
      </c>
      <c r="D3023" t="s">
        <v>7685</v>
      </c>
      <c r="E3023" s="2" t="s">
        <v>572</v>
      </c>
      <c r="F3023" t="s">
        <v>3420</v>
      </c>
      <c r="G3023" t="str">
        <f>HYPERLINK("https://www.ilyoseoul.co.kr/news/articleView.html?idxno=503968")</f>
        <v>https://www.ilyoseoul.co.kr/news/articleView.html?idxno=503968</v>
      </c>
      <c r="H3023">
        <v>0.75</v>
      </c>
    </row>
    <row r="3024" spans="1:8" x14ac:dyDescent="0.3">
      <c r="A3024" t="s">
        <v>7559</v>
      </c>
      <c r="B3024" t="s">
        <v>26951</v>
      </c>
      <c r="C3024" t="s">
        <v>7689</v>
      </c>
      <c r="D3024" t="s">
        <v>7688</v>
      </c>
      <c r="E3024" s="2" t="s">
        <v>572</v>
      </c>
      <c r="F3024" t="s">
        <v>7687</v>
      </c>
      <c r="G3024" t="str">
        <f>HYPERLINK("http://www.veritas-a.com/news/articleView.html?idxno=557968")</f>
        <v>http://www.veritas-a.com/news/articleView.html?idxno=557968</v>
      </c>
      <c r="H3024">
        <v>0.623</v>
      </c>
    </row>
    <row r="3025" spans="1:8" x14ac:dyDescent="0.3">
      <c r="A3025" t="s">
        <v>7559</v>
      </c>
      <c r="B3025" t="s">
        <v>26951</v>
      </c>
      <c r="C3025" t="s">
        <v>7692</v>
      </c>
      <c r="D3025" t="s">
        <v>7691</v>
      </c>
      <c r="E3025" s="2" t="s">
        <v>572</v>
      </c>
      <c r="F3025" t="s">
        <v>7690</v>
      </c>
      <c r="G3025" t="str">
        <f>HYPERLINK("https://www.etoday.co.kr/news/view/2482983")</f>
        <v>https://www.etoday.co.kr/news/view/2482983</v>
      </c>
      <c r="H3025">
        <v>0.26500000000000001</v>
      </c>
    </row>
    <row r="3026" spans="1:8" x14ac:dyDescent="0.3">
      <c r="A3026" t="s">
        <v>7559</v>
      </c>
      <c r="B3026" t="s">
        <v>26951</v>
      </c>
      <c r="C3026" t="s">
        <v>7695</v>
      </c>
      <c r="D3026" t="s">
        <v>7694</v>
      </c>
      <c r="E3026" s="2" t="s">
        <v>609</v>
      </c>
      <c r="F3026" t="s">
        <v>7693</v>
      </c>
      <c r="G3026" t="str">
        <f>HYPERLINK("https://n.news.naver.com/mnews/article/052/0002161953?sid=102")</f>
        <v>https://n.news.naver.com/mnews/article/052/0002161953?sid=102</v>
      </c>
      <c r="H3026">
        <v>7.5999999999999998E-2</v>
      </c>
    </row>
    <row r="3027" spans="1:8" x14ac:dyDescent="0.3">
      <c r="A3027" t="s">
        <v>7559</v>
      </c>
      <c r="B3027" t="s">
        <v>26951</v>
      </c>
      <c r="C3027" t="s">
        <v>7697</v>
      </c>
      <c r="D3027" t="s">
        <v>7696</v>
      </c>
      <c r="E3027" s="2" t="s">
        <v>609</v>
      </c>
      <c r="F3027" t="s">
        <v>7562</v>
      </c>
      <c r="G3027" t="str">
        <f>HYPERLINK("https://www.viva100.com/article/20250610501427")</f>
        <v>https://www.viva100.com/article/20250610501427</v>
      </c>
      <c r="H3027">
        <v>0.26900000000000002</v>
      </c>
    </row>
    <row r="3028" spans="1:8" x14ac:dyDescent="0.3">
      <c r="A3028" t="s">
        <v>7559</v>
      </c>
      <c r="B3028" t="s">
        <v>26951</v>
      </c>
      <c r="C3028" t="s">
        <v>7699</v>
      </c>
      <c r="D3028" t="s">
        <v>7698</v>
      </c>
      <c r="E3028" s="2" t="s">
        <v>609</v>
      </c>
      <c r="F3028" t="s">
        <v>967</v>
      </c>
      <c r="G3028" t="str">
        <f>HYPERLINK("https://www.m-economynews.com/news/article.html?no=55508")</f>
        <v>https://www.m-economynews.com/news/article.html?no=55508</v>
      </c>
      <c r="H3028">
        <v>0.28899999999999998</v>
      </c>
    </row>
    <row r="3029" spans="1:8" x14ac:dyDescent="0.3">
      <c r="A3029" t="s">
        <v>7559</v>
      </c>
      <c r="B3029" t="s">
        <v>26951</v>
      </c>
      <c r="C3029" t="s">
        <v>7702</v>
      </c>
      <c r="D3029" t="s">
        <v>7701</v>
      </c>
      <c r="E3029" s="2" t="s">
        <v>609</v>
      </c>
      <c r="F3029" t="s">
        <v>7700</v>
      </c>
      <c r="G3029" t="str">
        <f>HYPERLINK("https://weekly.cnbnews.com/news/article.html?no=180981")</f>
        <v>https://weekly.cnbnews.com/news/article.html?no=180981</v>
      </c>
      <c r="H3029">
        <v>0.48599999999999999</v>
      </c>
    </row>
    <row r="3030" spans="1:8" x14ac:dyDescent="0.3">
      <c r="A3030" t="s">
        <v>7559</v>
      </c>
      <c r="B3030" t="s">
        <v>26951</v>
      </c>
      <c r="C3030" t="s">
        <v>7705</v>
      </c>
      <c r="D3030" t="s">
        <v>7704</v>
      </c>
      <c r="E3030" s="2" t="s">
        <v>609</v>
      </c>
      <c r="F3030" t="s">
        <v>7703</v>
      </c>
      <c r="G3030" t="str">
        <f>HYPERLINK("https://n.news.naver.com/mnews/article/052/0001705378?sid=103")</f>
        <v>https://n.news.naver.com/mnews/article/052/0001705378?sid=103</v>
      </c>
      <c r="H3030">
        <v>0.32500000000000001</v>
      </c>
    </row>
    <row r="3031" spans="1:8" x14ac:dyDescent="0.3">
      <c r="A3031" t="s">
        <v>7559</v>
      </c>
      <c r="B3031" t="s">
        <v>26951</v>
      </c>
      <c r="C3031" t="s">
        <v>7707</v>
      </c>
      <c r="D3031" t="s">
        <v>7706</v>
      </c>
      <c r="E3031" s="2" t="s">
        <v>609</v>
      </c>
      <c r="F3031" t="s">
        <v>148</v>
      </c>
      <c r="G3031" t="str">
        <f>HYPERLINK("https://n.news.naver.com/mnews/article/079/0004040312?sid=102")</f>
        <v>https://n.news.naver.com/mnews/article/079/0004040312?sid=102</v>
      </c>
      <c r="H3031">
        <v>0.156</v>
      </c>
    </row>
    <row r="3032" spans="1:8" x14ac:dyDescent="0.3">
      <c r="A3032" t="s">
        <v>7559</v>
      </c>
      <c r="B3032" t="s">
        <v>26951</v>
      </c>
      <c r="C3032" t="s">
        <v>7709</v>
      </c>
      <c r="D3032" t="s">
        <v>7708</v>
      </c>
      <c r="E3032" s="2" t="s">
        <v>609</v>
      </c>
      <c r="F3032" t="s">
        <v>588</v>
      </c>
      <c r="G3032" t="str">
        <f>HYPERLINK("https://n.news.naver.com/mnews/article/018/0006035784?sid=102")</f>
        <v>https://n.news.naver.com/mnews/article/018/0006035784?sid=102</v>
      </c>
      <c r="H3032">
        <v>0.36</v>
      </c>
    </row>
    <row r="3033" spans="1:8" x14ac:dyDescent="0.3">
      <c r="A3033" t="s">
        <v>7559</v>
      </c>
      <c r="B3033" t="s">
        <v>26951</v>
      </c>
      <c r="C3033" t="s">
        <v>7711</v>
      </c>
      <c r="D3033" t="s">
        <v>7710</v>
      </c>
      <c r="E3033" s="2" t="s">
        <v>609</v>
      </c>
      <c r="F3033" t="s">
        <v>4792</v>
      </c>
      <c r="G3033" t="str">
        <f>HYPERLINK("https://n.news.naver.com/mnews/article/018/0006036708?sid=100")</f>
        <v>https://n.news.naver.com/mnews/article/018/0006036708?sid=100</v>
      </c>
      <c r="H3033">
        <v>0.253</v>
      </c>
    </row>
    <row r="3034" spans="1:8" x14ac:dyDescent="0.3">
      <c r="A3034" t="s">
        <v>7559</v>
      </c>
      <c r="B3034" t="s">
        <v>26951</v>
      </c>
      <c r="C3034" t="s">
        <v>7713</v>
      </c>
      <c r="D3034" t="s">
        <v>7712</v>
      </c>
      <c r="E3034" s="2" t="s">
        <v>609</v>
      </c>
      <c r="F3034" t="s">
        <v>7640</v>
      </c>
      <c r="G3034" t="str">
        <f>HYPERLINK("https://n.news.naver.com/mnews/article/028/0002542769?sid=103")</f>
        <v>https://n.news.naver.com/mnews/article/028/0002542769?sid=103</v>
      </c>
      <c r="H3034">
        <v>0.248</v>
      </c>
    </row>
    <row r="3035" spans="1:8" x14ac:dyDescent="0.3">
      <c r="A3035" t="s">
        <v>7559</v>
      </c>
      <c r="B3035" t="s">
        <v>26951</v>
      </c>
      <c r="C3035" t="s">
        <v>7716</v>
      </c>
      <c r="D3035" t="s">
        <v>7715</v>
      </c>
      <c r="E3035" s="2" t="s">
        <v>609</v>
      </c>
      <c r="F3035" t="s">
        <v>7714</v>
      </c>
      <c r="G3035" t="str">
        <f>HYPERLINK("https://www.m-economynews.com/news/article.html?no=55508")</f>
        <v>https://www.m-economynews.com/news/article.html?no=55508</v>
      </c>
      <c r="H3035">
        <v>0.74299999999999999</v>
      </c>
    </row>
    <row r="3036" spans="1:8" x14ac:dyDescent="0.3">
      <c r="A3036" t="s">
        <v>7559</v>
      </c>
      <c r="B3036" t="s">
        <v>26951</v>
      </c>
      <c r="C3036" t="s">
        <v>7718</v>
      </c>
      <c r="D3036" t="s">
        <v>7717</v>
      </c>
      <c r="E3036" s="2" t="s">
        <v>609</v>
      </c>
      <c r="F3036" t="s">
        <v>1327</v>
      </c>
      <c r="G3036" t="str">
        <f>HYPERLINK("https://www.danbinews.com/news/articleView.html?idxno=30758")</f>
        <v>https://www.danbinews.com/news/articleView.html?idxno=30758</v>
      </c>
      <c r="H3036">
        <v>0.41599999999999998</v>
      </c>
    </row>
    <row r="3037" spans="1:8" x14ac:dyDescent="0.3">
      <c r="A3037" t="s">
        <v>7559</v>
      </c>
      <c r="B3037" t="s">
        <v>26951</v>
      </c>
      <c r="C3037" t="s">
        <v>7721</v>
      </c>
      <c r="D3037" t="s">
        <v>7720</v>
      </c>
      <c r="E3037" s="2" t="s">
        <v>609</v>
      </c>
      <c r="F3037" t="s">
        <v>7719</v>
      </c>
      <c r="G3037" t="str">
        <f>HYPERLINK("http://www.starnewsk.com/news/articleView.html?idxno=46991")</f>
        <v>http://www.starnewsk.com/news/articleView.html?idxno=46991</v>
      </c>
      <c r="H3037">
        <v>0.40899999999999997</v>
      </c>
    </row>
    <row r="3038" spans="1:8" x14ac:dyDescent="0.3">
      <c r="A3038" t="s">
        <v>7559</v>
      </c>
      <c r="B3038" t="s">
        <v>26951</v>
      </c>
      <c r="C3038" t="s">
        <v>7724</v>
      </c>
      <c r="D3038" t="s">
        <v>7723</v>
      </c>
      <c r="E3038" s="2" t="s">
        <v>609</v>
      </c>
      <c r="F3038" t="s">
        <v>7722</v>
      </c>
      <c r="G3038" t="str">
        <f>HYPERLINK("https://www.kgnews.co.kr/news/article.html?no=852623")</f>
        <v>https://www.kgnews.co.kr/news/article.html?no=852623</v>
      </c>
      <c r="H3038">
        <v>0.34499999999999997</v>
      </c>
    </row>
    <row r="3039" spans="1:8" x14ac:dyDescent="0.3">
      <c r="A3039" t="s">
        <v>7559</v>
      </c>
      <c r="B3039" t="s">
        <v>26951</v>
      </c>
      <c r="C3039" t="s">
        <v>7726</v>
      </c>
      <c r="D3039" t="s">
        <v>7725</v>
      </c>
      <c r="E3039" s="2" t="s">
        <v>609</v>
      </c>
      <c r="F3039" t="s">
        <v>7621</v>
      </c>
      <c r="G3039" t="str">
        <f>HYPERLINK("https://www.apnews.kr/news/articleView.html?idxno=3029960")</f>
        <v>https://www.apnews.kr/news/articleView.html?idxno=3029960</v>
      </c>
      <c r="H3039">
        <v>0.20899999999999999</v>
      </c>
    </row>
    <row r="3040" spans="1:8" x14ac:dyDescent="0.3">
      <c r="A3040" t="s">
        <v>7559</v>
      </c>
      <c r="B3040" t="s">
        <v>26951</v>
      </c>
      <c r="C3040" t="s">
        <v>7728</v>
      </c>
      <c r="D3040" t="s">
        <v>7727</v>
      </c>
      <c r="E3040" s="2" t="s">
        <v>609</v>
      </c>
      <c r="F3040" t="s">
        <v>373</v>
      </c>
      <c r="G3040" t="str">
        <f>HYPERLINK("http://www.newsmp.com/news/articleView.html?idxno=243010")</f>
        <v>http://www.newsmp.com/news/articleView.html?idxno=243010</v>
      </c>
      <c r="H3040">
        <v>0.65</v>
      </c>
    </row>
    <row r="3041" spans="1:8" x14ac:dyDescent="0.3">
      <c r="A3041" t="s">
        <v>7559</v>
      </c>
      <c r="B3041" t="s">
        <v>26951</v>
      </c>
      <c r="C3041" t="s">
        <v>7731</v>
      </c>
      <c r="D3041" t="s">
        <v>7730</v>
      </c>
      <c r="E3041" s="2" t="s">
        <v>609</v>
      </c>
      <c r="F3041" t="s">
        <v>7729</v>
      </c>
      <c r="G3041" t="str">
        <f>HYPERLINK("http://www.econonews.co.kr/news/articleView.html?idxno=391136")</f>
        <v>http://www.econonews.co.kr/news/articleView.html?idxno=391136</v>
      </c>
      <c r="H3041">
        <v>0.96599999999999997</v>
      </c>
    </row>
    <row r="3042" spans="1:8" x14ac:dyDescent="0.3">
      <c r="A3042" t="s">
        <v>7559</v>
      </c>
      <c r="B3042" t="s">
        <v>26951</v>
      </c>
      <c r="C3042" t="s">
        <v>7733</v>
      </c>
      <c r="D3042" t="s">
        <v>7732</v>
      </c>
      <c r="E3042" s="2" t="s">
        <v>609</v>
      </c>
      <c r="F3042" t="s">
        <v>7635</v>
      </c>
      <c r="G3042" t="str">
        <f>HYPERLINK("https://www.apnews.kr/news/articleView.html?idxno=3028169")</f>
        <v>https://www.apnews.kr/news/articleView.html?idxno=3028169</v>
      </c>
      <c r="H3042">
        <v>0.29299999999999998</v>
      </c>
    </row>
    <row r="3043" spans="1:8" x14ac:dyDescent="0.3">
      <c r="A3043" t="s">
        <v>7559</v>
      </c>
      <c r="B3043" t="s">
        <v>26951</v>
      </c>
      <c r="C3043" t="s">
        <v>7735</v>
      </c>
      <c r="D3043" t="s">
        <v>7734</v>
      </c>
      <c r="E3043" s="2" t="s">
        <v>609</v>
      </c>
      <c r="F3043" t="s">
        <v>898</v>
      </c>
      <c r="G3043" t="str">
        <f>HYPERLINK("https://www.danbinews.com/news/articleView.html?idxno=30758")</f>
        <v>https://www.danbinews.com/news/articleView.html?idxno=30758</v>
      </c>
      <c r="H3043">
        <v>0.65500000000000003</v>
      </c>
    </row>
    <row r="3044" spans="1:8" x14ac:dyDescent="0.3">
      <c r="A3044" t="s">
        <v>7559</v>
      </c>
      <c r="B3044" t="s">
        <v>26951</v>
      </c>
      <c r="C3044" t="s">
        <v>7738</v>
      </c>
      <c r="D3044" t="s">
        <v>7737</v>
      </c>
      <c r="E3044" s="2" t="s">
        <v>609</v>
      </c>
      <c r="F3044" t="s">
        <v>7736</v>
      </c>
      <c r="G3044" t="str">
        <f>HYPERLINK("https://www.foodneconomy.com/news/articleView.html?idxno=350612")</f>
        <v>https://www.foodneconomy.com/news/articleView.html?idxno=350612</v>
      </c>
      <c r="H3044">
        <v>0.21099999999999999</v>
      </c>
    </row>
    <row r="3045" spans="1:8" x14ac:dyDescent="0.3">
      <c r="A3045" t="s">
        <v>7559</v>
      </c>
      <c r="B3045" t="s">
        <v>26951</v>
      </c>
      <c r="C3045" t="s">
        <v>7740</v>
      </c>
      <c r="D3045" t="s">
        <v>7739</v>
      </c>
      <c r="E3045" s="2" t="s">
        <v>609</v>
      </c>
      <c r="F3045" t="s">
        <v>805</v>
      </c>
      <c r="G3045" t="str">
        <f>HYPERLINK("https://n.news.naver.com/mnews/article/052/0002203283?sid=102")</f>
        <v>https://n.news.naver.com/mnews/article/052/0002203283?sid=102</v>
      </c>
      <c r="H3045">
        <v>0.28299999999999997</v>
      </c>
    </row>
    <row r="3046" spans="1:8" x14ac:dyDescent="0.3">
      <c r="A3046" t="s">
        <v>7559</v>
      </c>
      <c r="B3046" t="s">
        <v>26951</v>
      </c>
      <c r="C3046" t="s">
        <v>7743</v>
      </c>
      <c r="D3046" t="s">
        <v>7742</v>
      </c>
      <c r="E3046" s="2" t="s">
        <v>653</v>
      </c>
      <c r="F3046" t="s">
        <v>7741</v>
      </c>
      <c r="G3046" t="str">
        <f>HYPERLINK("https://www.goodnews1.com/news/articleView.html?idxno=448457")</f>
        <v>https://www.goodnews1.com/news/articleView.html?idxno=448457</v>
      </c>
      <c r="H3046">
        <v>0.59199999999999997</v>
      </c>
    </row>
    <row r="3047" spans="1:8" x14ac:dyDescent="0.3">
      <c r="A3047" t="s">
        <v>7559</v>
      </c>
      <c r="B3047" t="s">
        <v>26951</v>
      </c>
      <c r="C3047" t="s">
        <v>7745</v>
      </c>
      <c r="D3047" t="s">
        <v>7744</v>
      </c>
      <c r="E3047" s="2" t="s">
        <v>653</v>
      </c>
      <c r="F3047" t="s">
        <v>7562</v>
      </c>
      <c r="G3047" t="str">
        <f>HYPERLINK("https://n.news.naver.com/mnews/article/052/0002192363?sid=104")</f>
        <v>https://n.news.naver.com/mnews/article/052/0002192363?sid=104</v>
      </c>
      <c r="H3047">
        <v>0.23300000000000001</v>
      </c>
    </row>
    <row r="3048" spans="1:8" x14ac:dyDescent="0.3">
      <c r="A3048" t="s">
        <v>7559</v>
      </c>
      <c r="B3048" t="s">
        <v>26951</v>
      </c>
      <c r="C3048" t="s">
        <v>7748</v>
      </c>
      <c r="D3048" t="s">
        <v>7747</v>
      </c>
      <c r="E3048" s="2" t="s">
        <v>653</v>
      </c>
      <c r="F3048" t="s">
        <v>7746</v>
      </c>
      <c r="G3048" t="str">
        <f>HYPERLINK("http://www.sisaon.co.kr/news/articleView.html?idxno=146635")</f>
        <v>http://www.sisaon.co.kr/news/articleView.html?idxno=146635</v>
      </c>
      <c r="H3048">
        <v>0.52700000000000002</v>
      </c>
    </row>
    <row r="3049" spans="1:8" x14ac:dyDescent="0.3">
      <c r="A3049" t="s">
        <v>7559</v>
      </c>
      <c r="B3049" t="s">
        <v>26951</v>
      </c>
      <c r="C3049" t="s">
        <v>7752</v>
      </c>
      <c r="D3049" t="s">
        <v>7751</v>
      </c>
      <c r="E3049" s="2" t="s">
        <v>653</v>
      </c>
      <c r="F3049" t="s">
        <v>7750</v>
      </c>
      <c r="G3049" t="str">
        <f>HYPERLINK("https://n.news.naver.com/mnews/article/052/0001959488?sid=102")</f>
        <v>https://n.news.naver.com/mnews/article/052/0001959488?sid=102</v>
      </c>
      <c r="H3049">
        <v>0.23799999999999999</v>
      </c>
    </row>
    <row r="3050" spans="1:8" x14ac:dyDescent="0.3">
      <c r="A3050" t="s">
        <v>7559</v>
      </c>
      <c r="B3050" t="s">
        <v>26951</v>
      </c>
      <c r="C3050" t="s">
        <v>7754</v>
      </c>
      <c r="D3050" t="s">
        <v>7753</v>
      </c>
      <c r="E3050" s="2" t="s">
        <v>653</v>
      </c>
      <c r="F3050" t="s">
        <v>89</v>
      </c>
      <c r="G3050" t="str">
        <f>HYPERLINK("https://n.news.naver.com/mnews/article/052/0002110678?sid=101")</f>
        <v>https://n.news.naver.com/mnews/article/052/0002110678?sid=101</v>
      </c>
      <c r="H3050">
        <v>0.315</v>
      </c>
    </row>
    <row r="3051" spans="1:8" x14ac:dyDescent="0.3">
      <c r="A3051" t="s">
        <v>7559</v>
      </c>
      <c r="B3051" t="s">
        <v>26951</v>
      </c>
      <c r="C3051" t="s">
        <v>7756</v>
      </c>
      <c r="D3051" t="s">
        <v>7755</v>
      </c>
      <c r="E3051" s="2" t="s">
        <v>653</v>
      </c>
      <c r="F3051" t="s">
        <v>4321</v>
      </c>
      <c r="G3051" t="str">
        <f>HYPERLINK("https://n.news.naver.com/mnews/article/018/0006033855?sid=102")</f>
        <v>https://n.news.naver.com/mnews/article/018/0006033855?sid=102</v>
      </c>
      <c r="H3051">
        <v>0.253</v>
      </c>
    </row>
    <row r="3052" spans="1:8" x14ac:dyDescent="0.3">
      <c r="A3052" t="s">
        <v>7559</v>
      </c>
      <c r="B3052" t="s">
        <v>26951</v>
      </c>
      <c r="C3052" t="s">
        <v>7759</v>
      </c>
      <c r="D3052" t="s">
        <v>7758</v>
      </c>
      <c r="E3052" s="2" t="s">
        <v>653</v>
      </c>
      <c r="F3052" t="s">
        <v>7757</v>
      </c>
      <c r="G3052" t="str">
        <f>HYPERLINK("https://n.news.naver.com/mnews/article/052/0001978209?sid=102")</f>
        <v>https://n.news.naver.com/mnews/article/052/0001978209?sid=102</v>
      </c>
      <c r="H3052">
        <v>0.23200000000000001</v>
      </c>
    </row>
    <row r="3053" spans="1:8" x14ac:dyDescent="0.3">
      <c r="A3053" t="s">
        <v>7559</v>
      </c>
      <c r="B3053" t="s">
        <v>26951</v>
      </c>
      <c r="C3053" t="s">
        <v>7760</v>
      </c>
      <c r="D3053" t="s">
        <v>7628</v>
      </c>
      <c r="E3053" s="2" t="s">
        <v>653</v>
      </c>
      <c r="F3053" t="s">
        <v>7627</v>
      </c>
      <c r="G3053" t="str">
        <f>HYPERLINK("https://www.apnews.kr/news/articleView.html?idxno=3028169")</f>
        <v>https://www.apnews.kr/news/articleView.html?idxno=3028169</v>
      </c>
      <c r="H3053">
        <v>0.223</v>
      </c>
    </row>
    <row r="3054" spans="1:8" x14ac:dyDescent="0.3">
      <c r="A3054" t="s">
        <v>7559</v>
      </c>
      <c r="B3054" t="s">
        <v>26951</v>
      </c>
      <c r="C3054" t="s">
        <v>7762</v>
      </c>
      <c r="D3054" t="s">
        <v>7761</v>
      </c>
      <c r="E3054" s="2" t="s">
        <v>653</v>
      </c>
      <c r="F3054" t="s">
        <v>7635</v>
      </c>
      <c r="G3054" t="str">
        <f>HYPERLINK("https://www.apnews.kr/news/articleView.html?idxno=3028169")</f>
        <v>https://www.apnews.kr/news/articleView.html?idxno=3028169</v>
      </c>
      <c r="H3054">
        <v>0.35399999999999998</v>
      </c>
    </row>
    <row r="3055" spans="1:8" x14ac:dyDescent="0.3">
      <c r="A3055" t="s">
        <v>7559</v>
      </c>
      <c r="B3055" t="s">
        <v>26951</v>
      </c>
      <c r="C3055" t="s">
        <v>7764</v>
      </c>
      <c r="D3055" t="s">
        <v>7763</v>
      </c>
      <c r="E3055" s="2" t="s">
        <v>653</v>
      </c>
      <c r="F3055" t="s">
        <v>7565</v>
      </c>
      <c r="G3055" t="str">
        <f>HYPERLINK("http://www.interview365.com/news/55316")</f>
        <v>http://www.interview365.com/news/55316</v>
      </c>
      <c r="H3055">
        <v>0.30299999999999999</v>
      </c>
    </row>
    <row r="3056" spans="1:8" x14ac:dyDescent="0.3">
      <c r="A3056" t="s">
        <v>7559</v>
      </c>
      <c r="B3056" t="s">
        <v>26951</v>
      </c>
      <c r="C3056" t="s">
        <v>7766</v>
      </c>
      <c r="D3056" t="s">
        <v>7765</v>
      </c>
      <c r="E3056" s="2" t="s">
        <v>653</v>
      </c>
      <c r="F3056" t="s">
        <v>5724</v>
      </c>
      <c r="G3056" t="str">
        <f>HYPERLINK("https://n.news.naver.com/mnews/article/214/0001279954?sid=100")</f>
        <v>https://n.news.naver.com/mnews/article/214/0001279954?sid=100</v>
      </c>
      <c r="H3056">
        <v>0.161</v>
      </c>
    </row>
    <row r="3057" spans="1:8" x14ac:dyDescent="0.3">
      <c r="A3057" t="s">
        <v>7559</v>
      </c>
      <c r="B3057" t="s">
        <v>26951</v>
      </c>
      <c r="C3057" t="s">
        <v>7768</v>
      </c>
      <c r="D3057" t="s">
        <v>7767</v>
      </c>
      <c r="E3057" s="2" t="s">
        <v>653</v>
      </c>
      <c r="F3057" t="s">
        <v>898</v>
      </c>
      <c r="G3057" t="str">
        <f>HYPERLINK("https://www.danbinews.com/news/articleView.html?idxno=30758")</f>
        <v>https://www.danbinews.com/news/articleView.html?idxno=30758</v>
      </c>
      <c r="H3057">
        <v>0.69599999999999995</v>
      </c>
    </row>
    <row r="3058" spans="1:8" x14ac:dyDescent="0.3">
      <c r="A3058" t="s">
        <v>7559</v>
      </c>
      <c r="B3058" t="s">
        <v>26951</v>
      </c>
      <c r="C3058" t="s">
        <v>7771</v>
      </c>
      <c r="D3058" t="s">
        <v>7770</v>
      </c>
      <c r="E3058" s="2" t="s">
        <v>653</v>
      </c>
      <c r="F3058" t="s">
        <v>7769</v>
      </c>
      <c r="G3058" t="str">
        <f>HYPERLINK("https://n.news.naver.com/mnews/article/011/0004503269?sid=104")</f>
        <v>https://n.news.naver.com/mnews/article/011/0004503269?sid=104</v>
      </c>
      <c r="H3058">
        <v>0.19700000000000001</v>
      </c>
    </row>
    <row r="3059" spans="1:8" x14ac:dyDescent="0.3">
      <c r="A3059" t="s">
        <v>7559</v>
      </c>
      <c r="B3059" t="s">
        <v>26951</v>
      </c>
      <c r="C3059" t="s">
        <v>7773</v>
      </c>
      <c r="D3059" t="s">
        <v>7772</v>
      </c>
      <c r="E3059" s="2" t="s">
        <v>692</v>
      </c>
      <c r="F3059" t="s">
        <v>7562</v>
      </c>
      <c r="G3059" t="str">
        <f>HYPERLINK("https://n.news.naver.com/mnews/article/052/0002185347?sid=100")</f>
        <v>https://n.news.naver.com/mnews/article/052/0002185347?sid=100</v>
      </c>
      <c r="H3059">
        <v>0.22700000000000001</v>
      </c>
    </row>
    <row r="3060" spans="1:8" x14ac:dyDescent="0.3">
      <c r="A3060" t="s">
        <v>7559</v>
      </c>
      <c r="B3060" t="s">
        <v>26951</v>
      </c>
      <c r="C3060" t="s">
        <v>7775</v>
      </c>
      <c r="D3060" t="s">
        <v>7774</v>
      </c>
      <c r="E3060" s="2" t="s">
        <v>692</v>
      </c>
      <c r="F3060" t="s">
        <v>1911</v>
      </c>
      <c r="G3060" t="str">
        <f>HYPERLINK("https://www.cnbnews.com/news/article.html?no=695762")</f>
        <v>https://www.cnbnews.com/news/article.html?no=695762</v>
      </c>
      <c r="H3060">
        <v>0.23599999999999999</v>
      </c>
    </row>
    <row r="3061" spans="1:8" x14ac:dyDescent="0.3">
      <c r="A3061" t="s">
        <v>7559</v>
      </c>
      <c r="B3061" t="s">
        <v>26951</v>
      </c>
      <c r="C3061" t="s">
        <v>7777</v>
      </c>
      <c r="D3061" t="s">
        <v>7776</v>
      </c>
      <c r="E3061" s="2" t="s">
        <v>692</v>
      </c>
      <c r="F3061" t="s">
        <v>5724</v>
      </c>
      <c r="G3061" t="str">
        <f>HYPERLINK("https://radio.ytn.co.kr/program/?f=2&amp;id=97784&amp;s_mcd=0452&amp;s_hcd=01")</f>
        <v>https://radio.ytn.co.kr/program/?f=2&amp;id=97784&amp;s_mcd=0452&amp;s_hcd=01</v>
      </c>
      <c r="H3061">
        <v>0.46300000000000002</v>
      </c>
    </row>
    <row r="3062" spans="1:8" x14ac:dyDescent="0.3">
      <c r="A3062" t="s">
        <v>7559</v>
      </c>
      <c r="B3062" t="s">
        <v>26951</v>
      </c>
      <c r="C3062" t="s">
        <v>7779</v>
      </c>
      <c r="D3062" t="s">
        <v>7778</v>
      </c>
      <c r="E3062" s="2" t="s">
        <v>692</v>
      </c>
      <c r="F3062" t="s">
        <v>3773</v>
      </c>
      <c r="G3062" t="str">
        <f>HYPERLINK("https://www.joongangenews.com/news/articleView.html?idxno=423304")</f>
        <v>https://www.joongangenews.com/news/articleView.html?idxno=423304</v>
      </c>
      <c r="H3062">
        <v>0.28299999999999997</v>
      </c>
    </row>
    <row r="3063" spans="1:8" x14ac:dyDescent="0.3">
      <c r="A3063" t="s">
        <v>7559</v>
      </c>
      <c r="B3063" t="s">
        <v>26951</v>
      </c>
      <c r="C3063" t="s">
        <v>7782</v>
      </c>
      <c r="D3063" t="s">
        <v>7781</v>
      </c>
      <c r="E3063" s="2" t="s">
        <v>692</v>
      </c>
      <c r="F3063" t="s">
        <v>7780</v>
      </c>
      <c r="G3063" t="str">
        <f>HYPERLINK("https://www.greened.kr/news/articleView.html?idxno=326181")</f>
        <v>https://www.greened.kr/news/articleView.html?idxno=326181</v>
      </c>
      <c r="H3063">
        <v>0.34300000000000003</v>
      </c>
    </row>
    <row r="3064" spans="1:8" x14ac:dyDescent="0.3">
      <c r="A3064" t="s">
        <v>7559</v>
      </c>
      <c r="B3064" t="s">
        <v>26951</v>
      </c>
      <c r="C3064" t="s">
        <v>7785</v>
      </c>
      <c r="D3064" t="s">
        <v>7784</v>
      </c>
      <c r="E3064" s="2" t="s">
        <v>692</v>
      </c>
      <c r="F3064" t="s">
        <v>7783</v>
      </c>
      <c r="G3064" t="str">
        <f>HYPERLINK("https://n.news.naver.com/mnews/article/052/0002212814?sid=100")</f>
        <v>https://n.news.naver.com/mnews/article/052/0002212814?sid=100</v>
      </c>
      <c r="H3064">
        <v>0.311</v>
      </c>
    </row>
    <row r="3065" spans="1:8" x14ac:dyDescent="0.3">
      <c r="A3065" t="s">
        <v>7559</v>
      </c>
      <c r="B3065" t="s">
        <v>26951</v>
      </c>
      <c r="C3065" t="s">
        <v>7789</v>
      </c>
      <c r="D3065" t="s">
        <v>7788</v>
      </c>
      <c r="E3065" s="2" t="s">
        <v>692</v>
      </c>
      <c r="F3065" t="s">
        <v>5724</v>
      </c>
      <c r="G3065" t="str">
        <f>HYPERLINK("https://n.news.naver.com/mnews/article/022/0004047866?sid=102")</f>
        <v>https://n.news.naver.com/mnews/article/022/0004047866?sid=102</v>
      </c>
      <c r="H3065">
        <v>0.26</v>
      </c>
    </row>
    <row r="3066" spans="1:8" x14ac:dyDescent="0.3">
      <c r="A3066" t="s">
        <v>7559</v>
      </c>
      <c r="B3066" t="s">
        <v>26951</v>
      </c>
      <c r="C3066" t="s">
        <v>7792</v>
      </c>
      <c r="D3066" t="s">
        <v>7791</v>
      </c>
      <c r="E3066" s="2" t="s">
        <v>692</v>
      </c>
      <c r="F3066" t="s">
        <v>7790</v>
      </c>
      <c r="G3066" t="str">
        <f>HYPERLINK("http://jmagazine.joins.com/monthly/view/335681")</f>
        <v>http://jmagazine.joins.com/monthly/view/335681</v>
      </c>
      <c r="H3066">
        <v>0.46800000000000003</v>
      </c>
    </row>
    <row r="3067" spans="1:8" x14ac:dyDescent="0.3">
      <c r="A3067" t="s">
        <v>7559</v>
      </c>
      <c r="B3067" t="s">
        <v>26951</v>
      </c>
      <c r="C3067" t="s">
        <v>7794</v>
      </c>
      <c r="D3067" t="s">
        <v>7793</v>
      </c>
      <c r="E3067" s="2" t="s">
        <v>711</v>
      </c>
      <c r="F3067" t="s">
        <v>1558</v>
      </c>
      <c r="G3067" t="str">
        <f>HYPERLINK("https://www.econovill.com/news/articleView.html?idxno=693568")</f>
        <v>https://www.econovill.com/news/articleView.html?idxno=693568</v>
      </c>
      <c r="H3067">
        <v>0.52200000000000002</v>
      </c>
    </row>
    <row r="3068" spans="1:8" x14ac:dyDescent="0.3">
      <c r="A3068" t="s">
        <v>7559</v>
      </c>
      <c r="B3068" t="s">
        <v>26951</v>
      </c>
      <c r="C3068" t="s">
        <v>7797</v>
      </c>
      <c r="D3068" t="s">
        <v>7796</v>
      </c>
      <c r="E3068" s="2" t="s">
        <v>711</v>
      </c>
      <c r="F3068" t="s">
        <v>7795</v>
      </c>
      <c r="G3068" t="str">
        <f>HYPERLINK("https://radio.ytn.co.kr/program/?f=2&amp;id=100655&amp;s_mcd=0452&amp;s_hcd=01")</f>
        <v>https://radio.ytn.co.kr/program/?f=2&amp;id=100655&amp;s_mcd=0452&amp;s_hcd=01</v>
      </c>
      <c r="H3068">
        <v>0.33</v>
      </c>
    </row>
    <row r="3069" spans="1:8" x14ac:dyDescent="0.3">
      <c r="A3069" t="s">
        <v>7559</v>
      </c>
      <c r="B3069" t="s">
        <v>26951</v>
      </c>
      <c r="C3069" t="s">
        <v>7800</v>
      </c>
      <c r="D3069" t="s">
        <v>7799</v>
      </c>
      <c r="E3069" s="2" t="s">
        <v>711</v>
      </c>
      <c r="F3069" t="s">
        <v>7798</v>
      </c>
      <c r="G3069" t="str">
        <f>HYPERLINK("https://n.news.naver.com/mnews/article/052/0002201014?sid=154")</f>
        <v>https://n.news.naver.com/mnews/article/052/0002201014?sid=154</v>
      </c>
      <c r="H3069">
        <v>0.13900000000000001</v>
      </c>
    </row>
    <row r="3070" spans="1:8" x14ac:dyDescent="0.3">
      <c r="A3070" t="s">
        <v>7559</v>
      </c>
      <c r="B3070" t="s">
        <v>26951</v>
      </c>
      <c r="C3070" t="s">
        <v>7806</v>
      </c>
      <c r="D3070" t="s">
        <v>7805</v>
      </c>
      <c r="E3070" s="2" t="s">
        <v>711</v>
      </c>
      <c r="F3070" t="s">
        <v>898</v>
      </c>
      <c r="G3070" t="str">
        <f>HYPERLINK("https://www.apnews.kr/news/articleView.html?idxno=3012403")</f>
        <v>https://www.apnews.kr/news/articleView.html?idxno=3012403</v>
      </c>
      <c r="H3070">
        <v>0.28899999999999998</v>
      </c>
    </row>
    <row r="3071" spans="1:8" x14ac:dyDescent="0.3">
      <c r="A3071" t="s">
        <v>7559</v>
      </c>
      <c r="B3071" t="s">
        <v>26951</v>
      </c>
      <c r="C3071" t="s">
        <v>7809</v>
      </c>
      <c r="D3071" t="s">
        <v>7808</v>
      </c>
      <c r="E3071" s="2" t="s">
        <v>725</v>
      </c>
      <c r="F3071" t="s">
        <v>7807</v>
      </c>
      <c r="G3071" t="str">
        <f>HYPERLINK("https://n.news.naver.com/mnews/article/052/0001805544?sid=102")</f>
        <v>https://n.news.naver.com/mnews/article/052/0001805544?sid=102</v>
      </c>
      <c r="H3071">
        <v>0.35599999999999998</v>
      </c>
    </row>
    <row r="3072" spans="1:8" x14ac:dyDescent="0.3">
      <c r="A3072" t="s">
        <v>7559</v>
      </c>
      <c r="B3072" t="s">
        <v>26951</v>
      </c>
      <c r="C3072" t="s">
        <v>7812</v>
      </c>
      <c r="D3072" t="s">
        <v>7811</v>
      </c>
      <c r="E3072" s="2" t="s">
        <v>725</v>
      </c>
      <c r="F3072" t="s">
        <v>7810</v>
      </c>
      <c r="G3072" t="str">
        <f>HYPERLINK("https://weekly.hankooki.com/news/articleView.html?idxno=7114306")</f>
        <v>https://weekly.hankooki.com/news/articleView.html?idxno=7114306</v>
      </c>
      <c r="H3072">
        <v>0.61699999999999999</v>
      </c>
    </row>
    <row r="3073" spans="1:8" x14ac:dyDescent="0.3">
      <c r="A3073" t="s">
        <v>7559</v>
      </c>
      <c r="B3073" t="s">
        <v>26951</v>
      </c>
      <c r="C3073" t="s">
        <v>7815</v>
      </c>
      <c r="D3073" t="s">
        <v>7814</v>
      </c>
      <c r="E3073" s="2" t="s">
        <v>725</v>
      </c>
      <c r="F3073" t="s">
        <v>7813</v>
      </c>
      <c r="G3073" t="str">
        <f>HYPERLINK("https://radio.ytn.co.kr/program/?f=2&amp;id=96744&amp;s_mcd=0438&amp;s_hcd=01")</f>
        <v>https://radio.ytn.co.kr/program/?f=2&amp;id=96744&amp;s_mcd=0438&amp;s_hcd=01</v>
      </c>
      <c r="H3073">
        <v>0.50800000000000001</v>
      </c>
    </row>
    <row r="3074" spans="1:8" x14ac:dyDescent="0.3">
      <c r="A3074" t="s">
        <v>7559</v>
      </c>
      <c r="B3074" t="s">
        <v>26951</v>
      </c>
      <c r="C3074" t="s">
        <v>4366</v>
      </c>
      <c r="D3074" t="s">
        <v>4365</v>
      </c>
      <c r="E3074" s="2" t="s">
        <v>725</v>
      </c>
      <c r="F3074" t="s">
        <v>1098</v>
      </c>
      <c r="G3074" t="str">
        <f>HYPERLINK("https://n.news.naver.com/mnews/article/052/0002203297?sid=101")</f>
        <v>https://n.news.naver.com/mnews/article/052/0002203297?sid=101</v>
      </c>
      <c r="H3074">
        <v>0.20599999999999999</v>
      </c>
    </row>
    <row r="3075" spans="1:8" x14ac:dyDescent="0.3">
      <c r="A3075" t="s">
        <v>7559</v>
      </c>
      <c r="B3075" t="s">
        <v>26951</v>
      </c>
      <c r="C3075" t="s">
        <v>7818</v>
      </c>
      <c r="D3075" t="s">
        <v>7817</v>
      </c>
      <c r="E3075" s="2" t="s">
        <v>725</v>
      </c>
      <c r="F3075" t="s">
        <v>7816</v>
      </c>
      <c r="G3075" t="str">
        <f>HYPERLINK("https://n.news.naver.com/mnews/article/052/0002212707?sid=102")</f>
        <v>https://n.news.naver.com/mnews/article/052/0002212707?sid=102</v>
      </c>
      <c r="H3075">
        <v>0.25900000000000001</v>
      </c>
    </row>
    <row r="3076" spans="1:8" x14ac:dyDescent="0.3">
      <c r="A3076" t="s">
        <v>7559</v>
      </c>
      <c r="B3076" t="s">
        <v>26951</v>
      </c>
      <c r="C3076" t="s">
        <v>7821</v>
      </c>
      <c r="D3076" t="s">
        <v>7820</v>
      </c>
      <c r="E3076" s="2" t="s">
        <v>725</v>
      </c>
      <c r="F3076" t="s">
        <v>7819</v>
      </c>
      <c r="G3076" t="str">
        <f>HYPERLINK("http://www.newsfreezone.co.kr/news/articleView.html?idxno=341918")</f>
        <v>http://www.newsfreezone.co.kr/news/articleView.html?idxno=341918</v>
      </c>
      <c r="H3076">
        <v>5.8999999999999997E-2</v>
      </c>
    </row>
    <row r="3077" spans="1:8" x14ac:dyDescent="0.3">
      <c r="A3077" t="s">
        <v>7559</v>
      </c>
      <c r="B3077" t="s">
        <v>26951</v>
      </c>
      <c r="C3077" t="s">
        <v>7824</v>
      </c>
      <c r="D3077" t="s">
        <v>7823</v>
      </c>
      <c r="E3077" s="2" t="s">
        <v>725</v>
      </c>
      <c r="F3077" t="s">
        <v>7822</v>
      </c>
      <c r="G3077" t="str">
        <f>HYPERLINK("http://www.sisafocus.co.kr/news/articleView.html?idxno=340691")</f>
        <v>http://www.sisafocus.co.kr/news/articleView.html?idxno=340691</v>
      </c>
      <c r="H3077">
        <v>0.437</v>
      </c>
    </row>
    <row r="3078" spans="1:8" x14ac:dyDescent="0.3">
      <c r="A3078" t="s">
        <v>7559</v>
      </c>
      <c r="B3078" t="s">
        <v>26951</v>
      </c>
      <c r="C3078" t="s">
        <v>7826</v>
      </c>
      <c r="D3078" t="s">
        <v>7825</v>
      </c>
      <c r="E3078" s="2" t="s">
        <v>725</v>
      </c>
      <c r="F3078" t="s">
        <v>7550</v>
      </c>
      <c r="G3078" t="str">
        <f>HYPERLINK("https://www.dkilbo.com/news/articleView.html?idxno=499687")</f>
        <v>https://www.dkilbo.com/news/articleView.html?idxno=499687</v>
      </c>
      <c r="H3078">
        <v>0.65300000000000002</v>
      </c>
    </row>
    <row r="3079" spans="1:8" x14ac:dyDescent="0.3">
      <c r="A3079" t="s">
        <v>7559</v>
      </c>
      <c r="B3079" t="s">
        <v>26951</v>
      </c>
      <c r="C3079" t="s">
        <v>7829</v>
      </c>
      <c r="D3079" t="s">
        <v>7828</v>
      </c>
      <c r="E3079" s="2" t="s">
        <v>725</v>
      </c>
      <c r="F3079" t="s">
        <v>7827</v>
      </c>
      <c r="G3079" t="str">
        <f>HYPERLINK("https://n.news.naver.com/mnews/article/006/0000107180?sid=102")</f>
        <v>https://n.news.naver.com/mnews/article/006/0000107180?sid=102</v>
      </c>
      <c r="H3079">
        <v>0.316</v>
      </c>
    </row>
    <row r="3080" spans="1:8" x14ac:dyDescent="0.3">
      <c r="A3080" t="s">
        <v>7559</v>
      </c>
      <c r="B3080" t="s">
        <v>26951</v>
      </c>
      <c r="C3080" t="s">
        <v>7831</v>
      </c>
      <c r="D3080" t="s">
        <v>7830</v>
      </c>
      <c r="E3080" s="2" t="s">
        <v>725</v>
      </c>
      <c r="F3080" t="s">
        <v>7565</v>
      </c>
      <c r="G3080" t="str">
        <f>HYPERLINK("https://n.news.naver.com/mnews/article/052/0001997367?sid=104")</f>
        <v>https://n.news.naver.com/mnews/article/052/0001997367?sid=104</v>
      </c>
      <c r="H3080">
        <v>0.23599999999999999</v>
      </c>
    </row>
    <row r="3081" spans="1:8" x14ac:dyDescent="0.3">
      <c r="A3081" t="s">
        <v>7559</v>
      </c>
      <c r="B3081" t="s">
        <v>26951</v>
      </c>
      <c r="C3081" t="s">
        <v>7833</v>
      </c>
      <c r="D3081" t="s">
        <v>7832</v>
      </c>
      <c r="E3081" s="2" t="s">
        <v>725</v>
      </c>
      <c r="F3081" t="s">
        <v>2225</v>
      </c>
      <c r="G3081" t="str">
        <f>HYPERLINK("https://n.news.naver.com/mnews/article/028/0002684218?sid=102")</f>
        <v>https://n.news.naver.com/mnews/article/028/0002684218?sid=102</v>
      </c>
      <c r="H3081">
        <v>0.34399999999999997</v>
      </c>
    </row>
    <row r="3082" spans="1:8" x14ac:dyDescent="0.3">
      <c r="A3082" t="s">
        <v>7559</v>
      </c>
      <c r="B3082" t="s">
        <v>26951</v>
      </c>
      <c r="C3082" t="s">
        <v>7836</v>
      </c>
      <c r="D3082" t="s">
        <v>7835</v>
      </c>
      <c r="E3082" s="2" t="s">
        <v>725</v>
      </c>
      <c r="F3082" t="s">
        <v>7834</v>
      </c>
      <c r="G3082" t="str">
        <f>HYPERLINK("https://n.news.naver.com/mnews/article/052/0002209701?sid=100")</f>
        <v>https://n.news.naver.com/mnews/article/052/0002209701?sid=100</v>
      </c>
      <c r="H3082">
        <v>0.22500000000000001</v>
      </c>
    </row>
    <row r="3083" spans="1:8" x14ac:dyDescent="0.3">
      <c r="A3083" t="s">
        <v>7559</v>
      </c>
      <c r="B3083" t="s">
        <v>26951</v>
      </c>
      <c r="C3083" t="s">
        <v>7839</v>
      </c>
      <c r="D3083" t="s">
        <v>7838</v>
      </c>
      <c r="E3083" s="2" t="s">
        <v>725</v>
      </c>
      <c r="F3083" t="s">
        <v>7837</v>
      </c>
      <c r="G3083" t="str">
        <f>HYPERLINK("http://www.kyosu.net/news/articleView.html?idxno=118352")</f>
        <v>http://www.kyosu.net/news/articleView.html?idxno=118352</v>
      </c>
      <c r="H3083">
        <v>0.54300000000000004</v>
      </c>
    </row>
    <row r="3084" spans="1:8" x14ac:dyDescent="0.3">
      <c r="A3084" t="s">
        <v>7559</v>
      </c>
      <c r="B3084" t="s">
        <v>26951</v>
      </c>
      <c r="C3084" t="s">
        <v>7842</v>
      </c>
      <c r="D3084" t="s">
        <v>7841</v>
      </c>
      <c r="E3084" s="2" t="s">
        <v>725</v>
      </c>
      <c r="F3084" t="s">
        <v>7840</v>
      </c>
      <c r="G3084" t="str">
        <f>HYPERLINK("https://n.news.naver.com/mnews/article/119/0002965251?sid=102")</f>
        <v>https://n.news.naver.com/mnews/article/119/0002965251?sid=102</v>
      </c>
      <c r="H3084">
        <v>0.23499999999999999</v>
      </c>
    </row>
    <row r="3085" spans="1:8" x14ac:dyDescent="0.3">
      <c r="A3085" t="s">
        <v>7559</v>
      </c>
      <c r="B3085" t="s">
        <v>26951</v>
      </c>
      <c r="C3085" t="s">
        <v>7845</v>
      </c>
      <c r="D3085" t="s">
        <v>7844</v>
      </c>
      <c r="E3085" s="2" t="s">
        <v>725</v>
      </c>
      <c r="F3085" t="s">
        <v>7843</v>
      </c>
      <c r="G3085" t="str">
        <f>HYPERLINK("https://www.pennmike.com/news/articleView.html?idxno=103072")</f>
        <v>https://www.pennmike.com/news/articleView.html?idxno=103072</v>
      </c>
      <c r="H3085">
        <v>0.252</v>
      </c>
    </row>
    <row r="3086" spans="1:8" x14ac:dyDescent="0.3">
      <c r="A3086" t="s">
        <v>7559</v>
      </c>
      <c r="B3086" t="s">
        <v>26951</v>
      </c>
      <c r="C3086" t="s">
        <v>7848</v>
      </c>
      <c r="D3086" t="s">
        <v>7847</v>
      </c>
      <c r="E3086" s="2" t="s">
        <v>725</v>
      </c>
      <c r="F3086" t="s">
        <v>7846</v>
      </c>
      <c r="G3086" t="str">
        <f>HYPERLINK("https://n.news.naver.com/mnews/article/052/0002201073?sid=102")</f>
        <v>https://n.news.naver.com/mnews/article/052/0002201073?sid=102</v>
      </c>
      <c r="H3086">
        <v>0.157</v>
      </c>
    </row>
    <row r="3087" spans="1:8" x14ac:dyDescent="0.3">
      <c r="A3087" t="s">
        <v>7559</v>
      </c>
      <c r="B3087" t="s">
        <v>26951</v>
      </c>
      <c r="C3087" t="s">
        <v>7850</v>
      </c>
      <c r="D3087" t="s">
        <v>7849</v>
      </c>
      <c r="E3087" s="2" t="s">
        <v>725</v>
      </c>
      <c r="F3087" t="s">
        <v>7846</v>
      </c>
      <c r="G3087" t="str">
        <f>HYPERLINK("https://n.news.naver.com/mnews/article/056/0011980215?sid=101")</f>
        <v>https://n.news.naver.com/mnews/article/056/0011980215?sid=101</v>
      </c>
      <c r="H3087">
        <v>0.14099999999999999</v>
      </c>
    </row>
    <row r="3088" spans="1:8" x14ac:dyDescent="0.3">
      <c r="A3088" t="s">
        <v>7559</v>
      </c>
      <c r="B3088" t="s">
        <v>26951</v>
      </c>
      <c r="C3088" t="s">
        <v>7853</v>
      </c>
      <c r="D3088" t="s">
        <v>7852</v>
      </c>
      <c r="E3088" s="2" t="s">
        <v>725</v>
      </c>
      <c r="F3088" t="s">
        <v>7851</v>
      </c>
      <c r="G3088" t="str">
        <f>HYPERLINK("https://www.yeongnam.com/web/view.php?key=20250605021563356")</f>
        <v>https://www.yeongnam.com/web/view.php?key=20250605021563356</v>
      </c>
      <c r="H3088">
        <v>0.216</v>
      </c>
    </row>
    <row r="3089" spans="1:8" x14ac:dyDescent="0.3">
      <c r="A3089" t="s">
        <v>7559</v>
      </c>
      <c r="B3089" t="s">
        <v>26951</v>
      </c>
      <c r="C3089" t="s">
        <v>6275</v>
      </c>
      <c r="D3089" t="s">
        <v>6274</v>
      </c>
      <c r="E3089" s="2" t="s">
        <v>742</v>
      </c>
      <c r="F3089" t="s">
        <v>5724</v>
      </c>
      <c r="G3089" t="str">
        <f>HYPERLINK("https://www.apnews.kr/news/articleView.html?idxno=3014252")</f>
        <v>https://www.apnews.kr/news/articleView.html?idxno=3014252</v>
      </c>
      <c r="H3089">
        <v>0.27400000000000002</v>
      </c>
    </row>
    <row r="3090" spans="1:8" x14ac:dyDescent="0.3">
      <c r="A3090" t="s">
        <v>7559</v>
      </c>
      <c r="B3090" t="s">
        <v>26951</v>
      </c>
      <c r="C3090" t="s">
        <v>7857</v>
      </c>
      <c r="D3090" t="s">
        <v>7856</v>
      </c>
      <c r="E3090" s="2" t="s">
        <v>742</v>
      </c>
      <c r="F3090" t="s">
        <v>7855</v>
      </c>
      <c r="G3090" t="str">
        <f>HYPERLINK("http://www.doctorstimes.com/news/articleView.html?idxno=232208")</f>
        <v>http://www.doctorstimes.com/news/articleView.html?idxno=232208</v>
      </c>
      <c r="H3090">
        <v>0.48099999999999998</v>
      </c>
    </row>
    <row r="3091" spans="1:8" x14ac:dyDescent="0.3">
      <c r="A3091" t="s">
        <v>7559</v>
      </c>
      <c r="B3091" t="s">
        <v>26951</v>
      </c>
      <c r="C3091" t="s">
        <v>7860</v>
      </c>
      <c r="D3091" t="s">
        <v>7859</v>
      </c>
      <c r="E3091" s="2" t="s">
        <v>742</v>
      </c>
      <c r="F3091" t="s">
        <v>7858</v>
      </c>
      <c r="G3091" t="str">
        <f>HYPERLINK("https://n.news.naver.com/mnews/article/014/0004072214?sid=103")</f>
        <v>https://n.news.naver.com/mnews/article/014/0004072214?sid=103</v>
      </c>
      <c r="H3091">
        <v>0.159</v>
      </c>
    </row>
    <row r="3092" spans="1:8" x14ac:dyDescent="0.3">
      <c r="A3092" t="s">
        <v>7559</v>
      </c>
      <c r="B3092" t="s">
        <v>26951</v>
      </c>
      <c r="C3092" t="s">
        <v>7862</v>
      </c>
      <c r="D3092" t="s">
        <v>7861</v>
      </c>
      <c r="E3092" s="2" t="s">
        <v>742</v>
      </c>
      <c r="F3092" t="s">
        <v>2336</v>
      </c>
      <c r="G3092" t="str">
        <f>HYPERLINK("http://www.iminju.net/news/articleView.html?idxno=130278")</f>
        <v>http://www.iminju.net/news/articleView.html?idxno=130278</v>
      </c>
      <c r="H3092">
        <v>0.69099999999999995</v>
      </c>
    </row>
    <row r="3093" spans="1:8" x14ac:dyDescent="0.3">
      <c r="A3093" t="s">
        <v>7559</v>
      </c>
      <c r="B3093" t="s">
        <v>26951</v>
      </c>
      <c r="C3093" t="s">
        <v>7864</v>
      </c>
      <c r="D3093" t="s">
        <v>7863</v>
      </c>
      <c r="E3093" s="2" t="s">
        <v>742</v>
      </c>
      <c r="F3093" t="s">
        <v>2068</v>
      </c>
      <c r="G3093" t="str">
        <f>HYPERLINK("https://n.news.naver.com/mnews/article/081/0003546454?sid=100")</f>
        <v>https://n.news.naver.com/mnews/article/081/0003546454?sid=100</v>
      </c>
      <c r="H3093">
        <v>0.127</v>
      </c>
    </row>
    <row r="3094" spans="1:8" x14ac:dyDescent="0.3">
      <c r="A3094" t="s">
        <v>7559</v>
      </c>
      <c r="B3094" t="s">
        <v>26951</v>
      </c>
      <c r="C3094" t="s">
        <v>7866</v>
      </c>
      <c r="D3094" t="s">
        <v>7865</v>
      </c>
      <c r="E3094" s="2" t="s">
        <v>742</v>
      </c>
      <c r="F3094" t="s">
        <v>4698</v>
      </c>
      <c r="G3094" t="str">
        <f>HYPERLINK("https://n.news.naver.com/mnews/article/016/0002469762?sid=104")</f>
        <v>https://n.news.naver.com/mnews/article/016/0002469762?sid=104</v>
      </c>
      <c r="H3094">
        <v>0.39200000000000002</v>
      </c>
    </row>
    <row r="3095" spans="1:8" x14ac:dyDescent="0.3">
      <c r="A3095" t="s">
        <v>7559</v>
      </c>
      <c r="B3095" t="s">
        <v>26951</v>
      </c>
      <c r="C3095" t="s">
        <v>7868</v>
      </c>
      <c r="D3095" t="s">
        <v>7867</v>
      </c>
      <c r="E3095" s="2" t="s">
        <v>742</v>
      </c>
      <c r="F3095" t="s">
        <v>4122</v>
      </c>
      <c r="G3095" t="str">
        <f>HYPERLINK("https://wemakenews.co.kr/news/view.php?no=21862")</f>
        <v>https://wemakenews.co.kr/news/view.php?no=21862</v>
      </c>
      <c r="H3095">
        <v>0.96199999999999997</v>
      </c>
    </row>
    <row r="3096" spans="1:8" x14ac:dyDescent="0.3">
      <c r="A3096" t="s">
        <v>7559</v>
      </c>
      <c r="B3096" t="s">
        <v>26951</v>
      </c>
      <c r="C3096" t="s">
        <v>7870</v>
      </c>
      <c r="D3096" t="s">
        <v>7869</v>
      </c>
      <c r="E3096" s="2" t="s">
        <v>742</v>
      </c>
      <c r="F3096" t="s">
        <v>7562</v>
      </c>
      <c r="G3096" t="str">
        <f>HYPERLINK("https://n.news.naver.com/mnews/article/052/0002123624?sid=101")</f>
        <v>https://n.news.naver.com/mnews/article/052/0002123624?sid=101</v>
      </c>
      <c r="H3096">
        <v>0.22700000000000001</v>
      </c>
    </row>
    <row r="3097" spans="1:8" x14ac:dyDescent="0.3">
      <c r="A3097" t="s">
        <v>7559</v>
      </c>
      <c r="B3097" t="s">
        <v>26951</v>
      </c>
      <c r="C3097" t="s">
        <v>7873</v>
      </c>
      <c r="D3097" t="s">
        <v>7872</v>
      </c>
      <c r="E3097" s="2" t="s">
        <v>742</v>
      </c>
      <c r="F3097" t="s">
        <v>7871</v>
      </c>
      <c r="G3097" t="str">
        <f>HYPERLINK("https://n.news.naver.com/mnews/article/006/0000130666?sid=102")</f>
        <v>https://n.news.naver.com/mnews/article/006/0000130666?sid=102</v>
      </c>
      <c r="H3097">
        <v>0.16200000000000001</v>
      </c>
    </row>
    <row r="3098" spans="1:8" x14ac:dyDescent="0.3">
      <c r="A3098" t="s">
        <v>7559</v>
      </c>
      <c r="B3098" t="s">
        <v>26951</v>
      </c>
      <c r="C3098" t="s">
        <v>7875</v>
      </c>
      <c r="D3098" t="s">
        <v>7874</v>
      </c>
      <c r="E3098" s="2" t="s">
        <v>742</v>
      </c>
      <c r="F3098" t="s">
        <v>1669</v>
      </c>
      <c r="G3098" t="str">
        <f>HYPERLINK("https://www.ntoday.co.kr/news/articleView.html?idxno=115749")</f>
        <v>https://www.ntoday.co.kr/news/articleView.html?idxno=115749</v>
      </c>
      <c r="H3098">
        <v>0.20699999999999999</v>
      </c>
    </row>
    <row r="3099" spans="1:8" x14ac:dyDescent="0.3">
      <c r="A3099" t="s">
        <v>7559</v>
      </c>
      <c r="B3099" t="s">
        <v>26951</v>
      </c>
      <c r="C3099" t="s">
        <v>7878</v>
      </c>
      <c r="D3099" t="s">
        <v>7877</v>
      </c>
      <c r="E3099" s="2" t="s">
        <v>742</v>
      </c>
      <c r="F3099" t="s">
        <v>7876</v>
      </c>
      <c r="G3099" t="str">
        <f>HYPERLINK("https://www.newspim.com/news/view/20250305000246")</f>
        <v>https://www.newspim.com/news/view/20250305000246</v>
      </c>
      <c r="H3099">
        <v>0.42599999999999999</v>
      </c>
    </row>
    <row r="3100" spans="1:8" x14ac:dyDescent="0.3">
      <c r="A3100" t="s">
        <v>7559</v>
      </c>
      <c r="B3100" t="s">
        <v>26951</v>
      </c>
      <c r="C3100" t="s">
        <v>7881</v>
      </c>
      <c r="D3100" t="s">
        <v>7880</v>
      </c>
      <c r="E3100" s="2" t="s">
        <v>742</v>
      </c>
      <c r="F3100" t="s">
        <v>7879</v>
      </c>
      <c r="G3100" t="str">
        <f>HYPERLINK("https://n.news.naver.com/mnews/article/052/0002213149?sid=101")</f>
        <v>https://n.news.naver.com/mnews/article/052/0002213149?sid=101</v>
      </c>
      <c r="H3100">
        <v>0.123</v>
      </c>
    </row>
    <row r="3101" spans="1:8" x14ac:dyDescent="0.3">
      <c r="A3101" t="s">
        <v>7559</v>
      </c>
      <c r="B3101" t="s">
        <v>26951</v>
      </c>
      <c r="C3101" t="s">
        <v>7883</v>
      </c>
      <c r="D3101" t="s">
        <v>7882</v>
      </c>
      <c r="E3101" s="2" t="s">
        <v>742</v>
      </c>
      <c r="F3101" t="s">
        <v>7621</v>
      </c>
      <c r="G3101" t="str">
        <f>HYPERLINK("https://www.laborplus.co.kr/news/articleView.html?idxno=35845")</f>
        <v>https://www.laborplus.co.kr/news/articleView.html?idxno=35845</v>
      </c>
      <c r="H3101">
        <v>0.184</v>
      </c>
    </row>
    <row r="3102" spans="1:8" x14ac:dyDescent="0.3">
      <c r="A3102" t="s">
        <v>7559</v>
      </c>
      <c r="B3102" t="s">
        <v>26951</v>
      </c>
      <c r="C3102" t="s">
        <v>7885</v>
      </c>
      <c r="D3102" t="s">
        <v>7884</v>
      </c>
      <c r="E3102" s="2" t="s">
        <v>742</v>
      </c>
      <c r="F3102" t="s">
        <v>7640</v>
      </c>
      <c r="G3102" t="str">
        <f>HYPERLINK("https://www.huffingtonpost.kr/news/articleView.html?idxno=229464")</f>
        <v>https://www.huffingtonpost.kr/news/articleView.html?idxno=229464</v>
      </c>
      <c r="H3102">
        <v>0.36799999999999999</v>
      </c>
    </row>
    <row r="3103" spans="1:8" x14ac:dyDescent="0.3">
      <c r="A3103" t="s">
        <v>7559</v>
      </c>
      <c r="B3103" t="s">
        <v>26951</v>
      </c>
      <c r="C3103" t="s">
        <v>7888</v>
      </c>
      <c r="D3103" t="s">
        <v>7887</v>
      </c>
      <c r="E3103" s="2" t="s">
        <v>799</v>
      </c>
      <c r="F3103" t="s">
        <v>7886</v>
      </c>
      <c r="G3103" t="str">
        <f>HYPERLINK("https://n.news.naver.com/mnews/article/002/0000022873?sid=105")</f>
        <v>https://n.news.naver.com/mnews/article/002/0000022873?sid=105</v>
      </c>
      <c r="H3103">
        <v>0.158</v>
      </c>
    </row>
    <row r="3104" spans="1:8" x14ac:dyDescent="0.3">
      <c r="A3104" t="s">
        <v>7559</v>
      </c>
      <c r="B3104" t="s">
        <v>26951</v>
      </c>
      <c r="C3104" t="s">
        <v>7890</v>
      </c>
      <c r="D3104" t="s">
        <v>7889</v>
      </c>
      <c r="E3104" s="2" t="s">
        <v>799</v>
      </c>
      <c r="F3104" t="s">
        <v>7640</v>
      </c>
      <c r="G3104" t="str">
        <f>HYPERLINK("https://www.kyongbuk.co.kr/news/articleView.html?idxno=4045816")</f>
        <v>https://www.kyongbuk.co.kr/news/articleView.html?idxno=4045816</v>
      </c>
      <c r="H3104">
        <v>0.32600000000000001</v>
      </c>
    </row>
    <row r="3105" spans="1:8" x14ac:dyDescent="0.3">
      <c r="A3105" t="s">
        <v>7559</v>
      </c>
      <c r="B3105" t="s">
        <v>26951</v>
      </c>
      <c r="C3105" t="s">
        <v>7892</v>
      </c>
      <c r="D3105" t="s">
        <v>7891</v>
      </c>
      <c r="E3105" s="2" t="s">
        <v>799</v>
      </c>
      <c r="F3105" t="s">
        <v>3073</v>
      </c>
      <c r="G3105" t="str">
        <f>HYPERLINK("http://theviewers.co.kr/View.aspx?No=2278600")</f>
        <v>http://theviewers.co.kr/View.aspx?No=2278600</v>
      </c>
      <c r="H3105">
        <v>0.23400000000000001</v>
      </c>
    </row>
    <row r="3106" spans="1:8" x14ac:dyDescent="0.3">
      <c r="A3106" t="s">
        <v>7559</v>
      </c>
      <c r="B3106" t="s">
        <v>26951</v>
      </c>
      <c r="C3106" t="s">
        <v>7895</v>
      </c>
      <c r="D3106" t="s">
        <v>7894</v>
      </c>
      <c r="E3106" s="2" t="s">
        <v>799</v>
      </c>
      <c r="F3106" t="s">
        <v>7893</v>
      </c>
      <c r="G3106" t="str">
        <f>HYPERLINK("http://www.pennmike.com/news/articleView.html?idxno=68258")</f>
        <v>http://www.pennmike.com/news/articleView.html?idxno=68258</v>
      </c>
      <c r="H3106">
        <v>0.36699999999999999</v>
      </c>
    </row>
    <row r="3107" spans="1:8" x14ac:dyDescent="0.3">
      <c r="A3107" t="s">
        <v>7559</v>
      </c>
      <c r="B3107" t="s">
        <v>26951</v>
      </c>
      <c r="C3107" t="s">
        <v>7898</v>
      </c>
      <c r="D3107" t="s">
        <v>7897</v>
      </c>
      <c r="E3107" s="2" t="s">
        <v>799</v>
      </c>
      <c r="F3107" t="s">
        <v>7896</v>
      </c>
      <c r="G3107" t="str">
        <f>HYPERLINK("http://magazine.joins.com/monthly/article_view.asp?aid=300071")</f>
        <v>http://magazine.joins.com/monthly/article_view.asp?aid=300071</v>
      </c>
      <c r="H3107">
        <v>0.36899999999999999</v>
      </c>
    </row>
    <row r="3108" spans="1:8" x14ac:dyDescent="0.3">
      <c r="A3108" t="s">
        <v>7559</v>
      </c>
      <c r="B3108" t="s">
        <v>26951</v>
      </c>
      <c r="C3108" t="s">
        <v>7900</v>
      </c>
      <c r="D3108" t="s">
        <v>7899</v>
      </c>
      <c r="E3108" s="2" t="s">
        <v>799</v>
      </c>
      <c r="F3108" t="s">
        <v>7854</v>
      </c>
      <c r="G3108" t="str">
        <f>HYPERLINK("https://www.hyunbulnews.com/news/articleView.html?idxno=418888")</f>
        <v>https://www.hyunbulnews.com/news/articleView.html?idxno=418888</v>
      </c>
      <c r="H3108">
        <v>0.312</v>
      </c>
    </row>
    <row r="3109" spans="1:8" x14ac:dyDescent="0.3">
      <c r="A3109" t="s">
        <v>7559</v>
      </c>
      <c r="B3109" t="s">
        <v>26951</v>
      </c>
      <c r="C3109" t="s">
        <v>7903</v>
      </c>
      <c r="D3109" t="s">
        <v>7902</v>
      </c>
      <c r="E3109" s="2" t="s">
        <v>799</v>
      </c>
      <c r="F3109" t="s">
        <v>7901</v>
      </c>
      <c r="G3109" t="str">
        <f>HYPERLINK("https://n.news.naver.com/mnews/article/052/0002201051?sid=100")</f>
        <v>https://n.news.naver.com/mnews/article/052/0002201051?sid=100</v>
      </c>
      <c r="H3109">
        <v>0.218</v>
      </c>
    </row>
    <row r="3110" spans="1:8" x14ac:dyDescent="0.3">
      <c r="A3110" t="s">
        <v>7559</v>
      </c>
      <c r="B3110" t="s">
        <v>26951</v>
      </c>
      <c r="C3110" t="s">
        <v>7906</v>
      </c>
      <c r="D3110" t="s">
        <v>7905</v>
      </c>
      <c r="E3110" s="2" t="s">
        <v>799</v>
      </c>
      <c r="F3110" t="s">
        <v>7904</v>
      </c>
      <c r="G3110" t="str">
        <f>HYPERLINK("http://www.worldkorean.net/news/articleView.html?idxno=44511")</f>
        <v>http://www.worldkorean.net/news/articleView.html?idxno=44511</v>
      </c>
      <c r="H3110">
        <v>0.38800000000000001</v>
      </c>
    </row>
    <row r="3111" spans="1:8" x14ac:dyDescent="0.3">
      <c r="A3111" t="s">
        <v>7559</v>
      </c>
      <c r="B3111" t="s">
        <v>26951</v>
      </c>
      <c r="C3111" t="s">
        <v>7909</v>
      </c>
      <c r="D3111" t="s">
        <v>7908</v>
      </c>
      <c r="E3111" s="2" t="s">
        <v>799</v>
      </c>
      <c r="F3111" t="s">
        <v>7907</v>
      </c>
      <c r="G3111" t="str">
        <f>HYPERLINK("https://www.newsnjoy.or.kr/news/articleView.html?idxno=307514")</f>
        <v>https://www.newsnjoy.or.kr/news/articleView.html?idxno=307514</v>
      </c>
      <c r="H3111">
        <v>0.66400000000000003</v>
      </c>
    </row>
    <row r="3112" spans="1:8" x14ac:dyDescent="0.3">
      <c r="A3112" t="s">
        <v>7559</v>
      </c>
      <c r="B3112" t="s">
        <v>26951</v>
      </c>
      <c r="C3112" t="s">
        <v>7913</v>
      </c>
      <c r="D3112" t="s">
        <v>7912</v>
      </c>
      <c r="E3112" s="2" t="s">
        <v>799</v>
      </c>
      <c r="F3112" t="s">
        <v>7911</v>
      </c>
      <c r="G3112" t="str">
        <f>HYPERLINK("https://n.news.naver.com/mnews/article/006/0000130666?sid=102")</f>
        <v>https://n.news.naver.com/mnews/article/006/0000130666?sid=102</v>
      </c>
      <c r="H3112">
        <v>8.8999999999999996E-2</v>
      </c>
    </row>
    <row r="3113" spans="1:8" x14ac:dyDescent="0.3">
      <c r="A3113" t="s">
        <v>7559</v>
      </c>
      <c r="B3113" t="s">
        <v>26951</v>
      </c>
      <c r="C3113" t="s">
        <v>7915</v>
      </c>
      <c r="D3113" t="s">
        <v>7914</v>
      </c>
      <c r="E3113" s="2" t="s">
        <v>799</v>
      </c>
      <c r="F3113" t="s">
        <v>89</v>
      </c>
      <c r="G3113" t="str">
        <f>HYPERLINK("http://www.sisaon.co.kr/news/articleView.html?idxno=158851")</f>
        <v>http://www.sisaon.co.kr/news/articleView.html?idxno=158851</v>
      </c>
      <c r="H3113">
        <v>0.49099999999999999</v>
      </c>
    </row>
    <row r="3114" spans="1:8" x14ac:dyDescent="0.3">
      <c r="A3114" t="s">
        <v>7559</v>
      </c>
      <c r="B3114" t="s">
        <v>26951</v>
      </c>
      <c r="C3114" t="s">
        <v>7917</v>
      </c>
      <c r="D3114" t="s">
        <v>7916</v>
      </c>
      <c r="E3114" s="2" t="s">
        <v>799</v>
      </c>
      <c r="F3114" t="s">
        <v>2225</v>
      </c>
      <c r="G3114" t="str">
        <f>HYPERLINK("https://www.ilyoseoul.co.kr/news/articleView.html?idxno=503239")</f>
        <v>https://www.ilyoseoul.co.kr/news/articleView.html?idxno=503239</v>
      </c>
      <c r="H3114">
        <v>0.65700000000000003</v>
      </c>
    </row>
    <row r="3115" spans="1:8" x14ac:dyDescent="0.3">
      <c r="A3115" t="s">
        <v>7559</v>
      </c>
      <c r="B3115" t="s">
        <v>26951</v>
      </c>
      <c r="C3115" t="s">
        <v>7920</v>
      </c>
      <c r="D3115" t="s">
        <v>7919</v>
      </c>
      <c r="E3115" s="2" t="s">
        <v>799</v>
      </c>
      <c r="F3115" t="s">
        <v>7918</v>
      </c>
      <c r="G3115" t="str">
        <f>HYPERLINK("https://n.news.naver.com/mnews/article/119/0002965247?sid=102")</f>
        <v>https://n.news.naver.com/mnews/article/119/0002965247?sid=102</v>
      </c>
      <c r="H3115">
        <v>0.155</v>
      </c>
    </row>
    <row r="3116" spans="1:8" x14ac:dyDescent="0.3">
      <c r="A3116" t="s">
        <v>7559</v>
      </c>
      <c r="B3116" t="s">
        <v>26951</v>
      </c>
      <c r="C3116" t="s">
        <v>7922</v>
      </c>
      <c r="D3116" t="s">
        <v>7921</v>
      </c>
      <c r="E3116" s="2" t="s">
        <v>799</v>
      </c>
      <c r="F3116" t="s">
        <v>7606</v>
      </c>
      <c r="G3116" t="str">
        <f>HYPERLINK("https://www.apnews.kr/news/articleView.html?idxno=3032672")</f>
        <v>https://www.apnews.kr/news/articleView.html?idxno=3032672</v>
      </c>
      <c r="H3116">
        <v>0.41899999999999998</v>
      </c>
    </row>
    <row r="3117" spans="1:8" x14ac:dyDescent="0.3">
      <c r="A3117" t="s">
        <v>7559</v>
      </c>
      <c r="B3117" t="s">
        <v>26951</v>
      </c>
      <c r="C3117" t="s">
        <v>7925</v>
      </c>
      <c r="D3117" t="s">
        <v>7924</v>
      </c>
      <c r="E3117" s="2" t="s">
        <v>799</v>
      </c>
      <c r="F3117" t="s">
        <v>7923</v>
      </c>
      <c r="G3117" t="str">
        <f>HYPERLINK("http://news.ebs.co.kr/ebsnews/allView/60614574/N")</f>
        <v>http://news.ebs.co.kr/ebsnews/allView/60614574/N</v>
      </c>
      <c r="H3117">
        <v>0.375</v>
      </c>
    </row>
    <row r="3118" spans="1:8" x14ac:dyDescent="0.3">
      <c r="A3118" t="s">
        <v>7559</v>
      </c>
      <c r="B3118" t="s">
        <v>26951</v>
      </c>
      <c r="C3118" t="s">
        <v>7928</v>
      </c>
      <c r="D3118" t="s">
        <v>7927</v>
      </c>
      <c r="E3118" s="2" t="s">
        <v>799</v>
      </c>
      <c r="F3118" t="s">
        <v>7926</v>
      </c>
      <c r="G3118" t="str">
        <f>HYPERLINK("https://www.banronbodo.com/news/articleView.html?idxno=30445")</f>
        <v>https://www.banronbodo.com/news/articleView.html?idxno=30445</v>
      </c>
      <c r="H3118">
        <v>0.621</v>
      </c>
    </row>
    <row r="3119" spans="1:8" x14ac:dyDescent="0.3">
      <c r="A3119" t="s">
        <v>7559</v>
      </c>
      <c r="B3119" t="s">
        <v>26951</v>
      </c>
      <c r="C3119" t="s">
        <v>7930</v>
      </c>
      <c r="D3119" t="s">
        <v>7929</v>
      </c>
      <c r="E3119" s="2" t="s">
        <v>799</v>
      </c>
      <c r="F3119" t="s">
        <v>7565</v>
      </c>
      <c r="G3119" t="str">
        <f>HYPERLINK("http://www.idaegu.co.kr/news/articleView.html?idxno=342231")</f>
        <v>http://www.idaegu.co.kr/news/articleView.html?idxno=342231</v>
      </c>
      <c r="H3119">
        <v>0.247</v>
      </c>
    </row>
    <row r="3120" spans="1:8" x14ac:dyDescent="0.3">
      <c r="A3120" t="s">
        <v>7559</v>
      </c>
      <c r="B3120" t="s">
        <v>26951</v>
      </c>
      <c r="C3120" t="s">
        <v>7932</v>
      </c>
      <c r="D3120" t="s">
        <v>7931</v>
      </c>
      <c r="E3120" s="2" t="s">
        <v>799</v>
      </c>
      <c r="F3120" t="s">
        <v>7635</v>
      </c>
      <c r="G3120" t="str">
        <f>HYPERLINK("https://www.apnews.kr/news/articleView.html?idxno=3028169")</f>
        <v>https://www.apnews.kr/news/articleView.html?idxno=3028169</v>
      </c>
      <c r="H3120">
        <v>0.38300000000000001</v>
      </c>
    </row>
    <row r="3121" spans="1:8" x14ac:dyDescent="0.3">
      <c r="A3121" t="s">
        <v>7559</v>
      </c>
      <c r="B3121" t="s">
        <v>26951</v>
      </c>
      <c r="C3121" t="s">
        <v>7935</v>
      </c>
      <c r="D3121" t="s">
        <v>7934</v>
      </c>
      <c r="E3121" s="2" t="s">
        <v>799</v>
      </c>
      <c r="F3121" t="s">
        <v>7933</v>
      </c>
      <c r="G3121" t="str">
        <f>HYPERLINK("https://n.news.naver.com/mnews/article/052/0002201245?sid=154")</f>
        <v>https://n.news.naver.com/mnews/article/052/0002201245?sid=154</v>
      </c>
      <c r="H3121">
        <v>0.23899999999999999</v>
      </c>
    </row>
    <row r="3122" spans="1:8" x14ac:dyDescent="0.3">
      <c r="A3122" t="s">
        <v>7559</v>
      </c>
      <c r="B3122" t="s">
        <v>26951</v>
      </c>
      <c r="C3122" t="s">
        <v>7938</v>
      </c>
      <c r="D3122" t="s">
        <v>7937</v>
      </c>
      <c r="E3122" s="2" t="s">
        <v>799</v>
      </c>
      <c r="F3122" t="s">
        <v>7936</v>
      </c>
      <c r="G3122" t="str">
        <f>HYPERLINK("https://www.huffingtonpost.kr/news/articleView.html?idxno=212428")</f>
        <v>https://www.huffingtonpost.kr/news/articleView.html?idxno=212428</v>
      </c>
      <c r="H3122">
        <v>0.42399999999999999</v>
      </c>
    </row>
    <row r="3123" spans="1:8" x14ac:dyDescent="0.3">
      <c r="A3123" t="s">
        <v>7559</v>
      </c>
      <c r="B3123" t="s">
        <v>26951</v>
      </c>
      <c r="C3123" t="s">
        <v>7941</v>
      </c>
      <c r="D3123" t="s">
        <v>7940</v>
      </c>
      <c r="E3123" s="2" t="s">
        <v>799</v>
      </c>
      <c r="F3123" t="s">
        <v>7939</v>
      </c>
      <c r="G3123" t="str">
        <f>HYPERLINK("https://www.pennmike.com/news/articleView.html?idxno=103905")</f>
        <v>https://www.pennmike.com/news/articleView.html?idxno=103905</v>
      </c>
      <c r="H3123">
        <v>0.159</v>
      </c>
    </row>
    <row r="3124" spans="1:8" x14ac:dyDescent="0.3">
      <c r="A3124" t="s">
        <v>7559</v>
      </c>
      <c r="B3124" t="s">
        <v>26951</v>
      </c>
      <c r="C3124" t="s">
        <v>7943</v>
      </c>
      <c r="D3124" t="s">
        <v>7942</v>
      </c>
      <c r="E3124" s="2" t="s">
        <v>840</v>
      </c>
      <c r="F3124" t="s">
        <v>171</v>
      </c>
      <c r="G3124" t="str">
        <f>HYPERLINK("https://n.news.naver.com/mnews/article/022/0004040719?sid=100")</f>
        <v>https://n.news.naver.com/mnews/article/022/0004040719?sid=100</v>
      </c>
      <c r="H3124">
        <v>0.21</v>
      </c>
    </row>
    <row r="3125" spans="1:8" x14ac:dyDescent="0.3">
      <c r="A3125" t="s">
        <v>7559</v>
      </c>
      <c r="B3125" t="s">
        <v>26951</v>
      </c>
      <c r="C3125" t="s">
        <v>7945</v>
      </c>
      <c r="D3125" t="s">
        <v>7944</v>
      </c>
      <c r="E3125" s="2" t="s">
        <v>840</v>
      </c>
      <c r="F3125" t="s">
        <v>2884</v>
      </c>
      <c r="G3125" t="str">
        <f>HYPERLINK("http://www.newsmp.com/news/articleView.html?idxno=213984")</f>
        <v>http://www.newsmp.com/news/articleView.html?idxno=213984</v>
      </c>
      <c r="H3125">
        <v>0.67200000000000004</v>
      </c>
    </row>
    <row r="3126" spans="1:8" x14ac:dyDescent="0.3">
      <c r="A3126" t="s">
        <v>7559</v>
      </c>
      <c r="B3126" t="s">
        <v>26951</v>
      </c>
      <c r="C3126" t="s">
        <v>7948</v>
      </c>
      <c r="D3126" t="s">
        <v>7947</v>
      </c>
      <c r="E3126" s="2" t="s">
        <v>840</v>
      </c>
      <c r="F3126" t="s">
        <v>7946</v>
      </c>
      <c r="G3126" t="str">
        <f>HYPERLINK("https://radio.ytn.co.kr/program/?f=2&amp;id=96921&amp;s_mcd=0206&amp;s_hcd=15")</f>
        <v>https://radio.ytn.co.kr/program/?f=2&amp;id=96921&amp;s_mcd=0206&amp;s_hcd=15</v>
      </c>
      <c r="H3126">
        <v>0.39500000000000002</v>
      </c>
    </row>
    <row r="3127" spans="1:8" x14ac:dyDescent="0.3">
      <c r="A3127" t="s">
        <v>7559</v>
      </c>
      <c r="B3127" t="s">
        <v>26951</v>
      </c>
      <c r="C3127" t="s">
        <v>7952</v>
      </c>
      <c r="D3127" t="s">
        <v>7951</v>
      </c>
      <c r="E3127" s="2" t="s">
        <v>840</v>
      </c>
      <c r="F3127" t="s">
        <v>7950</v>
      </c>
      <c r="G3127" t="str">
        <f>HYPERLINK("https://www.greened.kr/news/articleView.html?idxno=327149")</f>
        <v>https://www.greened.kr/news/articleView.html?idxno=327149</v>
      </c>
      <c r="H3127">
        <v>0.38400000000000001</v>
      </c>
    </row>
    <row r="3128" spans="1:8" x14ac:dyDescent="0.3">
      <c r="A3128" t="s">
        <v>7559</v>
      </c>
      <c r="B3128" t="s">
        <v>26951</v>
      </c>
      <c r="C3128" t="s">
        <v>7954</v>
      </c>
      <c r="D3128" t="s">
        <v>7953</v>
      </c>
      <c r="E3128" s="2" t="s">
        <v>840</v>
      </c>
      <c r="F3128" t="s">
        <v>7579</v>
      </c>
      <c r="G3128" t="str">
        <f>HYPERLINK("https://n.news.naver.com/mnews/article/052/0001235828?sid=101")</f>
        <v>https://n.news.naver.com/mnews/article/052/0001235828?sid=101</v>
      </c>
      <c r="H3128">
        <v>9.2999999999999999E-2</v>
      </c>
    </row>
    <row r="3129" spans="1:8" x14ac:dyDescent="0.3">
      <c r="A3129" t="s">
        <v>7559</v>
      </c>
      <c r="B3129" t="s">
        <v>26951</v>
      </c>
      <c r="C3129" t="s">
        <v>7957</v>
      </c>
      <c r="D3129" t="s">
        <v>7956</v>
      </c>
      <c r="E3129" s="2" t="s">
        <v>840</v>
      </c>
      <c r="F3129" t="s">
        <v>7955</v>
      </c>
      <c r="G3129" t="str">
        <f>HYPERLINK("https://www.newsfreezone.co.kr/news/articleView.html?idxno=580156")</f>
        <v>https://www.newsfreezone.co.kr/news/articleView.html?idxno=580156</v>
      </c>
      <c r="H3129">
        <v>0.45600000000000002</v>
      </c>
    </row>
    <row r="3130" spans="1:8" x14ac:dyDescent="0.3">
      <c r="A3130" t="s">
        <v>7559</v>
      </c>
      <c r="B3130" t="s">
        <v>26951</v>
      </c>
      <c r="C3130" t="s">
        <v>7959</v>
      </c>
      <c r="D3130" t="s">
        <v>7958</v>
      </c>
      <c r="E3130" s="2" t="s">
        <v>840</v>
      </c>
      <c r="F3130" t="s">
        <v>5724</v>
      </c>
      <c r="G3130" t="str">
        <f>HYPERLINK("https://n.news.naver.com/mnews/article/052/0002212123?sid=100")</f>
        <v>https://n.news.naver.com/mnews/article/052/0002212123?sid=100</v>
      </c>
      <c r="H3130">
        <v>0.23300000000000001</v>
      </c>
    </row>
    <row r="3131" spans="1:8" x14ac:dyDescent="0.3">
      <c r="A3131" t="s">
        <v>7559</v>
      </c>
      <c r="B3131" t="s">
        <v>26951</v>
      </c>
      <c r="C3131" t="s">
        <v>7961</v>
      </c>
      <c r="D3131" t="s">
        <v>7960</v>
      </c>
      <c r="E3131" s="2" t="s">
        <v>840</v>
      </c>
      <c r="F3131" t="s">
        <v>89</v>
      </c>
      <c r="G3131" t="str">
        <f>HYPERLINK("https://www.apnews.kr/news/articleView.html?idxno=3028169")</f>
        <v>https://www.apnews.kr/news/articleView.html?idxno=3028169</v>
      </c>
      <c r="H3131">
        <v>0.46300000000000002</v>
      </c>
    </row>
    <row r="3132" spans="1:8" x14ac:dyDescent="0.3">
      <c r="A3132" t="s">
        <v>7559</v>
      </c>
      <c r="B3132" t="s">
        <v>26951</v>
      </c>
      <c r="C3132" t="s">
        <v>7964</v>
      </c>
      <c r="D3132" t="s">
        <v>7963</v>
      </c>
      <c r="E3132" s="2" t="s">
        <v>840</v>
      </c>
      <c r="F3132" t="s">
        <v>7962</v>
      </c>
      <c r="G3132" t="str">
        <f>HYPERLINK("https://www.ksilbo.co.kr/news/articleView.html?idxno=1028653")</f>
        <v>https://www.ksilbo.co.kr/news/articleView.html?idxno=1028653</v>
      </c>
      <c r="H3132">
        <v>0.45400000000000001</v>
      </c>
    </row>
    <row r="3133" spans="1:8" x14ac:dyDescent="0.3">
      <c r="A3133" t="s">
        <v>7559</v>
      </c>
      <c r="B3133" t="s">
        <v>26951</v>
      </c>
      <c r="C3133" t="s">
        <v>7966</v>
      </c>
      <c r="D3133" t="s">
        <v>7965</v>
      </c>
      <c r="E3133" s="2" t="s">
        <v>860</v>
      </c>
      <c r="F3133" t="s">
        <v>7562</v>
      </c>
      <c r="G3133" t="str">
        <f>HYPERLINK("https://n.news.naver.com/mnews/article/052/0002192363?sid=104")</f>
        <v>https://n.news.naver.com/mnews/article/052/0002192363?sid=104</v>
      </c>
      <c r="H3133">
        <v>0.26800000000000002</v>
      </c>
    </row>
    <row r="3134" spans="1:8" x14ac:dyDescent="0.3">
      <c r="A3134" t="s">
        <v>7559</v>
      </c>
      <c r="B3134" t="s">
        <v>26951</v>
      </c>
      <c r="C3134" t="s">
        <v>7969</v>
      </c>
      <c r="D3134" t="s">
        <v>7968</v>
      </c>
      <c r="E3134" s="2" t="s">
        <v>860</v>
      </c>
      <c r="F3134" t="s">
        <v>7967</v>
      </c>
      <c r="G3134" t="str">
        <f>HYPERLINK("http://www.cctimes.kr/news/articleView.html?idxno=849097")</f>
        <v>http://www.cctimes.kr/news/articleView.html?idxno=849097</v>
      </c>
      <c r="H3134">
        <v>0.33900000000000002</v>
      </c>
    </row>
    <row r="3135" spans="1:8" x14ac:dyDescent="0.3">
      <c r="A3135" t="s">
        <v>7559</v>
      </c>
      <c r="B3135" t="s">
        <v>26951</v>
      </c>
      <c r="E3135" s="2" t="s">
        <v>860</v>
      </c>
      <c r="F3135" t="s">
        <v>7970</v>
      </c>
      <c r="G3135" t="str">
        <f>HYPERLINK("http://www.imwood.co.kr/news/articleView.html?idxno=36708")</f>
        <v>http://www.imwood.co.kr/news/articleView.html?idxno=36708</v>
      </c>
      <c r="H3135">
        <v>0.42099999999999999</v>
      </c>
    </row>
    <row r="3136" spans="1:8" x14ac:dyDescent="0.3">
      <c r="A3136" t="s">
        <v>7559</v>
      </c>
      <c r="B3136" t="s">
        <v>26951</v>
      </c>
      <c r="C3136" t="s">
        <v>7973</v>
      </c>
      <c r="D3136" t="s">
        <v>7972</v>
      </c>
      <c r="E3136" s="2" t="s">
        <v>860</v>
      </c>
      <c r="F3136" t="s">
        <v>7971</v>
      </c>
      <c r="G3136" t="str">
        <f>HYPERLINK("https://www.getnews.co.kr/news/articleView.html?idxno=828887")</f>
        <v>https://www.getnews.co.kr/news/articleView.html?idxno=828887</v>
      </c>
      <c r="H3136">
        <v>0.217</v>
      </c>
    </row>
    <row r="3137" spans="1:8" x14ac:dyDescent="0.3">
      <c r="A3137" t="s">
        <v>7559</v>
      </c>
      <c r="B3137" t="s">
        <v>26951</v>
      </c>
      <c r="C3137" t="s">
        <v>7975</v>
      </c>
      <c r="D3137" t="s">
        <v>7974</v>
      </c>
      <c r="E3137" s="2" t="s">
        <v>860</v>
      </c>
      <c r="F3137" t="s">
        <v>805</v>
      </c>
      <c r="G3137" t="str">
        <f>HYPERLINK("https://www.apnews.kr/news/articleView.html?idxno=3032672")</f>
        <v>https://www.apnews.kr/news/articleView.html?idxno=3032672</v>
      </c>
      <c r="H3137">
        <v>5.3999999999999999E-2</v>
      </c>
    </row>
    <row r="3138" spans="1:8" x14ac:dyDescent="0.3">
      <c r="A3138" t="s">
        <v>7559</v>
      </c>
      <c r="B3138" t="s">
        <v>26951</v>
      </c>
      <c r="C3138" t="s">
        <v>7977</v>
      </c>
      <c r="D3138" t="s">
        <v>7976</v>
      </c>
      <c r="E3138" s="2" t="s">
        <v>860</v>
      </c>
      <c r="F3138" t="s">
        <v>7955</v>
      </c>
      <c r="G3138" t="str">
        <f>HYPERLINK("https://n.news.naver.com/mnews/article/308/0000036812?sid=100")</f>
        <v>https://n.news.naver.com/mnews/article/308/0000036812?sid=100</v>
      </c>
      <c r="H3138">
        <v>0.20399999999999999</v>
      </c>
    </row>
    <row r="3139" spans="1:8" x14ac:dyDescent="0.3">
      <c r="A3139" t="s">
        <v>7559</v>
      </c>
      <c r="B3139" t="s">
        <v>26951</v>
      </c>
      <c r="C3139" t="s">
        <v>7980</v>
      </c>
      <c r="D3139" t="s">
        <v>7979</v>
      </c>
      <c r="E3139" s="2" t="s">
        <v>860</v>
      </c>
      <c r="F3139" t="s">
        <v>7978</v>
      </c>
      <c r="G3139" t="str">
        <f>HYPERLINK("https://www.inews365.com/news/article.html?no=814199")</f>
        <v>https://www.inews365.com/news/article.html?no=814199</v>
      </c>
      <c r="H3139">
        <v>0.61</v>
      </c>
    </row>
    <row r="3140" spans="1:8" x14ac:dyDescent="0.3">
      <c r="A3140" t="s">
        <v>7559</v>
      </c>
      <c r="B3140" t="s">
        <v>26951</v>
      </c>
      <c r="C3140" t="s">
        <v>7983</v>
      </c>
      <c r="D3140" t="s">
        <v>7982</v>
      </c>
      <c r="E3140" s="2" t="s">
        <v>860</v>
      </c>
      <c r="F3140" t="s">
        <v>7981</v>
      </c>
      <c r="G3140" t="str">
        <f>HYPERLINK("https://n.news.naver.com/mnews/article/016/0002492647?sid=102")</f>
        <v>https://n.news.naver.com/mnews/article/016/0002492647?sid=102</v>
      </c>
      <c r="H3140">
        <v>6.2E-2</v>
      </c>
    </row>
    <row r="3141" spans="1:8" x14ac:dyDescent="0.3">
      <c r="A3141" t="s">
        <v>7559</v>
      </c>
      <c r="B3141" t="s">
        <v>26951</v>
      </c>
      <c r="C3141" t="s">
        <v>7985</v>
      </c>
      <c r="D3141" t="s">
        <v>7984</v>
      </c>
      <c r="E3141" s="2" t="s">
        <v>860</v>
      </c>
      <c r="F3141" t="s">
        <v>184</v>
      </c>
      <c r="G3141" t="str">
        <f>HYPERLINK("https://daily.hankooki.com/news/articleView.html?idxno=1226149")</f>
        <v>https://daily.hankooki.com/news/articleView.html?idxno=1226149</v>
      </c>
      <c r="H3141">
        <v>0.49399999999999999</v>
      </c>
    </row>
    <row r="3142" spans="1:8" x14ac:dyDescent="0.3">
      <c r="A3142" t="s">
        <v>7559</v>
      </c>
      <c r="B3142" t="s">
        <v>26951</v>
      </c>
      <c r="C3142" t="s">
        <v>7987</v>
      </c>
      <c r="D3142" t="s">
        <v>7986</v>
      </c>
      <c r="E3142" s="2" t="s">
        <v>860</v>
      </c>
      <c r="F3142" t="s">
        <v>3906</v>
      </c>
      <c r="G3142" t="str">
        <f>HYPERLINK("https://n.news.naver.com/mnews/article/052/0002199015?sid=004")</f>
        <v>https://n.news.naver.com/mnews/article/052/0002199015?sid=004</v>
      </c>
      <c r="H3142">
        <v>8.2000000000000003E-2</v>
      </c>
    </row>
    <row r="3143" spans="1:8" x14ac:dyDescent="0.3">
      <c r="A3143" t="s">
        <v>7559</v>
      </c>
      <c r="B3143" t="s">
        <v>26951</v>
      </c>
      <c r="C3143" t="s">
        <v>7990</v>
      </c>
      <c r="D3143" t="s">
        <v>7989</v>
      </c>
      <c r="E3143" s="2" t="s">
        <v>860</v>
      </c>
      <c r="F3143" t="s">
        <v>7988</v>
      </c>
      <c r="G3143" t="str">
        <f>HYPERLINK("https://www.mediafine.co.kr/news/articleView.html?idxno=67522")</f>
        <v>https://www.mediafine.co.kr/news/articleView.html?idxno=67522</v>
      </c>
      <c r="H3143">
        <v>0.39200000000000002</v>
      </c>
    </row>
    <row r="3144" spans="1:8" x14ac:dyDescent="0.3">
      <c r="A3144" t="s">
        <v>7559</v>
      </c>
      <c r="B3144" t="s">
        <v>26951</v>
      </c>
      <c r="C3144" t="s">
        <v>7993</v>
      </c>
      <c r="D3144" t="s">
        <v>7992</v>
      </c>
      <c r="E3144" s="2" t="s">
        <v>860</v>
      </c>
      <c r="F3144" t="s">
        <v>7991</v>
      </c>
      <c r="G3144" t="str">
        <f>HYPERLINK("http://www.pdjournal.com/news/articleView.html?idxno=60558")</f>
        <v>http://www.pdjournal.com/news/articleView.html?idxno=60558</v>
      </c>
      <c r="H3144">
        <v>0.65700000000000003</v>
      </c>
    </row>
    <row r="3145" spans="1:8" x14ac:dyDescent="0.3">
      <c r="A3145" t="s">
        <v>7559</v>
      </c>
      <c r="B3145" t="s">
        <v>26951</v>
      </c>
      <c r="C3145" t="s">
        <v>7996</v>
      </c>
      <c r="D3145" t="s">
        <v>7995</v>
      </c>
      <c r="E3145" s="2" t="s">
        <v>860</v>
      </c>
      <c r="F3145" t="s">
        <v>7994</v>
      </c>
      <c r="G3145" t="str">
        <f>HYPERLINK("https://n.news.naver.com/mnews/article/016/0002479972?sid=100")</f>
        <v>https://n.news.naver.com/mnews/article/016/0002479972?sid=100</v>
      </c>
      <c r="H3145">
        <v>0.23300000000000001</v>
      </c>
    </row>
    <row r="3146" spans="1:8" x14ac:dyDescent="0.3">
      <c r="A3146" t="s">
        <v>7559</v>
      </c>
      <c r="B3146" t="s">
        <v>26951</v>
      </c>
      <c r="C3146" t="s">
        <v>7998</v>
      </c>
      <c r="D3146" t="s">
        <v>7997</v>
      </c>
      <c r="E3146" s="2" t="s">
        <v>860</v>
      </c>
      <c r="F3146" t="s">
        <v>1327</v>
      </c>
      <c r="G3146" t="str">
        <f>HYPERLINK("https://www.danbinews.com/news/articleView.html?idxno=30751")</f>
        <v>https://www.danbinews.com/news/articleView.html?idxno=30751</v>
      </c>
      <c r="H3146">
        <v>0.45</v>
      </c>
    </row>
    <row r="3147" spans="1:8" x14ac:dyDescent="0.3">
      <c r="A3147" t="s">
        <v>7559</v>
      </c>
      <c r="B3147" t="s">
        <v>26951</v>
      </c>
      <c r="C3147" t="s">
        <v>8000</v>
      </c>
      <c r="D3147" t="s">
        <v>7999</v>
      </c>
      <c r="E3147" s="2" t="s">
        <v>860</v>
      </c>
      <c r="F3147" t="s">
        <v>573</v>
      </c>
      <c r="G3147" t="str">
        <f>HYPERLINK("https://n.news.naver.com/mnews/article/052/0002203934?sid=100")</f>
        <v>https://n.news.naver.com/mnews/article/052/0002203934?sid=100</v>
      </c>
      <c r="H3147">
        <v>0.247</v>
      </c>
    </row>
    <row r="3148" spans="1:8" x14ac:dyDescent="0.3">
      <c r="A3148" t="s">
        <v>7559</v>
      </c>
      <c r="B3148" t="s">
        <v>26951</v>
      </c>
      <c r="C3148" t="s">
        <v>8003</v>
      </c>
      <c r="D3148" t="s">
        <v>8002</v>
      </c>
      <c r="E3148" s="2" t="s">
        <v>903</v>
      </c>
      <c r="F3148" t="s">
        <v>8001</v>
      </c>
      <c r="G3148" t="str">
        <f>HYPERLINK("https://www.greened.kr/news/articleView.html?idxno=325248")</f>
        <v>https://www.greened.kr/news/articleView.html?idxno=325248</v>
      </c>
      <c r="H3148">
        <v>0.625</v>
      </c>
    </row>
    <row r="3149" spans="1:8" x14ac:dyDescent="0.3">
      <c r="A3149" t="s">
        <v>7559</v>
      </c>
      <c r="B3149" t="s">
        <v>26951</v>
      </c>
      <c r="C3149" t="s">
        <v>8005</v>
      </c>
      <c r="D3149" t="s">
        <v>8004</v>
      </c>
      <c r="E3149" s="2" t="s">
        <v>903</v>
      </c>
      <c r="F3149" t="s">
        <v>7562</v>
      </c>
      <c r="G3149" t="str">
        <f>HYPERLINK("https://n.news.naver.com/mnews/article/052/0002185347?sid=100")</f>
        <v>https://n.news.naver.com/mnews/article/052/0002185347?sid=100</v>
      </c>
      <c r="H3149">
        <v>0.20499999999999999</v>
      </c>
    </row>
    <row r="3150" spans="1:8" x14ac:dyDescent="0.3">
      <c r="A3150" t="s">
        <v>7559</v>
      </c>
      <c r="B3150" t="s">
        <v>26951</v>
      </c>
      <c r="C3150" t="s">
        <v>8007</v>
      </c>
      <c r="D3150" t="s">
        <v>8006</v>
      </c>
      <c r="E3150" s="2" t="s">
        <v>903</v>
      </c>
      <c r="F3150" t="s">
        <v>1978</v>
      </c>
      <c r="G3150" t="str">
        <f>HYPERLINK("https://n.news.naver.com/mnews/article/052/0002201937?sid=100")</f>
        <v>https://n.news.naver.com/mnews/article/052/0002201937?sid=100</v>
      </c>
      <c r="H3150">
        <v>0.19</v>
      </c>
    </row>
    <row r="3151" spans="1:8" x14ac:dyDescent="0.3">
      <c r="A3151" t="s">
        <v>7559</v>
      </c>
      <c r="B3151" t="s">
        <v>26951</v>
      </c>
      <c r="C3151" t="s">
        <v>8009</v>
      </c>
      <c r="D3151" t="s">
        <v>8008</v>
      </c>
      <c r="E3151" s="2" t="s">
        <v>903</v>
      </c>
      <c r="F3151" t="s">
        <v>7955</v>
      </c>
      <c r="G3151" t="str">
        <f>HYPERLINK("http://www.christiantoday.co.kr/view.htm?id=261319")</f>
        <v>http://www.christiantoday.co.kr/view.htm?id=261319</v>
      </c>
      <c r="H3151">
        <v>0.63600000000000001</v>
      </c>
    </row>
    <row r="3152" spans="1:8" x14ac:dyDescent="0.3">
      <c r="A3152" t="s">
        <v>7559</v>
      </c>
      <c r="B3152" t="s">
        <v>26951</v>
      </c>
      <c r="C3152" t="s">
        <v>8012</v>
      </c>
      <c r="D3152" t="s">
        <v>8011</v>
      </c>
      <c r="E3152" s="2" t="s">
        <v>903</v>
      </c>
      <c r="F3152" t="s">
        <v>8010</v>
      </c>
      <c r="G3152" t="str">
        <f>HYPERLINK("http://www.rightknow.co.kr/news/articleView.html?idxno=31325")</f>
        <v>http://www.rightknow.co.kr/news/articleView.html?idxno=31325</v>
      </c>
      <c r="H3152">
        <v>0.32700000000000001</v>
      </c>
    </row>
    <row r="3153" spans="1:8" x14ac:dyDescent="0.3">
      <c r="A3153" t="s">
        <v>7559</v>
      </c>
      <c r="B3153" t="s">
        <v>26951</v>
      </c>
      <c r="C3153" t="s">
        <v>8014</v>
      </c>
      <c r="D3153" t="s">
        <v>8013</v>
      </c>
      <c r="E3153" s="2" t="s">
        <v>903</v>
      </c>
      <c r="F3153" t="s">
        <v>89</v>
      </c>
      <c r="G3153" t="str">
        <f>HYPERLINK("https://n.news.naver.com/mnews/article/052/0001469463?sid=102")</f>
        <v>https://n.news.naver.com/mnews/article/052/0001469463?sid=102</v>
      </c>
      <c r="H3153">
        <v>0.28499999999999998</v>
      </c>
    </row>
    <row r="3154" spans="1:8" x14ac:dyDescent="0.3">
      <c r="A3154" t="s">
        <v>7559</v>
      </c>
      <c r="B3154" t="s">
        <v>26951</v>
      </c>
      <c r="C3154" t="s">
        <v>8016</v>
      </c>
      <c r="D3154" t="s">
        <v>8015</v>
      </c>
      <c r="E3154" s="2" t="s">
        <v>903</v>
      </c>
      <c r="F3154" t="s">
        <v>3679</v>
      </c>
      <c r="G3154" t="str">
        <f>HYPERLINK("https://www.ilyoseoul.co.kr/news/articleView.html?idxno=499537")</f>
        <v>https://www.ilyoseoul.co.kr/news/articleView.html?idxno=499537</v>
      </c>
      <c r="H3154">
        <v>0.70199999999999996</v>
      </c>
    </row>
    <row r="3155" spans="1:8" x14ac:dyDescent="0.3">
      <c r="A3155" t="s">
        <v>7559</v>
      </c>
      <c r="B3155" t="s">
        <v>26951</v>
      </c>
      <c r="C3155" t="s">
        <v>8019</v>
      </c>
      <c r="D3155" t="s">
        <v>8018</v>
      </c>
      <c r="E3155" s="2" t="s">
        <v>903</v>
      </c>
      <c r="F3155" t="s">
        <v>8017</v>
      </c>
      <c r="G3155" t="str">
        <f>HYPERLINK("https://n.news.naver.com/mnews/article/052/0000993083?sid=101")</f>
        <v>https://n.news.naver.com/mnews/article/052/0000993083?sid=101</v>
      </c>
      <c r="H3155">
        <v>0.121</v>
      </c>
    </row>
    <row r="3156" spans="1:8" x14ac:dyDescent="0.3">
      <c r="A3156" t="s">
        <v>7559</v>
      </c>
      <c r="B3156" t="s">
        <v>26951</v>
      </c>
      <c r="C3156" t="s">
        <v>8021</v>
      </c>
      <c r="D3156" t="s">
        <v>8020</v>
      </c>
      <c r="E3156" s="2" t="s">
        <v>903</v>
      </c>
      <c r="F3156" t="s">
        <v>7562</v>
      </c>
      <c r="G3156" t="str">
        <f>HYPERLINK("https://www.tokenpost.kr/news/ai/252573")</f>
        <v>https://www.tokenpost.kr/news/ai/252573</v>
      </c>
      <c r="H3156">
        <v>0.372</v>
      </c>
    </row>
    <row r="3157" spans="1:8" x14ac:dyDescent="0.3">
      <c r="A3157" t="s">
        <v>7559</v>
      </c>
      <c r="B3157" t="s">
        <v>26951</v>
      </c>
      <c r="C3157" t="s">
        <v>8023</v>
      </c>
      <c r="D3157" t="s">
        <v>8022</v>
      </c>
      <c r="E3157" s="2" t="s">
        <v>7</v>
      </c>
      <c r="F3157" t="s">
        <v>7562</v>
      </c>
      <c r="G3157" t="str">
        <f>HYPERLINK("https://n.news.naver.com/mnews/article/052/0002192363?sid=104")</f>
        <v>https://n.news.naver.com/mnews/article/052/0002192363?sid=104</v>
      </c>
      <c r="H3157">
        <v>0.23400000000000001</v>
      </c>
    </row>
    <row r="3158" spans="1:8" x14ac:dyDescent="0.3">
      <c r="A3158" t="s">
        <v>7559</v>
      </c>
      <c r="B3158" t="s">
        <v>26951</v>
      </c>
      <c r="C3158" t="s">
        <v>8025</v>
      </c>
      <c r="D3158" t="s">
        <v>8024</v>
      </c>
      <c r="E3158" s="2" t="s">
        <v>7</v>
      </c>
      <c r="F3158" t="s">
        <v>7837</v>
      </c>
      <c r="G3158" t="str">
        <f>HYPERLINK("https://n.news.naver.com/mnews/article/052/0002213135?sid=100")</f>
        <v>https://n.news.naver.com/mnews/article/052/0002213135?sid=100</v>
      </c>
      <c r="H3158">
        <v>0.16600000000000001</v>
      </c>
    </row>
    <row r="3159" spans="1:8" x14ac:dyDescent="0.3">
      <c r="A3159" t="s">
        <v>7559</v>
      </c>
      <c r="B3159" t="s">
        <v>26951</v>
      </c>
      <c r="C3159" t="s">
        <v>8028</v>
      </c>
      <c r="D3159" t="s">
        <v>8027</v>
      </c>
      <c r="E3159" s="2" t="s">
        <v>7</v>
      </c>
      <c r="F3159" t="s">
        <v>8026</v>
      </c>
      <c r="G3159" t="str">
        <f>HYPERLINK("https://www.the-stock.kr/news/articleView.html?idxno=30638")</f>
        <v>https://www.the-stock.kr/news/articleView.html?idxno=30638</v>
      </c>
      <c r="H3159">
        <v>0.34100000000000003</v>
      </c>
    </row>
    <row r="3160" spans="1:8" x14ac:dyDescent="0.3">
      <c r="A3160" t="s">
        <v>7559</v>
      </c>
      <c r="B3160" t="s">
        <v>26951</v>
      </c>
      <c r="C3160" t="s">
        <v>8030</v>
      </c>
      <c r="D3160" t="s">
        <v>8029</v>
      </c>
      <c r="E3160" s="2" t="s">
        <v>7</v>
      </c>
      <c r="F3160" t="s">
        <v>3882</v>
      </c>
      <c r="G3160" t="str">
        <f>HYPERLINK("https://n.news.naver.com/mnews/article/052/0002212711?sid=102")</f>
        <v>https://n.news.naver.com/mnews/article/052/0002212711?sid=102</v>
      </c>
      <c r="H3160">
        <v>0.252</v>
      </c>
    </row>
    <row r="3161" spans="1:8" x14ac:dyDescent="0.3">
      <c r="A3161" t="s">
        <v>7559</v>
      </c>
      <c r="B3161" t="s">
        <v>26951</v>
      </c>
      <c r="C3161" t="s">
        <v>8033</v>
      </c>
      <c r="D3161" t="s">
        <v>8032</v>
      </c>
      <c r="E3161" s="2" t="s">
        <v>7</v>
      </c>
      <c r="F3161" t="s">
        <v>8031</v>
      </c>
      <c r="G3161" t="str">
        <f>HYPERLINK("https://science.ytn.co.kr/program/view.php?mcd=0082&amp;hcd=&amp;key=202506301602114240")</f>
        <v>https://science.ytn.co.kr/program/view.php?mcd=0082&amp;hcd=&amp;key=202506301602114240</v>
      </c>
      <c r="H3161">
        <v>0.13500000000000001</v>
      </c>
    </row>
    <row r="3162" spans="1:8" x14ac:dyDescent="0.3">
      <c r="A3162" t="s">
        <v>7559</v>
      </c>
      <c r="B3162" t="s">
        <v>26951</v>
      </c>
      <c r="C3162" t="s">
        <v>8036</v>
      </c>
      <c r="D3162" t="s">
        <v>8035</v>
      </c>
      <c r="E3162" s="2" t="s">
        <v>7</v>
      </c>
      <c r="F3162" t="s">
        <v>8034</v>
      </c>
      <c r="G3162" t="str">
        <f>HYPERLINK("http://www.pennmike.com/news/articleView.html?idxno=31879")</f>
        <v>http://www.pennmike.com/news/articleView.html?idxno=31879</v>
      </c>
      <c r="H3162">
        <v>0.187</v>
      </c>
    </row>
    <row r="3163" spans="1:8" x14ac:dyDescent="0.3">
      <c r="A3163" t="s">
        <v>7559</v>
      </c>
      <c r="B3163" t="s">
        <v>26951</v>
      </c>
      <c r="C3163" t="s">
        <v>8039</v>
      </c>
      <c r="D3163" t="s">
        <v>8038</v>
      </c>
      <c r="E3163" s="2" t="s">
        <v>7</v>
      </c>
      <c r="F3163" t="s">
        <v>8037</v>
      </c>
      <c r="G3163" t="str">
        <f>HYPERLINK("https://radio.ytn.co.kr/program/?f=2&amp;id=97739&amp;s_mcd=0211&amp;s_hcd=09")</f>
        <v>https://radio.ytn.co.kr/program/?f=2&amp;id=97739&amp;s_mcd=0211&amp;s_hcd=09</v>
      </c>
      <c r="H3163">
        <v>0.48099999999999998</v>
      </c>
    </row>
    <row r="3164" spans="1:8" x14ac:dyDescent="0.3">
      <c r="A3164" t="s">
        <v>7559</v>
      </c>
      <c r="B3164" t="s">
        <v>26951</v>
      </c>
      <c r="C3164" t="s">
        <v>8042</v>
      </c>
      <c r="D3164" t="s">
        <v>8041</v>
      </c>
      <c r="E3164" s="2" t="s">
        <v>7</v>
      </c>
      <c r="F3164" t="s">
        <v>8040</v>
      </c>
      <c r="G3164" t="str">
        <f>HYPERLINK("https://radio.ytn.co.kr/program/?f=2&amp;id=88271&amp;s_mcd=0206&amp;s_hcd=15")</f>
        <v>https://radio.ytn.co.kr/program/?f=2&amp;id=88271&amp;s_mcd=0206&amp;s_hcd=15</v>
      </c>
      <c r="H3164">
        <v>0.41899999999999998</v>
      </c>
    </row>
    <row r="3165" spans="1:8" x14ac:dyDescent="0.3">
      <c r="A3165" t="s">
        <v>7559</v>
      </c>
      <c r="B3165" t="s">
        <v>26951</v>
      </c>
      <c r="C3165" t="s">
        <v>8044</v>
      </c>
      <c r="D3165" t="s">
        <v>8043</v>
      </c>
      <c r="E3165" s="2" t="s">
        <v>7</v>
      </c>
      <c r="F3165" t="s">
        <v>7803</v>
      </c>
      <c r="G3165" t="str">
        <f>HYPERLINK("https://science.ytn.co.kr/program/view.php?mcd=0082&amp;hcd=&amp;key=202506301602535029")</f>
        <v>https://science.ytn.co.kr/program/view.php?mcd=0082&amp;hcd=&amp;key=202506301602535029</v>
      </c>
      <c r="H3165">
        <v>0.124</v>
      </c>
    </row>
    <row r="3166" spans="1:8" x14ac:dyDescent="0.3">
      <c r="A3166" t="s">
        <v>7559</v>
      </c>
      <c r="B3166" t="s">
        <v>26951</v>
      </c>
      <c r="C3166" t="s">
        <v>8047</v>
      </c>
      <c r="D3166" t="s">
        <v>8046</v>
      </c>
      <c r="E3166" s="2" t="s">
        <v>7</v>
      </c>
      <c r="F3166" t="s">
        <v>8045</v>
      </c>
      <c r="G3166" t="str">
        <f>HYPERLINK("https://www.rcast.co.kr/news/articleView.html?idxno=27958")</f>
        <v>https://www.rcast.co.kr/news/articleView.html?idxno=27958</v>
      </c>
      <c r="H3166">
        <v>0.123</v>
      </c>
    </row>
    <row r="3167" spans="1:8" x14ac:dyDescent="0.3">
      <c r="A3167" t="s">
        <v>7559</v>
      </c>
      <c r="B3167" t="s">
        <v>26951</v>
      </c>
      <c r="C3167" t="s">
        <v>8050</v>
      </c>
      <c r="D3167" t="s">
        <v>8049</v>
      </c>
      <c r="E3167" s="2" t="s">
        <v>7</v>
      </c>
      <c r="F3167" t="s">
        <v>8048</v>
      </c>
      <c r="G3167" t="str">
        <f>HYPERLINK("https://www.dailysportshankook.co.kr/news/articleView.html?idxno=407812")</f>
        <v>https://www.dailysportshankook.co.kr/news/articleView.html?idxno=407812</v>
      </c>
      <c r="H3167">
        <v>0.496</v>
      </c>
    </row>
    <row r="3168" spans="1:8" x14ac:dyDescent="0.3">
      <c r="A3168" t="s">
        <v>7559</v>
      </c>
      <c r="B3168" t="s">
        <v>26951</v>
      </c>
      <c r="C3168" t="s">
        <v>8052</v>
      </c>
      <c r="D3168" t="s">
        <v>8051</v>
      </c>
      <c r="E3168" s="2" t="s">
        <v>7</v>
      </c>
      <c r="F3168" t="s">
        <v>3501</v>
      </c>
      <c r="G3168" t="str">
        <f>HYPERLINK("https://www.beminor.com/news/articleView.html?idxno=25236")</f>
        <v>https://www.beminor.com/news/articleView.html?idxno=25236</v>
      </c>
      <c r="H3168">
        <v>0.496</v>
      </c>
    </row>
    <row r="3169" spans="1:8" x14ac:dyDescent="0.3">
      <c r="A3169" t="s">
        <v>7559</v>
      </c>
      <c r="B3169" t="s">
        <v>26951</v>
      </c>
      <c r="C3169" t="s">
        <v>8054</v>
      </c>
      <c r="D3169" t="s">
        <v>8053</v>
      </c>
      <c r="E3169" s="2" t="s">
        <v>7</v>
      </c>
      <c r="F3169" t="s">
        <v>898</v>
      </c>
      <c r="G3169" t="str">
        <f>HYPERLINK("https://www.danbinews.com/news/articleView.html?idxno=30758")</f>
        <v>https://www.danbinews.com/news/articleView.html?idxno=30758</v>
      </c>
      <c r="H3169">
        <v>0.63100000000000001</v>
      </c>
    </row>
    <row r="3170" spans="1:8" x14ac:dyDescent="0.3">
      <c r="A3170" t="s">
        <v>7559</v>
      </c>
      <c r="B3170" t="s">
        <v>26951</v>
      </c>
      <c r="C3170" t="s">
        <v>8057</v>
      </c>
      <c r="D3170" t="s">
        <v>8056</v>
      </c>
      <c r="E3170" s="2" t="s">
        <v>7</v>
      </c>
      <c r="F3170" t="s">
        <v>8055</v>
      </c>
      <c r="G3170" t="str">
        <f>HYPERLINK("https://n.news.naver.com/mnews/article/052/0001362914?sid=101")</f>
        <v>https://n.news.naver.com/mnews/article/052/0001362914?sid=101</v>
      </c>
      <c r="H3170">
        <v>0.2</v>
      </c>
    </row>
    <row r="3171" spans="1:8" x14ac:dyDescent="0.3">
      <c r="A3171" t="s">
        <v>7559</v>
      </c>
      <c r="B3171" t="s">
        <v>26951</v>
      </c>
      <c r="C3171" t="s">
        <v>8060</v>
      </c>
      <c r="D3171" t="s">
        <v>8059</v>
      </c>
      <c r="E3171" s="2" t="s">
        <v>66</v>
      </c>
      <c r="F3171" t="s">
        <v>8058</v>
      </c>
      <c r="G3171" t="str">
        <f>HYPERLINK("https://n.news.naver.com/mnews/article/028/0002753226?sid=102")</f>
        <v>https://n.news.naver.com/mnews/article/028/0002753226?sid=102</v>
      </c>
      <c r="H3171">
        <v>0.155</v>
      </c>
    </row>
    <row r="3172" spans="1:8" x14ac:dyDescent="0.3">
      <c r="A3172" t="s">
        <v>7559</v>
      </c>
      <c r="B3172" t="s">
        <v>26951</v>
      </c>
      <c r="C3172" t="s">
        <v>8062</v>
      </c>
      <c r="D3172" t="s">
        <v>8061</v>
      </c>
      <c r="E3172" s="2" t="s">
        <v>66</v>
      </c>
      <c r="F3172" t="s">
        <v>4838</v>
      </c>
      <c r="G3172" t="str">
        <f>HYPERLINK("https://n.news.naver.com/mnews/article/052/0002212976?sid=103")</f>
        <v>https://n.news.naver.com/mnews/article/052/0002212976?sid=103</v>
      </c>
      <c r="H3172">
        <v>6.9000000000000006E-2</v>
      </c>
    </row>
    <row r="3173" spans="1:8" x14ac:dyDescent="0.3">
      <c r="A3173" t="s">
        <v>7559</v>
      </c>
      <c r="B3173" t="s">
        <v>26951</v>
      </c>
      <c r="C3173" t="s">
        <v>8065</v>
      </c>
      <c r="D3173" t="s">
        <v>8064</v>
      </c>
      <c r="E3173" s="2" t="s">
        <v>66</v>
      </c>
      <c r="F3173" t="s">
        <v>8063</v>
      </c>
      <c r="G3173" t="str">
        <f>HYPERLINK("https://n.news.naver.com/mnews/article/014/0005366623?sid=101")</f>
        <v>https://n.news.naver.com/mnews/article/014/0005366623?sid=101</v>
      </c>
      <c r="H3173">
        <v>0.17100000000000001</v>
      </c>
    </row>
    <row r="3174" spans="1:8" x14ac:dyDescent="0.3">
      <c r="A3174" t="s">
        <v>7559</v>
      </c>
      <c r="B3174" t="s">
        <v>26951</v>
      </c>
      <c r="C3174" t="s">
        <v>8067</v>
      </c>
      <c r="D3174" t="s">
        <v>8066</v>
      </c>
      <c r="E3174" s="2" t="s">
        <v>66</v>
      </c>
      <c r="F3174" t="s">
        <v>2132</v>
      </c>
      <c r="G3174" t="str">
        <f>HYPERLINK("https://n.news.naver.com/mnews/article/214/0001429002?sid=100")</f>
        <v>https://n.news.naver.com/mnews/article/214/0001429002?sid=100</v>
      </c>
      <c r="H3174">
        <v>0.65500000000000003</v>
      </c>
    </row>
    <row r="3175" spans="1:8" x14ac:dyDescent="0.3">
      <c r="A3175" t="s">
        <v>7559</v>
      </c>
      <c r="B3175" t="s">
        <v>26951</v>
      </c>
      <c r="C3175" t="s">
        <v>8070</v>
      </c>
      <c r="D3175" t="s">
        <v>8069</v>
      </c>
      <c r="E3175" s="2" t="s">
        <v>66</v>
      </c>
      <c r="F3175" t="s">
        <v>8068</v>
      </c>
      <c r="G3175" t="str">
        <f>HYPERLINK("http://www.pennmike.com/news/articleView.html?idxno=59034")</f>
        <v>http://www.pennmike.com/news/articleView.html?idxno=59034</v>
      </c>
      <c r="H3175">
        <v>0.31</v>
      </c>
    </row>
    <row r="3176" spans="1:8" x14ac:dyDescent="0.3">
      <c r="A3176" t="s">
        <v>7559</v>
      </c>
      <c r="B3176" t="s">
        <v>26951</v>
      </c>
      <c r="C3176" t="s">
        <v>8073</v>
      </c>
      <c r="D3176" t="s">
        <v>8072</v>
      </c>
      <c r="E3176" s="2" t="s">
        <v>66</v>
      </c>
      <c r="F3176" t="s">
        <v>8071</v>
      </c>
      <c r="G3176" t="str">
        <f>HYPERLINK("https://www.allurekorea.com/2024/11/06/%eb%9f%ad%ec%85%94%eb%a6%ac-%eb%b7%b0%ed%8b%b0%ea%b0%80-%ec%9e%98-%eb%a7%9e%eb%8a%94-%ed%94%bc%eb%b6%80%eb%8a%94-%eb%94%b0%eb%a1%9c-%ec%9e%88%eb%8b%a4/?utm_source=naver&amp;utm_medium=partnership")</f>
        <v>https://www.allurekorea.com/2024/11/06/%eb%9f%ad%ec%85%94%eb%a6%ac-%eb%b7%b0%ed%8b%b0%ea%b0%80-%ec%9e%98-%eb%a7%9e%eb%8a%94-%ed%94%bc%eb%b6%80%eb%8a%94-%eb%94%b0%eb%a1%9c-%ec%9e%88%eb%8b%a4/?utm_source=naver&amp;utm_medium=partnership</v>
      </c>
      <c r="H3176">
        <v>0.33600000000000002</v>
      </c>
    </row>
    <row r="3177" spans="1:8" x14ac:dyDescent="0.3">
      <c r="A3177" t="s">
        <v>7559</v>
      </c>
      <c r="B3177" t="s">
        <v>26951</v>
      </c>
      <c r="C3177" t="s">
        <v>8076</v>
      </c>
      <c r="D3177" t="s">
        <v>8075</v>
      </c>
      <c r="E3177" s="2" t="s">
        <v>66</v>
      </c>
      <c r="F3177" t="s">
        <v>8074</v>
      </c>
      <c r="G3177" t="str">
        <f>HYPERLINK("https://www.dkilbo.com/news/articleView.html?idxno=502936")</f>
        <v>https://www.dkilbo.com/news/articleView.html?idxno=502936</v>
      </c>
      <c r="H3177">
        <v>0.94099999999999995</v>
      </c>
    </row>
    <row r="3178" spans="1:8" x14ac:dyDescent="0.3">
      <c r="A3178" t="s">
        <v>7559</v>
      </c>
      <c r="B3178" t="s">
        <v>26951</v>
      </c>
      <c r="C3178" t="s">
        <v>8078</v>
      </c>
      <c r="D3178" t="s">
        <v>8077</v>
      </c>
      <c r="E3178" s="2" t="s">
        <v>74</v>
      </c>
      <c r="F3178" t="s">
        <v>1543</v>
      </c>
      <c r="G3178" t="str">
        <f>HYPERLINK("https://n.news.naver.com/mnews/article/081/0003345209?sid=102")</f>
        <v>https://n.news.naver.com/mnews/article/081/0003345209?sid=102</v>
      </c>
      <c r="H3178">
        <v>0.309</v>
      </c>
    </row>
    <row r="3179" spans="1:8" x14ac:dyDescent="0.3">
      <c r="A3179" t="s">
        <v>7559</v>
      </c>
      <c r="B3179" t="s">
        <v>26951</v>
      </c>
      <c r="C3179" t="s">
        <v>8081</v>
      </c>
      <c r="D3179" t="s">
        <v>8080</v>
      </c>
      <c r="E3179" s="2" t="s">
        <v>74</v>
      </c>
      <c r="F3179" t="s">
        <v>8079</v>
      </c>
      <c r="G3179" t="str">
        <f>HYPERLINK("https://n.news.naver.com/mnews/article/052/0002186251?sid=102")</f>
        <v>https://n.news.naver.com/mnews/article/052/0002186251?sid=102</v>
      </c>
      <c r="H3179">
        <v>0.26300000000000001</v>
      </c>
    </row>
    <row r="3180" spans="1:8" x14ac:dyDescent="0.3">
      <c r="A3180" t="s">
        <v>7559</v>
      </c>
      <c r="B3180" t="s">
        <v>26951</v>
      </c>
      <c r="C3180" t="s">
        <v>8083</v>
      </c>
      <c r="D3180" t="s">
        <v>8082</v>
      </c>
      <c r="E3180" s="2" t="s">
        <v>74</v>
      </c>
      <c r="F3180" t="s">
        <v>1327</v>
      </c>
      <c r="G3180" t="str">
        <f>HYPERLINK("https://n.news.naver.com/mnews/article/052/0001062148?sid=100")</f>
        <v>https://n.news.naver.com/mnews/article/052/0001062148?sid=100</v>
      </c>
      <c r="H3180">
        <v>0.214</v>
      </c>
    </row>
    <row r="3181" spans="1:8" x14ac:dyDescent="0.3">
      <c r="A3181" t="s">
        <v>7559</v>
      </c>
      <c r="B3181" t="s">
        <v>26951</v>
      </c>
      <c r="C3181" t="s">
        <v>8085</v>
      </c>
      <c r="D3181" t="s">
        <v>8084</v>
      </c>
      <c r="E3181" s="2" t="s">
        <v>74</v>
      </c>
      <c r="F3181" t="s">
        <v>967</v>
      </c>
      <c r="G3181" t="str">
        <f>HYPERLINK("https://www.bbc.com/korean/articles/c89zjqjgg22o?xtor=AL-73-%5Bpartner%5D-%5Bnaver%5D-%5Bheadline%5D-%5Bkorean%5D-%5Bbizdev%5D-%5Bisapi%5D")</f>
        <v>https://www.bbc.com/korean/articles/c89zjqjgg22o?xtor=AL-73-%5Bpartner%5D-%5Bnaver%5D-%5Bheadline%5D-%5Bkorean%5D-%5Bbizdev%5D-%5Bisapi%5D</v>
      </c>
      <c r="H3181">
        <v>0.42399999999999999</v>
      </c>
    </row>
    <row r="3182" spans="1:8" x14ac:dyDescent="0.3">
      <c r="A3182" t="s">
        <v>7559</v>
      </c>
      <c r="B3182" t="s">
        <v>26951</v>
      </c>
      <c r="C3182" t="s">
        <v>1605</v>
      </c>
      <c r="D3182" t="s">
        <v>1604</v>
      </c>
      <c r="E3182" s="2" t="s">
        <v>74</v>
      </c>
      <c r="F3182" t="s">
        <v>1603</v>
      </c>
      <c r="G3182" t="str">
        <f>HYPERLINK("http://apnews.kr/View.aspx?No=2139848")</f>
        <v>http://apnews.kr/View.aspx?No=2139848</v>
      </c>
      <c r="H3182">
        <v>0.42</v>
      </c>
    </row>
    <row r="3183" spans="1:8" x14ac:dyDescent="0.3">
      <c r="A3183" t="s">
        <v>7559</v>
      </c>
      <c r="B3183" t="s">
        <v>26951</v>
      </c>
      <c r="C3183" t="s">
        <v>8088</v>
      </c>
      <c r="D3183" t="s">
        <v>8087</v>
      </c>
      <c r="E3183" s="2" t="s">
        <v>74</v>
      </c>
      <c r="F3183" t="s">
        <v>8086</v>
      </c>
      <c r="G3183" t="str">
        <f>HYPERLINK("https://n.news.naver.com/mnews/article/079/0004040073?sid=102")</f>
        <v>https://n.news.naver.com/mnews/article/079/0004040073?sid=102</v>
      </c>
      <c r="H3183">
        <v>0.223</v>
      </c>
    </row>
    <row r="3184" spans="1:8" x14ac:dyDescent="0.3">
      <c r="A3184" t="s">
        <v>7559</v>
      </c>
      <c r="B3184" t="s">
        <v>26951</v>
      </c>
      <c r="C3184" t="s">
        <v>8091</v>
      </c>
      <c r="D3184" t="s">
        <v>8090</v>
      </c>
      <c r="E3184" s="2" t="s">
        <v>74</v>
      </c>
      <c r="F3184" t="s">
        <v>8089</v>
      </c>
      <c r="G3184" t="str">
        <f>HYPERLINK("https://n.news.naver.com/mnews/article/052/0002212013?sid=103")</f>
        <v>https://n.news.naver.com/mnews/article/052/0002212013?sid=103</v>
      </c>
      <c r="H3184">
        <v>5.7000000000000002E-2</v>
      </c>
    </row>
    <row r="3185" spans="1:8" x14ac:dyDescent="0.3">
      <c r="A3185" t="s">
        <v>7559</v>
      </c>
      <c r="B3185" t="s">
        <v>26951</v>
      </c>
      <c r="C3185" t="s">
        <v>8095</v>
      </c>
      <c r="D3185" t="s">
        <v>8094</v>
      </c>
      <c r="E3185" s="2" t="s">
        <v>74</v>
      </c>
      <c r="F3185" t="s">
        <v>148</v>
      </c>
      <c r="G3185" t="str">
        <f>HYPERLINK("https://n.news.naver.com/mnews/article/469/0000872954?sid=102")</f>
        <v>https://n.news.naver.com/mnews/article/469/0000872954?sid=102</v>
      </c>
      <c r="H3185">
        <v>0.20300000000000001</v>
      </c>
    </row>
    <row r="3186" spans="1:8" x14ac:dyDescent="0.3">
      <c r="A3186" t="s">
        <v>7559</v>
      </c>
      <c r="B3186" t="s">
        <v>26951</v>
      </c>
      <c r="C3186" t="s">
        <v>8097</v>
      </c>
      <c r="D3186" t="s">
        <v>8096</v>
      </c>
      <c r="E3186" s="2" t="s">
        <v>74</v>
      </c>
      <c r="F3186" t="s">
        <v>1978</v>
      </c>
      <c r="G3186" t="str">
        <f>HYPERLINK("https://www.thereport.co.kr/news/articleView.html?idxno=66335")</f>
        <v>https://www.thereport.co.kr/news/articleView.html?idxno=66335</v>
      </c>
      <c r="H3186">
        <v>0.32600000000000001</v>
      </c>
    </row>
    <row r="3187" spans="1:8" x14ac:dyDescent="0.3">
      <c r="A3187" t="s">
        <v>7559</v>
      </c>
      <c r="B3187" t="s">
        <v>26951</v>
      </c>
      <c r="C3187" t="s">
        <v>8100</v>
      </c>
      <c r="D3187" t="s">
        <v>8099</v>
      </c>
      <c r="E3187" s="2" t="s">
        <v>105</v>
      </c>
      <c r="F3187" t="s">
        <v>8098</v>
      </c>
      <c r="G3187" t="str">
        <f>HYPERLINK("https://radio.ytn.co.kr/program/?f=2&amp;id=81488&amp;s_mcd=0433&amp;s_hcd=01")</f>
        <v>https://radio.ytn.co.kr/program/?f=2&amp;id=81488&amp;s_mcd=0433&amp;s_hcd=01</v>
      </c>
      <c r="H3187">
        <v>0.253</v>
      </c>
    </row>
    <row r="3188" spans="1:8" x14ac:dyDescent="0.3">
      <c r="A3188" t="s">
        <v>7559</v>
      </c>
      <c r="B3188" t="s">
        <v>26951</v>
      </c>
      <c r="C3188" t="s">
        <v>8103</v>
      </c>
      <c r="D3188" t="s">
        <v>8102</v>
      </c>
      <c r="E3188" s="2" t="s">
        <v>105</v>
      </c>
      <c r="F3188" t="s">
        <v>8101</v>
      </c>
      <c r="G3188" t="str">
        <f>HYPERLINK("https://n.news.naver.com/mnews/article/022/0004047617?sid=100")</f>
        <v>https://n.news.naver.com/mnews/article/022/0004047617?sid=100</v>
      </c>
      <c r="H3188">
        <v>0.26400000000000001</v>
      </c>
    </row>
    <row r="3189" spans="1:8" x14ac:dyDescent="0.3">
      <c r="A3189" t="s">
        <v>7559</v>
      </c>
      <c r="B3189" t="s">
        <v>26951</v>
      </c>
      <c r="C3189" t="s">
        <v>8105</v>
      </c>
      <c r="D3189" t="s">
        <v>8104</v>
      </c>
      <c r="E3189" s="2" t="s">
        <v>105</v>
      </c>
      <c r="F3189" t="s">
        <v>4227</v>
      </c>
      <c r="G3189" t="str">
        <f>HYPERLINK("https://www.kpinews.kr/newsView/1065596253377468")</f>
        <v>https://www.kpinews.kr/newsView/1065596253377468</v>
      </c>
      <c r="H3189">
        <v>5.7000000000000002E-2</v>
      </c>
    </row>
    <row r="3190" spans="1:8" x14ac:dyDescent="0.3">
      <c r="A3190" t="s">
        <v>7559</v>
      </c>
      <c r="B3190" t="s">
        <v>26951</v>
      </c>
      <c r="C3190" t="s">
        <v>8108</v>
      </c>
      <c r="D3190" t="s">
        <v>8107</v>
      </c>
      <c r="E3190" s="2" t="s">
        <v>105</v>
      </c>
      <c r="F3190" t="s">
        <v>8106</v>
      </c>
      <c r="G3190" t="str">
        <f>HYPERLINK("https://n.news.naver.com/mnews/article/028/0002753185?sid=102")</f>
        <v>https://n.news.naver.com/mnews/article/028/0002753185?sid=102</v>
      </c>
      <c r="H3190">
        <v>0.25900000000000001</v>
      </c>
    </row>
    <row r="3191" spans="1:8" x14ac:dyDescent="0.3">
      <c r="A3191" t="s">
        <v>7559</v>
      </c>
      <c r="B3191" t="s">
        <v>26951</v>
      </c>
      <c r="C3191" t="s">
        <v>8110</v>
      </c>
      <c r="D3191" t="s">
        <v>8109</v>
      </c>
      <c r="E3191" s="2" t="s">
        <v>105</v>
      </c>
      <c r="F3191" t="s">
        <v>88</v>
      </c>
      <c r="G3191" t="str">
        <f>HYPERLINK("https://n.news.naver.com/mnews/article/028/0002752693?sid=100")</f>
        <v>https://n.news.naver.com/mnews/article/028/0002752693?sid=100</v>
      </c>
      <c r="H3191">
        <v>0.23599999999999999</v>
      </c>
    </row>
    <row r="3192" spans="1:8" x14ac:dyDescent="0.3">
      <c r="A3192" t="s">
        <v>7559</v>
      </c>
      <c r="B3192" t="s">
        <v>26951</v>
      </c>
      <c r="C3192" t="s">
        <v>8113</v>
      </c>
      <c r="D3192" t="s">
        <v>8112</v>
      </c>
      <c r="E3192" s="2" t="s">
        <v>105</v>
      </c>
      <c r="F3192" t="s">
        <v>8111</v>
      </c>
      <c r="G3192" t="str">
        <f>HYPERLINK("https://n.news.naver.com/mnews/article/081/0003551248?sid=104")</f>
        <v>https://n.news.naver.com/mnews/article/081/0003551248?sid=104</v>
      </c>
      <c r="H3192">
        <v>0.28399999999999997</v>
      </c>
    </row>
    <row r="3193" spans="1:8" x14ac:dyDescent="0.3">
      <c r="A3193" t="s">
        <v>7559</v>
      </c>
      <c r="B3193" t="s">
        <v>26951</v>
      </c>
      <c r="C3193" t="s">
        <v>8115</v>
      </c>
      <c r="D3193" t="s">
        <v>8114</v>
      </c>
      <c r="E3193" s="2" t="s">
        <v>105</v>
      </c>
      <c r="F3193" t="s">
        <v>7787</v>
      </c>
      <c r="G3193" t="str">
        <f>HYPERLINK("https://www.kgnews.co.kr/news/article.html?no=730081")</f>
        <v>https://www.kgnews.co.kr/news/article.html?no=730081</v>
      </c>
      <c r="H3193">
        <v>0.57399999999999995</v>
      </c>
    </row>
    <row r="3194" spans="1:8" x14ac:dyDescent="0.3">
      <c r="A3194" t="s">
        <v>7559</v>
      </c>
      <c r="B3194" t="s">
        <v>26951</v>
      </c>
      <c r="C3194" t="s">
        <v>8118</v>
      </c>
      <c r="D3194" t="s">
        <v>8117</v>
      </c>
      <c r="E3194" s="2" t="s">
        <v>105</v>
      </c>
      <c r="F3194" t="s">
        <v>8116</v>
      </c>
      <c r="G3194" t="str">
        <f>HYPERLINK("https://n.news.naver.com/mnews/article/081/0003412438?sid=103")</f>
        <v>https://n.news.naver.com/mnews/article/081/0003412438?sid=103</v>
      </c>
      <c r="H3194">
        <v>0.17299999999999999</v>
      </c>
    </row>
    <row r="3195" spans="1:8" x14ac:dyDescent="0.3">
      <c r="A3195" t="s">
        <v>7559</v>
      </c>
      <c r="B3195" t="s">
        <v>26951</v>
      </c>
      <c r="C3195" t="s">
        <v>8120</v>
      </c>
      <c r="D3195" t="s">
        <v>8119</v>
      </c>
      <c r="E3195" s="2" t="s">
        <v>105</v>
      </c>
      <c r="F3195" t="s">
        <v>3679</v>
      </c>
      <c r="G3195" t="str">
        <f>HYPERLINK("https://n.news.naver.com/mnews/article/002/0002394808?sid=100")</f>
        <v>https://n.news.naver.com/mnews/article/002/0002394808?sid=100</v>
      </c>
      <c r="H3195">
        <v>0.28399999999999997</v>
      </c>
    </row>
    <row r="3196" spans="1:8" x14ac:dyDescent="0.3">
      <c r="A3196" t="s">
        <v>7559</v>
      </c>
      <c r="B3196" t="s">
        <v>26951</v>
      </c>
      <c r="C3196" t="s">
        <v>8122</v>
      </c>
      <c r="D3196" t="s">
        <v>8121</v>
      </c>
      <c r="E3196" s="2" t="s">
        <v>105</v>
      </c>
      <c r="F3196" t="s">
        <v>898</v>
      </c>
      <c r="G3196" t="str">
        <f>HYPERLINK("https://www.apnews.kr/news/articleView.html?idxno=3029666")</f>
        <v>https://www.apnews.kr/news/articleView.html?idxno=3029666</v>
      </c>
      <c r="H3196">
        <v>0.59099999999999997</v>
      </c>
    </row>
    <row r="3197" spans="1:8" x14ac:dyDescent="0.3">
      <c r="A3197" t="s">
        <v>7559</v>
      </c>
      <c r="B3197" t="s">
        <v>26951</v>
      </c>
      <c r="C3197" t="s">
        <v>8125</v>
      </c>
      <c r="D3197" t="s">
        <v>8124</v>
      </c>
      <c r="E3197" s="2" t="s">
        <v>133</v>
      </c>
      <c r="F3197" t="s">
        <v>8123</v>
      </c>
      <c r="G3197" t="str">
        <f>HYPERLINK("http://www.k-health.com/news/articleView.html?idxno=82556")</f>
        <v>http://www.k-health.com/news/articleView.html?idxno=82556</v>
      </c>
      <c r="H3197">
        <v>0.20300000000000001</v>
      </c>
    </row>
    <row r="3198" spans="1:8" x14ac:dyDescent="0.3">
      <c r="A3198" t="s">
        <v>7559</v>
      </c>
      <c r="B3198" t="s">
        <v>26951</v>
      </c>
      <c r="C3198" t="s">
        <v>8128</v>
      </c>
      <c r="D3198" t="s">
        <v>8127</v>
      </c>
      <c r="E3198" s="2" t="s">
        <v>133</v>
      </c>
      <c r="F3198" t="s">
        <v>8126</v>
      </c>
      <c r="G3198" t="str">
        <f>HYPERLINK("https://n.news.naver.com/mnews/article/056/0011979457?sid=101")</f>
        <v>https://n.news.naver.com/mnews/article/056/0011979457?sid=101</v>
      </c>
      <c r="H3198">
        <v>0.26200000000000001</v>
      </c>
    </row>
    <row r="3199" spans="1:8" x14ac:dyDescent="0.3">
      <c r="A3199" t="s">
        <v>7559</v>
      </c>
      <c r="B3199" t="s">
        <v>26951</v>
      </c>
      <c r="C3199" t="s">
        <v>8130</v>
      </c>
      <c r="D3199" t="s">
        <v>8129</v>
      </c>
      <c r="E3199" s="2" t="s">
        <v>133</v>
      </c>
      <c r="F3199" t="s">
        <v>7562</v>
      </c>
      <c r="G3199" t="str">
        <f>HYPERLINK("https://n.news.naver.com/mnews/article/052/0002123624?sid=101")</f>
        <v>https://n.news.naver.com/mnews/article/052/0002123624?sid=101</v>
      </c>
      <c r="H3199">
        <v>0.255</v>
      </c>
    </row>
    <row r="3200" spans="1:8" x14ac:dyDescent="0.3">
      <c r="A3200" t="s">
        <v>7559</v>
      </c>
      <c r="B3200" t="s">
        <v>26951</v>
      </c>
      <c r="C3200" t="s">
        <v>8133</v>
      </c>
      <c r="D3200" t="s">
        <v>8132</v>
      </c>
      <c r="E3200" s="2" t="s">
        <v>133</v>
      </c>
      <c r="F3200" t="s">
        <v>8131</v>
      </c>
      <c r="G3200" t="str">
        <f>HYPERLINK("http://www.netongs.com/news/articleView.html?idxno=326734")</f>
        <v>http://www.netongs.com/news/articleView.html?idxno=326734</v>
      </c>
      <c r="H3200">
        <v>0.45200000000000001</v>
      </c>
    </row>
    <row r="3201" spans="1:8" x14ac:dyDescent="0.3">
      <c r="A3201" t="s">
        <v>7559</v>
      </c>
      <c r="B3201" t="s">
        <v>26951</v>
      </c>
      <c r="C3201" t="s">
        <v>8135</v>
      </c>
      <c r="D3201" t="s">
        <v>8134</v>
      </c>
      <c r="E3201" s="2" t="s">
        <v>133</v>
      </c>
      <c r="F3201" t="s">
        <v>89</v>
      </c>
      <c r="G3201" t="str">
        <f>HYPERLINK("https://radio.ytn.co.kr/program/?f=2&amp;id=76564&amp;s_mcd=0206&amp;s_hcd=15")</f>
        <v>https://radio.ytn.co.kr/program/?f=2&amp;id=76564&amp;s_mcd=0206&amp;s_hcd=15</v>
      </c>
      <c r="H3201">
        <v>0.29699999999999999</v>
      </c>
    </row>
    <row r="3202" spans="1:8" x14ac:dyDescent="0.3">
      <c r="A3202" t="s">
        <v>7559</v>
      </c>
      <c r="B3202" t="s">
        <v>26951</v>
      </c>
      <c r="C3202" t="s">
        <v>8137</v>
      </c>
      <c r="D3202" t="s">
        <v>8136</v>
      </c>
      <c r="E3202" s="2" t="s">
        <v>133</v>
      </c>
      <c r="F3202" t="s">
        <v>7550</v>
      </c>
      <c r="G3202" t="str">
        <f>HYPERLINK("https://n.news.naver.com/mnews/article/081/0003028510?sid=104")</f>
        <v>https://n.news.naver.com/mnews/article/081/0003028510?sid=104</v>
      </c>
      <c r="H3202">
        <v>0.22700000000000001</v>
      </c>
    </row>
    <row r="3203" spans="1:8" x14ac:dyDescent="0.3">
      <c r="A3203" t="s">
        <v>7559</v>
      </c>
      <c r="B3203" t="s">
        <v>26951</v>
      </c>
      <c r="C3203" t="s">
        <v>8140</v>
      </c>
      <c r="D3203" t="s">
        <v>8139</v>
      </c>
      <c r="E3203" s="2" t="s">
        <v>133</v>
      </c>
      <c r="F3203" t="s">
        <v>8138</v>
      </c>
      <c r="G3203" t="str">
        <f>HYPERLINK("https://n.news.naver.com/mnews/article/056/0011976350?sid=100")</f>
        <v>https://n.news.naver.com/mnews/article/056/0011976350?sid=100</v>
      </c>
      <c r="H3203">
        <v>6.9000000000000006E-2</v>
      </c>
    </row>
    <row r="3204" spans="1:8" x14ac:dyDescent="0.3">
      <c r="A3204" t="s">
        <v>7559</v>
      </c>
      <c r="B3204" t="s">
        <v>26951</v>
      </c>
      <c r="C3204" t="s">
        <v>8143</v>
      </c>
      <c r="D3204" t="s">
        <v>8142</v>
      </c>
      <c r="E3204" s="2" t="s">
        <v>133</v>
      </c>
      <c r="F3204" t="s">
        <v>8141</v>
      </c>
      <c r="G3204" t="str">
        <f>HYPERLINK("https://n.news.naver.com/mnews/article/052/0002211084?sid=102")</f>
        <v>https://n.news.naver.com/mnews/article/052/0002211084?sid=102</v>
      </c>
      <c r="H3204">
        <v>0.24099999999999999</v>
      </c>
    </row>
    <row r="3205" spans="1:8" x14ac:dyDescent="0.3">
      <c r="A3205" t="s">
        <v>7559</v>
      </c>
      <c r="B3205" t="s">
        <v>26951</v>
      </c>
      <c r="C3205" t="s">
        <v>8145</v>
      </c>
      <c r="D3205" t="s">
        <v>8144</v>
      </c>
      <c r="E3205" s="2" t="s">
        <v>133</v>
      </c>
      <c r="F3205" t="s">
        <v>6167</v>
      </c>
      <c r="G3205" t="str">
        <f>HYPERLINK("https://n.news.naver.com/mnews/article/032/0003180111?sid=102")</f>
        <v>https://n.news.naver.com/mnews/article/032/0003180111?sid=102</v>
      </c>
      <c r="H3205">
        <v>0.21199999999999999</v>
      </c>
    </row>
    <row r="3206" spans="1:8" x14ac:dyDescent="0.3">
      <c r="A3206" t="s">
        <v>7559</v>
      </c>
      <c r="B3206" t="s">
        <v>26951</v>
      </c>
      <c r="C3206" t="s">
        <v>8150</v>
      </c>
      <c r="D3206" t="s">
        <v>8149</v>
      </c>
      <c r="E3206" s="2" t="s">
        <v>133</v>
      </c>
      <c r="F3206" t="s">
        <v>8148</v>
      </c>
      <c r="G3206" t="str">
        <f>HYPERLINK("https://www.apnews.kr/news/articleView.html?idxno=3020956")</f>
        <v>https://www.apnews.kr/news/articleView.html?idxno=3020956</v>
      </c>
      <c r="H3206">
        <v>0.316</v>
      </c>
    </row>
    <row r="3207" spans="1:8" x14ac:dyDescent="0.3">
      <c r="A3207" t="s">
        <v>7559</v>
      </c>
      <c r="B3207" t="s">
        <v>26951</v>
      </c>
      <c r="C3207" t="s">
        <v>8154</v>
      </c>
      <c r="D3207" t="s">
        <v>8153</v>
      </c>
      <c r="E3207" s="2" t="s">
        <v>133</v>
      </c>
      <c r="F3207" t="s">
        <v>6642</v>
      </c>
      <c r="G3207" t="str">
        <f>HYPERLINK("https://n.news.naver.com/mnews/article/052/0002163098?sid=101")</f>
        <v>https://n.news.naver.com/mnews/article/052/0002163098?sid=101</v>
      </c>
      <c r="H3207">
        <v>0.28299999999999997</v>
      </c>
    </row>
    <row r="3208" spans="1:8" x14ac:dyDescent="0.3">
      <c r="A3208" t="s">
        <v>7559</v>
      </c>
      <c r="B3208" t="s">
        <v>26951</v>
      </c>
      <c r="C3208" t="s">
        <v>8156</v>
      </c>
      <c r="D3208" t="s">
        <v>8155</v>
      </c>
      <c r="E3208" s="2" t="s">
        <v>133</v>
      </c>
      <c r="F3208" t="s">
        <v>898</v>
      </c>
      <c r="G3208" t="str">
        <f>HYPERLINK("https://www.apnews.kr/news/articleView.html?idxno=3029666")</f>
        <v>https://www.apnews.kr/news/articleView.html?idxno=3029666</v>
      </c>
      <c r="H3208">
        <v>0.621</v>
      </c>
    </row>
    <row r="3209" spans="1:8" x14ac:dyDescent="0.3">
      <c r="A3209" t="s">
        <v>7559</v>
      </c>
      <c r="B3209" t="s">
        <v>26951</v>
      </c>
      <c r="C3209" t="s">
        <v>8159</v>
      </c>
      <c r="D3209" t="s">
        <v>8158</v>
      </c>
      <c r="E3209" s="2" t="s">
        <v>172</v>
      </c>
      <c r="F3209" t="s">
        <v>4686</v>
      </c>
      <c r="G3209" t="str">
        <f>HYPERLINK("https://n.news.naver.com/mnews/article/016/0000193493?sid=102")</f>
        <v>https://n.news.naver.com/mnews/article/016/0000193493?sid=102</v>
      </c>
      <c r="H3209">
        <v>0.27800000000000002</v>
      </c>
    </row>
    <row r="3210" spans="1:8" x14ac:dyDescent="0.3">
      <c r="A3210" t="s">
        <v>7559</v>
      </c>
      <c r="B3210" t="s">
        <v>26951</v>
      </c>
      <c r="C3210" t="s">
        <v>8161</v>
      </c>
      <c r="D3210" t="s">
        <v>8160</v>
      </c>
      <c r="E3210" s="2" t="s">
        <v>172</v>
      </c>
      <c r="F3210" t="s">
        <v>2004</v>
      </c>
      <c r="G3210" t="str">
        <f>HYPERLINK("http://www.ggilbo.com/news/articleView.html?idxno=921760")</f>
        <v>http://www.ggilbo.com/news/articleView.html?idxno=921760</v>
      </c>
      <c r="H3210">
        <v>0.108</v>
      </c>
    </row>
    <row r="3211" spans="1:8" x14ac:dyDescent="0.3">
      <c r="A3211" t="s">
        <v>7559</v>
      </c>
      <c r="B3211" t="s">
        <v>26951</v>
      </c>
      <c r="C3211" t="s">
        <v>8164</v>
      </c>
      <c r="D3211" t="s">
        <v>8163</v>
      </c>
      <c r="E3211" s="2" t="s">
        <v>172</v>
      </c>
      <c r="F3211" t="s">
        <v>8162</v>
      </c>
      <c r="G3211" t="str">
        <f>HYPERLINK("http://www.danbinews.com/news/articleView.html?idxno=13311")</f>
        <v>http://www.danbinews.com/news/articleView.html?idxno=13311</v>
      </c>
      <c r="H3211">
        <v>0.45500000000000002</v>
      </c>
    </row>
    <row r="3212" spans="1:8" x14ac:dyDescent="0.3">
      <c r="A3212" t="s">
        <v>7559</v>
      </c>
      <c r="B3212" t="s">
        <v>26951</v>
      </c>
      <c r="C3212" t="s">
        <v>8167</v>
      </c>
      <c r="D3212" t="s">
        <v>8166</v>
      </c>
      <c r="E3212" s="2" t="s">
        <v>172</v>
      </c>
      <c r="F3212" t="s">
        <v>8165</v>
      </c>
      <c r="G3212" t="str">
        <f>HYPERLINK("https://n.news.naver.com/mnews/article/052/0002144689?sid=102")</f>
        <v>https://n.news.naver.com/mnews/article/052/0002144689?sid=102</v>
      </c>
      <c r="H3212">
        <v>0.29699999999999999</v>
      </c>
    </row>
    <row r="3213" spans="1:8" x14ac:dyDescent="0.3">
      <c r="A3213" t="s">
        <v>7559</v>
      </c>
      <c r="B3213" t="s">
        <v>26951</v>
      </c>
      <c r="C3213" t="s">
        <v>8170</v>
      </c>
      <c r="D3213" t="s">
        <v>8169</v>
      </c>
      <c r="E3213" s="2" t="s">
        <v>172</v>
      </c>
      <c r="F3213" t="s">
        <v>8168</v>
      </c>
      <c r="G3213" t="str">
        <f>HYPERLINK("http://www.electimes.com/article.php?aid=1622087069217848102")</f>
        <v>http://www.electimes.com/article.php?aid=1622087069217848102</v>
      </c>
      <c r="H3213">
        <v>0.59399999999999997</v>
      </c>
    </row>
    <row r="3214" spans="1:8" x14ac:dyDescent="0.3">
      <c r="A3214" t="s">
        <v>7559</v>
      </c>
      <c r="B3214" t="s">
        <v>26951</v>
      </c>
      <c r="C3214" t="s">
        <v>8172</v>
      </c>
      <c r="D3214" t="s">
        <v>8171</v>
      </c>
      <c r="E3214" s="2" t="s">
        <v>172</v>
      </c>
      <c r="F3214" t="s">
        <v>6135</v>
      </c>
      <c r="G3214" t="str">
        <f>HYPERLINK("https://www.sisaweek.com/news/articleView.html?idxno=226645")</f>
        <v>https://www.sisaweek.com/news/articleView.html?idxno=226645</v>
      </c>
      <c r="H3214">
        <v>0.61899999999999999</v>
      </c>
    </row>
    <row r="3215" spans="1:8" x14ac:dyDescent="0.3">
      <c r="A3215" t="s">
        <v>7559</v>
      </c>
      <c r="B3215" t="s">
        <v>26951</v>
      </c>
      <c r="C3215" t="s">
        <v>8175</v>
      </c>
      <c r="D3215" t="s">
        <v>8174</v>
      </c>
      <c r="E3215" s="2" t="s">
        <v>172</v>
      </c>
      <c r="F3215" t="s">
        <v>8173</v>
      </c>
      <c r="G3215" t="str">
        <f>HYPERLINK("http://www.dtnews24.com/news/article.html?no=423229")</f>
        <v>http://www.dtnews24.com/news/article.html?no=423229</v>
      </c>
      <c r="H3215">
        <v>0.24299999999999999</v>
      </c>
    </row>
    <row r="3216" spans="1:8" x14ac:dyDescent="0.3">
      <c r="A3216" t="s">
        <v>7559</v>
      </c>
      <c r="B3216" t="s">
        <v>26951</v>
      </c>
      <c r="C3216" t="s">
        <v>8178</v>
      </c>
      <c r="D3216" t="s">
        <v>8177</v>
      </c>
      <c r="E3216" s="2" t="s">
        <v>172</v>
      </c>
      <c r="F3216" t="s">
        <v>8176</v>
      </c>
      <c r="G3216" t="str">
        <f>HYPERLINK("http://www.dailysportshankook.co.kr/news/articleView.html?idxno=258597")</f>
        <v>http://www.dailysportshankook.co.kr/news/articleView.html?idxno=258597</v>
      </c>
      <c r="H3216">
        <v>0.26200000000000001</v>
      </c>
    </row>
    <row r="3217" spans="1:8" x14ac:dyDescent="0.3">
      <c r="A3217" t="s">
        <v>7559</v>
      </c>
      <c r="B3217" t="s">
        <v>26951</v>
      </c>
      <c r="C3217" t="s">
        <v>8181</v>
      </c>
      <c r="D3217" t="s">
        <v>8180</v>
      </c>
      <c r="E3217" s="2" t="s">
        <v>172</v>
      </c>
      <c r="F3217" t="s">
        <v>8179</v>
      </c>
      <c r="G3217" t="str">
        <f>HYPERLINK("https://www.womaneconomy.co.kr/news/articleView.html?idxno=221476")</f>
        <v>https://www.womaneconomy.co.kr/news/articleView.html?idxno=221476</v>
      </c>
      <c r="H3217">
        <v>0.34599999999999997</v>
      </c>
    </row>
    <row r="3218" spans="1:8" x14ac:dyDescent="0.3">
      <c r="A3218" t="s">
        <v>7559</v>
      </c>
      <c r="B3218" t="s">
        <v>26951</v>
      </c>
      <c r="C3218" t="s">
        <v>8183</v>
      </c>
      <c r="D3218" t="s">
        <v>8182</v>
      </c>
      <c r="E3218" s="2" t="s">
        <v>172</v>
      </c>
      <c r="F3218" t="s">
        <v>7635</v>
      </c>
      <c r="G3218" t="str">
        <f>HYPERLINK("https://www.apnews.kr/news/articleView.html?idxno=3028169")</f>
        <v>https://www.apnews.kr/news/articleView.html?idxno=3028169</v>
      </c>
      <c r="H3218">
        <v>0.32300000000000001</v>
      </c>
    </row>
    <row r="3219" spans="1:8" x14ac:dyDescent="0.3">
      <c r="A3219" t="s">
        <v>7559</v>
      </c>
      <c r="B3219" t="s">
        <v>26951</v>
      </c>
      <c r="C3219" t="s">
        <v>8185</v>
      </c>
      <c r="D3219" t="s">
        <v>8184</v>
      </c>
      <c r="E3219" s="2" t="s">
        <v>172</v>
      </c>
      <c r="F3219" t="s">
        <v>7621</v>
      </c>
      <c r="G3219" t="str">
        <f>HYPERLINK("https://n.news.naver.com/mnews/article/052/0002209456?sid=102")</f>
        <v>https://n.news.naver.com/mnews/article/052/0002209456?sid=102</v>
      </c>
      <c r="H3219">
        <v>0.21299999999999999</v>
      </c>
    </row>
    <row r="3220" spans="1:8" x14ac:dyDescent="0.3">
      <c r="A3220" t="s">
        <v>7559</v>
      </c>
      <c r="B3220" t="s">
        <v>26951</v>
      </c>
      <c r="C3220" t="s">
        <v>8188</v>
      </c>
      <c r="D3220" t="s">
        <v>8187</v>
      </c>
      <c r="E3220" s="2" t="s">
        <v>172</v>
      </c>
      <c r="F3220" t="s">
        <v>8186</v>
      </c>
      <c r="G3220" t="str">
        <f>HYPERLINK("http://news.lghellovision.net/news/articleView.html?idxno=437312")</f>
        <v>http://news.lghellovision.net/news/articleView.html?idxno=437312</v>
      </c>
      <c r="H3220">
        <v>0.56000000000000005</v>
      </c>
    </row>
    <row r="3221" spans="1:8" x14ac:dyDescent="0.3">
      <c r="A3221" t="s">
        <v>7559</v>
      </c>
      <c r="B3221" t="s">
        <v>26951</v>
      </c>
      <c r="C3221" t="s">
        <v>8191</v>
      </c>
      <c r="D3221" t="s">
        <v>8190</v>
      </c>
      <c r="E3221" s="2" t="s">
        <v>172</v>
      </c>
      <c r="F3221" t="s">
        <v>8189</v>
      </c>
      <c r="G3221" t="str">
        <f>HYPERLINK("https://www.newsquest.co.kr/news/articleView.html?idxno=201134")</f>
        <v>https://www.newsquest.co.kr/news/articleView.html?idxno=201134</v>
      </c>
      <c r="H3221">
        <v>0.16200000000000001</v>
      </c>
    </row>
    <row r="3222" spans="1:8" x14ac:dyDescent="0.3">
      <c r="A3222" t="s">
        <v>7559</v>
      </c>
      <c r="B3222" t="s">
        <v>26951</v>
      </c>
      <c r="C3222" t="s">
        <v>8193</v>
      </c>
      <c r="D3222" t="s">
        <v>8192</v>
      </c>
      <c r="E3222" s="2" t="s">
        <v>172</v>
      </c>
      <c r="F3222" t="s">
        <v>898</v>
      </c>
      <c r="G3222" t="str">
        <f>HYPERLINK("https://www.danbinews.com/news/articleView.html?idxno=30758")</f>
        <v>https://www.danbinews.com/news/articleView.html?idxno=30758</v>
      </c>
      <c r="H3222">
        <v>0.61599999999999999</v>
      </c>
    </row>
    <row r="3223" spans="1:8" x14ac:dyDescent="0.3">
      <c r="A3223" t="s">
        <v>7559</v>
      </c>
      <c r="B3223" t="s">
        <v>26951</v>
      </c>
      <c r="C3223" t="s">
        <v>8196</v>
      </c>
      <c r="D3223" t="s">
        <v>8195</v>
      </c>
      <c r="E3223" s="2" t="s">
        <v>196</v>
      </c>
      <c r="F3223" t="s">
        <v>8194</v>
      </c>
      <c r="G3223" t="str">
        <f>HYPERLINK("http://jmagazine.joins.com/forbes/view/338186")</f>
        <v>http://jmagazine.joins.com/forbes/view/338186</v>
      </c>
      <c r="H3223">
        <v>0.54</v>
      </c>
    </row>
    <row r="3224" spans="1:8" x14ac:dyDescent="0.3">
      <c r="A3224" t="s">
        <v>7559</v>
      </c>
      <c r="B3224" t="s">
        <v>26951</v>
      </c>
      <c r="C3224" t="s">
        <v>8199</v>
      </c>
      <c r="D3224" t="s">
        <v>8198</v>
      </c>
      <c r="E3224" s="2" t="s">
        <v>196</v>
      </c>
      <c r="F3224" t="s">
        <v>8197</v>
      </c>
      <c r="G3224" t="str">
        <f>HYPERLINK("http://www.mygoyang.com/news/articleView.html?idxno=69315")</f>
        <v>http://www.mygoyang.com/news/articleView.html?idxno=69315</v>
      </c>
      <c r="H3224">
        <v>0.29699999999999999</v>
      </c>
    </row>
    <row r="3225" spans="1:8" x14ac:dyDescent="0.3">
      <c r="A3225" t="s">
        <v>7559</v>
      </c>
      <c r="B3225" t="s">
        <v>26951</v>
      </c>
      <c r="C3225" t="s">
        <v>8202</v>
      </c>
      <c r="D3225" t="s">
        <v>8201</v>
      </c>
      <c r="E3225" s="2" t="s">
        <v>196</v>
      </c>
      <c r="F3225" t="s">
        <v>8200</v>
      </c>
      <c r="G3225" t="str">
        <f>HYPERLINK("https://daily.hankooki.com/news/articleView.html?idxno=1236609")</f>
        <v>https://daily.hankooki.com/news/articleView.html?idxno=1236609</v>
      </c>
      <c r="H3225">
        <v>0.26200000000000001</v>
      </c>
    </row>
    <row r="3226" spans="1:8" x14ac:dyDescent="0.3">
      <c r="A3226" t="s">
        <v>7559</v>
      </c>
      <c r="B3226" t="s">
        <v>26951</v>
      </c>
      <c r="C3226" t="s">
        <v>8205</v>
      </c>
      <c r="D3226" t="s">
        <v>8204</v>
      </c>
      <c r="E3226" s="2" t="s">
        <v>196</v>
      </c>
      <c r="F3226" t="s">
        <v>8203</v>
      </c>
      <c r="G3226" t="str">
        <f>HYPERLINK("http://www.seoulfn.com/news/articleView.html?idxno=561513")</f>
        <v>http://www.seoulfn.com/news/articleView.html?idxno=561513</v>
      </c>
      <c r="H3226">
        <v>0.55700000000000005</v>
      </c>
    </row>
    <row r="3227" spans="1:8" x14ac:dyDescent="0.3">
      <c r="A3227" t="s">
        <v>7559</v>
      </c>
      <c r="B3227" t="s">
        <v>26951</v>
      </c>
      <c r="C3227" t="s">
        <v>8208</v>
      </c>
      <c r="D3227" t="s">
        <v>8207</v>
      </c>
      <c r="E3227" s="2" t="s">
        <v>196</v>
      </c>
      <c r="F3227" t="s">
        <v>8206</v>
      </c>
      <c r="G3227" t="str">
        <f>HYPERLINK("https://www.sisamagazine.co.kr/news/articleView.html?idxno=514230")</f>
        <v>https://www.sisamagazine.co.kr/news/articleView.html?idxno=514230</v>
      </c>
      <c r="H3227">
        <v>0.66400000000000003</v>
      </c>
    </row>
    <row r="3228" spans="1:8" x14ac:dyDescent="0.3">
      <c r="A3228" t="s">
        <v>7559</v>
      </c>
      <c r="B3228" t="s">
        <v>26951</v>
      </c>
      <c r="C3228" t="s">
        <v>8211</v>
      </c>
      <c r="D3228" t="s">
        <v>8210</v>
      </c>
      <c r="E3228" s="2" t="s">
        <v>196</v>
      </c>
      <c r="F3228" t="s">
        <v>8209</v>
      </c>
      <c r="G3228" t="str">
        <f>HYPERLINK("https://dealsite.co.kr/articles/118551")</f>
        <v>https://dealsite.co.kr/articles/118551</v>
      </c>
      <c r="H3228">
        <v>0.434</v>
      </c>
    </row>
    <row r="3229" spans="1:8" x14ac:dyDescent="0.3">
      <c r="A3229" t="s">
        <v>7559</v>
      </c>
      <c r="B3229" t="s">
        <v>26951</v>
      </c>
      <c r="C3229" t="s">
        <v>2938</v>
      </c>
      <c r="D3229" t="s">
        <v>2937</v>
      </c>
      <c r="E3229" s="2" t="s">
        <v>196</v>
      </c>
      <c r="F3229" t="s">
        <v>134</v>
      </c>
      <c r="G3229" t="str">
        <f>HYPERLINK("https://n.news.naver.com/mnews/article/052/0002192013?sid=102")</f>
        <v>https://n.news.naver.com/mnews/article/052/0002192013?sid=102</v>
      </c>
      <c r="H3229">
        <v>0.28199999999999997</v>
      </c>
    </row>
    <row r="3230" spans="1:8" x14ac:dyDescent="0.3">
      <c r="A3230" t="s">
        <v>7559</v>
      </c>
      <c r="B3230" t="s">
        <v>26951</v>
      </c>
      <c r="C3230" t="s">
        <v>8214</v>
      </c>
      <c r="D3230" t="s">
        <v>8213</v>
      </c>
      <c r="E3230" s="2" t="s">
        <v>196</v>
      </c>
      <c r="F3230" t="s">
        <v>8212</v>
      </c>
      <c r="G3230" t="str">
        <f>HYPERLINK("https://n.news.naver.com/mnews/article/052/0002209999?sid=102")</f>
        <v>https://n.news.naver.com/mnews/article/052/0002209999?sid=102</v>
      </c>
      <c r="H3230">
        <v>0.30099999999999999</v>
      </c>
    </row>
    <row r="3231" spans="1:8" x14ac:dyDescent="0.3">
      <c r="A3231" t="s">
        <v>7559</v>
      </c>
      <c r="B3231" t="s">
        <v>26951</v>
      </c>
      <c r="C3231" t="s">
        <v>8216</v>
      </c>
      <c r="D3231" t="s">
        <v>8215</v>
      </c>
      <c r="E3231" s="2" t="s">
        <v>196</v>
      </c>
      <c r="F3231" t="s">
        <v>805</v>
      </c>
      <c r="G3231" t="str">
        <f>HYPERLINK("https://n.news.naver.com/mnews/article/052/0002209887?sid=102")</f>
        <v>https://n.news.naver.com/mnews/article/052/0002209887?sid=102</v>
      </c>
      <c r="H3231">
        <v>7.0999999999999994E-2</v>
      </c>
    </row>
    <row r="3232" spans="1:8" x14ac:dyDescent="0.3">
      <c r="A3232" t="s">
        <v>7559</v>
      </c>
      <c r="B3232" t="s">
        <v>26951</v>
      </c>
      <c r="C3232" t="s">
        <v>8219</v>
      </c>
      <c r="D3232" t="s">
        <v>8218</v>
      </c>
      <c r="E3232" s="2" t="s">
        <v>196</v>
      </c>
      <c r="F3232" t="s">
        <v>8217</v>
      </c>
      <c r="G3232" t="str">
        <f>HYPERLINK("https://n.news.naver.com/mnews/article/002/0002006610?sid=102")</f>
        <v>https://n.news.naver.com/mnews/article/002/0002006610?sid=102</v>
      </c>
      <c r="H3232">
        <v>0.48</v>
      </c>
    </row>
    <row r="3233" spans="1:8" x14ac:dyDescent="0.3">
      <c r="A3233" t="s">
        <v>7559</v>
      </c>
      <c r="B3233" t="s">
        <v>26951</v>
      </c>
      <c r="C3233" t="s">
        <v>8222</v>
      </c>
      <c r="D3233" t="s">
        <v>8221</v>
      </c>
      <c r="E3233" s="2" t="s">
        <v>196</v>
      </c>
      <c r="F3233" t="s">
        <v>8220</v>
      </c>
      <c r="G3233" t="str">
        <f>HYPERLINK("http://ch.yes24.com/Article/View/25757")</f>
        <v>http://ch.yes24.com/Article/View/25757</v>
      </c>
      <c r="H3233">
        <v>0.63</v>
      </c>
    </row>
    <row r="3234" spans="1:8" x14ac:dyDescent="0.3">
      <c r="A3234" t="s">
        <v>7559</v>
      </c>
      <c r="B3234" t="s">
        <v>26951</v>
      </c>
      <c r="C3234" t="s">
        <v>8225</v>
      </c>
      <c r="D3234" t="s">
        <v>8224</v>
      </c>
      <c r="E3234" s="2" t="s">
        <v>196</v>
      </c>
      <c r="F3234" t="s">
        <v>8223</v>
      </c>
      <c r="G3234" t="str">
        <f>HYPERLINK("https://n.news.naver.com/mnews/article/052/0002186600?sid=101")</f>
        <v>https://n.news.naver.com/mnews/article/052/0002186600?sid=101</v>
      </c>
      <c r="H3234">
        <v>0.13300000000000001</v>
      </c>
    </row>
    <row r="3235" spans="1:8" x14ac:dyDescent="0.3">
      <c r="A3235" t="s">
        <v>7559</v>
      </c>
      <c r="B3235" t="s">
        <v>26951</v>
      </c>
      <c r="C3235" t="s">
        <v>8227</v>
      </c>
      <c r="D3235" t="s">
        <v>8226</v>
      </c>
      <c r="E3235" s="2" t="s">
        <v>196</v>
      </c>
      <c r="F3235" t="s">
        <v>1772</v>
      </c>
      <c r="G3235" t="str">
        <f>HYPERLINK("http://www.christiantoday.co.kr/news/312403")</f>
        <v>http://www.christiantoday.co.kr/news/312403</v>
      </c>
      <c r="H3235">
        <v>0.33900000000000002</v>
      </c>
    </row>
    <row r="3236" spans="1:8" x14ac:dyDescent="0.3">
      <c r="A3236" t="s">
        <v>7559</v>
      </c>
      <c r="B3236" t="s">
        <v>26951</v>
      </c>
      <c r="C3236" t="s">
        <v>8229</v>
      </c>
      <c r="D3236" t="s">
        <v>8228</v>
      </c>
      <c r="E3236" s="2" t="s">
        <v>196</v>
      </c>
      <c r="F3236" t="s">
        <v>1060</v>
      </c>
      <c r="G3236" t="str">
        <f>HYPERLINK("http://www.newstof.com/news/articleView.html?idxno=1965")</f>
        <v>http://www.newstof.com/news/articleView.html?idxno=1965</v>
      </c>
      <c r="H3236">
        <v>0.34</v>
      </c>
    </row>
    <row r="3237" spans="1:8" x14ac:dyDescent="0.3">
      <c r="A3237" t="s">
        <v>7559</v>
      </c>
      <c r="B3237" t="s">
        <v>26951</v>
      </c>
      <c r="C3237" t="s">
        <v>8231</v>
      </c>
      <c r="D3237" t="s">
        <v>8230</v>
      </c>
      <c r="E3237" s="2" t="s">
        <v>196</v>
      </c>
      <c r="F3237" t="s">
        <v>1060</v>
      </c>
      <c r="G3237" t="str">
        <f>HYPERLINK("https://n.news.naver.com/mnews/article/052/0001930059?sid=101")</f>
        <v>https://n.news.naver.com/mnews/article/052/0001930059?sid=101</v>
      </c>
      <c r="H3237">
        <v>0.14499999999999999</v>
      </c>
    </row>
    <row r="3238" spans="1:8" x14ac:dyDescent="0.3">
      <c r="A3238" t="s">
        <v>7559</v>
      </c>
      <c r="B3238" t="s">
        <v>26951</v>
      </c>
      <c r="C3238" t="s">
        <v>8233</v>
      </c>
      <c r="D3238" t="s">
        <v>8232</v>
      </c>
      <c r="E3238" s="2" t="s">
        <v>196</v>
      </c>
      <c r="F3238" t="s">
        <v>898</v>
      </c>
      <c r="G3238" t="str">
        <f>HYPERLINK("https://www.danbinews.com/news/articleView.html?idxno=30758")</f>
        <v>https://www.danbinews.com/news/articleView.html?idxno=30758</v>
      </c>
      <c r="H3238">
        <v>0.56200000000000006</v>
      </c>
    </row>
    <row r="3239" spans="1:8" x14ac:dyDescent="0.3">
      <c r="A3239" t="s">
        <v>7559</v>
      </c>
      <c r="B3239" t="s">
        <v>26951</v>
      </c>
      <c r="C3239" t="s">
        <v>8236</v>
      </c>
      <c r="D3239" t="s">
        <v>8235</v>
      </c>
      <c r="E3239" s="2" t="s">
        <v>196</v>
      </c>
      <c r="F3239" t="s">
        <v>8234</v>
      </c>
      <c r="G3239" t="str">
        <f>HYPERLINK("https://n.news.naver.com/mnews/article/052/0002200849?sid=102")</f>
        <v>https://n.news.naver.com/mnews/article/052/0002200849?sid=102</v>
      </c>
      <c r="H3239">
        <v>6.7000000000000004E-2</v>
      </c>
    </row>
    <row r="3240" spans="1:8" x14ac:dyDescent="0.3">
      <c r="A3240" t="s">
        <v>7559</v>
      </c>
      <c r="B3240" t="s">
        <v>26951</v>
      </c>
      <c r="C3240" t="s">
        <v>8238</v>
      </c>
      <c r="D3240" t="s">
        <v>8237</v>
      </c>
      <c r="E3240" s="2" t="s">
        <v>230</v>
      </c>
      <c r="F3240" t="s">
        <v>5724</v>
      </c>
      <c r="G3240" t="str">
        <f>HYPERLINK("http://www.econonews.co.kr/news/articleView.html?idxno=394065")</f>
        <v>http://www.econonews.co.kr/news/articleView.html?idxno=394065</v>
      </c>
      <c r="H3240">
        <v>0.10199999999999999</v>
      </c>
    </row>
    <row r="3241" spans="1:8" x14ac:dyDescent="0.3">
      <c r="A3241" t="s">
        <v>7559</v>
      </c>
      <c r="B3241" t="s">
        <v>26951</v>
      </c>
      <c r="C3241" t="s">
        <v>8240</v>
      </c>
      <c r="D3241" t="s">
        <v>8239</v>
      </c>
      <c r="E3241" s="2" t="s">
        <v>230</v>
      </c>
      <c r="F3241" t="s">
        <v>1093</v>
      </c>
      <c r="G3241" t="str">
        <f>HYPERLINK("https://n.news.naver.com/mnews/article/008/0002953578?sid=101")</f>
        <v>https://n.news.naver.com/mnews/article/008/0002953578?sid=101</v>
      </c>
      <c r="H3241">
        <v>0.42199999999999999</v>
      </c>
    </row>
    <row r="3242" spans="1:8" x14ac:dyDescent="0.3">
      <c r="A3242" t="s">
        <v>7559</v>
      </c>
      <c r="B3242" t="s">
        <v>26951</v>
      </c>
      <c r="C3242" t="s">
        <v>8243</v>
      </c>
      <c r="D3242" t="s">
        <v>8242</v>
      </c>
      <c r="E3242" s="2" t="s">
        <v>230</v>
      </c>
      <c r="F3242" t="s">
        <v>8241</v>
      </c>
      <c r="G3242" t="str">
        <f>HYPERLINK("http://www.aflnews.co.kr/news/articleView.html?idxno=286918")</f>
        <v>http://www.aflnews.co.kr/news/articleView.html?idxno=286918</v>
      </c>
      <c r="H3242">
        <v>0.35899999999999999</v>
      </c>
    </row>
    <row r="3243" spans="1:8" x14ac:dyDescent="0.3">
      <c r="A3243" t="s">
        <v>7559</v>
      </c>
      <c r="B3243" t="s">
        <v>26951</v>
      </c>
      <c r="C3243" t="s">
        <v>8246</v>
      </c>
      <c r="D3243" t="s">
        <v>8245</v>
      </c>
      <c r="E3243" s="2" t="s">
        <v>230</v>
      </c>
      <c r="F3243" t="s">
        <v>8244</v>
      </c>
      <c r="G3243" t="str">
        <f>HYPERLINK("https://n.news.naver.com/mnews/article/052/0001300304?sid=103")</f>
        <v>https://n.news.naver.com/mnews/article/052/0001300304?sid=103</v>
      </c>
      <c r="H3243">
        <v>0.24199999999999999</v>
      </c>
    </row>
    <row r="3244" spans="1:8" x14ac:dyDescent="0.3">
      <c r="A3244" t="s">
        <v>7559</v>
      </c>
      <c r="B3244" t="s">
        <v>26951</v>
      </c>
      <c r="C3244" t="s">
        <v>8248</v>
      </c>
      <c r="D3244" t="s">
        <v>8247</v>
      </c>
      <c r="E3244" s="2" t="s">
        <v>230</v>
      </c>
      <c r="F3244" t="s">
        <v>89</v>
      </c>
      <c r="G3244" t="str">
        <f>HYPERLINK("https://n.news.naver.com/mnews/article/052/0002209017?sid=104")</f>
        <v>https://n.news.naver.com/mnews/article/052/0002209017?sid=104</v>
      </c>
      <c r="H3244">
        <v>0.28699999999999998</v>
      </c>
    </row>
    <row r="3245" spans="1:8" x14ac:dyDescent="0.3">
      <c r="A3245" t="s">
        <v>7559</v>
      </c>
      <c r="B3245" t="s">
        <v>26951</v>
      </c>
      <c r="C3245" t="s">
        <v>8250</v>
      </c>
      <c r="D3245" t="s">
        <v>8249</v>
      </c>
      <c r="E3245" s="2" t="s">
        <v>230</v>
      </c>
      <c r="F3245" t="s">
        <v>1579</v>
      </c>
      <c r="G3245" t="str">
        <f>HYPERLINK("https://n.news.naver.com/mnews/article/052/0001167044?sid=100")</f>
        <v>https://n.news.naver.com/mnews/article/052/0001167044?sid=100</v>
      </c>
      <c r="H3245">
        <v>0.25700000000000001</v>
      </c>
    </row>
    <row r="3246" spans="1:8" x14ac:dyDescent="0.3">
      <c r="A3246" t="s">
        <v>7559</v>
      </c>
      <c r="B3246" t="s">
        <v>26951</v>
      </c>
      <c r="C3246" t="s">
        <v>8252</v>
      </c>
      <c r="D3246" t="s">
        <v>8251</v>
      </c>
      <c r="E3246" s="2" t="s">
        <v>230</v>
      </c>
      <c r="F3246" t="s">
        <v>7565</v>
      </c>
      <c r="G3246" t="str">
        <f>HYPERLINK("https://radio.ytn.co.kr/program/?f=2&amp;id=95987&amp;s_mcd=0206&amp;s_hcd=15")</f>
        <v>https://radio.ytn.co.kr/program/?f=2&amp;id=95987&amp;s_mcd=0206&amp;s_hcd=15</v>
      </c>
      <c r="H3246">
        <v>0.41299999999999998</v>
      </c>
    </row>
    <row r="3247" spans="1:8" x14ac:dyDescent="0.3">
      <c r="A3247" t="s">
        <v>7559</v>
      </c>
      <c r="B3247" t="s">
        <v>26951</v>
      </c>
      <c r="C3247" t="s">
        <v>1677</v>
      </c>
      <c r="D3247" t="s">
        <v>1676</v>
      </c>
      <c r="E3247" s="2" t="s">
        <v>230</v>
      </c>
      <c r="F3247" t="s">
        <v>1336</v>
      </c>
      <c r="G3247" t="str">
        <f>HYPERLINK("https://n.news.naver.com/mnews/article/052/0001971025?sid=103")</f>
        <v>https://n.news.naver.com/mnews/article/052/0001971025?sid=103</v>
      </c>
      <c r="H3247">
        <v>0.183</v>
      </c>
    </row>
    <row r="3248" spans="1:8" x14ac:dyDescent="0.3">
      <c r="A3248" t="s">
        <v>7559</v>
      </c>
      <c r="B3248" t="s">
        <v>26951</v>
      </c>
      <c r="C3248" t="s">
        <v>8254</v>
      </c>
      <c r="D3248" t="s">
        <v>8253</v>
      </c>
      <c r="E3248" s="2" t="s">
        <v>230</v>
      </c>
      <c r="F3248" t="s">
        <v>1109</v>
      </c>
      <c r="G3248" t="str">
        <f>HYPERLINK("https://n.news.naver.com/mnews/article/052/0002209615?sid=104")</f>
        <v>https://n.news.naver.com/mnews/article/052/0002209615?sid=104</v>
      </c>
      <c r="H3248">
        <v>0.21</v>
      </c>
    </row>
    <row r="3249" spans="1:8" x14ac:dyDescent="0.3">
      <c r="A3249" t="s">
        <v>7559</v>
      </c>
      <c r="B3249" t="s">
        <v>26951</v>
      </c>
      <c r="C3249" t="s">
        <v>8256</v>
      </c>
      <c r="D3249" t="s">
        <v>8255</v>
      </c>
      <c r="E3249" s="2" t="s">
        <v>230</v>
      </c>
      <c r="F3249" t="s">
        <v>7621</v>
      </c>
      <c r="G3249" t="str">
        <f>HYPERLINK("https://n.news.naver.com/mnews/article/052/0002209456?sid=102")</f>
        <v>https://n.news.naver.com/mnews/article/052/0002209456?sid=102</v>
      </c>
      <c r="H3249">
        <v>0.193</v>
      </c>
    </row>
    <row r="3250" spans="1:8" x14ac:dyDescent="0.3">
      <c r="A3250" t="s">
        <v>7559</v>
      </c>
      <c r="B3250" t="s">
        <v>26951</v>
      </c>
      <c r="C3250" t="s">
        <v>8258</v>
      </c>
      <c r="D3250" t="s">
        <v>8257</v>
      </c>
      <c r="E3250" s="2" t="s">
        <v>230</v>
      </c>
      <c r="F3250" t="s">
        <v>7635</v>
      </c>
      <c r="G3250" t="str">
        <f>HYPERLINK("https://n.news.naver.com/mnews/article/005/0001786733?sid=101")</f>
        <v>https://n.news.naver.com/mnews/article/005/0001786733?sid=101</v>
      </c>
      <c r="H3250">
        <v>0.215</v>
      </c>
    </row>
    <row r="3251" spans="1:8" x14ac:dyDescent="0.3">
      <c r="A3251" t="s">
        <v>7559</v>
      </c>
      <c r="B3251" t="s">
        <v>26951</v>
      </c>
      <c r="C3251" t="s">
        <v>8260</v>
      </c>
      <c r="D3251" t="s">
        <v>8259</v>
      </c>
      <c r="E3251" s="2" t="s">
        <v>230</v>
      </c>
      <c r="F3251" t="s">
        <v>898</v>
      </c>
      <c r="G3251" t="str">
        <f>HYPERLINK("https://www.danbinews.com/news/articleView.html?idxno=30758")</f>
        <v>https://www.danbinews.com/news/articleView.html?idxno=30758</v>
      </c>
      <c r="H3251">
        <v>0.59099999999999997</v>
      </c>
    </row>
    <row r="3252" spans="1:8" x14ac:dyDescent="0.3">
      <c r="A3252" t="s">
        <v>7559</v>
      </c>
      <c r="B3252" t="s">
        <v>26951</v>
      </c>
      <c r="C3252" t="s">
        <v>8263</v>
      </c>
      <c r="D3252" t="s">
        <v>8262</v>
      </c>
      <c r="E3252" s="2" t="s">
        <v>230</v>
      </c>
      <c r="F3252" t="s">
        <v>8261</v>
      </c>
      <c r="G3252" t="str">
        <f>HYPERLINK("https://n.news.naver.com/mnews/article/052/0002206725?sid=101")</f>
        <v>https://n.news.naver.com/mnews/article/052/0002206725?sid=101</v>
      </c>
      <c r="H3252">
        <v>0.23799999999999999</v>
      </c>
    </row>
    <row r="3253" spans="1:8" x14ac:dyDescent="0.3">
      <c r="A3253" t="s">
        <v>7559</v>
      </c>
      <c r="B3253" t="s">
        <v>26951</v>
      </c>
      <c r="C3253" t="s">
        <v>8266</v>
      </c>
      <c r="D3253" t="s">
        <v>8265</v>
      </c>
      <c r="E3253" s="2" t="s">
        <v>230</v>
      </c>
      <c r="F3253" t="s">
        <v>8264</v>
      </c>
      <c r="G3253" t="str">
        <f>HYPERLINK("http://www.lkp.news/news/articleView.html?idxno=64811")</f>
        <v>http://www.lkp.news/news/articleView.html?idxno=64811</v>
      </c>
      <c r="H3253">
        <v>0.39100000000000001</v>
      </c>
    </row>
    <row r="3254" spans="1:8" x14ac:dyDescent="0.3">
      <c r="A3254" t="s">
        <v>7559</v>
      </c>
      <c r="B3254" t="s">
        <v>26951</v>
      </c>
      <c r="C3254" t="s">
        <v>8269</v>
      </c>
      <c r="D3254" t="s">
        <v>8268</v>
      </c>
      <c r="E3254" s="2" t="s">
        <v>267</v>
      </c>
      <c r="F3254" t="s">
        <v>8267</v>
      </c>
      <c r="G3254" t="str">
        <f>HYPERLINK("https://www.siminilbo.co.kr/news/newsview.php?ncode=1160282982112399")</f>
        <v>https://www.siminilbo.co.kr/news/newsview.php?ncode=1160282982112399</v>
      </c>
      <c r="H3254">
        <v>0.61799999999999999</v>
      </c>
    </row>
    <row r="3255" spans="1:8" x14ac:dyDescent="0.3">
      <c r="A3255" t="s">
        <v>7559</v>
      </c>
      <c r="B3255" t="s">
        <v>26951</v>
      </c>
      <c r="C3255" t="s">
        <v>8271</v>
      </c>
      <c r="D3255" t="s">
        <v>8270</v>
      </c>
      <c r="E3255" s="2" t="s">
        <v>267</v>
      </c>
      <c r="F3255" t="s">
        <v>89</v>
      </c>
      <c r="G3255" t="str">
        <f>HYPERLINK("http://www.newscj.com/news/articleView.html?idxno=669502")</f>
        <v>http://www.newscj.com/news/articleView.html?idxno=669502</v>
      </c>
      <c r="H3255">
        <v>0.51600000000000001</v>
      </c>
    </row>
    <row r="3256" spans="1:8" x14ac:dyDescent="0.3">
      <c r="A3256" t="s">
        <v>7559</v>
      </c>
      <c r="B3256" t="s">
        <v>26951</v>
      </c>
      <c r="C3256" t="s">
        <v>8273</v>
      </c>
      <c r="D3256" t="s">
        <v>8272</v>
      </c>
      <c r="E3256" s="2" t="s">
        <v>267</v>
      </c>
      <c r="F3256" t="s">
        <v>89</v>
      </c>
      <c r="G3256" t="str">
        <f>HYPERLINK("https://n.news.naver.com/mnews/article/052/0002204445?sid=101")</f>
        <v>https://n.news.naver.com/mnews/article/052/0002204445?sid=101</v>
      </c>
      <c r="H3256">
        <v>0.22800000000000001</v>
      </c>
    </row>
    <row r="3257" spans="1:8" x14ac:dyDescent="0.3">
      <c r="A3257" t="s">
        <v>7559</v>
      </c>
      <c r="B3257" t="s">
        <v>26951</v>
      </c>
      <c r="C3257" t="s">
        <v>8275</v>
      </c>
      <c r="D3257" t="s">
        <v>8274</v>
      </c>
      <c r="E3257" s="2" t="s">
        <v>267</v>
      </c>
      <c r="F3257" t="s">
        <v>7562</v>
      </c>
      <c r="G3257" t="str">
        <f>HYPERLINK("https://n.news.naver.com/mnews/article/052/0002185347?sid=100")</f>
        <v>https://n.news.naver.com/mnews/article/052/0002185347?sid=100</v>
      </c>
      <c r="H3257">
        <v>0.214</v>
      </c>
    </row>
    <row r="3258" spans="1:8" x14ac:dyDescent="0.3">
      <c r="A3258" t="s">
        <v>7559</v>
      </c>
      <c r="B3258" t="s">
        <v>26951</v>
      </c>
      <c r="C3258" t="s">
        <v>8277</v>
      </c>
      <c r="D3258" t="s">
        <v>8276</v>
      </c>
      <c r="E3258" s="2" t="s">
        <v>267</v>
      </c>
      <c r="F3258" t="s">
        <v>89</v>
      </c>
      <c r="G3258" t="str">
        <f>HYPERLINK("https://n.news.naver.com/mnews/article/308/0000033026?sid=102")</f>
        <v>https://n.news.naver.com/mnews/article/308/0000033026?sid=102</v>
      </c>
      <c r="H3258">
        <v>0.27400000000000002</v>
      </c>
    </row>
    <row r="3259" spans="1:8" x14ac:dyDescent="0.3">
      <c r="A3259" t="s">
        <v>7559</v>
      </c>
      <c r="B3259" t="s">
        <v>26951</v>
      </c>
      <c r="C3259" t="s">
        <v>8280</v>
      </c>
      <c r="D3259" t="s">
        <v>8279</v>
      </c>
      <c r="E3259" s="2" t="s">
        <v>267</v>
      </c>
      <c r="F3259" t="s">
        <v>8278</v>
      </c>
      <c r="G3259" t="str">
        <f>HYPERLINK("https://radio.ytn.co.kr/program/?f=2&amp;id=96163&amp;s_mcd=0206&amp;s_hcd=15")</f>
        <v>https://radio.ytn.co.kr/program/?f=2&amp;id=96163&amp;s_mcd=0206&amp;s_hcd=15</v>
      </c>
      <c r="H3259">
        <v>0.53300000000000003</v>
      </c>
    </row>
    <row r="3260" spans="1:8" x14ac:dyDescent="0.3">
      <c r="A3260" t="s">
        <v>7559</v>
      </c>
      <c r="B3260" t="s">
        <v>26951</v>
      </c>
      <c r="C3260" t="s">
        <v>8283</v>
      </c>
      <c r="D3260" t="s">
        <v>8282</v>
      </c>
      <c r="E3260" s="2" t="s">
        <v>267</v>
      </c>
      <c r="F3260" t="s">
        <v>8281</v>
      </c>
      <c r="G3260" t="str">
        <f>HYPERLINK("https://www.financialpost.co.kr/news/articleView.html?idxno=228886")</f>
        <v>https://www.financialpost.co.kr/news/articleView.html?idxno=228886</v>
      </c>
      <c r="H3260">
        <v>0.77100000000000002</v>
      </c>
    </row>
    <row r="3261" spans="1:8" x14ac:dyDescent="0.3">
      <c r="A3261" t="s">
        <v>7559</v>
      </c>
      <c r="B3261" t="s">
        <v>26951</v>
      </c>
      <c r="C3261" t="s">
        <v>8285</v>
      </c>
      <c r="D3261" t="s">
        <v>8284</v>
      </c>
      <c r="E3261" s="2" t="s">
        <v>267</v>
      </c>
      <c r="F3261" t="s">
        <v>5090</v>
      </c>
      <c r="G3261" t="str">
        <f>HYPERLINK("https://www.greened.kr/news/articleView.html?idxno=325515")</f>
        <v>https://www.greened.kr/news/articleView.html?idxno=325515</v>
      </c>
      <c r="H3261">
        <v>0.52100000000000002</v>
      </c>
    </row>
    <row r="3262" spans="1:8" x14ac:dyDescent="0.3">
      <c r="A3262" t="s">
        <v>7559</v>
      </c>
      <c r="B3262" t="s">
        <v>26951</v>
      </c>
      <c r="C3262" t="s">
        <v>8288</v>
      </c>
      <c r="D3262" t="s">
        <v>8287</v>
      </c>
      <c r="E3262" s="2" t="s">
        <v>267</v>
      </c>
      <c r="F3262" t="s">
        <v>8286</v>
      </c>
      <c r="G3262" t="str">
        <f>HYPERLINK("https://www.apnews.kr/news/articleView.html?idxno=3032368")</f>
        <v>https://www.apnews.kr/news/articleView.html?idxno=3032368</v>
      </c>
      <c r="H3262">
        <v>0.31</v>
      </c>
    </row>
    <row r="3263" spans="1:8" x14ac:dyDescent="0.3">
      <c r="A3263" t="s">
        <v>7559</v>
      </c>
      <c r="B3263" t="s">
        <v>26951</v>
      </c>
      <c r="C3263" t="s">
        <v>8290</v>
      </c>
      <c r="D3263" t="s">
        <v>8289</v>
      </c>
      <c r="E3263" s="2" t="s">
        <v>267</v>
      </c>
      <c r="F3263" t="s">
        <v>1327</v>
      </c>
      <c r="G3263" t="str">
        <f>HYPERLINK("http://www.banronbodo.com/news/articleView.html?idxno=22984")</f>
        <v>http://www.banronbodo.com/news/articleView.html?idxno=22984</v>
      </c>
      <c r="H3263">
        <v>0.44500000000000001</v>
      </c>
    </row>
    <row r="3264" spans="1:8" x14ac:dyDescent="0.3">
      <c r="A3264" t="s">
        <v>7559</v>
      </c>
      <c r="B3264" t="s">
        <v>26951</v>
      </c>
      <c r="C3264" t="s">
        <v>8292</v>
      </c>
      <c r="D3264" t="s">
        <v>8291</v>
      </c>
      <c r="E3264" s="2" t="s">
        <v>267</v>
      </c>
      <c r="F3264" t="s">
        <v>2891</v>
      </c>
      <c r="G3264" t="str">
        <f>HYPERLINK("https://n.news.naver.com/mnews/article/052/0002212117?sid=104")</f>
        <v>https://n.news.naver.com/mnews/article/052/0002212117?sid=104</v>
      </c>
      <c r="H3264">
        <v>0.16900000000000001</v>
      </c>
    </row>
    <row r="3265" spans="1:8" x14ac:dyDescent="0.3">
      <c r="A3265" t="s">
        <v>7559</v>
      </c>
      <c r="B3265" t="s">
        <v>26951</v>
      </c>
      <c r="C3265" t="s">
        <v>8295</v>
      </c>
      <c r="D3265" t="s">
        <v>8294</v>
      </c>
      <c r="E3265" s="2" t="s">
        <v>267</v>
      </c>
      <c r="F3265" t="s">
        <v>8293</v>
      </c>
      <c r="G3265" t="str">
        <f>HYPERLINK("https://www.joongboo.com/news/articleView.html?idxno=363695749")</f>
        <v>https://www.joongboo.com/news/articleView.html?idxno=363695749</v>
      </c>
      <c r="H3265">
        <v>0.313</v>
      </c>
    </row>
    <row r="3266" spans="1:8" x14ac:dyDescent="0.3">
      <c r="A3266" t="s">
        <v>7559</v>
      </c>
      <c r="B3266" t="s">
        <v>26951</v>
      </c>
      <c r="C3266" t="s">
        <v>8298</v>
      </c>
      <c r="D3266" t="s">
        <v>8297</v>
      </c>
      <c r="E3266" s="2" t="s">
        <v>267</v>
      </c>
      <c r="F3266" t="s">
        <v>8296</v>
      </c>
      <c r="G3266" t="str">
        <f>HYPERLINK("https://n.news.naver.com/mnews/article/079/0004040073?sid=102")</f>
        <v>https://n.news.naver.com/mnews/article/079/0004040073?sid=102</v>
      </c>
      <c r="H3266">
        <v>0.22600000000000001</v>
      </c>
    </row>
    <row r="3267" spans="1:8" x14ac:dyDescent="0.3">
      <c r="A3267" t="s">
        <v>7559</v>
      </c>
      <c r="B3267" t="s">
        <v>26951</v>
      </c>
      <c r="C3267" t="s">
        <v>7455</v>
      </c>
      <c r="D3267" t="s">
        <v>7454</v>
      </c>
      <c r="E3267" s="2" t="s">
        <v>267</v>
      </c>
      <c r="F3267" t="s">
        <v>5724</v>
      </c>
      <c r="G3267" t="str">
        <f>HYPERLINK("https://n.news.naver.com/mnews/article/052/0001602046?sid=100")</f>
        <v>https://n.news.naver.com/mnews/article/052/0001602046?sid=100</v>
      </c>
      <c r="H3267">
        <v>0.19500000000000001</v>
      </c>
    </row>
    <row r="3268" spans="1:8" x14ac:dyDescent="0.3">
      <c r="A3268" t="s">
        <v>7559</v>
      </c>
      <c r="B3268" t="s">
        <v>26951</v>
      </c>
      <c r="C3268" t="s">
        <v>8301</v>
      </c>
      <c r="D3268" t="s">
        <v>8300</v>
      </c>
      <c r="E3268" s="2" t="s">
        <v>267</v>
      </c>
      <c r="F3268" t="s">
        <v>6310</v>
      </c>
      <c r="G3268" t="str">
        <f>HYPERLINK("https://n.news.naver.com/mnews/article/052/0001799068?sid=102")</f>
        <v>https://n.news.naver.com/mnews/article/052/0001799068?sid=102</v>
      </c>
      <c r="H3268">
        <v>0.32</v>
      </c>
    </row>
    <row r="3269" spans="1:8" x14ac:dyDescent="0.3">
      <c r="A3269" t="s">
        <v>7559</v>
      </c>
      <c r="B3269" t="s">
        <v>26951</v>
      </c>
      <c r="C3269" t="s">
        <v>8303</v>
      </c>
      <c r="D3269" t="s">
        <v>8302</v>
      </c>
      <c r="E3269" s="2" t="s">
        <v>267</v>
      </c>
      <c r="F3269" t="s">
        <v>1579</v>
      </c>
      <c r="G3269" t="str">
        <f>HYPERLINK("https://n.news.naver.com/mnews/article/052/0001921321?sid=102")</f>
        <v>https://n.news.naver.com/mnews/article/052/0001921321?sid=102</v>
      </c>
      <c r="H3269">
        <v>0.28699999999999998</v>
      </c>
    </row>
    <row r="3270" spans="1:8" x14ac:dyDescent="0.3">
      <c r="A3270" t="s">
        <v>7559</v>
      </c>
      <c r="B3270" t="s">
        <v>26951</v>
      </c>
      <c r="C3270" t="s">
        <v>8305</v>
      </c>
      <c r="D3270" t="s">
        <v>8304</v>
      </c>
      <c r="E3270" s="2" t="s">
        <v>280</v>
      </c>
      <c r="F3270" t="s">
        <v>1151</v>
      </c>
      <c r="G3270" t="str">
        <f>HYPERLINK("http://www.breaknews.com/1128266")</f>
        <v>http://www.breaknews.com/1128266</v>
      </c>
      <c r="H3270">
        <v>3.3000000000000002E-2</v>
      </c>
    </row>
    <row r="3271" spans="1:8" x14ac:dyDescent="0.3">
      <c r="A3271" t="s">
        <v>7559</v>
      </c>
      <c r="B3271" t="s">
        <v>26951</v>
      </c>
      <c r="C3271" t="s">
        <v>8311</v>
      </c>
      <c r="D3271" t="s">
        <v>8310</v>
      </c>
      <c r="E3271" s="2" t="s">
        <v>280</v>
      </c>
      <c r="F3271" t="s">
        <v>8309</v>
      </c>
      <c r="G3271" t="str">
        <f>HYPERLINK("https://www.naeil.com/news/read/549712?ref=naver")</f>
        <v>https://www.naeil.com/news/read/549712?ref=naver</v>
      </c>
      <c r="H3271">
        <v>0.249</v>
      </c>
    </row>
    <row r="3272" spans="1:8" x14ac:dyDescent="0.3">
      <c r="A3272" t="s">
        <v>7559</v>
      </c>
      <c r="B3272" t="s">
        <v>26951</v>
      </c>
      <c r="C3272" t="s">
        <v>8314</v>
      </c>
      <c r="D3272" t="s">
        <v>8313</v>
      </c>
      <c r="E3272" s="2" t="s">
        <v>280</v>
      </c>
      <c r="F3272" t="s">
        <v>8312</v>
      </c>
      <c r="G3272" t="str">
        <f>HYPERLINK("https://n.news.naver.com/mnews/article/052/0002207200?sid=104")</f>
        <v>https://n.news.naver.com/mnews/article/052/0002207200?sid=104</v>
      </c>
      <c r="H3272">
        <v>0.13600000000000001</v>
      </c>
    </row>
    <row r="3273" spans="1:8" x14ac:dyDescent="0.3">
      <c r="A3273" t="s">
        <v>7559</v>
      </c>
      <c r="B3273" t="s">
        <v>26951</v>
      </c>
      <c r="C3273" t="s">
        <v>8317</v>
      </c>
      <c r="D3273" t="s">
        <v>8316</v>
      </c>
      <c r="E3273" s="2" t="s">
        <v>280</v>
      </c>
      <c r="F3273" t="s">
        <v>8315</v>
      </c>
      <c r="G3273" t="str">
        <f>HYPERLINK("https://radio.ytn.co.kr/program/?f=2&amp;id=78043&amp;s_mcd=0452&amp;s_hcd=01")</f>
        <v>https://radio.ytn.co.kr/program/?f=2&amp;id=78043&amp;s_mcd=0452&amp;s_hcd=01</v>
      </c>
      <c r="H3273">
        <v>0.36299999999999999</v>
      </c>
    </row>
    <row r="3274" spans="1:8" x14ac:dyDescent="0.3">
      <c r="A3274" t="s">
        <v>7559</v>
      </c>
      <c r="B3274" t="s">
        <v>26951</v>
      </c>
      <c r="C3274" t="s">
        <v>8320</v>
      </c>
      <c r="D3274" t="s">
        <v>8319</v>
      </c>
      <c r="E3274" s="2" t="s">
        <v>280</v>
      </c>
      <c r="F3274" t="s">
        <v>8318</v>
      </c>
      <c r="G3274" t="str">
        <f>HYPERLINK("http://www.ilemonde.com/news/articleView.html?idxno=20715")</f>
        <v>http://www.ilemonde.com/news/articleView.html?idxno=20715</v>
      </c>
      <c r="H3274">
        <v>0.51900000000000002</v>
      </c>
    </row>
    <row r="3275" spans="1:8" x14ac:dyDescent="0.3">
      <c r="A3275" t="s">
        <v>7559</v>
      </c>
      <c r="B3275" t="s">
        <v>26951</v>
      </c>
      <c r="C3275" t="s">
        <v>8323</v>
      </c>
      <c r="D3275" t="s">
        <v>8322</v>
      </c>
      <c r="E3275" s="2" t="s">
        <v>280</v>
      </c>
      <c r="F3275" t="s">
        <v>8321</v>
      </c>
      <c r="G3275" t="str">
        <f>HYPERLINK("https://radio.ytn.co.kr/program/?f=2&amp;id=81446&amp;s_mcd=0214&amp;s_hcd=01")</f>
        <v>https://radio.ytn.co.kr/program/?f=2&amp;id=81446&amp;s_mcd=0214&amp;s_hcd=01</v>
      </c>
      <c r="H3275">
        <v>0.49199999999999999</v>
      </c>
    </row>
    <row r="3276" spans="1:8" x14ac:dyDescent="0.3">
      <c r="A3276" t="s">
        <v>7559</v>
      </c>
      <c r="B3276" t="s">
        <v>26951</v>
      </c>
      <c r="C3276" t="s">
        <v>8326</v>
      </c>
      <c r="D3276" t="s">
        <v>8325</v>
      </c>
      <c r="E3276" s="2" t="s">
        <v>280</v>
      </c>
      <c r="F3276" t="s">
        <v>8324</v>
      </c>
      <c r="G3276" t="str">
        <f>HYPERLINK("https://n.news.naver.com/mnews/article/052/0002212048?sid=102")</f>
        <v>https://n.news.naver.com/mnews/article/052/0002212048?sid=102</v>
      </c>
      <c r="H3276">
        <v>0.33</v>
      </c>
    </row>
    <row r="3277" spans="1:8" x14ac:dyDescent="0.3">
      <c r="A3277" t="s">
        <v>7559</v>
      </c>
      <c r="B3277" t="s">
        <v>26951</v>
      </c>
      <c r="C3277" t="s">
        <v>8328</v>
      </c>
      <c r="D3277" t="s">
        <v>8327</v>
      </c>
      <c r="E3277" s="2" t="s">
        <v>280</v>
      </c>
      <c r="F3277" t="s">
        <v>1109</v>
      </c>
      <c r="G3277" t="str">
        <f>HYPERLINK("https://www.newspost.kr/news/articleView.html?idxno=203591")</f>
        <v>https://www.newspost.kr/news/articleView.html?idxno=203591</v>
      </c>
      <c r="H3277">
        <v>0.51700000000000002</v>
      </c>
    </row>
    <row r="3278" spans="1:8" x14ac:dyDescent="0.3">
      <c r="A3278" t="s">
        <v>7559</v>
      </c>
      <c r="B3278" t="s">
        <v>26951</v>
      </c>
      <c r="C3278" t="s">
        <v>7457</v>
      </c>
      <c r="D3278" t="s">
        <v>7456</v>
      </c>
      <c r="E3278" s="2" t="s">
        <v>280</v>
      </c>
      <c r="F3278" t="s">
        <v>89</v>
      </c>
      <c r="G3278" t="str">
        <f>HYPERLINK("https://n.news.naver.com/mnews/article/052/0001203072?sid=101")</f>
        <v>https://n.news.naver.com/mnews/article/052/0001203072?sid=101</v>
      </c>
      <c r="H3278">
        <v>0.27</v>
      </c>
    </row>
    <row r="3279" spans="1:8" x14ac:dyDescent="0.3">
      <c r="A3279" t="s">
        <v>7559</v>
      </c>
      <c r="B3279" t="s">
        <v>26951</v>
      </c>
      <c r="C3279" t="s">
        <v>8330</v>
      </c>
      <c r="D3279" t="s">
        <v>8329</v>
      </c>
      <c r="E3279" s="2" t="s">
        <v>313</v>
      </c>
      <c r="F3279" t="s">
        <v>7562</v>
      </c>
      <c r="G3279" t="str">
        <f>HYPERLINK("https://www.rcast.co.kr/news/articleView.html?idxno=28206")</f>
        <v>https://www.rcast.co.kr/news/articleView.html?idxno=28206</v>
      </c>
      <c r="H3279">
        <v>0.32600000000000001</v>
      </c>
    </row>
    <row r="3280" spans="1:8" x14ac:dyDescent="0.3">
      <c r="A3280" t="s">
        <v>7559</v>
      </c>
      <c r="B3280" t="s">
        <v>26951</v>
      </c>
      <c r="C3280" t="s">
        <v>8332</v>
      </c>
      <c r="D3280" t="s">
        <v>8331</v>
      </c>
      <c r="E3280" s="2" t="s">
        <v>313</v>
      </c>
      <c r="F3280" t="s">
        <v>5724</v>
      </c>
      <c r="G3280" t="str">
        <f>HYPERLINK("https://radio.ytn.co.kr/program/?f=2&amp;id=90767&amp;s_mcd=0263&amp;s_hcd=01")</f>
        <v>https://radio.ytn.co.kr/program/?f=2&amp;id=90767&amp;s_mcd=0263&amp;s_hcd=01</v>
      </c>
      <c r="H3280">
        <v>0.38500000000000001</v>
      </c>
    </row>
    <row r="3281" spans="1:8" x14ac:dyDescent="0.3">
      <c r="A3281" t="s">
        <v>7559</v>
      </c>
      <c r="B3281" t="s">
        <v>26951</v>
      </c>
      <c r="C3281" t="s">
        <v>8335</v>
      </c>
      <c r="D3281" t="s">
        <v>8334</v>
      </c>
      <c r="E3281" s="2" t="s">
        <v>313</v>
      </c>
      <c r="F3281" t="s">
        <v>8333</v>
      </c>
      <c r="G3281" t="str">
        <f>HYPERLINK("https://www.vogue.co.kr/2022/06/09/%eb%82%98%ec%9d%98-%ec%9e%90%eb%9e%91-%ed%95%b4%eb%b0%a9%ec%9d%bc%ec%a7%80/?utm_source=naver&amp;utm_medium=partnership")</f>
        <v>https://www.vogue.co.kr/2022/06/09/%eb%82%98%ec%9d%98-%ec%9e%90%eb%9e%91-%ed%95%b4%eb%b0%a9%ec%9d%bc%ec%a7%80/?utm_source=naver&amp;utm_medium=partnership</v>
      </c>
      <c r="H3281">
        <v>0.40799999999999997</v>
      </c>
    </row>
    <row r="3282" spans="1:8" x14ac:dyDescent="0.3">
      <c r="A3282" t="s">
        <v>7559</v>
      </c>
      <c r="B3282" t="s">
        <v>26951</v>
      </c>
      <c r="C3282" t="s">
        <v>8338</v>
      </c>
      <c r="D3282" t="s">
        <v>8337</v>
      </c>
      <c r="E3282" s="2" t="s">
        <v>313</v>
      </c>
      <c r="F3282" t="s">
        <v>8336</v>
      </c>
      <c r="G3282" t="str">
        <f>HYPERLINK("https://n.news.naver.com/mnews/article/055/0001269357?sid=102")</f>
        <v>https://n.news.naver.com/mnews/article/055/0001269357?sid=102</v>
      </c>
      <c r="H3282">
        <v>4.1000000000000002E-2</v>
      </c>
    </row>
    <row r="3283" spans="1:8" x14ac:dyDescent="0.3">
      <c r="A3283" t="s">
        <v>7559</v>
      </c>
      <c r="B3283" t="s">
        <v>26951</v>
      </c>
      <c r="C3283" t="s">
        <v>341</v>
      </c>
      <c r="D3283" t="s">
        <v>340</v>
      </c>
      <c r="E3283" s="2" t="s">
        <v>313</v>
      </c>
      <c r="F3283" t="s">
        <v>89</v>
      </c>
      <c r="G3283" t="str">
        <f>HYPERLINK("https://n.news.naver.com/mnews/article/052/0001624416?sid=100")</f>
        <v>https://n.news.naver.com/mnews/article/052/0001624416?sid=100</v>
      </c>
      <c r="H3283">
        <v>0.253</v>
      </c>
    </row>
    <row r="3284" spans="1:8" x14ac:dyDescent="0.3">
      <c r="A3284" t="s">
        <v>7559</v>
      </c>
      <c r="B3284" t="s">
        <v>26951</v>
      </c>
      <c r="C3284" t="s">
        <v>8341</v>
      </c>
      <c r="D3284" t="s">
        <v>8340</v>
      </c>
      <c r="E3284" s="2" t="s">
        <v>313</v>
      </c>
      <c r="F3284" t="s">
        <v>8339</v>
      </c>
      <c r="G3284" t="str">
        <f>HYPERLINK("https://www.pennmike.com/news/articleView.html?idxno=100543")</f>
        <v>https://www.pennmike.com/news/articleView.html?idxno=100543</v>
      </c>
      <c r="H3284">
        <v>0.64600000000000002</v>
      </c>
    </row>
    <row r="3285" spans="1:8" x14ac:dyDescent="0.3">
      <c r="A3285" t="s">
        <v>7559</v>
      </c>
      <c r="B3285" t="s">
        <v>26951</v>
      </c>
      <c r="C3285" t="s">
        <v>7059</v>
      </c>
      <c r="D3285" t="s">
        <v>7058</v>
      </c>
      <c r="E3285" s="2" t="s">
        <v>313</v>
      </c>
      <c r="F3285" t="s">
        <v>89</v>
      </c>
      <c r="G3285" t="str">
        <f>HYPERLINK("https://n.news.naver.com/mnews/article/052/0001447198?sid=101")</f>
        <v>https://n.news.naver.com/mnews/article/052/0001447198?sid=101</v>
      </c>
      <c r="H3285">
        <v>0.26900000000000002</v>
      </c>
    </row>
    <row r="3286" spans="1:8" x14ac:dyDescent="0.3">
      <c r="A3286" t="s">
        <v>7559</v>
      </c>
      <c r="B3286" t="s">
        <v>26951</v>
      </c>
      <c r="C3286" t="s">
        <v>8344</v>
      </c>
      <c r="D3286" t="s">
        <v>8343</v>
      </c>
      <c r="E3286" s="2" t="s">
        <v>313</v>
      </c>
      <c r="F3286" t="s">
        <v>8342</v>
      </c>
      <c r="G3286" t="str">
        <f>HYPERLINK("https://www.idaegu.co.kr/news/articleView.html?idxno=513750")</f>
        <v>https://www.idaegu.co.kr/news/articleView.html?idxno=513750</v>
      </c>
      <c r="H3286">
        <v>0.83</v>
      </c>
    </row>
    <row r="3287" spans="1:8" x14ac:dyDescent="0.3">
      <c r="A3287" t="s">
        <v>7559</v>
      </c>
      <c r="B3287" t="s">
        <v>26951</v>
      </c>
      <c r="C3287" t="s">
        <v>8346</v>
      </c>
      <c r="D3287" t="s">
        <v>8345</v>
      </c>
      <c r="E3287" s="2" t="s">
        <v>313</v>
      </c>
      <c r="F3287" t="s">
        <v>3663</v>
      </c>
      <c r="G3287" t="str">
        <f>HYPERLINK("https://n.news.naver.com/mnews/article/052/0001923601?sid=105")</f>
        <v>https://n.news.naver.com/mnews/article/052/0001923601?sid=105</v>
      </c>
      <c r="H3287">
        <v>9.0999999999999998E-2</v>
      </c>
    </row>
    <row r="3288" spans="1:8" x14ac:dyDescent="0.3">
      <c r="A3288" t="s">
        <v>7559</v>
      </c>
      <c r="B3288" t="s">
        <v>26951</v>
      </c>
      <c r="C3288" t="s">
        <v>8349</v>
      </c>
      <c r="D3288" t="s">
        <v>8348</v>
      </c>
      <c r="E3288" s="2" t="s">
        <v>313</v>
      </c>
      <c r="F3288" t="s">
        <v>8347</v>
      </c>
      <c r="G3288" t="str">
        <f>HYPERLINK("http://news.lghellovision.net/news/articleView.html?idxno=509269")</f>
        <v>http://news.lghellovision.net/news/articleView.html?idxno=509269</v>
      </c>
      <c r="H3288">
        <v>9.8000000000000004E-2</v>
      </c>
    </row>
    <row r="3289" spans="1:8" x14ac:dyDescent="0.3">
      <c r="A3289" t="s">
        <v>7559</v>
      </c>
      <c r="B3289" t="s">
        <v>26951</v>
      </c>
      <c r="C3289" t="s">
        <v>8351</v>
      </c>
      <c r="D3289" t="s">
        <v>8350</v>
      </c>
      <c r="E3289" s="2" t="s">
        <v>313</v>
      </c>
      <c r="F3289" t="s">
        <v>677</v>
      </c>
      <c r="G3289" t="str">
        <f>HYPERLINK("https://n.news.naver.com/mnews/article/052/0002212864?sid=104")</f>
        <v>https://n.news.naver.com/mnews/article/052/0002212864?sid=104</v>
      </c>
      <c r="H3289">
        <v>0.29199999999999998</v>
      </c>
    </row>
    <row r="3290" spans="1:8" x14ac:dyDescent="0.3">
      <c r="A3290" t="s">
        <v>7559</v>
      </c>
      <c r="B3290" t="s">
        <v>26951</v>
      </c>
      <c r="C3290" t="s">
        <v>7088</v>
      </c>
      <c r="D3290" t="s">
        <v>7087</v>
      </c>
      <c r="E3290" s="2" t="s">
        <v>313</v>
      </c>
      <c r="F3290" t="s">
        <v>7086</v>
      </c>
      <c r="G3290" t="str">
        <f>HYPERLINK("https://n.news.naver.com/mnews/article/052/0001874234?sid=102")</f>
        <v>https://n.news.naver.com/mnews/article/052/0001874234?sid=102</v>
      </c>
      <c r="H3290">
        <v>0.35699999999999998</v>
      </c>
    </row>
    <row r="3291" spans="1:8" x14ac:dyDescent="0.3">
      <c r="A3291" t="s">
        <v>7559</v>
      </c>
      <c r="B3291" t="s">
        <v>26951</v>
      </c>
      <c r="C3291" t="s">
        <v>8353</v>
      </c>
      <c r="D3291" t="s">
        <v>8352</v>
      </c>
      <c r="E3291" s="2" t="s">
        <v>313</v>
      </c>
      <c r="F3291" t="s">
        <v>1060</v>
      </c>
      <c r="G3291" t="str">
        <f>HYPERLINK("https://www.kukinews.com/article/view/kuk202506190175")</f>
        <v>https://www.kukinews.com/article/view/kuk202506190175</v>
      </c>
      <c r="H3291">
        <v>0.25700000000000001</v>
      </c>
    </row>
    <row r="3292" spans="1:8" x14ac:dyDescent="0.3">
      <c r="A3292" t="s">
        <v>7559</v>
      </c>
      <c r="B3292" t="s">
        <v>26951</v>
      </c>
      <c r="C3292" t="s">
        <v>8355</v>
      </c>
      <c r="D3292" t="s">
        <v>8354</v>
      </c>
      <c r="E3292" s="2" t="s">
        <v>313</v>
      </c>
      <c r="F3292" t="s">
        <v>898</v>
      </c>
      <c r="G3292" t="str">
        <f>HYPERLINK("https://n.news.naver.com/mnews/article/079/0003087686?sid=102")</f>
        <v>https://n.news.naver.com/mnews/article/079/0003087686?sid=102</v>
      </c>
      <c r="H3292">
        <v>0.36499999999999999</v>
      </c>
    </row>
    <row r="3293" spans="1:8" x14ac:dyDescent="0.3">
      <c r="A3293" t="s">
        <v>7559</v>
      </c>
      <c r="B3293" t="s">
        <v>26951</v>
      </c>
      <c r="C3293" t="s">
        <v>8358</v>
      </c>
      <c r="D3293" t="s">
        <v>8357</v>
      </c>
      <c r="E3293" s="2" t="s">
        <v>313</v>
      </c>
      <c r="F3293" t="s">
        <v>8356</v>
      </c>
      <c r="G3293" t="str">
        <f>HYPERLINK("https://n.news.naver.com/mnews/article/052/0002204287?sid=104")</f>
        <v>https://n.news.naver.com/mnews/article/052/0002204287?sid=104</v>
      </c>
      <c r="H3293">
        <v>9.1999999999999998E-2</v>
      </c>
    </row>
    <row r="3294" spans="1:8" x14ac:dyDescent="0.3">
      <c r="A3294" t="s">
        <v>7559</v>
      </c>
      <c r="B3294" t="s">
        <v>26951</v>
      </c>
      <c r="C3294" t="s">
        <v>8361</v>
      </c>
      <c r="D3294" t="s">
        <v>8360</v>
      </c>
      <c r="E3294" s="2" t="s">
        <v>313</v>
      </c>
      <c r="F3294" t="s">
        <v>8359</v>
      </c>
      <c r="G3294" t="str">
        <f>HYPERLINK("https://n.news.naver.com/mnews/article/052/0002207280?sid=103")</f>
        <v>https://n.news.naver.com/mnews/article/052/0002207280?sid=103</v>
      </c>
      <c r="H3294">
        <v>0.32</v>
      </c>
    </row>
    <row r="3295" spans="1:8" x14ac:dyDescent="0.3">
      <c r="A3295" t="s">
        <v>7559</v>
      </c>
      <c r="B3295" t="s">
        <v>26951</v>
      </c>
      <c r="C3295" t="s">
        <v>8363</v>
      </c>
      <c r="D3295" t="s">
        <v>8362</v>
      </c>
      <c r="E3295" s="2" t="s">
        <v>356</v>
      </c>
      <c r="F3295" t="s">
        <v>1606</v>
      </c>
      <c r="G3295" t="str">
        <f>HYPERLINK("https://n.news.naver.com/mnews/article/052/0002175784?sid=104")</f>
        <v>https://n.news.naver.com/mnews/article/052/0002175784?sid=104</v>
      </c>
      <c r="H3295">
        <v>0.17599999999999999</v>
      </c>
    </row>
    <row r="3296" spans="1:8" x14ac:dyDescent="0.3">
      <c r="A3296" t="s">
        <v>7559</v>
      </c>
      <c r="B3296" t="s">
        <v>26951</v>
      </c>
      <c r="C3296" t="s">
        <v>8365</v>
      </c>
      <c r="D3296" t="s">
        <v>8364</v>
      </c>
      <c r="E3296" s="2" t="s">
        <v>356</v>
      </c>
      <c r="F3296" t="s">
        <v>7562</v>
      </c>
      <c r="G3296" t="str">
        <f>HYPERLINK("https://n.news.naver.com/mnews/article/052/0002123624?sid=101")</f>
        <v>https://n.news.naver.com/mnews/article/052/0002123624?sid=101</v>
      </c>
      <c r="H3296">
        <v>0.24399999999999999</v>
      </c>
    </row>
    <row r="3297" spans="1:8" x14ac:dyDescent="0.3">
      <c r="A3297" t="s">
        <v>7559</v>
      </c>
      <c r="B3297" t="s">
        <v>26951</v>
      </c>
      <c r="C3297" t="s">
        <v>8368</v>
      </c>
      <c r="D3297" t="s">
        <v>8367</v>
      </c>
      <c r="E3297" s="2" t="s">
        <v>356</v>
      </c>
      <c r="F3297" t="s">
        <v>8366</v>
      </c>
      <c r="G3297" t="str">
        <f>HYPERLINK("https://radio.ytn.co.kr/program/?f=2&amp;id=99852&amp;s_mcd=0211&amp;s_hcd=09")</f>
        <v>https://radio.ytn.co.kr/program/?f=2&amp;id=99852&amp;s_mcd=0211&amp;s_hcd=09</v>
      </c>
      <c r="H3297">
        <v>0.55100000000000005</v>
      </c>
    </row>
    <row r="3298" spans="1:8" x14ac:dyDescent="0.3">
      <c r="A3298" t="s">
        <v>7559</v>
      </c>
      <c r="B3298" t="s">
        <v>26951</v>
      </c>
      <c r="C3298" t="s">
        <v>8370</v>
      </c>
      <c r="D3298" t="s">
        <v>8369</v>
      </c>
      <c r="E3298" s="2" t="s">
        <v>356</v>
      </c>
      <c r="F3298" t="s">
        <v>1233</v>
      </c>
      <c r="G3298" t="str">
        <f>HYPERLINK("https://n.news.naver.com/mnews/article/052/0001953981?sid=100")</f>
        <v>https://n.news.naver.com/mnews/article/052/0001953981?sid=100</v>
      </c>
      <c r="H3298">
        <v>0.18</v>
      </c>
    </row>
    <row r="3299" spans="1:8" x14ac:dyDescent="0.3">
      <c r="A3299" t="s">
        <v>7559</v>
      </c>
      <c r="B3299" t="s">
        <v>26951</v>
      </c>
      <c r="C3299" t="s">
        <v>8372</v>
      </c>
      <c r="D3299" t="s">
        <v>8371</v>
      </c>
      <c r="E3299" s="2" t="s">
        <v>356</v>
      </c>
      <c r="F3299" t="s">
        <v>732</v>
      </c>
      <c r="G3299" t="str">
        <f>HYPERLINK("https://n.news.naver.com/mnews/article/008/0005215393?sid=100")</f>
        <v>https://n.news.naver.com/mnews/article/008/0005215393?sid=100</v>
      </c>
      <c r="H3299">
        <v>0.151</v>
      </c>
    </row>
    <row r="3300" spans="1:8" x14ac:dyDescent="0.3">
      <c r="A3300" t="s">
        <v>7559</v>
      </c>
      <c r="B3300" t="s">
        <v>26951</v>
      </c>
      <c r="C3300" t="s">
        <v>8376</v>
      </c>
      <c r="D3300" t="s">
        <v>8375</v>
      </c>
      <c r="E3300" s="2" t="s">
        <v>356</v>
      </c>
      <c r="F3300" t="s">
        <v>8374</v>
      </c>
      <c r="G3300" t="str">
        <f>HYPERLINK("http://www.brainmedia.co.kr/brainWorldMedia/ContentView.aspx?contIdx=10330")</f>
        <v>http://www.brainmedia.co.kr/brainWorldMedia/ContentView.aspx?contIdx=10330</v>
      </c>
      <c r="H3300">
        <v>0.52400000000000002</v>
      </c>
    </row>
    <row r="3301" spans="1:8" x14ac:dyDescent="0.3">
      <c r="A3301" t="s">
        <v>7559</v>
      </c>
      <c r="B3301" t="s">
        <v>26951</v>
      </c>
      <c r="C3301" t="s">
        <v>4994</v>
      </c>
      <c r="D3301" t="s">
        <v>4993</v>
      </c>
      <c r="E3301" s="2" t="s">
        <v>356</v>
      </c>
      <c r="F3301" t="s">
        <v>25</v>
      </c>
      <c r="G3301" t="str">
        <f>HYPERLINK("https://n.news.naver.com/mnews/article/052/0002207409?sid=101")</f>
        <v>https://n.news.naver.com/mnews/article/052/0002207409?sid=101</v>
      </c>
      <c r="H3301">
        <v>0.26900000000000002</v>
      </c>
    </row>
    <row r="3302" spans="1:8" x14ac:dyDescent="0.3">
      <c r="A3302" t="s">
        <v>7559</v>
      </c>
      <c r="B3302" t="s">
        <v>26951</v>
      </c>
      <c r="C3302" t="s">
        <v>8379</v>
      </c>
      <c r="D3302" t="s">
        <v>8378</v>
      </c>
      <c r="E3302" s="2" t="s">
        <v>356</v>
      </c>
      <c r="F3302" t="s">
        <v>8377</v>
      </c>
      <c r="G3302" t="str">
        <f>HYPERLINK("https://www.nbnews.kr/news/articleView.html?idxno=65532")</f>
        <v>https://www.nbnews.kr/news/articleView.html?idxno=65532</v>
      </c>
      <c r="H3302">
        <v>0.42</v>
      </c>
    </row>
    <row r="3303" spans="1:8" x14ac:dyDescent="0.3">
      <c r="A3303" t="s">
        <v>7559</v>
      </c>
      <c r="B3303" t="s">
        <v>26951</v>
      </c>
      <c r="C3303" t="s">
        <v>8382</v>
      </c>
      <c r="D3303" t="s">
        <v>8381</v>
      </c>
      <c r="E3303" s="2" t="s">
        <v>356</v>
      </c>
      <c r="F3303" t="s">
        <v>8380</v>
      </c>
      <c r="G3303" t="str">
        <f>HYPERLINK("https://n.news.naver.com/mnews/article/006/0000117790?sid=102")</f>
        <v>https://n.news.naver.com/mnews/article/006/0000117790?sid=102</v>
      </c>
      <c r="H3303">
        <v>0.04</v>
      </c>
    </row>
    <row r="3304" spans="1:8" x14ac:dyDescent="0.3">
      <c r="A3304" t="s">
        <v>7559</v>
      </c>
      <c r="B3304" t="s">
        <v>26951</v>
      </c>
      <c r="C3304" t="s">
        <v>8385</v>
      </c>
      <c r="D3304" t="s">
        <v>8384</v>
      </c>
      <c r="E3304" s="2" t="s">
        <v>356</v>
      </c>
      <c r="F3304" t="s">
        <v>6043</v>
      </c>
      <c r="G3304" t="str">
        <f>HYPERLINK("https://n.news.naver.com/mnews/article/008/0004202480?sid=102")</f>
        <v>https://n.news.naver.com/mnews/article/008/0004202480?sid=102</v>
      </c>
      <c r="H3304">
        <v>0.29299999999999998</v>
      </c>
    </row>
    <row r="3305" spans="1:8" x14ac:dyDescent="0.3">
      <c r="A3305" t="s">
        <v>7559</v>
      </c>
      <c r="B3305" t="s">
        <v>26951</v>
      </c>
      <c r="C3305" t="s">
        <v>8387</v>
      </c>
      <c r="D3305" t="s">
        <v>8386</v>
      </c>
      <c r="E3305" s="2" t="s">
        <v>356</v>
      </c>
      <c r="F3305" t="s">
        <v>1327</v>
      </c>
      <c r="G3305" t="str">
        <f>HYPERLINK("https://www.danbinews.com/news/articleView.html?idxno=30751")</f>
        <v>https://www.danbinews.com/news/articleView.html?idxno=30751</v>
      </c>
      <c r="H3305">
        <v>0.38800000000000001</v>
      </c>
    </row>
    <row r="3306" spans="1:8" x14ac:dyDescent="0.3">
      <c r="A3306" t="s">
        <v>7559</v>
      </c>
      <c r="B3306" t="s">
        <v>26951</v>
      </c>
      <c r="C3306" t="s">
        <v>8390</v>
      </c>
      <c r="D3306" t="s">
        <v>8389</v>
      </c>
      <c r="E3306" s="2" t="s">
        <v>356</v>
      </c>
      <c r="F3306" t="s">
        <v>8388</v>
      </c>
      <c r="G3306" t="str">
        <f>HYPERLINK("https://n.news.naver.com/mnews/article/052/0001039056?sid=102")</f>
        <v>https://n.news.naver.com/mnews/article/052/0001039056?sid=102</v>
      </c>
      <c r="H3306">
        <v>0.28999999999999998</v>
      </c>
    </row>
    <row r="3307" spans="1:8" x14ac:dyDescent="0.3">
      <c r="A3307" t="s">
        <v>7559</v>
      </c>
      <c r="B3307" t="s">
        <v>26951</v>
      </c>
      <c r="C3307" t="s">
        <v>8392</v>
      </c>
      <c r="D3307" t="s">
        <v>8391</v>
      </c>
      <c r="E3307" s="2" t="s">
        <v>356</v>
      </c>
      <c r="F3307" t="s">
        <v>1252</v>
      </c>
      <c r="G3307" t="str">
        <f>HYPERLINK("https://www.ngonews.kr/news/articleView.html?idxno=208497")</f>
        <v>https://www.ngonews.kr/news/articleView.html?idxno=208497</v>
      </c>
      <c r="H3307">
        <v>0.57899999999999996</v>
      </c>
    </row>
    <row r="3308" spans="1:8" x14ac:dyDescent="0.3">
      <c r="A3308" t="s">
        <v>7559</v>
      </c>
      <c r="B3308" t="s">
        <v>26951</v>
      </c>
      <c r="C3308" t="s">
        <v>8394</v>
      </c>
      <c r="D3308" t="s">
        <v>8393</v>
      </c>
      <c r="E3308" s="2" t="s">
        <v>356</v>
      </c>
      <c r="F3308" t="s">
        <v>7159</v>
      </c>
      <c r="G3308" t="str">
        <f>HYPERLINK("https://n.news.naver.com/mnews/article/052/0002211976?sid=104")</f>
        <v>https://n.news.naver.com/mnews/article/052/0002211976?sid=104</v>
      </c>
      <c r="H3308">
        <v>0.22600000000000001</v>
      </c>
    </row>
    <row r="3309" spans="1:8" x14ac:dyDescent="0.3">
      <c r="A3309" t="s">
        <v>7559</v>
      </c>
      <c r="B3309" t="s">
        <v>26951</v>
      </c>
      <c r="C3309" t="s">
        <v>8396</v>
      </c>
      <c r="D3309" t="s">
        <v>8395</v>
      </c>
      <c r="E3309" s="2" t="s">
        <v>356</v>
      </c>
      <c r="F3309" t="s">
        <v>7621</v>
      </c>
      <c r="G3309" t="str">
        <f>HYPERLINK("https://www.laborplus.co.kr/news/articleView.html?idxno=35845")</f>
        <v>https://www.laborplus.co.kr/news/articleView.html?idxno=35845</v>
      </c>
      <c r="H3309">
        <v>0.25600000000000001</v>
      </c>
    </row>
    <row r="3310" spans="1:8" x14ac:dyDescent="0.3">
      <c r="A3310" t="s">
        <v>7559</v>
      </c>
      <c r="B3310" t="s">
        <v>26951</v>
      </c>
      <c r="C3310" t="s">
        <v>8401</v>
      </c>
      <c r="D3310" t="s">
        <v>8400</v>
      </c>
      <c r="E3310" s="2" t="s">
        <v>356</v>
      </c>
      <c r="F3310" t="s">
        <v>7635</v>
      </c>
      <c r="G3310" t="str">
        <f>HYPERLINK("https://www.apnews.kr/news/articleView.html?idxno=3028169")</f>
        <v>https://www.apnews.kr/news/articleView.html?idxno=3028169</v>
      </c>
      <c r="H3310">
        <v>0.35099999999999998</v>
      </c>
    </row>
    <row r="3311" spans="1:8" x14ac:dyDescent="0.3">
      <c r="A3311" t="s">
        <v>7559</v>
      </c>
      <c r="B3311" t="s">
        <v>26951</v>
      </c>
      <c r="C3311" t="s">
        <v>8404</v>
      </c>
      <c r="D3311" t="s">
        <v>8403</v>
      </c>
      <c r="E3311" s="2" t="s">
        <v>356</v>
      </c>
      <c r="F3311" t="s">
        <v>8402</v>
      </c>
      <c r="G3311" t="str">
        <f>HYPERLINK("http://www.brainmedia.co.kr/brainWorldMedia/ContentView.aspx?contIdx=14205")</f>
        <v>http://www.brainmedia.co.kr/brainWorldMedia/ContentView.aspx?contIdx=14205</v>
      </c>
      <c r="H3311">
        <v>0.33100000000000002</v>
      </c>
    </row>
    <row r="3312" spans="1:8" x14ac:dyDescent="0.3">
      <c r="A3312" t="s">
        <v>7559</v>
      </c>
      <c r="B3312" t="s">
        <v>26951</v>
      </c>
      <c r="C3312" t="s">
        <v>8406</v>
      </c>
      <c r="D3312" t="s">
        <v>8405</v>
      </c>
      <c r="E3312" s="2" t="s">
        <v>356</v>
      </c>
      <c r="F3312" t="s">
        <v>1109</v>
      </c>
      <c r="G3312" t="str">
        <f>HYPERLINK("https://n.news.naver.com/mnews/article/052/0002105098?sid=104")</f>
        <v>https://n.news.naver.com/mnews/article/052/0002105098?sid=104</v>
      </c>
      <c r="H3312">
        <v>0.28899999999999998</v>
      </c>
    </row>
    <row r="3313" spans="1:8" x14ac:dyDescent="0.3">
      <c r="A3313" t="s">
        <v>7559</v>
      </c>
      <c r="B3313" t="s">
        <v>26951</v>
      </c>
      <c r="C3313" t="s">
        <v>8408</v>
      </c>
      <c r="D3313" t="s">
        <v>8407</v>
      </c>
      <c r="E3313" s="2" t="s">
        <v>356</v>
      </c>
      <c r="F3313" t="s">
        <v>898</v>
      </c>
      <c r="G3313" t="str">
        <f>HYPERLINK("https://www.apnews.kr/news/articleView.html?idxno=3029666")</f>
        <v>https://www.apnews.kr/news/articleView.html?idxno=3029666</v>
      </c>
      <c r="H3313">
        <v>0.58399999999999996</v>
      </c>
    </row>
    <row r="3314" spans="1:8" x14ac:dyDescent="0.3">
      <c r="A3314" t="s">
        <v>7559</v>
      </c>
      <c r="B3314" t="s">
        <v>26951</v>
      </c>
      <c r="C3314" t="s">
        <v>8411</v>
      </c>
      <c r="D3314" t="s">
        <v>8410</v>
      </c>
      <c r="E3314" s="2" t="s">
        <v>356</v>
      </c>
      <c r="F3314" t="s">
        <v>8409</v>
      </c>
      <c r="G3314" t="str">
        <f>HYPERLINK("https://n.news.naver.com/mnews/article/052/0002161110?sid=102")</f>
        <v>https://n.news.naver.com/mnews/article/052/0002161110?sid=102</v>
      </c>
      <c r="H3314">
        <v>0.115</v>
      </c>
    </row>
    <row r="3315" spans="1:8" x14ac:dyDescent="0.3">
      <c r="A3315" t="s">
        <v>7559</v>
      </c>
      <c r="B3315" t="s">
        <v>26951</v>
      </c>
      <c r="C3315" t="s">
        <v>8414</v>
      </c>
      <c r="D3315" t="s">
        <v>8413</v>
      </c>
      <c r="E3315" s="2" t="s">
        <v>356</v>
      </c>
      <c r="F3315" t="s">
        <v>8412</v>
      </c>
      <c r="G3315" t="str">
        <f>HYPERLINK("http://www.newsworker.co.kr/news/articleView.html?idxno=334853")</f>
        <v>http://www.newsworker.co.kr/news/articleView.html?idxno=334853</v>
      </c>
      <c r="H3315">
        <v>0.53600000000000003</v>
      </c>
    </row>
    <row r="3316" spans="1:8" x14ac:dyDescent="0.3">
      <c r="A3316" t="s">
        <v>7559</v>
      </c>
      <c r="B3316" t="s">
        <v>26951</v>
      </c>
      <c r="C3316" t="s">
        <v>8416</v>
      </c>
      <c r="D3316" t="s">
        <v>8415</v>
      </c>
      <c r="E3316" s="2" t="s">
        <v>356</v>
      </c>
      <c r="F3316" t="s">
        <v>8123</v>
      </c>
      <c r="G3316" t="str">
        <f>HYPERLINK("http://www.redian.org/archive/121528")</f>
        <v>http://www.redian.org/archive/121528</v>
      </c>
      <c r="H3316">
        <v>0.61499999999999999</v>
      </c>
    </row>
    <row r="3317" spans="1:8" x14ac:dyDescent="0.3">
      <c r="A3317" t="s">
        <v>7559</v>
      </c>
      <c r="B3317" t="s">
        <v>26951</v>
      </c>
      <c r="C3317" t="s">
        <v>8419</v>
      </c>
      <c r="D3317" t="s">
        <v>8418</v>
      </c>
      <c r="E3317" s="2" t="s">
        <v>394</v>
      </c>
      <c r="F3317" t="s">
        <v>7562</v>
      </c>
      <c r="G3317" t="str">
        <f>HYPERLINK("https://www.junggi.co.kr/article/articleView.html?no=34117")</f>
        <v>https://www.junggi.co.kr/article/articleView.html?no=34117</v>
      </c>
      <c r="H3317">
        <v>0.28699999999999998</v>
      </c>
    </row>
    <row r="3318" spans="1:8" x14ac:dyDescent="0.3">
      <c r="A3318" t="s">
        <v>7559</v>
      </c>
      <c r="B3318" t="s">
        <v>26951</v>
      </c>
      <c r="C3318" t="s">
        <v>8421</v>
      </c>
      <c r="D3318" t="s">
        <v>8420</v>
      </c>
      <c r="E3318" s="2" t="s">
        <v>394</v>
      </c>
      <c r="F3318" t="s">
        <v>1327</v>
      </c>
      <c r="G3318" t="str">
        <f>HYPERLINK("https://n.news.naver.com/mnews/article/052/0002209015?sid=104")</f>
        <v>https://n.news.naver.com/mnews/article/052/0002209015?sid=104</v>
      </c>
      <c r="H3318">
        <v>0.23400000000000001</v>
      </c>
    </row>
    <row r="3319" spans="1:8" x14ac:dyDescent="0.3">
      <c r="A3319" t="s">
        <v>7559</v>
      </c>
      <c r="B3319" t="s">
        <v>26951</v>
      </c>
      <c r="C3319" t="s">
        <v>8424</v>
      </c>
      <c r="D3319" t="s">
        <v>8423</v>
      </c>
      <c r="E3319" s="2" t="s">
        <v>394</v>
      </c>
      <c r="F3319" t="s">
        <v>8422</v>
      </c>
      <c r="G3319" t="str">
        <f>HYPERLINK("https://n.news.naver.com/mnews/article/006/0000118264?sid=100")</f>
        <v>https://n.news.naver.com/mnews/article/006/0000118264?sid=100</v>
      </c>
      <c r="H3319">
        <v>0.318</v>
      </c>
    </row>
    <row r="3320" spans="1:8" x14ac:dyDescent="0.3">
      <c r="A3320" t="s">
        <v>7559</v>
      </c>
      <c r="B3320" t="s">
        <v>26951</v>
      </c>
      <c r="C3320" t="s">
        <v>8427</v>
      </c>
      <c r="D3320" t="s">
        <v>8426</v>
      </c>
      <c r="E3320" s="2" t="s">
        <v>394</v>
      </c>
      <c r="F3320" t="s">
        <v>8425</v>
      </c>
      <c r="G3320" t="str">
        <f>HYPERLINK("https://www.pressman.kr/news/articleView.html?idxno=89855")</f>
        <v>https://www.pressman.kr/news/articleView.html?idxno=89855</v>
      </c>
      <c r="H3320">
        <v>0.27200000000000002</v>
      </c>
    </row>
    <row r="3321" spans="1:8" x14ac:dyDescent="0.3">
      <c r="A3321" t="s">
        <v>7559</v>
      </c>
      <c r="B3321" t="s">
        <v>26951</v>
      </c>
      <c r="C3321" t="s">
        <v>8430</v>
      </c>
      <c r="D3321" t="s">
        <v>8429</v>
      </c>
      <c r="E3321" s="2" t="s">
        <v>394</v>
      </c>
      <c r="F3321" t="s">
        <v>8428</v>
      </c>
      <c r="G3321" t="str">
        <f>HYPERLINK("https://n.news.naver.com/mnews/article/052/0000731888?sid=104")</f>
        <v>https://n.news.naver.com/mnews/article/052/0000731888?sid=104</v>
      </c>
      <c r="H3321">
        <v>0.19600000000000001</v>
      </c>
    </row>
    <row r="3322" spans="1:8" x14ac:dyDescent="0.3">
      <c r="A3322" t="s">
        <v>7559</v>
      </c>
      <c r="B3322" t="s">
        <v>26951</v>
      </c>
      <c r="C3322" t="s">
        <v>8432</v>
      </c>
      <c r="D3322" t="s">
        <v>8431</v>
      </c>
      <c r="E3322" s="2" t="s">
        <v>394</v>
      </c>
      <c r="F3322" t="s">
        <v>7804</v>
      </c>
      <c r="G3322" t="str">
        <f>HYPERLINK("http://www.ebn.co.kr/news/n_view.html?id=406640")</f>
        <v>http://www.ebn.co.kr/news/n_view.html?id=406640</v>
      </c>
      <c r="H3322">
        <v>0.193</v>
      </c>
    </row>
    <row r="3323" spans="1:8" x14ac:dyDescent="0.3">
      <c r="A3323" t="s">
        <v>7559</v>
      </c>
      <c r="B3323" t="s">
        <v>26951</v>
      </c>
      <c r="C3323" t="s">
        <v>5003</v>
      </c>
      <c r="D3323" t="s">
        <v>5002</v>
      </c>
      <c r="E3323" s="2" t="s">
        <v>394</v>
      </c>
      <c r="F3323" t="s">
        <v>5001</v>
      </c>
      <c r="G3323" t="str">
        <f>HYPERLINK("http://www.youthdaily.co.kr/news/article.html?no=68591")</f>
        <v>http://www.youthdaily.co.kr/news/article.html?no=68591</v>
      </c>
      <c r="H3323">
        <v>0.55000000000000004</v>
      </c>
    </row>
    <row r="3324" spans="1:8" x14ac:dyDescent="0.3">
      <c r="A3324" t="s">
        <v>7559</v>
      </c>
      <c r="B3324" t="s">
        <v>26951</v>
      </c>
      <c r="C3324" t="s">
        <v>8435</v>
      </c>
      <c r="D3324" t="s">
        <v>8434</v>
      </c>
      <c r="E3324" s="2" t="s">
        <v>394</v>
      </c>
      <c r="F3324" t="s">
        <v>8433</v>
      </c>
      <c r="G3324" t="str">
        <f>HYPERLINK("https://www.greened.kr/news/articleView.html?idxno=327479")</f>
        <v>https://www.greened.kr/news/articleView.html?idxno=327479</v>
      </c>
      <c r="H3324">
        <v>0.48599999999999999</v>
      </c>
    </row>
    <row r="3325" spans="1:8" x14ac:dyDescent="0.3">
      <c r="A3325" t="s">
        <v>7559</v>
      </c>
      <c r="B3325" t="s">
        <v>26951</v>
      </c>
      <c r="C3325" t="s">
        <v>8438</v>
      </c>
      <c r="D3325" t="s">
        <v>8437</v>
      </c>
      <c r="E3325" s="2" t="s">
        <v>394</v>
      </c>
      <c r="F3325" t="s">
        <v>8436</v>
      </c>
      <c r="G3325" t="str">
        <f>HYPERLINK("http://www.safetimes.co.kr/news/articleView.html?idxno=210373")</f>
        <v>http://www.safetimes.co.kr/news/articleView.html?idxno=210373</v>
      </c>
      <c r="H3325">
        <v>5.3999999999999999E-2</v>
      </c>
    </row>
    <row r="3326" spans="1:8" x14ac:dyDescent="0.3">
      <c r="A3326" t="s">
        <v>7559</v>
      </c>
      <c r="B3326" t="s">
        <v>26951</v>
      </c>
      <c r="C3326" t="s">
        <v>8441</v>
      </c>
      <c r="D3326" t="s">
        <v>8440</v>
      </c>
      <c r="E3326" s="2" t="s">
        <v>394</v>
      </c>
      <c r="F3326" t="s">
        <v>8439</v>
      </c>
      <c r="G3326" t="str">
        <f>HYPERLINK("http://jmagazine.joins.com/monthly/view/321771")</f>
        <v>http://jmagazine.joins.com/monthly/view/321771</v>
      </c>
      <c r="H3326">
        <v>0.39800000000000002</v>
      </c>
    </row>
    <row r="3327" spans="1:8" x14ac:dyDescent="0.3">
      <c r="A3327" t="s">
        <v>7559</v>
      </c>
      <c r="B3327" t="s">
        <v>26951</v>
      </c>
      <c r="C3327" t="s">
        <v>8444</v>
      </c>
      <c r="D3327" t="s">
        <v>8443</v>
      </c>
      <c r="E3327" s="2" t="s">
        <v>394</v>
      </c>
      <c r="F3327" t="s">
        <v>8442</v>
      </c>
      <c r="G3327" t="str">
        <f>HYPERLINK("https://n.news.naver.com/mnews/article/006/0000126155?sid=102")</f>
        <v>https://n.news.naver.com/mnews/article/006/0000126155?sid=102</v>
      </c>
      <c r="H3327">
        <v>0.315</v>
      </c>
    </row>
    <row r="3328" spans="1:8" x14ac:dyDescent="0.3">
      <c r="A3328" t="s">
        <v>7559</v>
      </c>
      <c r="B3328" t="s">
        <v>26951</v>
      </c>
      <c r="C3328" t="s">
        <v>8446</v>
      </c>
      <c r="D3328" t="s">
        <v>8445</v>
      </c>
      <c r="E3328" s="2" t="s">
        <v>394</v>
      </c>
      <c r="F3328" t="s">
        <v>37</v>
      </c>
      <c r="G3328" t="str">
        <f>HYPERLINK("https://n.news.naver.com/mnews/article/052/0002207152?sid=101")</f>
        <v>https://n.news.naver.com/mnews/article/052/0002207152?sid=101</v>
      </c>
      <c r="H3328">
        <v>0.17899999999999999</v>
      </c>
    </row>
    <row r="3329" spans="1:8" x14ac:dyDescent="0.3">
      <c r="A3329" t="s">
        <v>7559</v>
      </c>
      <c r="B3329" t="s">
        <v>26951</v>
      </c>
      <c r="C3329" t="s">
        <v>8448</v>
      </c>
      <c r="D3329" t="s">
        <v>8447</v>
      </c>
      <c r="E3329" s="2" t="s">
        <v>394</v>
      </c>
      <c r="F3329" t="s">
        <v>5878</v>
      </c>
      <c r="G3329" t="str">
        <f>HYPERLINK("http://www.ilyoseoul.co.kr/news/articleView.html?idxno=491343")</f>
        <v>http://www.ilyoseoul.co.kr/news/articleView.html?idxno=491343</v>
      </c>
      <c r="H3329">
        <v>0.77100000000000002</v>
      </c>
    </row>
    <row r="3330" spans="1:8" x14ac:dyDescent="0.3">
      <c r="A3330" t="s">
        <v>7559</v>
      </c>
      <c r="B3330" t="s">
        <v>26951</v>
      </c>
      <c r="C3330" t="s">
        <v>8451</v>
      </c>
      <c r="D3330" t="s">
        <v>8450</v>
      </c>
      <c r="E3330" s="2" t="s">
        <v>394</v>
      </c>
      <c r="F3330" t="s">
        <v>8449</v>
      </c>
      <c r="G3330" t="str">
        <f>HYPERLINK("https://www.pinpointnews.co.kr/news/articleView.html?idxno=355421")</f>
        <v>https://www.pinpointnews.co.kr/news/articleView.html?idxno=355421</v>
      </c>
      <c r="H3330">
        <v>8.5000000000000006E-2</v>
      </c>
    </row>
    <row r="3331" spans="1:8" x14ac:dyDescent="0.3">
      <c r="A3331" t="s">
        <v>7559</v>
      </c>
      <c r="B3331" t="s">
        <v>26951</v>
      </c>
      <c r="C3331" t="s">
        <v>8454</v>
      </c>
      <c r="D3331" t="s">
        <v>8453</v>
      </c>
      <c r="E3331" s="2" t="s">
        <v>394</v>
      </c>
      <c r="F3331" t="s">
        <v>8452</v>
      </c>
      <c r="G3331" t="str">
        <f>HYPERLINK("https://www.ggilbo.com/news/articleView.html?idxno=1095663")</f>
        <v>https://www.ggilbo.com/news/articleView.html?idxno=1095663</v>
      </c>
      <c r="H3331">
        <v>0.47699999999999998</v>
      </c>
    </row>
    <row r="3332" spans="1:8" x14ac:dyDescent="0.3">
      <c r="A3332" t="s">
        <v>7559</v>
      </c>
      <c r="B3332" t="s">
        <v>26951</v>
      </c>
      <c r="C3332" t="s">
        <v>8456</v>
      </c>
      <c r="D3332" t="s">
        <v>8455</v>
      </c>
      <c r="E3332" s="2" t="s">
        <v>394</v>
      </c>
      <c r="F3332" t="s">
        <v>898</v>
      </c>
      <c r="G3332" t="str">
        <f>HYPERLINK("https://www.apnews.kr/news/articleView.html?idxno=3029666")</f>
        <v>https://www.apnews.kr/news/articleView.html?idxno=3029666</v>
      </c>
      <c r="H3332">
        <v>0.629</v>
      </c>
    </row>
    <row r="3333" spans="1:8" x14ac:dyDescent="0.3">
      <c r="A3333" t="s">
        <v>7559</v>
      </c>
      <c r="B3333" t="s">
        <v>26951</v>
      </c>
      <c r="C3333" t="s">
        <v>8458</v>
      </c>
      <c r="D3333" t="s">
        <v>8457</v>
      </c>
      <c r="E3333" s="2" t="s">
        <v>394</v>
      </c>
      <c r="F3333" t="s">
        <v>5171</v>
      </c>
      <c r="G3333" t="str">
        <f>HYPERLINK("https://n.news.naver.com/mnews/article/056/0011971900?sid=103")</f>
        <v>https://n.news.naver.com/mnews/article/056/0011971900?sid=103</v>
      </c>
      <c r="H3333">
        <v>0.12</v>
      </c>
    </row>
    <row r="3334" spans="1:8" x14ac:dyDescent="0.3">
      <c r="A3334" t="s">
        <v>7559</v>
      </c>
      <c r="B3334" t="s">
        <v>26951</v>
      </c>
      <c r="C3334" t="s">
        <v>8461</v>
      </c>
      <c r="D3334" t="s">
        <v>8460</v>
      </c>
      <c r="E3334" s="2" t="s">
        <v>418</v>
      </c>
      <c r="F3334" t="s">
        <v>8459</v>
      </c>
      <c r="G3334" t="str">
        <f>HYPERLINK("https://sports.hankooki.com/news/articleView.html?idxno=6901127")</f>
        <v>https://sports.hankooki.com/news/articleView.html?idxno=6901127</v>
      </c>
      <c r="H3334">
        <v>0.36899999999999999</v>
      </c>
    </row>
    <row r="3335" spans="1:8" x14ac:dyDescent="0.3">
      <c r="A3335" t="s">
        <v>7559</v>
      </c>
      <c r="B3335" t="s">
        <v>26951</v>
      </c>
      <c r="C3335" t="s">
        <v>8463</v>
      </c>
      <c r="D3335" t="s">
        <v>8462</v>
      </c>
      <c r="E3335" s="2" t="s">
        <v>418</v>
      </c>
      <c r="F3335" t="s">
        <v>7562</v>
      </c>
      <c r="G3335" t="str">
        <f>HYPERLINK("https://n.news.naver.com/mnews/article/005/0001783453?sid=105")</f>
        <v>https://n.news.naver.com/mnews/article/005/0001783453?sid=105</v>
      </c>
      <c r="H3335">
        <v>0.27400000000000002</v>
      </c>
    </row>
    <row r="3336" spans="1:8" x14ac:dyDescent="0.3">
      <c r="A3336" t="s">
        <v>7559</v>
      </c>
      <c r="B3336" t="s">
        <v>26951</v>
      </c>
      <c r="C3336" t="s">
        <v>8466</v>
      </c>
      <c r="D3336" t="s">
        <v>8465</v>
      </c>
      <c r="E3336" s="2" t="s">
        <v>418</v>
      </c>
      <c r="F3336" t="s">
        <v>8464</v>
      </c>
      <c r="G3336" t="str">
        <f>HYPERLINK("https://sports.hankooki.com/news/articleView.html?idxno=6901127")</f>
        <v>https://sports.hankooki.com/news/articleView.html?idxno=6901127</v>
      </c>
      <c r="H3336">
        <v>0.47399999999999998</v>
      </c>
    </row>
    <row r="3337" spans="1:8" x14ac:dyDescent="0.3">
      <c r="A3337" t="s">
        <v>7559</v>
      </c>
      <c r="B3337" t="s">
        <v>26951</v>
      </c>
      <c r="C3337" t="s">
        <v>8469</v>
      </c>
      <c r="D3337" t="s">
        <v>8468</v>
      </c>
      <c r="E3337" s="2" t="s">
        <v>418</v>
      </c>
      <c r="F3337" t="s">
        <v>7550</v>
      </c>
      <c r="G3337" t="str">
        <f>HYPERLINK("https://n.news.naver.com/mnews/article/018/0006043819?sid=102")</f>
        <v>https://n.news.naver.com/mnews/article/018/0006043819?sid=102</v>
      </c>
      <c r="H3337">
        <v>0.13600000000000001</v>
      </c>
    </row>
    <row r="3338" spans="1:8" x14ac:dyDescent="0.3">
      <c r="A3338" t="s">
        <v>7559</v>
      </c>
      <c r="B3338" t="s">
        <v>26951</v>
      </c>
      <c r="C3338" t="s">
        <v>8472</v>
      </c>
      <c r="D3338" t="s">
        <v>8471</v>
      </c>
      <c r="E3338" s="2" t="s">
        <v>418</v>
      </c>
      <c r="F3338" t="s">
        <v>8470</v>
      </c>
      <c r="G3338" t="str">
        <f>HYPERLINK("https://n.news.naver.com/mnews/article/032/0003379003?sid=102")</f>
        <v>https://n.news.naver.com/mnews/article/032/0003379003?sid=102</v>
      </c>
      <c r="H3338">
        <v>0.32400000000000001</v>
      </c>
    </row>
    <row r="3339" spans="1:8" x14ac:dyDescent="0.3">
      <c r="A3339" t="s">
        <v>7559</v>
      </c>
      <c r="B3339" t="s">
        <v>26951</v>
      </c>
      <c r="C3339" t="s">
        <v>8474</v>
      </c>
      <c r="D3339" t="s">
        <v>8473</v>
      </c>
      <c r="E3339" s="2" t="s">
        <v>418</v>
      </c>
      <c r="F3339" t="s">
        <v>805</v>
      </c>
      <c r="G3339" t="str">
        <f>HYPERLINK("https://jhealthmedia.joins.com/news/articleView.html?idxno=30576")</f>
        <v>https://jhealthmedia.joins.com/news/articleView.html?idxno=30576</v>
      </c>
      <c r="H3339">
        <v>0.26900000000000002</v>
      </c>
    </row>
    <row r="3340" spans="1:8" x14ac:dyDescent="0.3">
      <c r="A3340" t="s">
        <v>7559</v>
      </c>
      <c r="B3340" t="s">
        <v>26951</v>
      </c>
      <c r="C3340" t="s">
        <v>8477</v>
      </c>
      <c r="D3340" t="s">
        <v>8476</v>
      </c>
      <c r="E3340" s="2" t="s">
        <v>418</v>
      </c>
      <c r="F3340" t="s">
        <v>8475</v>
      </c>
      <c r="G3340" t="str">
        <f>HYPERLINK("https://sports.hankooki.com/news/articleView.html?idxno=6901127")</f>
        <v>https://sports.hankooki.com/news/articleView.html?idxno=6901127</v>
      </c>
      <c r="H3340">
        <v>0.57099999999999995</v>
      </c>
    </row>
    <row r="3341" spans="1:8" x14ac:dyDescent="0.3">
      <c r="A3341" t="s">
        <v>7559</v>
      </c>
      <c r="B3341" t="s">
        <v>26951</v>
      </c>
      <c r="C3341" t="s">
        <v>8480</v>
      </c>
      <c r="D3341" t="s">
        <v>8479</v>
      </c>
      <c r="E3341" s="2" t="s">
        <v>418</v>
      </c>
      <c r="F3341" t="s">
        <v>8478</v>
      </c>
      <c r="G3341" t="str">
        <f>HYPERLINK("https://www.apnews.kr/news/articleView.html?idxno=3012507")</f>
        <v>https://www.apnews.kr/news/articleView.html?idxno=3012507</v>
      </c>
      <c r="H3341">
        <v>0.45</v>
      </c>
    </row>
    <row r="3342" spans="1:8" x14ac:dyDescent="0.3">
      <c r="A3342" t="s">
        <v>7559</v>
      </c>
      <c r="B3342" t="s">
        <v>26951</v>
      </c>
      <c r="C3342" t="s">
        <v>8482</v>
      </c>
      <c r="D3342" t="s">
        <v>8481</v>
      </c>
      <c r="E3342" s="2" t="s">
        <v>418</v>
      </c>
      <c r="F3342" t="s">
        <v>3501</v>
      </c>
      <c r="G3342" t="str">
        <f>HYPERLINK("https://www.pennmike.com/news/articleView.html?idxno=103526")</f>
        <v>https://www.pennmike.com/news/articleView.html?idxno=103526</v>
      </c>
      <c r="H3342">
        <v>0.46500000000000002</v>
      </c>
    </row>
    <row r="3343" spans="1:8" x14ac:dyDescent="0.3">
      <c r="A3343" t="s">
        <v>7559</v>
      </c>
      <c r="B3343" t="s">
        <v>26951</v>
      </c>
      <c r="C3343" t="s">
        <v>8484</v>
      </c>
      <c r="D3343" t="s">
        <v>8483</v>
      </c>
      <c r="E3343" s="2" t="s">
        <v>418</v>
      </c>
      <c r="F3343" t="s">
        <v>7606</v>
      </c>
      <c r="G3343" t="str">
        <f>HYPERLINK("https://radio.ytn.co.kr/program/?f=2&amp;id=86005&amp;s_mcd=0452&amp;s_hcd=01")</f>
        <v>https://radio.ytn.co.kr/program/?f=2&amp;id=86005&amp;s_mcd=0452&amp;s_hcd=01</v>
      </c>
      <c r="H3343">
        <v>0.36099999999999999</v>
      </c>
    </row>
    <row r="3344" spans="1:8" x14ac:dyDescent="0.3">
      <c r="A3344" t="s">
        <v>7559</v>
      </c>
      <c r="B3344" t="s">
        <v>26951</v>
      </c>
      <c r="C3344" t="s">
        <v>8486</v>
      </c>
      <c r="D3344" t="s">
        <v>8485</v>
      </c>
      <c r="E3344" s="2" t="s">
        <v>418</v>
      </c>
      <c r="F3344" t="s">
        <v>898</v>
      </c>
      <c r="G3344" t="str">
        <f>HYPERLINK("https://www.danbinews.com/news/articleView.html?idxno=30758")</f>
        <v>https://www.danbinews.com/news/articleView.html?idxno=30758</v>
      </c>
      <c r="H3344">
        <v>0.66300000000000003</v>
      </c>
    </row>
    <row r="3345" spans="1:8" x14ac:dyDescent="0.3">
      <c r="A3345" t="s">
        <v>7559</v>
      </c>
      <c r="B3345" t="s">
        <v>26951</v>
      </c>
      <c r="C3345" t="s">
        <v>8488</v>
      </c>
      <c r="D3345" t="s">
        <v>8487</v>
      </c>
      <c r="E3345" s="2" t="s">
        <v>418</v>
      </c>
      <c r="F3345" t="s">
        <v>1090</v>
      </c>
      <c r="G3345" t="str">
        <f>HYPERLINK("https://www.sisaweek.com/news/articleView.html?idxno=226789")</f>
        <v>https://www.sisaweek.com/news/articleView.html?idxno=226789</v>
      </c>
      <c r="H3345">
        <v>0.32300000000000001</v>
      </c>
    </row>
    <row r="3346" spans="1:8" x14ac:dyDescent="0.3">
      <c r="A3346" t="s">
        <v>7559</v>
      </c>
      <c r="B3346" t="s">
        <v>26951</v>
      </c>
      <c r="C3346" t="s">
        <v>8491</v>
      </c>
      <c r="D3346" t="s">
        <v>8490</v>
      </c>
      <c r="E3346" s="2" t="s">
        <v>452</v>
      </c>
      <c r="F3346" t="s">
        <v>8489</v>
      </c>
      <c r="G3346" t="str">
        <f>HYPERLINK("http://news.lghellovision.net/news/articleView.html?idxno=510065")</f>
        <v>http://news.lghellovision.net/news/articleView.html?idxno=510065</v>
      </c>
      <c r="H3346">
        <v>0.45400000000000001</v>
      </c>
    </row>
    <row r="3347" spans="1:8" x14ac:dyDescent="0.3">
      <c r="A3347" t="s">
        <v>7559</v>
      </c>
      <c r="B3347" t="s">
        <v>26951</v>
      </c>
      <c r="C3347" t="s">
        <v>8493</v>
      </c>
      <c r="D3347" t="s">
        <v>8492</v>
      </c>
      <c r="E3347" s="2" t="s">
        <v>452</v>
      </c>
      <c r="F3347" t="s">
        <v>7562</v>
      </c>
      <c r="G3347" t="str">
        <f>HYPERLINK("https://n.news.naver.com/mnews/article/011/0004497445?sid=103")</f>
        <v>https://n.news.naver.com/mnews/article/011/0004497445?sid=103</v>
      </c>
      <c r="H3347">
        <v>0.27800000000000002</v>
      </c>
    </row>
    <row r="3348" spans="1:8" x14ac:dyDescent="0.3">
      <c r="A3348" t="s">
        <v>7559</v>
      </c>
      <c r="B3348" t="s">
        <v>26951</v>
      </c>
      <c r="C3348" t="s">
        <v>8496</v>
      </c>
      <c r="D3348" t="s">
        <v>8495</v>
      </c>
      <c r="E3348" s="2" t="s">
        <v>452</v>
      </c>
      <c r="F3348" t="s">
        <v>8494</v>
      </c>
      <c r="G3348" t="str">
        <f>HYPERLINK("https://n.news.naver.com/mnews/article/006/0000077022?sid=101")</f>
        <v>https://n.news.naver.com/mnews/article/006/0000077022?sid=101</v>
      </c>
      <c r="H3348">
        <v>0.14699999999999999</v>
      </c>
    </row>
    <row r="3349" spans="1:8" x14ac:dyDescent="0.3">
      <c r="A3349" t="s">
        <v>7559</v>
      </c>
      <c r="B3349" t="s">
        <v>26951</v>
      </c>
      <c r="C3349" t="s">
        <v>4690</v>
      </c>
      <c r="D3349" t="s">
        <v>4689</v>
      </c>
      <c r="E3349" s="2" t="s">
        <v>452</v>
      </c>
      <c r="F3349" t="s">
        <v>89</v>
      </c>
      <c r="G3349" t="str">
        <f>HYPERLINK("https://n.news.naver.com/mnews/article/052/0002210009?sid=104")</f>
        <v>https://n.news.naver.com/mnews/article/052/0002210009?sid=104</v>
      </c>
      <c r="H3349">
        <v>0.25900000000000001</v>
      </c>
    </row>
    <row r="3350" spans="1:8" x14ac:dyDescent="0.3">
      <c r="A3350" t="s">
        <v>7559</v>
      </c>
      <c r="B3350" t="s">
        <v>26951</v>
      </c>
      <c r="C3350" t="s">
        <v>8499</v>
      </c>
      <c r="D3350" t="s">
        <v>8498</v>
      </c>
      <c r="E3350" s="2" t="s">
        <v>452</v>
      </c>
      <c r="F3350" t="s">
        <v>8497</v>
      </c>
      <c r="G3350" t="str">
        <f>HYPERLINK("http://www.incheonin.com/news/articleView.html?idxno=110138")</f>
        <v>http://www.incheonin.com/news/articleView.html?idxno=110138</v>
      </c>
      <c r="H3350">
        <v>0.22600000000000001</v>
      </c>
    </row>
    <row r="3351" spans="1:8" x14ac:dyDescent="0.3">
      <c r="A3351" t="s">
        <v>7559</v>
      </c>
      <c r="B3351" t="s">
        <v>26951</v>
      </c>
      <c r="C3351" t="s">
        <v>8502</v>
      </c>
      <c r="D3351" t="s">
        <v>8501</v>
      </c>
      <c r="E3351" s="2" t="s">
        <v>452</v>
      </c>
      <c r="F3351" t="s">
        <v>8500</v>
      </c>
      <c r="G3351" t="str">
        <f>HYPERLINK("https://n.news.naver.com/mnews/article/052/0002206776?sid=102")</f>
        <v>https://n.news.naver.com/mnews/article/052/0002206776?sid=102</v>
      </c>
      <c r="H3351">
        <v>0.23599999999999999</v>
      </c>
    </row>
    <row r="3352" spans="1:8" x14ac:dyDescent="0.3">
      <c r="A3352" t="s">
        <v>7559</v>
      </c>
      <c r="B3352" t="s">
        <v>26951</v>
      </c>
      <c r="C3352" t="s">
        <v>8504</v>
      </c>
      <c r="D3352" t="s">
        <v>8503</v>
      </c>
      <c r="E3352" s="2" t="s">
        <v>452</v>
      </c>
      <c r="F3352" t="s">
        <v>2256</v>
      </c>
      <c r="G3352" t="str">
        <f>HYPERLINK("https://www.bbc.com/korean/articles/c98j1nyg38yo?xtor=AL-73-%5Bpartner%5D-%5Bnaver%5D-%5Bheadline%5D-%5Bkorean%5D-%5Bbizdev%5D-%5Bisapi%5D")</f>
        <v>https://www.bbc.com/korean/articles/c98j1nyg38yo?xtor=AL-73-%5Bpartner%5D-%5Bnaver%5D-%5Bheadline%5D-%5Bkorean%5D-%5Bbizdev%5D-%5Bisapi%5D</v>
      </c>
      <c r="H3352">
        <v>0.56100000000000005</v>
      </c>
    </row>
    <row r="3353" spans="1:8" x14ac:dyDescent="0.3">
      <c r="A3353" t="s">
        <v>7559</v>
      </c>
      <c r="B3353" t="s">
        <v>26951</v>
      </c>
      <c r="C3353" t="s">
        <v>8506</v>
      </c>
      <c r="D3353" t="s">
        <v>8505</v>
      </c>
      <c r="E3353" s="2" t="s">
        <v>452</v>
      </c>
      <c r="F3353" t="s">
        <v>175</v>
      </c>
      <c r="G3353" t="str">
        <f>HYPERLINK("https://n.news.naver.com/mnews/article/469/0000864687?sid=102")</f>
        <v>https://n.news.naver.com/mnews/article/469/0000864687?sid=102</v>
      </c>
      <c r="H3353">
        <v>0.27500000000000002</v>
      </c>
    </row>
    <row r="3354" spans="1:8" x14ac:dyDescent="0.3">
      <c r="A3354" t="s">
        <v>7559</v>
      </c>
      <c r="B3354" t="s">
        <v>26951</v>
      </c>
      <c r="C3354" t="s">
        <v>8509</v>
      </c>
      <c r="D3354" t="s">
        <v>8508</v>
      </c>
      <c r="E3354" s="2" t="s">
        <v>452</v>
      </c>
      <c r="F3354" t="s">
        <v>8507</v>
      </c>
      <c r="G3354" t="str">
        <f>HYPERLINK("https://news.mtn.co.kr/news-detail/2025063009452546314")</f>
        <v>https://news.mtn.co.kr/news-detail/2025063009452546314</v>
      </c>
      <c r="H3354">
        <v>0.11</v>
      </c>
    </row>
    <row r="3355" spans="1:8" x14ac:dyDescent="0.3">
      <c r="A3355" t="s">
        <v>7559</v>
      </c>
      <c r="B3355" t="s">
        <v>26951</v>
      </c>
      <c r="C3355" t="s">
        <v>8512</v>
      </c>
      <c r="D3355" t="s">
        <v>8511</v>
      </c>
      <c r="E3355" s="2" t="s">
        <v>452</v>
      </c>
      <c r="F3355" t="s">
        <v>8510</v>
      </c>
      <c r="G3355" t="str">
        <f>HYPERLINK("https://n.news.naver.com/mnews/article/081/0003553928?sid=102")</f>
        <v>https://n.news.naver.com/mnews/article/081/0003553928?sid=102</v>
      </c>
      <c r="H3355">
        <v>0.33400000000000002</v>
      </c>
    </row>
    <row r="3356" spans="1:8" x14ac:dyDescent="0.3">
      <c r="A3356" t="s">
        <v>7559</v>
      </c>
      <c r="B3356" t="s">
        <v>26951</v>
      </c>
      <c r="C3356" t="s">
        <v>8515</v>
      </c>
      <c r="D3356" t="s">
        <v>8514</v>
      </c>
      <c r="E3356" s="2" t="s">
        <v>452</v>
      </c>
      <c r="F3356" t="s">
        <v>8513</v>
      </c>
      <c r="G3356" t="str">
        <f>HYPERLINK("https://n.news.naver.com/mnews/article/052/0002022234?sid=101")</f>
        <v>https://n.news.naver.com/mnews/article/052/0002022234?sid=101</v>
      </c>
      <c r="H3356">
        <v>0.36499999999999999</v>
      </c>
    </row>
    <row r="3357" spans="1:8" x14ac:dyDescent="0.3">
      <c r="A3357" t="s">
        <v>7559</v>
      </c>
      <c r="B3357" t="s">
        <v>26951</v>
      </c>
      <c r="C3357" t="s">
        <v>8518</v>
      </c>
      <c r="D3357" t="s">
        <v>8517</v>
      </c>
      <c r="E3357" s="2" t="s">
        <v>452</v>
      </c>
      <c r="F3357" t="s">
        <v>8516</v>
      </c>
      <c r="G3357" t="str">
        <f>HYPERLINK("https://www.widedaily.com/news/articleView.html?idxno=269906")</f>
        <v>https://www.widedaily.com/news/articleView.html?idxno=269906</v>
      </c>
      <c r="H3357">
        <v>0.93300000000000005</v>
      </c>
    </row>
    <row r="3358" spans="1:8" x14ac:dyDescent="0.3">
      <c r="A3358" t="s">
        <v>7559</v>
      </c>
      <c r="B3358" t="s">
        <v>26951</v>
      </c>
      <c r="C3358" t="s">
        <v>8520</v>
      </c>
      <c r="D3358" t="s">
        <v>8519</v>
      </c>
      <c r="E3358" s="2" t="s">
        <v>452</v>
      </c>
      <c r="F3358" t="s">
        <v>898</v>
      </c>
      <c r="G3358" t="str">
        <f>HYPERLINK("https://www.danbinews.com/news/articleView.html?idxno=30758")</f>
        <v>https://www.danbinews.com/news/articleView.html?idxno=30758</v>
      </c>
      <c r="H3358">
        <v>0.61</v>
      </c>
    </row>
    <row r="3359" spans="1:8" x14ac:dyDescent="0.3">
      <c r="A3359" t="s">
        <v>7559</v>
      </c>
      <c r="B3359" t="s">
        <v>26951</v>
      </c>
      <c r="C3359" t="s">
        <v>8523</v>
      </c>
      <c r="D3359" t="s">
        <v>8522</v>
      </c>
      <c r="E3359" s="2" t="s">
        <v>452</v>
      </c>
      <c r="F3359" t="s">
        <v>8521</v>
      </c>
      <c r="G3359" t="str">
        <f>HYPERLINK("https://www.bizwork.co.kr/news/articleView.html?idxno=402854")</f>
        <v>https://www.bizwork.co.kr/news/articleView.html?idxno=402854</v>
      </c>
      <c r="H3359">
        <v>7.5999999999999998E-2</v>
      </c>
    </row>
    <row r="3360" spans="1:8" x14ac:dyDescent="0.3">
      <c r="A3360" t="s">
        <v>8524</v>
      </c>
      <c r="B3360" t="s">
        <v>26951</v>
      </c>
      <c r="C3360" t="s">
        <v>8530</v>
      </c>
      <c r="D3360" t="s">
        <v>8529</v>
      </c>
      <c r="E3360" s="2" t="s">
        <v>7</v>
      </c>
      <c r="F3360" t="s">
        <v>2061</v>
      </c>
      <c r="G3360" t="str">
        <f>HYPERLINK("https://n.news.naver.com/mnews/article/056/0011243208?sid=100")</f>
        <v>https://n.news.naver.com/mnews/article/056/0011243208?sid=100</v>
      </c>
      <c r="H3360">
        <v>0.193</v>
      </c>
    </row>
    <row r="3361" spans="1:8" x14ac:dyDescent="0.3">
      <c r="A3361" t="s">
        <v>8524</v>
      </c>
      <c r="B3361" t="s">
        <v>26951</v>
      </c>
      <c r="C3361" t="s">
        <v>8533</v>
      </c>
      <c r="D3361" t="s">
        <v>8532</v>
      </c>
      <c r="E3361" s="2" t="s">
        <v>7</v>
      </c>
      <c r="F3361" t="s">
        <v>8531</v>
      </c>
      <c r="G3361" t="str">
        <f>HYPERLINK("https://n.news.naver.com/mnews/article/006/0000102916?sid=102")</f>
        <v>https://n.news.naver.com/mnews/article/006/0000102916?sid=102</v>
      </c>
      <c r="H3361">
        <v>0.27</v>
      </c>
    </row>
    <row r="3362" spans="1:8" x14ac:dyDescent="0.3">
      <c r="A3362" t="s">
        <v>8524</v>
      </c>
      <c r="B3362" t="s">
        <v>26951</v>
      </c>
      <c r="C3362" t="s">
        <v>8535</v>
      </c>
      <c r="D3362" t="s">
        <v>8534</v>
      </c>
      <c r="E3362" s="2" t="s">
        <v>7</v>
      </c>
      <c r="F3362" t="s">
        <v>776</v>
      </c>
      <c r="G3362" t="str">
        <f>HYPERLINK("http://www.nongaek.com/news/articleView.html?idxno=91811")</f>
        <v>http://www.nongaek.com/news/articleView.html?idxno=91811</v>
      </c>
      <c r="H3362">
        <v>0.71699999999999997</v>
      </c>
    </row>
    <row r="3363" spans="1:8" x14ac:dyDescent="0.3">
      <c r="A3363" t="s">
        <v>8524</v>
      </c>
      <c r="B3363" t="s">
        <v>26951</v>
      </c>
      <c r="C3363" t="s">
        <v>8537</v>
      </c>
      <c r="D3363" t="s">
        <v>8536</v>
      </c>
      <c r="E3363" s="2" t="s">
        <v>7</v>
      </c>
      <c r="F3363" t="s">
        <v>7509</v>
      </c>
      <c r="G3363" t="str">
        <f>HYPERLINK("http://www.hansbiz.co.kr/news/articleView.html?idxno=691566")</f>
        <v>http://www.hansbiz.co.kr/news/articleView.html?idxno=691566</v>
      </c>
      <c r="H3363">
        <v>0.33600000000000002</v>
      </c>
    </row>
    <row r="3364" spans="1:8" x14ac:dyDescent="0.3">
      <c r="A3364" t="s">
        <v>8524</v>
      </c>
      <c r="B3364" t="s">
        <v>26951</v>
      </c>
      <c r="C3364" t="s">
        <v>8540</v>
      </c>
      <c r="D3364" t="s">
        <v>8539</v>
      </c>
      <c r="E3364" s="2" t="s">
        <v>7</v>
      </c>
      <c r="F3364" t="s">
        <v>8538</v>
      </c>
      <c r="G3364" t="str">
        <f>HYPERLINK("http://www.joongdo.co.kr/main/view.php?key=20190516010005931")</f>
        <v>http://www.joongdo.co.kr/main/view.php?key=20190516010005931</v>
      </c>
      <c r="H3364">
        <v>0.152</v>
      </c>
    </row>
    <row r="3365" spans="1:8" x14ac:dyDescent="0.3">
      <c r="A3365" t="s">
        <v>8524</v>
      </c>
      <c r="B3365" t="s">
        <v>26951</v>
      </c>
      <c r="C3365" t="s">
        <v>8543</v>
      </c>
      <c r="D3365" t="s">
        <v>8542</v>
      </c>
      <c r="E3365" s="2" t="s">
        <v>66</v>
      </c>
      <c r="F3365" t="s">
        <v>8541</v>
      </c>
      <c r="G3365" t="str">
        <f>HYPERLINK("https://www.greened.kr/news/articleView.html?idxno=328194")</f>
        <v>https://www.greened.kr/news/articleView.html?idxno=328194</v>
      </c>
      <c r="H3365">
        <v>0.56799999999999995</v>
      </c>
    </row>
    <row r="3366" spans="1:8" x14ac:dyDescent="0.3">
      <c r="A3366" t="s">
        <v>8524</v>
      </c>
      <c r="B3366" t="s">
        <v>26951</v>
      </c>
      <c r="C3366" t="s">
        <v>8545</v>
      </c>
      <c r="D3366" t="s">
        <v>8544</v>
      </c>
      <c r="E3366" s="2" t="s">
        <v>66</v>
      </c>
      <c r="F3366" t="s">
        <v>1426</v>
      </c>
      <c r="G3366" t="str">
        <f>HYPERLINK("http://www.choicenews.co.kr/news/articleView.html?idxno=149492")</f>
        <v>http://www.choicenews.co.kr/news/articleView.html?idxno=149492</v>
      </c>
      <c r="H3366">
        <v>0.433</v>
      </c>
    </row>
    <row r="3367" spans="1:8" x14ac:dyDescent="0.3">
      <c r="A3367" t="s">
        <v>8524</v>
      </c>
      <c r="B3367" t="s">
        <v>26951</v>
      </c>
      <c r="C3367" t="s">
        <v>8548</v>
      </c>
      <c r="D3367" t="s">
        <v>8547</v>
      </c>
      <c r="E3367" s="2" t="s">
        <v>66</v>
      </c>
      <c r="F3367" t="s">
        <v>8546</v>
      </c>
      <c r="G3367" t="str">
        <f>HYPERLINK("http://www.itdaily.kr/news/articleView.html?idxno=226524")</f>
        <v>http://www.itdaily.kr/news/articleView.html?idxno=226524</v>
      </c>
      <c r="H3367">
        <v>0.372</v>
      </c>
    </row>
    <row r="3368" spans="1:8" x14ac:dyDescent="0.3">
      <c r="A3368" t="s">
        <v>8524</v>
      </c>
      <c r="B3368" t="s">
        <v>26951</v>
      </c>
      <c r="C3368" t="s">
        <v>8551</v>
      </c>
      <c r="D3368" t="s">
        <v>8550</v>
      </c>
      <c r="E3368" s="2" t="s">
        <v>66</v>
      </c>
      <c r="F3368" t="s">
        <v>1546</v>
      </c>
      <c r="G3368" t="str">
        <f>HYPERLINK("https://n.news.naver.com/mnews/article/022/0004043094?sid=103")</f>
        <v>https://n.news.naver.com/mnews/article/022/0004043094?sid=103</v>
      </c>
      <c r="H3368">
        <v>0.17100000000000001</v>
      </c>
    </row>
    <row r="3369" spans="1:8" x14ac:dyDescent="0.3">
      <c r="A3369" t="s">
        <v>8524</v>
      </c>
      <c r="B3369" t="s">
        <v>26951</v>
      </c>
      <c r="C3369" t="s">
        <v>8554</v>
      </c>
      <c r="D3369" t="s">
        <v>8553</v>
      </c>
      <c r="E3369" s="2" t="s">
        <v>105</v>
      </c>
      <c r="F3369" t="s">
        <v>8552</v>
      </c>
      <c r="G3369" t="str">
        <f>HYPERLINK("https://www.seoultimes.news/news/article.html?no=2000074110")</f>
        <v>https://www.seoultimes.news/news/article.html?no=2000074110</v>
      </c>
      <c r="H3369">
        <v>0.24199999999999999</v>
      </c>
    </row>
    <row r="3370" spans="1:8" x14ac:dyDescent="0.3">
      <c r="A3370" t="s">
        <v>8524</v>
      </c>
      <c r="B3370" t="s">
        <v>26951</v>
      </c>
      <c r="C3370" t="s">
        <v>8557</v>
      </c>
      <c r="D3370" t="s">
        <v>8556</v>
      </c>
      <c r="E3370" s="2" t="s">
        <v>105</v>
      </c>
      <c r="F3370" t="s">
        <v>8555</v>
      </c>
      <c r="G3370" t="str">
        <f>HYPERLINK("http://www.ujeil.com/news/articleView.html?idxno=369344")</f>
        <v>http://www.ujeil.com/news/articleView.html?idxno=369344</v>
      </c>
      <c r="H3370">
        <v>0.64800000000000002</v>
      </c>
    </row>
    <row r="3371" spans="1:8" x14ac:dyDescent="0.3">
      <c r="A3371" t="s">
        <v>8524</v>
      </c>
      <c r="B3371" t="s">
        <v>26951</v>
      </c>
      <c r="C3371" t="s">
        <v>8559</v>
      </c>
      <c r="D3371" t="s">
        <v>8558</v>
      </c>
      <c r="E3371" s="2" t="s">
        <v>105</v>
      </c>
      <c r="F3371" t="s">
        <v>857</v>
      </c>
      <c r="G3371" t="str">
        <f>HYPERLINK("https://www.apnews.kr/news/articleView.html?idxno=3036396")</f>
        <v>https://www.apnews.kr/news/articleView.html?idxno=3036396</v>
      </c>
      <c r="H3371">
        <v>0.19</v>
      </c>
    </row>
    <row r="3372" spans="1:8" x14ac:dyDescent="0.3">
      <c r="A3372" t="s">
        <v>8524</v>
      </c>
      <c r="B3372" t="s">
        <v>26951</v>
      </c>
      <c r="C3372" t="s">
        <v>8562</v>
      </c>
      <c r="D3372" t="s">
        <v>8561</v>
      </c>
      <c r="E3372" s="2" t="s">
        <v>105</v>
      </c>
      <c r="F3372" t="s">
        <v>8560</v>
      </c>
      <c r="G3372" t="str">
        <f>HYPERLINK("http://www.the-pr.co.kr/news/articleView.html?idxno=33242")</f>
        <v>http://www.the-pr.co.kr/news/articleView.html?idxno=33242</v>
      </c>
      <c r="H3372">
        <v>9.8000000000000004E-2</v>
      </c>
    </row>
    <row r="3373" spans="1:8" x14ac:dyDescent="0.3">
      <c r="A3373" t="s">
        <v>8524</v>
      </c>
      <c r="B3373" t="s">
        <v>26951</v>
      </c>
      <c r="C3373" t="s">
        <v>8564</v>
      </c>
      <c r="D3373" t="s">
        <v>8563</v>
      </c>
      <c r="E3373" s="2" t="s">
        <v>133</v>
      </c>
      <c r="F3373" t="s">
        <v>1972</v>
      </c>
      <c r="G3373" t="str">
        <f>HYPERLINK("https://n.news.naver.com/mnews/article/022/0004046634?sid=103")</f>
        <v>https://n.news.naver.com/mnews/article/022/0004046634?sid=103</v>
      </c>
      <c r="H3373">
        <v>0.28899999999999998</v>
      </c>
    </row>
    <row r="3374" spans="1:8" x14ac:dyDescent="0.3">
      <c r="A3374" t="s">
        <v>8524</v>
      </c>
      <c r="B3374" t="s">
        <v>26951</v>
      </c>
      <c r="C3374" t="s">
        <v>8566</v>
      </c>
      <c r="D3374" t="s">
        <v>8565</v>
      </c>
      <c r="E3374" s="2" t="s">
        <v>133</v>
      </c>
      <c r="F3374" t="s">
        <v>857</v>
      </c>
      <c r="G3374" t="str">
        <f>HYPERLINK("http://www.joongboo.com/?mod=news&amp;act=articleView&amp;idxno=1202473")</f>
        <v>http://www.joongboo.com/?mod=news&amp;act=articleView&amp;idxno=1202473</v>
      </c>
      <c r="H3374">
        <v>0.17299999999999999</v>
      </c>
    </row>
    <row r="3375" spans="1:8" x14ac:dyDescent="0.3">
      <c r="A3375" t="s">
        <v>8524</v>
      </c>
      <c r="B3375" t="s">
        <v>26951</v>
      </c>
      <c r="C3375" t="s">
        <v>8569</v>
      </c>
      <c r="D3375" t="s">
        <v>8568</v>
      </c>
      <c r="E3375" s="2" t="s">
        <v>133</v>
      </c>
      <c r="F3375" t="s">
        <v>8567</v>
      </c>
      <c r="G3375" t="str">
        <f>HYPERLINK("https://n.news.naver.com/mnews/article/277/0005615462?sid=101")</f>
        <v>https://n.news.naver.com/mnews/article/277/0005615462?sid=101</v>
      </c>
      <c r="H3375">
        <v>0.13300000000000001</v>
      </c>
    </row>
    <row r="3376" spans="1:8" x14ac:dyDescent="0.3">
      <c r="A3376" t="s">
        <v>8524</v>
      </c>
      <c r="B3376" t="s">
        <v>26951</v>
      </c>
      <c r="C3376" t="s">
        <v>8571</v>
      </c>
      <c r="D3376" t="s">
        <v>8570</v>
      </c>
      <c r="E3376" s="2" t="s">
        <v>133</v>
      </c>
      <c r="F3376" t="s">
        <v>160</v>
      </c>
      <c r="G3376" t="str">
        <f>HYPERLINK("https://n.news.naver.com/mnews/article/022/0004046611?sid=102")</f>
        <v>https://n.news.naver.com/mnews/article/022/0004046611?sid=102</v>
      </c>
      <c r="H3376">
        <v>0.33900000000000002</v>
      </c>
    </row>
    <row r="3377" spans="1:8" x14ac:dyDescent="0.3">
      <c r="A3377" t="s">
        <v>8524</v>
      </c>
      <c r="B3377" t="s">
        <v>26951</v>
      </c>
      <c r="C3377" t="s">
        <v>8574</v>
      </c>
      <c r="D3377" t="s">
        <v>8573</v>
      </c>
      <c r="E3377" s="2" t="s">
        <v>172</v>
      </c>
      <c r="F3377" t="s">
        <v>8572</v>
      </c>
      <c r="G3377" t="str">
        <f>HYPERLINK("https://n.news.naver.com/mnews/article/022/0003723303?sid=102")</f>
        <v>https://n.news.naver.com/mnews/article/022/0003723303?sid=102</v>
      </c>
      <c r="H3377">
        <v>0.36099999999999999</v>
      </c>
    </row>
    <row r="3378" spans="1:8" x14ac:dyDescent="0.3">
      <c r="A3378" t="s">
        <v>8524</v>
      </c>
      <c r="B3378" t="s">
        <v>26951</v>
      </c>
      <c r="C3378" t="s">
        <v>8576</v>
      </c>
      <c r="D3378" t="s">
        <v>8575</v>
      </c>
      <c r="E3378" s="2" t="s">
        <v>196</v>
      </c>
      <c r="F3378" t="s">
        <v>1972</v>
      </c>
      <c r="G3378" t="str">
        <f>HYPERLINK("http://www.nongaek.com/news/articleView.html?idxno=90630")</f>
        <v>http://www.nongaek.com/news/articleView.html?idxno=90630</v>
      </c>
      <c r="H3378">
        <v>0.32100000000000001</v>
      </c>
    </row>
    <row r="3379" spans="1:8" x14ac:dyDescent="0.3">
      <c r="A3379" t="s">
        <v>8524</v>
      </c>
      <c r="B3379" t="s">
        <v>26951</v>
      </c>
      <c r="C3379" t="s">
        <v>8578</v>
      </c>
      <c r="D3379" t="s">
        <v>8577</v>
      </c>
      <c r="E3379" s="2" t="s">
        <v>196</v>
      </c>
      <c r="F3379" t="s">
        <v>2204</v>
      </c>
      <c r="G3379" t="str">
        <f>HYPERLINK("https://n.news.naver.com/mnews/article/022/0002866344?sid=103")</f>
        <v>https://n.news.naver.com/mnews/article/022/0002866344?sid=103</v>
      </c>
      <c r="H3379">
        <v>0.24099999999999999</v>
      </c>
    </row>
    <row r="3380" spans="1:8" x14ac:dyDescent="0.3">
      <c r="A3380" t="s">
        <v>8524</v>
      </c>
      <c r="B3380" t="s">
        <v>26951</v>
      </c>
      <c r="C3380" t="s">
        <v>8580</v>
      </c>
      <c r="D3380" t="s">
        <v>8579</v>
      </c>
      <c r="E3380" s="2" t="s">
        <v>230</v>
      </c>
      <c r="F3380" t="s">
        <v>3195</v>
      </c>
      <c r="G3380" t="str">
        <f>HYPERLINK("https://n.news.naver.com/mnews/article/008/0004093317?sid=101")</f>
        <v>https://n.news.naver.com/mnews/article/008/0004093317?sid=101</v>
      </c>
      <c r="H3380">
        <v>0.23100000000000001</v>
      </c>
    </row>
    <row r="3381" spans="1:8" x14ac:dyDescent="0.3">
      <c r="A3381" t="s">
        <v>8524</v>
      </c>
      <c r="B3381" t="s">
        <v>26951</v>
      </c>
      <c r="C3381" t="s">
        <v>8583</v>
      </c>
      <c r="D3381" t="s">
        <v>8582</v>
      </c>
      <c r="E3381" s="2" t="s">
        <v>230</v>
      </c>
      <c r="F3381" t="s">
        <v>8581</v>
      </c>
      <c r="G3381" t="str">
        <f>HYPERLINK("http://www.domin.co.kr/news/articleView.html?idxno=1488315")</f>
        <v>http://www.domin.co.kr/news/articleView.html?idxno=1488315</v>
      </c>
      <c r="H3381">
        <v>0.65300000000000002</v>
      </c>
    </row>
    <row r="3382" spans="1:8" x14ac:dyDescent="0.3">
      <c r="A3382" t="s">
        <v>8524</v>
      </c>
      <c r="B3382" t="s">
        <v>26951</v>
      </c>
      <c r="C3382" t="s">
        <v>8585</v>
      </c>
      <c r="D3382" t="s">
        <v>8584</v>
      </c>
      <c r="E3382" s="2" t="s">
        <v>230</v>
      </c>
      <c r="F3382" t="s">
        <v>1298</v>
      </c>
      <c r="G3382" t="str">
        <f>HYPERLINK("https://n.news.naver.com/mnews/article/022/0004045529?sid=102")</f>
        <v>https://n.news.naver.com/mnews/article/022/0004045529?sid=102</v>
      </c>
      <c r="H3382">
        <v>0.17499999999999999</v>
      </c>
    </row>
    <row r="3383" spans="1:8" x14ac:dyDescent="0.3">
      <c r="A3383" t="s">
        <v>8524</v>
      </c>
      <c r="B3383" t="s">
        <v>26951</v>
      </c>
      <c r="C3383" t="s">
        <v>8587</v>
      </c>
      <c r="D3383" t="s">
        <v>8586</v>
      </c>
      <c r="E3383" s="2" t="s">
        <v>267</v>
      </c>
      <c r="F3383" t="s">
        <v>1005</v>
      </c>
      <c r="G3383" t="str">
        <f>HYPERLINK("http://www.ifs.or.kr/bbs/board.php?bo_table=News&amp;wr_id=54380")</f>
        <v>http://www.ifs.or.kr/bbs/board.php?bo_table=News&amp;wr_id=54380</v>
      </c>
      <c r="H3383">
        <v>0.59799999999999998</v>
      </c>
    </row>
    <row r="3384" spans="1:8" x14ac:dyDescent="0.3">
      <c r="A3384" t="s">
        <v>8524</v>
      </c>
      <c r="B3384" t="s">
        <v>26951</v>
      </c>
      <c r="C3384" t="s">
        <v>8590</v>
      </c>
      <c r="D3384" t="s">
        <v>8589</v>
      </c>
      <c r="E3384" s="2" t="s">
        <v>267</v>
      </c>
      <c r="F3384" t="s">
        <v>8588</v>
      </c>
      <c r="G3384" t="str">
        <f>HYPERLINK("http://www.finomy.com/news/articleView.html?idxno=232446")</f>
        <v>http://www.finomy.com/news/articleView.html?idxno=232446</v>
      </c>
      <c r="H3384">
        <v>0.442</v>
      </c>
    </row>
    <row r="3385" spans="1:8" x14ac:dyDescent="0.3">
      <c r="A3385" t="s">
        <v>8524</v>
      </c>
      <c r="B3385" t="s">
        <v>26951</v>
      </c>
      <c r="C3385" t="s">
        <v>8593</v>
      </c>
      <c r="D3385" t="s">
        <v>8592</v>
      </c>
      <c r="E3385" s="2" t="s">
        <v>267</v>
      </c>
      <c r="F3385" t="s">
        <v>8591</v>
      </c>
      <c r="G3385" t="str">
        <f>HYPERLINK("http://www.ggilbo.com/news/articleView.html?idxno=901749")</f>
        <v>http://www.ggilbo.com/news/articleView.html?idxno=901749</v>
      </c>
      <c r="H3385">
        <v>0.34</v>
      </c>
    </row>
    <row r="3386" spans="1:8" x14ac:dyDescent="0.3">
      <c r="A3386" t="s">
        <v>8524</v>
      </c>
      <c r="B3386" t="s">
        <v>26951</v>
      </c>
      <c r="C3386" t="s">
        <v>8596</v>
      </c>
      <c r="D3386" t="s">
        <v>8595</v>
      </c>
      <c r="E3386" s="2" t="s">
        <v>313</v>
      </c>
      <c r="F3386" t="s">
        <v>8594</v>
      </c>
      <c r="G3386" t="str">
        <f>HYPERLINK("https://www.youthdaily.co.kr/news/article.html?no=187159")</f>
        <v>https://www.youthdaily.co.kr/news/article.html?no=187159</v>
      </c>
      <c r="H3386">
        <v>0.115</v>
      </c>
    </row>
    <row r="3387" spans="1:8" x14ac:dyDescent="0.3">
      <c r="A3387" t="s">
        <v>8524</v>
      </c>
      <c r="B3387" t="s">
        <v>26951</v>
      </c>
      <c r="C3387" t="s">
        <v>8598</v>
      </c>
      <c r="D3387" t="s">
        <v>8597</v>
      </c>
      <c r="E3387" s="2" t="s">
        <v>313</v>
      </c>
      <c r="F3387" t="s">
        <v>8594</v>
      </c>
      <c r="G3387" t="str">
        <f>HYPERLINK("https://www.newscj.com/news/articleView.html?idxno=3031235")</f>
        <v>https://www.newscj.com/news/articleView.html?idxno=3031235</v>
      </c>
      <c r="H3387">
        <v>0.245</v>
      </c>
    </row>
    <row r="3388" spans="1:8" x14ac:dyDescent="0.3">
      <c r="A3388" t="s">
        <v>8524</v>
      </c>
      <c r="B3388" t="s">
        <v>26951</v>
      </c>
      <c r="C3388" t="s">
        <v>8600</v>
      </c>
      <c r="D3388" t="s">
        <v>8599</v>
      </c>
      <c r="E3388" s="2" t="s">
        <v>313</v>
      </c>
      <c r="F3388" t="s">
        <v>8594</v>
      </c>
      <c r="G3388" t="str">
        <f>HYPERLINK("https://n.news.naver.com/mnews/article/022/0002671970?sid=103")</f>
        <v>https://n.news.naver.com/mnews/article/022/0002671970?sid=103</v>
      </c>
      <c r="H3388">
        <v>0.16300000000000001</v>
      </c>
    </row>
    <row r="3389" spans="1:8" x14ac:dyDescent="0.3">
      <c r="A3389" t="s">
        <v>8524</v>
      </c>
      <c r="B3389" t="s">
        <v>26951</v>
      </c>
      <c r="C3389" t="s">
        <v>8602</v>
      </c>
      <c r="D3389" t="s">
        <v>8601</v>
      </c>
      <c r="E3389" s="2" t="s">
        <v>313</v>
      </c>
      <c r="F3389" t="s">
        <v>1328</v>
      </c>
      <c r="G3389" t="str">
        <f>HYPERLINK("http://news.lghellovision.net/news/articleView.html?idxno=510065")</f>
        <v>http://news.lghellovision.net/news/articleView.html?idxno=510065</v>
      </c>
      <c r="H3389">
        <v>0.16800000000000001</v>
      </c>
    </row>
    <row r="3390" spans="1:8" x14ac:dyDescent="0.3">
      <c r="A3390" t="s">
        <v>8524</v>
      </c>
      <c r="B3390" t="s">
        <v>26951</v>
      </c>
      <c r="C3390" t="s">
        <v>8604</v>
      </c>
      <c r="D3390" t="s">
        <v>8603</v>
      </c>
      <c r="E3390" s="2" t="s">
        <v>313</v>
      </c>
      <c r="F3390" t="s">
        <v>5334</v>
      </c>
      <c r="G3390" t="str">
        <f>HYPERLINK("https://n.news.naver.com/mnews/article/022/0002561814?sid=101")</f>
        <v>https://n.news.naver.com/mnews/article/022/0002561814?sid=101</v>
      </c>
      <c r="H3390">
        <v>0.26900000000000002</v>
      </c>
    </row>
    <row r="3391" spans="1:8" x14ac:dyDescent="0.3">
      <c r="A3391" t="s">
        <v>8524</v>
      </c>
      <c r="B3391" t="s">
        <v>26951</v>
      </c>
      <c r="C3391" t="s">
        <v>8606</v>
      </c>
      <c r="D3391" t="s">
        <v>8605</v>
      </c>
      <c r="E3391" s="2" t="s">
        <v>313</v>
      </c>
      <c r="F3391" t="s">
        <v>1972</v>
      </c>
      <c r="G3391" t="str">
        <f>HYPERLINK("https://n.news.naver.com/mnews/article/022/0004045057?sid=103")</f>
        <v>https://n.news.naver.com/mnews/article/022/0004045057?sid=103</v>
      </c>
      <c r="H3391">
        <v>0.28599999999999998</v>
      </c>
    </row>
    <row r="3392" spans="1:8" x14ac:dyDescent="0.3">
      <c r="A3392" t="s">
        <v>8524</v>
      </c>
      <c r="B3392" t="s">
        <v>26951</v>
      </c>
      <c r="C3392" t="s">
        <v>8609</v>
      </c>
      <c r="D3392" t="s">
        <v>8608</v>
      </c>
      <c r="E3392" s="2" t="s">
        <v>313</v>
      </c>
      <c r="F3392" t="s">
        <v>8607</v>
      </c>
      <c r="G3392" t="str">
        <f>HYPERLINK("http://www.nongaek.com/news/articleView.html?idxno=89480")</f>
        <v>http://www.nongaek.com/news/articleView.html?idxno=89480</v>
      </c>
      <c r="H3392">
        <v>0.318</v>
      </c>
    </row>
    <row r="3393" spans="1:8" x14ac:dyDescent="0.3">
      <c r="A3393" t="s">
        <v>8524</v>
      </c>
      <c r="B3393" t="s">
        <v>26951</v>
      </c>
      <c r="C3393" t="s">
        <v>8611</v>
      </c>
      <c r="D3393" t="s">
        <v>8610</v>
      </c>
      <c r="E3393" s="2" t="s">
        <v>356</v>
      </c>
      <c r="F3393" t="s">
        <v>8594</v>
      </c>
      <c r="G3393" t="str">
        <f>HYPERLINK("http://www.mediapen.com/news/articleView.html?idxno=80359")</f>
        <v>http://www.mediapen.com/news/articleView.html?idxno=80359</v>
      </c>
      <c r="H3393">
        <v>0.111</v>
      </c>
    </row>
    <row r="3394" spans="1:8" x14ac:dyDescent="0.3">
      <c r="A3394" t="s">
        <v>8524</v>
      </c>
      <c r="B3394" t="s">
        <v>26951</v>
      </c>
      <c r="C3394" t="s">
        <v>8613</v>
      </c>
      <c r="D3394" t="s">
        <v>8612</v>
      </c>
      <c r="E3394" s="2" t="s">
        <v>356</v>
      </c>
      <c r="F3394" t="s">
        <v>5113</v>
      </c>
      <c r="G3394" t="str">
        <f>HYPERLINK("https://n.news.naver.com/mnews/article/022/0004044800?sid=102")</f>
        <v>https://n.news.naver.com/mnews/article/022/0004044800?sid=102</v>
      </c>
      <c r="H3394">
        <v>0.255</v>
      </c>
    </row>
    <row r="3395" spans="1:8" x14ac:dyDescent="0.3">
      <c r="A3395" t="s">
        <v>8524</v>
      </c>
      <c r="B3395" t="s">
        <v>26951</v>
      </c>
      <c r="C3395" t="s">
        <v>8615</v>
      </c>
      <c r="D3395" t="s">
        <v>8614</v>
      </c>
      <c r="E3395" s="2" t="s">
        <v>356</v>
      </c>
      <c r="F3395" t="s">
        <v>1960</v>
      </c>
      <c r="G3395" t="str">
        <f>HYPERLINK("http://www.newsfc.co.kr/news/articleView.html?idxno=71445")</f>
        <v>http://www.newsfc.co.kr/news/articleView.html?idxno=71445</v>
      </c>
      <c r="H3395">
        <v>0.53</v>
      </c>
    </row>
    <row r="3396" spans="1:8" x14ac:dyDescent="0.3">
      <c r="A3396" t="s">
        <v>8524</v>
      </c>
      <c r="B3396" t="s">
        <v>26951</v>
      </c>
      <c r="C3396" t="s">
        <v>8618</v>
      </c>
      <c r="D3396" t="s">
        <v>8617</v>
      </c>
      <c r="E3396" s="2" t="s">
        <v>394</v>
      </c>
      <c r="F3396" t="s">
        <v>8616</v>
      </c>
      <c r="G3396" t="str">
        <f>HYPERLINK("http://www.nongaek.com/news/articleView.html?idxno=91171")</f>
        <v>http://www.nongaek.com/news/articleView.html?idxno=91171</v>
      </c>
      <c r="H3396">
        <v>0.29199999999999998</v>
      </c>
    </row>
    <row r="3397" spans="1:8" x14ac:dyDescent="0.3">
      <c r="A3397" t="s">
        <v>8524</v>
      </c>
      <c r="B3397" t="s">
        <v>26951</v>
      </c>
      <c r="C3397" t="s">
        <v>8621</v>
      </c>
      <c r="D3397" t="s">
        <v>8620</v>
      </c>
      <c r="E3397" s="2" t="s">
        <v>394</v>
      </c>
      <c r="F3397" t="s">
        <v>8619</v>
      </c>
      <c r="G3397" t="str">
        <f>HYPERLINK("https://radio.ytn.co.kr/program/?f=2&amp;id=102400&amp;s_mcd=0214&amp;s_hcd=01")</f>
        <v>https://radio.ytn.co.kr/program/?f=2&amp;id=102400&amp;s_mcd=0214&amp;s_hcd=01</v>
      </c>
      <c r="H3397">
        <v>0.48299999999999998</v>
      </c>
    </row>
    <row r="3398" spans="1:8" x14ac:dyDescent="0.3">
      <c r="A3398" t="s">
        <v>8524</v>
      </c>
      <c r="B3398" t="s">
        <v>26951</v>
      </c>
      <c r="C3398" t="s">
        <v>8623</v>
      </c>
      <c r="D3398" t="s">
        <v>8622</v>
      </c>
      <c r="E3398" s="2" t="s">
        <v>394</v>
      </c>
      <c r="F3398" t="s">
        <v>96</v>
      </c>
      <c r="G3398" t="str">
        <f>HYPERLINK("https://n.news.naver.com/mnews/article/022/0003677973?sid=101")</f>
        <v>https://n.news.naver.com/mnews/article/022/0003677973?sid=101</v>
      </c>
      <c r="H3398">
        <v>0.152</v>
      </c>
    </row>
    <row r="3399" spans="1:8" x14ac:dyDescent="0.3">
      <c r="A3399" t="s">
        <v>8524</v>
      </c>
      <c r="B3399" t="s">
        <v>26951</v>
      </c>
      <c r="C3399" t="s">
        <v>8626</v>
      </c>
      <c r="D3399" t="s">
        <v>8625</v>
      </c>
      <c r="E3399" s="2" t="s">
        <v>418</v>
      </c>
      <c r="F3399" t="s">
        <v>8624</v>
      </c>
      <c r="G3399" t="str">
        <f>HYPERLINK("https://n.news.naver.com/mnews/article/022/0002867913?sid=103")</f>
        <v>https://n.news.naver.com/mnews/article/022/0002867913?sid=103</v>
      </c>
      <c r="H3399">
        <v>0.28499999999999998</v>
      </c>
    </row>
    <row r="3400" spans="1:8" x14ac:dyDescent="0.3">
      <c r="A3400" t="s">
        <v>8524</v>
      </c>
      <c r="B3400" t="s">
        <v>26951</v>
      </c>
      <c r="C3400" t="s">
        <v>8628</v>
      </c>
      <c r="D3400" t="s">
        <v>8627</v>
      </c>
      <c r="E3400" s="2" t="s">
        <v>418</v>
      </c>
      <c r="F3400" t="s">
        <v>1705</v>
      </c>
      <c r="G3400" t="str">
        <f>HYPERLINK("https://n.news.naver.com/mnews/article/022/0003820300?sid=102")</f>
        <v>https://n.news.naver.com/mnews/article/022/0003820300?sid=102</v>
      </c>
      <c r="H3400">
        <v>0.14000000000000001</v>
      </c>
    </row>
    <row r="3401" spans="1:8" x14ac:dyDescent="0.3">
      <c r="A3401" t="s">
        <v>8524</v>
      </c>
      <c r="B3401" t="s">
        <v>26951</v>
      </c>
      <c r="C3401" t="s">
        <v>8631</v>
      </c>
      <c r="D3401" t="s">
        <v>8630</v>
      </c>
      <c r="E3401" s="2" t="s">
        <v>418</v>
      </c>
      <c r="F3401" t="s">
        <v>8629</v>
      </c>
      <c r="G3401" t="str">
        <f>HYPERLINK("https://www.getnews.co.kr/news/articleView.html?idxno=826063")</f>
        <v>https://www.getnews.co.kr/news/articleView.html?idxno=826063</v>
      </c>
      <c r="H3401">
        <v>0.55400000000000005</v>
      </c>
    </row>
    <row r="3402" spans="1:8" x14ac:dyDescent="0.3">
      <c r="A3402" t="s">
        <v>8524</v>
      </c>
      <c r="B3402" t="s">
        <v>26951</v>
      </c>
      <c r="C3402" t="s">
        <v>8633</v>
      </c>
      <c r="D3402" t="s">
        <v>8632</v>
      </c>
      <c r="E3402" s="2" t="s">
        <v>418</v>
      </c>
      <c r="F3402" t="s">
        <v>119</v>
      </c>
      <c r="G3402" t="str">
        <f>HYPERLINK("https://n.news.naver.com/mnews/article/022/0002941633?sid=101")</f>
        <v>https://n.news.naver.com/mnews/article/022/0002941633?sid=101</v>
      </c>
      <c r="H3402">
        <v>0.35899999999999999</v>
      </c>
    </row>
    <row r="3403" spans="1:8" x14ac:dyDescent="0.3">
      <c r="A3403" t="s">
        <v>8524</v>
      </c>
      <c r="B3403" t="s">
        <v>26951</v>
      </c>
      <c r="C3403" t="s">
        <v>8635</v>
      </c>
      <c r="D3403" t="s">
        <v>8634</v>
      </c>
      <c r="E3403" s="2" t="s">
        <v>418</v>
      </c>
      <c r="F3403" t="s">
        <v>951</v>
      </c>
      <c r="G3403" t="str">
        <f>HYPERLINK("http://www.greened.kr/news/articleView.html?idxno=302042")</f>
        <v>http://www.greened.kr/news/articleView.html?idxno=302042</v>
      </c>
      <c r="H3403">
        <v>0.52800000000000002</v>
      </c>
    </row>
    <row r="3404" spans="1:8" x14ac:dyDescent="0.3">
      <c r="A3404" t="s">
        <v>8524</v>
      </c>
      <c r="B3404" t="s">
        <v>26951</v>
      </c>
      <c r="C3404" t="s">
        <v>8637</v>
      </c>
      <c r="D3404" t="s">
        <v>8636</v>
      </c>
      <c r="E3404" s="2" t="s">
        <v>452</v>
      </c>
      <c r="F3404" t="s">
        <v>1705</v>
      </c>
      <c r="G3404" t="str">
        <f>HYPERLINK("https://www.smartfn.co.kr/news/articleView.html?idxno=112180")</f>
        <v>https://www.smartfn.co.kr/news/articleView.html?idxno=112180</v>
      </c>
      <c r="H3404">
        <v>0.39100000000000001</v>
      </c>
    </row>
    <row r="3405" spans="1:8" x14ac:dyDescent="0.3">
      <c r="A3405" t="s">
        <v>8524</v>
      </c>
      <c r="B3405" t="s">
        <v>26951</v>
      </c>
      <c r="C3405" t="s">
        <v>8640</v>
      </c>
      <c r="D3405" t="s">
        <v>8639</v>
      </c>
      <c r="E3405" s="2" t="s">
        <v>452</v>
      </c>
      <c r="F3405" t="s">
        <v>8638</v>
      </c>
      <c r="G3405" t="str">
        <f>HYPERLINK("http://www.seoulwire.com/news/articleView.html?idxno=655963")</f>
        <v>http://www.seoulwire.com/news/articleView.html?idxno=655963</v>
      </c>
      <c r="H3405">
        <v>0.627</v>
      </c>
    </row>
    <row r="3406" spans="1:8" x14ac:dyDescent="0.3">
      <c r="A3406" t="s">
        <v>8524</v>
      </c>
      <c r="B3406" t="s">
        <v>26951</v>
      </c>
      <c r="C3406" t="s">
        <v>8643</v>
      </c>
      <c r="D3406" t="s">
        <v>8642</v>
      </c>
      <c r="E3406" s="2" t="s">
        <v>452</v>
      </c>
      <c r="F3406" t="s">
        <v>8641</v>
      </c>
      <c r="G3406" t="str">
        <f>HYPERLINK("https://n.news.naver.com/mnews/article/011/0004486555?sid=103")</f>
        <v>https://n.news.naver.com/mnews/article/011/0004486555?sid=103</v>
      </c>
      <c r="H3406">
        <v>0.36</v>
      </c>
    </row>
    <row r="3407" spans="1:8" x14ac:dyDescent="0.3">
      <c r="A3407" t="s">
        <v>8524</v>
      </c>
      <c r="B3407" t="s">
        <v>26951</v>
      </c>
      <c r="C3407" t="s">
        <v>8646</v>
      </c>
      <c r="D3407" t="s">
        <v>8645</v>
      </c>
      <c r="E3407" s="2" t="s">
        <v>452</v>
      </c>
      <c r="F3407" t="s">
        <v>8644</v>
      </c>
      <c r="G3407" t="str">
        <f>HYPERLINK("http://www.bzeronews.com/news/articleView.html?idxno=714829")</f>
        <v>http://www.bzeronews.com/news/articleView.html?idxno=714829</v>
      </c>
      <c r="H3407">
        <v>0.99</v>
      </c>
    </row>
    <row r="3408" spans="1:8" x14ac:dyDescent="0.3">
      <c r="A3408" t="s">
        <v>8524</v>
      </c>
      <c r="B3408" t="s">
        <v>26951</v>
      </c>
      <c r="C3408" t="s">
        <v>8648</v>
      </c>
      <c r="D3408" t="s">
        <v>8647</v>
      </c>
      <c r="E3408" s="2" t="s">
        <v>452</v>
      </c>
      <c r="F3408" t="s">
        <v>2697</v>
      </c>
      <c r="G3408" t="str">
        <f>HYPERLINK("https://www.apnews.kr/news/articleView.html?idxno=3018271")</f>
        <v>https://www.apnews.kr/news/articleView.html?idxno=3018271</v>
      </c>
      <c r="H3408">
        <v>0.39900000000000002</v>
      </c>
    </row>
    <row r="3409" spans="1:8" x14ac:dyDescent="0.3">
      <c r="A3409" t="s">
        <v>8524</v>
      </c>
      <c r="B3409" t="s">
        <v>26951</v>
      </c>
      <c r="C3409" t="s">
        <v>8650</v>
      </c>
      <c r="D3409" t="s">
        <v>8649</v>
      </c>
      <c r="E3409" s="2" t="s">
        <v>452</v>
      </c>
      <c r="F3409" t="s">
        <v>1972</v>
      </c>
      <c r="G3409" t="str">
        <f>HYPERLINK("https://n.news.naver.com/mnews/article/022/0004043776?sid=103")</f>
        <v>https://n.news.naver.com/mnews/article/022/0004043776?sid=103</v>
      </c>
      <c r="H3409">
        <v>0.29499999999999998</v>
      </c>
    </row>
    <row r="3410" spans="1:8" x14ac:dyDescent="0.3">
      <c r="A3410" t="s">
        <v>8524</v>
      </c>
      <c r="B3410" t="s">
        <v>26951</v>
      </c>
      <c r="C3410" t="s">
        <v>8653</v>
      </c>
      <c r="D3410" t="s">
        <v>8652</v>
      </c>
      <c r="E3410" s="2" t="s">
        <v>452</v>
      </c>
      <c r="F3410" t="s">
        <v>8651</v>
      </c>
      <c r="G3410" t="str">
        <f>HYPERLINK("https://n.news.naver.com/mnews/article/022/0004021132?sid=103")</f>
        <v>https://n.news.naver.com/mnews/article/022/0004021132?sid=103</v>
      </c>
      <c r="H3410">
        <v>0.316</v>
      </c>
    </row>
    <row r="3411" spans="1:8" x14ac:dyDescent="0.3">
      <c r="A3411" t="s">
        <v>8524</v>
      </c>
      <c r="B3411" t="s">
        <v>26951</v>
      </c>
      <c r="C3411" t="s">
        <v>8655</v>
      </c>
      <c r="D3411" t="s">
        <v>8654</v>
      </c>
      <c r="E3411" s="2" t="s">
        <v>452</v>
      </c>
      <c r="F3411" t="s">
        <v>677</v>
      </c>
      <c r="G3411" t="str">
        <f>HYPERLINK("http://www.nongaek.com/news/articleView.html?idxno=91747")</f>
        <v>http://www.nongaek.com/news/articleView.html?idxno=91747</v>
      </c>
      <c r="H3411">
        <v>0.35</v>
      </c>
    </row>
    <row r="3412" spans="1:8" x14ac:dyDescent="0.3">
      <c r="A3412" t="s">
        <v>8524</v>
      </c>
      <c r="B3412" t="s">
        <v>26951</v>
      </c>
      <c r="C3412" t="s">
        <v>8658</v>
      </c>
      <c r="D3412" t="s">
        <v>8657</v>
      </c>
      <c r="E3412" s="2" t="s">
        <v>481</v>
      </c>
      <c r="F3412" t="s">
        <v>8656</v>
      </c>
      <c r="G3412" t="str">
        <f>HYPERLINK("https://www.rcast.co.kr/news/articleView.html?idxno=21712")</f>
        <v>https://www.rcast.co.kr/news/articleView.html?idxno=21712</v>
      </c>
      <c r="H3412">
        <v>0.33100000000000002</v>
      </c>
    </row>
    <row r="3413" spans="1:8" x14ac:dyDescent="0.3">
      <c r="A3413" t="s">
        <v>8524</v>
      </c>
      <c r="B3413" t="s">
        <v>26951</v>
      </c>
      <c r="C3413" t="s">
        <v>8661</v>
      </c>
      <c r="D3413" t="s">
        <v>8660</v>
      </c>
      <c r="E3413" s="2" t="s">
        <v>481</v>
      </c>
      <c r="F3413" t="s">
        <v>8659</v>
      </c>
      <c r="G3413" t="str">
        <f>HYPERLINK("https://www.kizmom.com/news/articleView.html?idxno=101691")</f>
        <v>https://www.kizmom.com/news/articleView.html?idxno=101691</v>
      </c>
      <c r="H3413">
        <v>0.36599999999999999</v>
      </c>
    </row>
    <row r="3414" spans="1:8" x14ac:dyDescent="0.3">
      <c r="A3414" t="s">
        <v>8524</v>
      </c>
      <c r="B3414" t="s">
        <v>26951</v>
      </c>
      <c r="C3414" t="s">
        <v>8664</v>
      </c>
      <c r="D3414" t="s">
        <v>8663</v>
      </c>
      <c r="E3414" s="2" t="s">
        <v>502</v>
      </c>
      <c r="F3414" t="s">
        <v>8662</v>
      </c>
      <c r="G3414" t="str">
        <f>HYPERLINK("https://www.jjan.kr/article/20230801580013")</f>
        <v>https://www.jjan.kr/article/20230801580013</v>
      </c>
      <c r="H3414">
        <v>0.27</v>
      </c>
    </row>
    <row r="3415" spans="1:8" x14ac:dyDescent="0.3">
      <c r="A3415" t="s">
        <v>8524</v>
      </c>
      <c r="B3415" t="s">
        <v>26951</v>
      </c>
      <c r="C3415" t="s">
        <v>8666</v>
      </c>
      <c r="D3415" t="s">
        <v>8665</v>
      </c>
      <c r="E3415" s="2" t="s">
        <v>502</v>
      </c>
      <c r="F3415" t="s">
        <v>1908</v>
      </c>
      <c r="G3415" t="str">
        <f>HYPERLINK("https://n.news.naver.com/mnews/article/022/0004047866?sid=102")</f>
        <v>https://n.news.naver.com/mnews/article/022/0004047866?sid=102</v>
      </c>
      <c r="H3415">
        <v>0.38600000000000001</v>
      </c>
    </row>
    <row r="3416" spans="1:8" x14ac:dyDescent="0.3">
      <c r="A3416" t="s">
        <v>8524</v>
      </c>
      <c r="B3416" t="s">
        <v>26951</v>
      </c>
      <c r="C3416" t="s">
        <v>8670</v>
      </c>
      <c r="D3416" t="s">
        <v>8669</v>
      </c>
      <c r="E3416" s="2" t="s">
        <v>517</v>
      </c>
      <c r="F3416" t="s">
        <v>441</v>
      </c>
      <c r="G3416" t="str">
        <f>HYPERLINK("https://n.news.naver.com/mnews/article/022/0002255387?sid=103")</f>
        <v>https://n.news.naver.com/mnews/article/022/0002255387?sid=103</v>
      </c>
      <c r="H3416">
        <v>0.39</v>
      </c>
    </row>
    <row r="3417" spans="1:8" x14ac:dyDescent="0.3">
      <c r="A3417" t="s">
        <v>8524</v>
      </c>
      <c r="B3417" t="s">
        <v>26951</v>
      </c>
      <c r="C3417" t="s">
        <v>8673</v>
      </c>
      <c r="D3417" t="s">
        <v>8672</v>
      </c>
      <c r="E3417" s="2" t="s">
        <v>517</v>
      </c>
      <c r="F3417" t="s">
        <v>8671</v>
      </c>
      <c r="G3417" t="str">
        <f>HYPERLINK("https://n.news.naver.com/mnews/article/022/0002686723?sid=102")</f>
        <v>https://n.news.naver.com/mnews/article/022/0002686723?sid=102</v>
      </c>
      <c r="H3417">
        <v>0.45600000000000002</v>
      </c>
    </row>
    <row r="3418" spans="1:8" x14ac:dyDescent="0.3">
      <c r="A3418" t="s">
        <v>8524</v>
      </c>
      <c r="B3418" t="s">
        <v>26951</v>
      </c>
      <c r="C3418" t="s">
        <v>8676</v>
      </c>
      <c r="D3418" t="s">
        <v>8675</v>
      </c>
      <c r="E3418" s="2" t="s">
        <v>517</v>
      </c>
      <c r="F3418" t="s">
        <v>8674</v>
      </c>
      <c r="G3418" t="str">
        <f>HYPERLINK("http://www.daejonilbo.com/news/newsitem.asp?pk_no=1123750")</f>
        <v>http://www.daejonilbo.com/news/newsitem.asp?pk_no=1123750</v>
      </c>
      <c r="H3418">
        <v>0.436</v>
      </c>
    </row>
    <row r="3419" spans="1:8" x14ac:dyDescent="0.3">
      <c r="A3419" t="s">
        <v>8524</v>
      </c>
      <c r="B3419" t="s">
        <v>26951</v>
      </c>
      <c r="C3419" t="s">
        <v>8678</v>
      </c>
      <c r="D3419" t="s">
        <v>8677</v>
      </c>
      <c r="E3419" s="2" t="s">
        <v>517</v>
      </c>
      <c r="F3419" t="s">
        <v>2658</v>
      </c>
      <c r="G3419" t="str">
        <f>HYPERLINK("https://n.news.naver.com/mnews/article/016/0002433857?sid=101")</f>
        <v>https://n.news.naver.com/mnews/article/016/0002433857?sid=101</v>
      </c>
      <c r="H3419">
        <v>0.224</v>
      </c>
    </row>
    <row r="3420" spans="1:8" x14ac:dyDescent="0.3">
      <c r="A3420" t="s">
        <v>8524</v>
      </c>
      <c r="B3420" t="s">
        <v>26951</v>
      </c>
      <c r="C3420" t="s">
        <v>8680</v>
      </c>
      <c r="D3420" t="s">
        <v>8679</v>
      </c>
      <c r="E3420" s="2" t="s">
        <v>517</v>
      </c>
      <c r="F3420" t="s">
        <v>1972</v>
      </c>
      <c r="G3420" t="str">
        <f>HYPERLINK("http://www.meconomynews.com/news/articleView.html?idxno=17086")</f>
        <v>http://www.meconomynews.com/news/articleView.html?idxno=17086</v>
      </c>
      <c r="H3420">
        <v>0.443</v>
      </c>
    </row>
    <row r="3421" spans="1:8" x14ac:dyDescent="0.3">
      <c r="A3421" t="s">
        <v>8524</v>
      </c>
      <c r="B3421" t="s">
        <v>26951</v>
      </c>
      <c r="C3421" t="s">
        <v>8683</v>
      </c>
      <c r="D3421" t="s">
        <v>8682</v>
      </c>
      <c r="E3421" s="2" t="s">
        <v>517</v>
      </c>
      <c r="F3421" t="s">
        <v>8681</v>
      </c>
      <c r="G3421" t="str">
        <f>HYPERLINK("http://www.ilemonde.com/news/articleView.html?idxno=20715")</f>
        <v>http://www.ilemonde.com/news/articleView.html?idxno=20715</v>
      </c>
      <c r="H3421">
        <v>0.74</v>
      </c>
    </row>
    <row r="3422" spans="1:8" x14ac:dyDescent="0.3">
      <c r="A3422" t="s">
        <v>8524</v>
      </c>
      <c r="B3422" t="s">
        <v>26951</v>
      </c>
      <c r="C3422" t="s">
        <v>8685</v>
      </c>
      <c r="D3422" t="s">
        <v>8684</v>
      </c>
      <c r="E3422" s="2" t="s">
        <v>517</v>
      </c>
      <c r="F3422" t="s">
        <v>2171</v>
      </c>
      <c r="G3422" t="str">
        <f>HYPERLINK("https://n.news.naver.com/mnews/article/022/0003343409?sid=110")</f>
        <v>https://n.news.naver.com/mnews/article/022/0003343409?sid=110</v>
      </c>
      <c r="H3422">
        <v>0.17100000000000001</v>
      </c>
    </row>
    <row r="3423" spans="1:8" x14ac:dyDescent="0.3">
      <c r="A3423" t="s">
        <v>8524</v>
      </c>
      <c r="B3423" t="s">
        <v>26951</v>
      </c>
      <c r="C3423" t="s">
        <v>8688</v>
      </c>
      <c r="D3423" t="s">
        <v>8687</v>
      </c>
      <c r="E3423" s="2" t="s">
        <v>538</v>
      </c>
      <c r="F3423" t="s">
        <v>8686</v>
      </c>
      <c r="G3423" t="str">
        <f>HYPERLINK("http://www.mkhealth.co.kr/news/articleView.html?idxno=73616")</f>
        <v>http://www.mkhealth.co.kr/news/articleView.html?idxno=73616</v>
      </c>
      <c r="H3423">
        <v>0.497</v>
      </c>
    </row>
    <row r="3424" spans="1:8" x14ac:dyDescent="0.3">
      <c r="A3424" t="s">
        <v>8524</v>
      </c>
      <c r="B3424" t="s">
        <v>26951</v>
      </c>
      <c r="C3424" t="s">
        <v>8690</v>
      </c>
      <c r="D3424" t="s">
        <v>8689</v>
      </c>
      <c r="E3424" s="2" t="s">
        <v>538</v>
      </c>
      <c r="F3424" t="s">
        <v>8555</v>
      </c>
      <c r="G3424" t="str">
        <f>HYPERLINK("https://n.news.naver.com/mnews/article/022/0002931461?sid=103")</f>
        <v>https://n.news.naver.com/mnews/article/022/0002931461?sid=103</v>
      </c>
      <c r="H3424">
        <v>0.59599999999999997</v>
      </c>
    </row>
    <row r="3425" spans="1:8" x14ac:dyDescent="0.3">
      <c r="A3425" t="s">
        <v>8524</v>
      </c>
      <c r="B3425" t="s">
        <v>26951</v>
      </c>
      <c r="C3425" t="s">
        <v>8693</v>
      </c>
      <c r="D3425" t="s">
        <v>8692</v>
      </c>
      <c r="E3425" s="2" t="s">
        <v>538</v>
      </c>
      <c r="F3425" t="s">
        <v>8691</v>
      </c>
      <c r="G3425" t="str">
        <f>HYPERLINK("https://www.ksilbo.co.kr/news/articleView.html?idxno=1009746")</f>
        <v>https://www.ksilbo.co.kr/news/articleView.html?idxno=1009746</v>
      </c>
      <c r="H3425">
        <v>0.628</v>
      </c>
    </row>
    <row r="3426" spans="1:8" x14ac:dyDescent="0.3">
      <c r="A3426" t="s">
        <v>8524</v>
      </c>
      <c r="B3426" t="s">
        <v>26951</v>
      </c>
      <c r="C3426" t="s">
        <v>8696</v>
      </c>
      <c r="D3426" t="s">
        <v>8695</v>
      </c>
      <c r="E3426" s="2" t="s">
        <v>538</v>
      </c>
      <c r="F3426" t="s">
        <v>8694</v>
      </c>
      <c r="G3426" t="str">
        <f>HYPERLINK("https://www.danbinews.com/news/articleView.html?idxno=31012")</f>
        <v>https://www.danbinews.com/news/articleView.html?idxno=31012</v>
      </c>
      <c r="H3426">
        <v>0.311</v>
      </c>
    </row>
    <row r="3427" spans="1:8" x14ac:dyDescent="0.3">
      <c r="A3427" t="s">
        <v>8524</v>
      </c>
      <c r="B3427" t="s">
        <v>26951</v>
      </c>
      <c r="C3427" t="s">
        <v>8699</v>
      </c>
      <c r="D3427" t="s">
        <v>8698</v>
      </c>
      <c r="E3427" s="2" t="s">
        <v>572</v>
      </c>
      <c r="F3427" t="s">
        <v>8697</v>
      </c>
      <c r="G3427" t="str">
        <f>HYPERLINK("http://www.biztribune.co.kr/news/articleView.html?idxno=327023")</f>
        <v>http://www.biztribune.co.kr/news/articleView.html?idxno=327023</v>
      </c>
      <c r="H3427">
        <v>0.59899999999999998</v>
      </c>
    </row>
    <row r="3428" spans="1:8" x14ac:dyDescent="0.3">
      <c r="A3428" t="s">
        <v>8524</v>
      </c>
      <c r="B3428" t="s">
        <v>26951</v>
      </c>
      <c r="C3428" t="s">
        <v>8701</v>
      </c>
      <c r="D3428" t="s">
        <v>8700</v>
      </c>
      <c r="E3428" s="2" t="s">
        <v>609</v>
      </c>
      <c r="F3428" t="s">
        <v>1995</v>
      </c>
      <c r="G3428" t="str">
        <f>HYPERLINK("https://n.news.naver.com/mnews/article/022/0003769009?sid=103")</f>
        <v>https://n.news.naver.com/mnews/article/022/0003769009?sid=103</v>
      </c>
      <c r="H3428">
        <v>0.14599999999999999</v>
      </c>
    </row>
    <row r="3429" spans="1:8" x14ac:dyDescent="0.3">
      <c r="A3429" t="s">
        <v>8524</v>
      </c>
      <c r="B3429" t="s">
        <v>26951</v>
      </c>
      <c r="C3429" t="s">
        <v>8703</v>
      </c>
      <c r="D3429" t="s">
        <v>8702</v>
      </c>
      <c r="E3429" s="2" t="s">
        <v>609</v>
      </c>
      <c r="F3429" t="s">
        <v>1972</v>
      </c>
      <c r="G3429" t="str">
        <f>HYPERLINK("https://n.news.naver.com/mnews/article/022/0004042219?sid=103")</f>
        <v>https://n.news.naver.com/mnews/article/022/0004042219?sid=103</v>
      </c>
      <c r="H3429">
        <v>0.30099999999999999</v>
      </c>
    </row>
    <row r="3430" spans="1:8" x14ac:dyDescent="0.3">
      <c r="A3430" t="s">
        <v>8524</v>
      </c>
      <c r="B3430" t="s">
        <v>26951</v>
      </c>
      <c r="C3430" t="s">
        <v>8706</v>
      </c>
      <c r="D3430" t="s">
        <v>8705</v>
      </c>
      <c r="E3430" s="2" t="s">
        <v>609</v>
      </c>
      <c r="F3430" t="s">
        <v>8704</v>
      </c>
      <c r="G3430" t="str">
        <f>HYPERLINK("https://n.news.naver.com/mnews/article/022/0004027121?sid=102")</f>
        <v>https://n.news.naver.com/mnews/article/022/0004027121?sid=102</v>
      </c>
      <c r="H3430">
        <v>0.115</v>
      </c>
    </row>
    <row r="3431" spans="1:8" x14ac:dyDescent="0.3">
      <c r="A3431" t="s">
        <v>8524</v>
      </c>
      <c r="B3431" t="s">
        <v>26951</v>
      </c>
      <c r="C3431" t="s">
        <v>8708</v>
      </c>
      <c r="D3431" t="s">
        <v>8707</v>
      </c>
      <c r="E3431" s="2" t="s">
        <v>609</v>
      </c>
      <c r="F3431" t="s">
        <v>8538</v>
      </c>
      <c r="G3431" t="str">
        <f>HYPERLINK("https://n.news.naver.com/mnews/article/022/0004045808?sid=103")</f>
        <v>https://n.news.naver.com/mnews/article/022/0004045808?sid=103</v>
      </c>
      <c r="H3431">
        <v>0.251</v>
      </c>
    </row>
    <row r="3432" spans="1:8" x14ac:dyDescent="0.3">
      <c r="A3432" t="s">
        <v>8524</v>
      </c>
      <c r="B3432" t="s">
        <v>26951</v>
      </c>
      <c r="C3432" t="s">
        <v>8710</v>
      </c>
      <c r="D3432" t="s">
        <v>8709</v>
      </c>
      <c r="E3432" s="2" t="s">
        <v>653</v>
      </c>
      <c r="F3432" t="s">
        <v>7538</v>
      </c>
      <c r="G3432" t="str">
        <f>HYPERLINK("https://n.news.naver.com/mnews/article/022/0004046220?sid=102")</f>
        <v>https://n.news.naver.com/mnews/article/022/0004046220?sid=102</v>
      </c>
      <c r="H3432">
        <v>0.16600000000000001</v>
      </c>
    </row>
    <row r="3433" spans="1:8" x14ac:dyDescent="0.3">
      <c r="A3433" t="s">
        <v>8524</v>
      </c>
      <c r="B3433" t="s">
        <v>26951</v>
      </c>
      <c r="C3433" t="s">
        <v>8712</v>
      </c>
      <c r="D3433" t="s">
        <v>8711</v>
      </c>
      <c r="E3433" s="2" t="s">
        <v>653</v>
      </c>
      <c r="F3433" t="s">
        <v>8538</v>
      </c>
      <c r="G3433" t="str">
        <f>HYPERLINK("https://n.news.naver.com/mnews/article/022/0002707652?sid=103")</f>
        <v>https://n.news.naver.com/mnews/article/022/0002707652?sid=103</v>
      </c>
      <c r="H3433">
        <v>0.35399999999999998</v>
      </c>
    </row>
    <row r="3434" spans="1:8" x14ac:dyDescent="0.3">
      <c r="A3434" t="s">
        <v>8524</v>
      </c>
      <c r="B3434" t="s">
        <v>26951</v>
      </c>
      <c r="C3434" t="s">
        <v>8715</v>
      </c>
      <c r="D3434" t="s">
        <v>8714</v>
      </c>
      <c r="E3434" s="2" t="s">
        <v>653</v>
      </c>
      <c r="F3434" t="s">
        <v>8713</v>
      </c>
      <c r="G3434" t="str">
        <f>HYPERLINK("http://www.nongaek.com/news/articleView.html?idxno=91824")</f>
        <v>http://www.nongaek.com/news/articleView.html?idxno=91824</v>
      </c>
      <c r="H3434">
        <v>0.35299999999999998</v>
      </c>
    </row>
    <row r="3435" spans="1:8" x14ac:dyDescent="0.3">
      <c r="A3435" t="s">
        <v>8524</v>
      </c>
      <c r="B3435" t="s">
        <v>26951</v>
      </c>
      <c r="C3435" t="s">
        <v>8717</v>
      </c>
      <c r="D3435" t="s">
        <v>8716</v>
      </c>
      <c r="E3435" s="2" t="s">
        <v>653</v>
      </c>
      <c r="F3435" t="s">
        <v>1972</v>
      </c>
      <c r="G3435" t="str">
        <f>HYPERLINK("http://www.nongaek.com/news/articleView.html?idxno=90801")</f>
        <v>http://www.nongaek.com/news/articleView.html?idxno=90801</v>
      </c>
      <c r="H3435">
        <v>0.37</v>
      </c>
    </row>
    <row r="3436" spans="1:8" x14ac:dyDescent="0.3">
      <c r="A3436" t="s">
        <v>8524</v>
      </c>
      <c r="B3436" t="s">
        <v>26951</v>
      </c>
      <c r="C3436" t="s">
        <v>8720</v>
      </c>
      <c r="D3436" t="s">
        <v>8719</v>
      </c>
      <c r="E3436" s="2" t="s">
        <v>653</v>
      </c>
      <c r="F3436" t="s">
        <v>8718</v>
      </c>
      <c r="G3436" t="str">
        <f>HYPERLINK("http://www.bulkwang.co.kr/news/articleView.html?idxno=35284")</f>
        <v>http://www.bulkwang.co.kr/news/articleView.html?idxno=35284</v>
      </c>
      <c r="H3436">
        <v>0.53700000000000003</v>
      </c>
    </row>
    <row r="3437" spans="1:8" x14ac:dyDescent="0.3">
      <c r="A3437" t="s">
        <v>8524</v>
      </c>
      <c r="B3437" t="s">
        <v>26951</v>
      </c>
      <c r="C3437" t="s">
        <v>8722</v>
      </c>
      <c r="D3437" t="s">
        <v>8721</v>
      </c>
      <c r="E3437" s="2" t="s">
        <v>653</v>
      </c>
      <c r="F3437" t="s">
        <v>88</v>
      </c>
      <c r="G3437" t="str">
        <f>HYPERLINK("http://jmagazine.joins.com/monthly/view/322991")</f>
        <v>http://jmagazine.joins.com/monthly/view/322991</v>
      </c>
      <c r="H3437">
        <v>0.214</v>
      </c>
    </row>
    <row r="3438" spans="1:8" x14ac:dyDescent="0.3">
      <c r="A3438" t="s">
        <v>8524</v>
      </c>
      <c r="B3438" t="s">
        <v>26951</v>
      </c>
      <c r="C3438" t="s">
        <v>8724</v>
      </c>
      <c r="D3438" t="s">
        <v>8723</v>
      </c>
      <c r="E3438" s="2" t="s">
        <v>653</v>
      </c>
      <c r="F3438" t="s">
        <v>2046</v>
      </c>
      <c r="G3438" t="str">
        <f>HYPERLINK("https://n.news.naver.com/mnews/article/022/0003295678?sid=101")</f>
        <v>https://n.news.naver.com/mnews/article/022/0003295678?sid=101</v>
      </c>
      <c r="H3438">
        <v>0.28799999999999998</v>
      </c>
    </row>
    <row r="3439" spans="1:8" x14ac:dyDescent="0.3">
      <c r="A3439" t="s">
        <v>8524</v>
      </c>
      <c r="B3439" t="s">
        <v>26951</v>
      </c>
      <c r="C3439" t="s">
        <v>8726</v>
      </c>
      <c r="D3439" t="s">
        <v>8725</v>
      </c>
      <c r="E3439" s="2" t="s">
        <v>653</v>
      </c>
      <c r="F3439" t="s">
        <v>3086</v>
      </c>
      <c r="G3439" t="str">
        <f>HYPERLINK("https://n.news.naver.com/mnews/article/022/0003148155?sid=100")</f>
        <v>https://n.news.naver.com/mnews/article/022/0003148155?sid=100</v>
      </c>
      <c r="H3439">
        <v>0.25600000000000001</v>
      </c>
    </row>
    <row r="3440" spans="1:8" x14ac:dyDescent="0.3">
      <c r="A3440" t="s">
        <v>8524</v>
      </c>
      <c r="B3440" t="s">
        <v>26951</v>
      </c>
      <c r="C3440" t="s">
        <v>8728</v>
      </c>
      <c r="D3440" t="s">
        <v>8727</v>
      </c>
      <c r="E3440" s="2" t="s">
        <v>692</v>
      </c>
      <c r="F3440" t="s">
        <v>805</v>
      </c>
      <c r="G3440" t="str">
        <f>HYPERLINK("https://n.news.naver.com/mnews/article/022/0004041763?sid=100")</f>
        <v>https://n.news.naver.com/mnews/article/022/0004041763?sid=100</v>
      </c>
      <c r="H3440">
        <v>0.27500000000000002</v>
      </c>
    </row>
    <row r="3441" spans="1:8" x14ac:dyDescent="0.3">
      <c r="A3441" t="s">
        <v>8524</v>
      </c>
      <c r="B3441" t="s">
        <v>26951</v>
      </c>
      <c r="C3441" t="s">
        <v>8731</v>
      </c>
      <c r="D3441" t="s">
        <v>8730</v>
      </c>
      <c r="E3441" s="2" t="s">
        <v>692</v>
      </c>
      <c r="F3441" t="s">
        <v>8729</v>
      </c>
      <c r="G3441" t="str">
        <f>HYPERLINK("https://www.akomnews.com/bbs/board.php?bo_table=news&amp;wr_id=63065")</f>
        <v>https://www.akomnews.com/bbs/board.php?bo_table=news&amp;wr_id=63065</v>
      </c>
      <c r="H3441">
        <v>0.51500000000000001</v>
      </c>
    </row>
    <row r="3442" spans="1:8" x14ac:dyDescent="0.3">
      <c r="A3442" t="s">
        <v>8524</v>
      </c>
      <c r="B3442" t="s">
        <v>26951</v>
      </c>
      <c r="C3442" t="s">
        <v>8733</v>
      </c>
      <c r="D3442" t="s">
        <v>8732</v>
      </c>
      <c r="E3442" s="2" t="s">
        <v>692</v>
      </c>
      <c r="F3442" t="s">
        <v>1615</v>
      </c>
      <c r="G3442" t="str">
        <f>HYPERLINK("http://www.ilyoseoul.co.kr/news/articleView.html?idxno=474224")</f>
        <v>http://www.ilyoseoul.co.kr/news/articleView.html?idxno=474224</v>
      </c>
      <c r="H3442">
        <v>0.42899999999999999</v>
      </c>
    </row>
    <row r="3443" spans="1:8" x14ac:dyDescent="0.3">
      <c r="A3443" t="s">
        <v>8524</v>
      </c>
      <c r="B3443" t="s">
        <v>26951</v>
      </c>
      <c r="C3443" t="s">
        <v>8736</v>
      </c>
      <c r="D3443" t="s">
        <v>8735</v>
      </c>
      <c r="E3443" s="2" t="s">
        <v>711</v>
      </c>
      <c r="F3443" t="s">
        <v>8734</v>
      </c>
      <c r="G3443" t="str">
        <f>HYPERLINK("https://n.news.naver.com/mnews/article/022/0004047866?sid=102")</f>
        <v>https://n.news.naver.com/mnews/article/022/0004047866?sid=102</v>
      </c>
      <c r="H3443">
        <v>0.26200000000000001</v>
      </c>
    </row>
    <row r="3444" spans="1:8" x14ac:dyDescent="0.3">
      <c r="A3444" t="s">
        <v>8524</v>
      </c>
      <c r="B3444" t="s">
        <v>26951</v>
      </c>
      <c r="C3444" t="s">
        <v>8739</v>
      </c>
      <c r="D3444" t="s">
        <v>8738</v>
      </c>
      <c r="E3444" s="2" t="s">
        <v>725</v>
      </c>
      <c r="F3444" t="s">
        <v>8737</v>
      </c>
      <c r="G3444" t="str">
        <f>HYPERLINK("https://n.news.naver.com/mnews/article/022/0002435493?sid=102")</f>
        <v>https://n.news.naver.com/mnews/article/022/0002435493?sid=102</v>
      </c>
      <c r="H3444">
        <v>0.27200000000000002</v>
      </c>
    </row>
    <row r="3445" spans="1:8" x14ac:dyDescent="0.3">
      <c r="A3445" t="s">
        <v>8524</v>
      </c>
      <c r="B3445" t="s">
        <v>26951</v>
      </c>
      <c r="C3445" t="s">
        <v>8741</v>
      </c>
      <c r="D3445" t="s">
        <v>8740</v>
      </c>
      <c r="E3445" s="2" t="s">
        <v>742</v>
      </c>
      <c r="F3445" t="s">
        <v>4899</v>
      </c>
      <c r="G3445" t="str">
        <f>HYPERLINK("https://n.news.naver.com/mnews/article/056/0011844531?sid=101")</f>
        <v>https://n.news.naver.com/mnews/article/056/0011844531?sid=101</v>
      </c>
      <c r="H3445">
        <v>0.20300000000000001</v>
      </c>
    </row>
    <row r="3446" spans="1:8" x14ac:dyDescent="0.3">
      <c r="A3446" t="s">
        <v>8524</v>
      </c>
      <c r="B3446" t="s">
        <v>26951</v>
      </c>
      <c r="C3446" t="s">
        <v>8744</v>
      </c>
      <c r="D3446" t="s">
        <v>8743</v>
      </c>
      <c r="E3446" s="2" t="s">
        <v>742</v>
      </c>
      <c r="F3446" t="s">
        <v>8742</v>
      </c>
      <c r="G3446" t="str">
        <f>HYPERLINK("https://n.news.naver.com/mnews/article/082/0001247094?sid=103")</f>
        <v>https://n.news.naver.com/mnews/article/082/0001247094?sid=103</v>
      </c>
      <c r="H3446">
        <v>0.14499999999999999</v>
      </c>
    </row>
    <row r="3447" spans="1:8" x14ac:dyDescent="0.3">
      <c r="A3447" t="s">
        <v>8524</v>
      </c>
      <c r="B3447" t="s">
        <v>26951</v>
      </c>
      <c r="C3447" t="s">
        <v>8746</v>
      </c>
      <c r="D3447" t="s">
        <v>8745</v>
      </c>
      <c r="E3447" s="2" t="s">
        <v>742</v>
      </c>
      <c r="F3447" t="s">
        <v>2046</v>
      </c>
      <c r="G3447" t="str">
        <f>HYPERLINK("https://n.news.naver.com/mnews/article/022/0004041028?sid=103")</f>
        <v>https://n.news.naver.com/mnews/article/022/0004041028?sid=103</v>
      </c>
      <c r="H3447">
        <v>0.29399999999999998</v>
      </c>
    </row>
    <row r="3448" spans="1:8" x14ac:dyDescent="0.3">
      <c r="A3448" t="s">
        <v>8524</v>
      </c>
      <c r="B3448" t="s">
        <v>26951</v>
      </c>
      <c r="C3448" t="s">
        <v>8748</v>
      </c>
      <c r="D3448" t="s">
        <v>8747</v>
      </c>
      <c r="E3448" s="2" t="s">
        <v>742</v>
      </c>
      <c r="F3448" t="s">
        <v>2046</v>
      </c>
      <c r="G3448" t="str">
        <f>HYPERLINK("https://n.news.naver.com/mnews/article/022/0004041120?sid=103")</f>
        <v>https://n.news.naver.com/mnews/article/022/0004041120?sid=103</v>
      </c>
      <c r="H3448">
        <v>0.249</v>
      </c>
    </row>
    <row r="3449" spans="1:8" x14ac:dyDescent="0.3">
      <c r="A3449" t="s">
        <v>8524</v>
      </c>
      <c r="B3449" t="s">
        <v>26951</v>
      </c>
      <c r="C3449" t="s">
        <v>8750</v>
      </c>
      <c r="D3449" t="s">
        <v>8749</v>
      </c>
      <c r="E3449" s="2" t="s">
        <v>742</v>
      </c>
      <c r="F3449" t="s">
        <v>2277</v>
      </c>
      <c r="G3449" t="str">
        <f>HYPERLINK("http://www.nongaek.com/news/articleView.html?idxno=91599")</f>
        <v>http://www.nongaek.com/news/articleView.html?idxno=91599</v>
      </c>
      <c r="H3449">
        <v>0.622</v>
      </c>
    </row>
    <row r="3450" spans="1:8" x14ac:dyDescent="0.3">
      <c r="A3450" t="s">
        <v>8524</v>
      </c>
      <c r="B3450" t="s">
        <v>26951</v>
      </c>
      <c r="C3450" t="s">
        <v>8753</v>
      </c>
      <c r="D3450" t="s">
        <v>8752</v>
      </c>
      <c r="E3450" s="2" t="s">
        <v>742</v>
      </c>
      <c r="F3450" t="s">
        <v>8751</v>
      </c>
      <c r="G3450" t="str">
        <f>HYPERLINK("https://n.news.naver.com/mnews/article/022/0004040938?sid=102")</f>
        <v>https://n.news.naver.com/mnews/article/022/0004040938?sid=102</v>
      </c>
      <c r="H3450">
        <v>0.23699999999999999</v>
      </c>
    </row>
    <row r="3451" spans="1:8" x14ac:dyDescent="0.3">
      <c r="A3451" t="s">
        <v>8524</v>
      </c>
      <c r="B3451" t="s">
        <v>26951</v>
      </c>
      <c r="C3451" t="s">
        <v>8755</v>
      </c>
      <c r="D3451" t="s">
        <v>8754</v>
      </c>
      <c r="E3451" s="2" t="s">
        <v>742</v>
      </c>
      <c r="F3451" t="s">
        <v>1972</v>
      </c>
      <c r="G3451" t="str">
        <f>HYPERLINK("https://n.news.naver.com/mnews/article/022/0002931650?sid=103")</f>
        <v>https://n.news.naver.com/mnews/article/022/0002931650?sid=103</v>
      </c>
      <c r="H3451">
        <v>0.36799999999999999</v>
      </c>
    </row>
    <row r="3452" spans="1:8" x14ac:dyDescent="0.3">
      <c r="A3452" t="s">
        <v>8524</v>
      </c>
      <c r="B3452" t="s">
        <v>26951</v>
      </c>
      <c r="C3452" t="s">
        <v>8757</v>
      </c>
      <c r="D3452" t="s">
        <v>8756</v>
      </c>
      <c r="E3452" s="2" t="s">
        <v>742</v>
      </c>
      <c r="F3452" t="s">
        <v>2046</v>
      </c>
      <c r="G3452" t="str">
        <f>HYPERLINK("http://www.interview365.com/news/29610")</f>
        <v>http://www.interview365.com/news/29610</v>
      </c>
      <c r="H3452">
        <v>0.44400000000000001</v>
      </c>
    </row>
    <row r="3453" spans="1:8" x14ac:dyDescent="0.3">
      <c r="A3453" t="s">
        <v>8524</v>
      </c>
      <c r="B3453" t="s">
        <v>26951</v>
      </c>
      <c r="C3453" t="s">
        <v>8759</v>
      </c>
      <c r="D3453" t="s">
        <v>8758</v>
      </c>
      <c r="E3453" s="2" t="s">
        <v>742</v>
      </c>
      <c r="F3453" t="s">
        <v>2046</v>
      </c>
      <c r="G3453" t="str">
        <f>HYPERLINK("https://n.news.naver.com/mnews/article/022/0002851792?sid=103")</f>
        <v>https://n.news.naver.com/mnews/article/022/0002851792?sid=103</v>
      </c>
      <c r="H3453">
        <v>0.19900000000000001</v>
      </c>
    </row>
    <row r="3454" spans="1:8" x14ac:dyDescent="0.3">
      <c r="A3454" t="s">
        <v>8524</v>
      </c>
      <c r="B3454" t="s">
        <v>26951</v>
      </c>
      <c r="C3454" t="s">
        <v>8761</v>
      </c>
      <c r="D3454" t="s">
        <v>8760</v>
      </c>
      <c r="E3454" s="2" t="s">
        <v>799</v>
      </c>
      <c r="F3454" t="s">
        <v>2046</v>
      </c>
      <c r="G3454" t="str">
        <f>HYPERLINK("https://n.news.naver.com/mnews/article/022/0004038938?sid=103")</f>
        <v>https://n.news.naver.com/mnews/article/022/0004038938?sid=103</v>
      </c>
      <c r="H3454">
        <v>0.27</v>
      </c>
    </row>
    <row r="3455" spans="1:8" x14ac:dyDescent="0.3">
      <c r="A3455" t="s">
        <v>8524</v>
      </c>
      <c r="B3455" t="s">
        <v>26951</v>
      </c>
      <c r="C3455" t="s">
        <v>8763</v>
      </c>
      <c r="D3455" t="s">
        <v>8762</v>
      </c>
      <c r="E3455" s="2" t="s">
        <v>840</v>
      </c>
      <c r="F3455" t="s">
        <v>1277</v>
      </c>
      <c r="G3455" t="str">
        <f>HYPERLINK("http://www.namdonews.com/news/articleView.html?idxno=821825")</f>
        <v>http://www.namdonews.com/news/articleView.html?idxno=821825</v>
      </c>
      <c r="H3455">
        <v>0.67400000000000004</v>
      </c>
    </row>
    <row r="3456" spans="1:8" x14ac:dyDescent="0.3">
      <c r="A3456" t="s">
        <v>8524</v>
      </c>
      <c r="B3456" t="s">
        <v>26951</v>
      </c>
      <c r="C3456" t="s">
        <v>8766</v>
      </c>
      <c r="D3456" t="s">
        <v>8765</v>
      </c>
      <c r="E3456" s="2" t="s">
        <v>840</v>
      </c>
      <c r="F3456" t="s">
        <v>8764</v>
      </c>
      <c r="G3456" t="str">
        <f>HYPERLINK("http://www.nongaek.com/news/articleView.html?idxno=91223")</f>
        <v>http://www.nongaek.com/news/articleView.html?idxno=91223</v>
      </c>
      <c r="H3456">
        <v>0.52300000000000002</v>
      </c>
    </row>
    <row r="3457" spans="1:8" x14ac:dyDescent="0.3">
      <c r="A3457" t="s">
        <v>8524</v>
      </c>
      <c r="B3457" t="s">
        <v>26951</v>
      </c>
      <c r="C3457" t="s">
        <v>8769</v>
      </c>
      <c r="D3457" t="s">
        <v>8768</v>
      </c>
      <c r="E3457" s="2" t="s">
        <v>840</v>
      </c>
      <c r="F3457" t="s">
        <v>8767</v>
      </c>
      <c r="G3457" t="str">
        <f>HYPERLINK("http://www.nongaek.com/news/articleView.html?idxno=91675")</f>
        <v>http://www.nongaek.com/news/articleView.html?idxno=91675</v>
      </c>
      <c r="H3457">
        <v>0.38700000000000001</v>
      </c>
    </row>
    <row r="3458" spans="1:8" x14ac:dyDescent="0.3">
      <c r="A3458" t="s">
        <v>8524</v>
      </c>
      <c r="B3458" t="s">
        <v>26951</v>
      </c>
      <c r="C3458" t="s">
        <v>8771</v>
      </c>
      <c r="D3458" t="s">
        <v>8770</v>
      </c>
      <c r="E3458" s="2" t="s">
        <v>840</v>
      </c>
      <c r="F3458" t="s">
        <v>1328</v>
      </c>
      <c r="G3458" t="str">
        <f>HYPERLINK("https://www.dailymedi.com/news/news_view.php?wr_id=925517")</f>
        <v>https://www.dailymedi.com/news/news_view.php?wr_id=925517</v>
      </c>
      <c r="H3458">
        <v>0.39100000000000001</v>
      </c>
    </row>
    <row r="3459" spans="1:8" x14ac:dyDescent="0.3">
      <c r="A3459" t="s">
        <v>8524</v>
      </c>
      <c r="B3459" t="s">
        <v>26951</v>
      </c>
      <c r="C3459" t="s">
        <v>8773</v>
      </c>
      <c r="D3459" t="s">
        <v>8772</v>
      </c>
      <c r="E3459" s="2" t="s">
        <v>840</v>
      </c>
      <c r="F3459" t="s">
        <v>1277</v>
      </c>
      <c r="G3459" t="str">
        <f>HYPERLINK("https://n.news.naver.com/mnews/article/022/0003948317?sid=104")</f>
        <v>https://n.news.naver.com/mnews/article/022/0003948317?sid=104</v>
      </c>
      <c r="H3459">
        <v>0.32</v>
      </c>
    </row>
    <row r="3460" spans="1:8" x14ac:dyDescent="0.3">
      <c r="A3460" t="s">
        <v>8524</v>
      </c>
      <c r="B3460" t="s">
        <v>26951</v>
      </c>
      <c r="C3460" t="s">
        <v>8775</v>
      </c>
      <c r="D3460" t="s">
        <v>8774</v>
      </c>
      <c r="E3460" s="2" t="s">
        <v>860</v>
      </c>
      <c r="F3460" t="s">
        <v>1546</v>
      </c>
      <c r="G3460" t="str">
        <f>HYPERLINK("https://n.news.naver.com/mnews/article/022/0004043094?sid=103")</f>
        <v>https://n.news.naver.com/mnews/article/022/0004043094?sid=103</v>
      </c>
      <c r="H3460">
        <v>0.245</v>
      </c>
    </row>
    <row r="3461" spans="1:8" x14ac:dyDescent="0.3">
      <c r="A3461" t="s">
        <v>8524</v>
      </c>
      <c r="B3461" t="s">
        <v>26951</v>
      </c>
      <c r="C3461" t="s">
        <v>8777</v>
      </c>
      <c r="D3461" t="s">
        <v>8776</v>
      </c>
      <c r="E3461" s="2" t="s">
        <v>860</v>
      </c>
      <c r="F3461" t="s">
        <v>5698</v>
      </c>
      <c r="G3461" t="str">
        <f>HYPERLINK("http://www.apnews.kr/news/articleView.html?idxno=3004356")</f>
        <v>http://www.apnews.kr/news/articleView.html?idxno=3004356</v>
      </c>
      <c r="H3461">
        <v>0.55300000000000005</v>
      </c>
    </row>
    <row r="3462" spans="1:8" x14ac:dyDescent="0.3">
      <c r="A3462" t="s">
        <v>8524</v>
      </c>
      <c r="B3462" t="s">
        <v>26951</v>
      </c>
      <c r="C3462" t="s">
        <v>8779</v>
      </c>
      <c r="D3462" t="s">
        <v>8778</v>
      </c>
      <c r="E3462" s="2" t="s">
        <v>860</v>
      </c>
      <c r="F3462" t="s">
        <v>8555</v>
      </c>
      <c r="G3462" t="str">
        <f>HYPERLINK("https://n.news.naver.com/mnews/article/022/0004039919?sid=103")</f>
        <v>https://n.news.naver.com/mnews/article/022/0004039919?sid=103</v>
      </c>
      <c r="H3462">
        <v>0.28999999999999998</v>
      </c>
    </row>
    <row r="3463" spans="1:8" x14ac:dyDescent="0.3">
      <c r="A3463" t="s">
        <v>8524</v>
      </c>
      <c r="B3463" t="s">
        <v>26951</v>
      </c>
      <c r="C3463" t="s">
        <v>8781</v>
      </c>
      <c r="D3463" t="s">
        <v>8780</v>
      </c>
      <c r="E3463" s="2" t="s">
        <v>860</v>
      </c>
      <c r="F3463" t="s">
        <v>2046</v>
      </c>
      <c r="G3463" t="str">
        <f>HYPERLINK("https://n.news.naver.com/mnews/article/022/0004040170?sid=103")</f>
        <v>https://n.news.naver.com/mnews/article/022/0004040170?sid=103</v>
      </c>
      <c r="H3463">
        <v>0.311</v>
      </c>
    </row>
    <row r="3464" spans="1:8" x14ac:dyDescent="0.3">
      <c r="A3464" t="s">
        <v>8524</v>
      </c>
      <c r="B3464" t="s">
        <v>26951</v>
      </c>
      <c r="C3464" t="s">
        <v>8784</v>
      </c>
      <c r="D3464" t="s">
        <v>8783</v>
      </c>
      <c r="E3464" s="2" t="s">
        <v>903</v>
      </c>
      <c r="F3464" t="s">
        <v>8782</v>
      </c>
      <c r="G3464" t="str">
        <f>HYPERLINK("https://sports.hankooki.com/news/articleView.html?idxno=6902480")</f>
        <v>https://sports.hankooki.com/news/articleView.html?idxno=6902480</v>
      </c>
      <c r="H3464">
        <v>0.1</v>
      </c>
    </row>
    <row r="3465" spans="1:8" x14ac:dyDescent="0.3">
      <c r="A3465" t="s">
        <v>8524</v>
      </c>
      <c r="B3465" t="s">
        <v>26951</v>
      </c>
      <c r="C3465" t="s">
        <v>8786</v>
      </c>
      <c r="D3465" t="s">
        <v>8785</v>
      </c>
      <c r="E3465" s="2" t="s">
        <v>903</v>
      </c>
      <c r="F3465" t="s">
        <v>1094</v>
      </c>
      <c r="G3465" t="str">
        <f>HYPERLINK("https://www.newscj.com/news/articleView.html?idxno=3271003")</f>
        <v>https://www.newscj.com/news/articleView.html?idxno=3271003</v>
      </c>
      <c r="H3465">
        <v>0.64700000000000002</v>
      </c>
    </row>
    <row r="3466" spans="1:8" x14ac:dyDescent="0.3">
      <c r="A3466" t="s">
        <v>8524</v>
      </c>
      <c r="B3466" t="s">
        <v>26951</v>
      </c>
      <c r="C3466" t="s">
        <v>8789</v>
      </c>
      <c r="D3466" t="s">
        <v>8788</v>
      </c>
      <c r="E3466" s="2" t="s">
        <v>903</v>
      </c>
      <c r="F3466" t="s">
        <v>8787</v>
      </c>
      <c r="G3466" t="str">
        <f>HYPERLINK("https://n.news.naver.com/mnews/article/022/0002994314?sid=101")</f>
        <v>https://n.news.naver.com/mnews/article/022/0002994314?sid=101</v>
      </c>
      <c r="H3466">
        <v>0.441</v>
      </c>
    </row>
    <row r="3467" spans="1:8" x14ac:dyDescent="0.3">
      <c r="A3467" t="s">
        <v>8524</v>
      </c>
      <c r="B3467" t="s">
        <v>26951</v>
      </c>
      <c r="C3467" t="s">
        <v>8792</v>
      </c>
      <c r="D3467" t="s">
        <v>8791</v>
      </c>
      <c r="E3467" s="2" t="s">
        <v>903</v>
      </c>
      <c r="F3467" t="s">
        <v>8790</v>
      </c>
      <c r="G3467" t="str">
        <f>HYPERLINK("http://www.iminju.net/news/articleView.html?idxno=130527")</f>
        <v>http://www.iminju.net/news/articleView.html?idxno=130527</v>
      </c>
      <c r="H3467">
        <v>0.67800000000000005</v>
      </c>
    </row>
    <row r="3468" spans="1:8" x14ac:dyDescent="0.3">
      <c r="A3468" t="s">
        <v>8793</v>
      </c>
      <c r="B3468" t="s">
        <v>26951</v>
      </c>
      <c r="C3468" t="s">
        <v>8796</v>
      </c>
      <c r="D3468" t="s">
        <v>8795</v>
      </c>
      <c r="E3468" s="2" t="s">
        <v>7</v>
      </c>
      <c r="F3468" t="s">
        <v>8794</v>
      </c>
      <c r="G3468" t="str">
        <f>HYPERLINK("https://n.news.naver.com/mnews/article/469/0000869110?sid=100")</f>
        <v>https://n.news.naver.com/mnews/article/469/0000869110?sid=100</v>
      </c>
      <c r="H3468">
        <v>5.8999999999999997E-2</v>
      </c>
    </row>
    <row r="3469" spans="1:8" x14ac:dyDescent="0.3">
      <c r="A3469" t="s">
        <v>8793</v>
      </c>
      <c r="B3469" t="s">
        <v>26951</v>
      </c>
      <c r="C3469" t="s">
        <v>8799</v>
      </c>
      <c r="D3469" t="s">
        <v>8798</v>
      </c>
      <c r="E3469" s="2" t="s">
        <v>7</v>
      </c>
      <c r="F3469" t="s">
        <v>8797</v>
      </c>
      <c r="G3469" t="str">
        <f>HYPERLINK("http://www.kado.net/news/articleView.html?idxno=1066781")</f>
        <v>http://www.kado.net/news/articleView.html?idxno=1066781</v>
      </c>
      <c r="H3469">
        <v>0.53200000000000003</v>
      </c>
    </row>
    <row r="3470" spans="1:8" x14ac:dyDescent="0.3">
      <c r="A3470" t="s">
        <v>8793</v>
      </c>
      <c r="B3470" t="s">
        <v>26951</v>
      </c>
      <c r="C3470" t="s">
        <v>8801</v>
      </c>
      <c r="D3470" t="s">
        <v>8800</v>
      </c>
      <c r="E3470" s="2" t="s">
        <v>7</v>
      </c>
      <c r="F3470" t="s">
        <v>518</v>
      </c>
      <c r="G3470" t="str">
        <f>HYPERLINK("https://n.news.naver.com/mnews/article/469/0000795662?sid=102")</f>
        <v>https://n.news.naver.com/mnews/article/469/0000795662?sid=102</v>
      </c>
      <c r="H3470">
        <v>0.14699999999999999</v>
      </c>
    </row>
    <row r="3471" spans="1:8" x14ac:dyDescent="0.3">
      <c r="A3471" t="s">
        <v>8793</v>
      </c>
      <c r="B3471" t="s">
        <v>26951</v>
      </c>
      <c r="C3471" t="s">
        <v>8804</v>
      </c>
      <c r="D3471" t="s">
        <v>8803</v>
      </c>
      <c r="E3471" s="2" t="s">
        <v>7</v>
      </c>
      <c r="F3471" t="s">
        <v>8802</v>
      </c>
      <c r="G3471" t="str">
        <f>HYPERLINK("http://www.press9.kr/news/articleView.html?idxno=61779")</f>
        <v>http://www.press9.kr/news/articleView.html?idxno=61779</v>
      </c>
      <c r="H3471">
        <v>0.30099999999999999</v>
      </c>
    </row>
    <row r="3472" spans="1:8" x14ac:dyDescent="0.3">
      <c r="A3472" t="s">
        <v>8793</v>
      </c>
      <c r="B3472" t="s">
        <v>26951</v>
      </c>
      <c r="C3472" t="s">
        <v>8806</v>
      </c>
      <c r="D3472" t="s">
        <v>8805</v>
      </c>
      <c r="E3472" s="2" t="s">
        <v>7</v>
      </c>
      <c r="F3472" t="s">
        <v>1033</v>
      </c>
      <c r="G3472" t="str">
        <f>HYPERLINK("http://www.nongaek.com/news/articleView.html?idxno=88271")</f>
        <v>http://www.nongaek.com/news/articleView.html?idxno=88271</v>
      </c>
      <c r="H3472">
        <v>0.58199999999999996</v>
      </c>
    </row>
    <row r="3473" spans="1:8" x14ac:dyDescent="0.3">
      <c r="A3473" t="s">
        <v>8793</v>
      </c>
      <c r="B3473" t="s">
        <v>26951</v>
      </c>
      <c r="C3473" t="s">
        <v>8809</v>
      </c>
      <c r="D3473" t="s">
        <v>8808</v>
      </c>
      <c r="E3473" s="2" t="s">
        <v>7</v>
      </c>
      <c r="F3473" t="s">
        <v>8807</v>
      </c>
      <c r="G3473" t="str">
        <f>HYPERLINK("https://www.ekn.kr/web/view.php?key=20230703010000635")</f>
        <v>https://www.ekn.kr/web/view.php?key=20230703010000635</v>
      </c>
      <c r="H3473">
        <v>0.14599999999999999</v>
      </c>
    </row>
    <row r="3474" spans="1:8" x14ac:dyDescent="0.3">
      <c r="A3474" t="s">
        <v>8793</v>
      </c>
      <c r="B3474" t="s">
        <v>26951</v>
      </c>
      <c r="C3474" t="s">
        <v>8812</v>
      </c>
      <c r="D3474" t="s">
        <v>8811</v>
      </c>
      <c r="E3474" s="2" t="s">
        <v>7</v>
      </c>
      <c r="F3474" t="s">
        <v>857</v>
      </c>
      <c r="G3474" t="str">
        <f>HYPERLINK("http://www.nongaek.com/news/articleView.html?idxno=91824")</f>
        <v>http://www.nongaek.com/news/articleView.html?idxno=91824</v>
      </c>
      <c r="H3474">
        <v>0.19400000000000001</v>
      </c>
    </row>
    <row r="3475" spans="1:8" x14ac:dyDescent="0.3">
      <c r="A3475" t="s">
        <v>8793</v>
      </c>
      <c r="B3475" t="s">
        <v>26951</v>
      </c>
      <c r="C3475" t="s">
        <v>8814</v>
      </c>
      <c r="D3475" t="s">
        <v>8813</v>
      </c>
      <c r="E3475" s="2" t="s">
        <v>7</v>
      </c>
      <c r="F3475" t="s">
        <v>3882</v>
      </c>
      <c r="G3475" t="str">
        <f>HYPERLINK("https://n.news.naver.com/mnews/article/469/0000873181?sid=100")</f>
        <v>https://n.news.naver.com/mnews/article/469/0000873181?sid=100</v>
      </c>
      <c r="H3475">
        <v>0.214</v>
      </c>
    </row>
    <row r="3476" spans="1:8" x14ac:dyDescent="0.3">
      <c r="A3476" t="s">
        <v>8793</v>
      </c>
      <c r="B3476" t="s">
        <v>26951</v>
      </c>
      <c r="C3476" t="s">
        <v>8817</v>
      </c>
      <c r="D3476" t="s">
        <v>8816</v>
      </c>
      <c r="E3476" s="2" t="s">
        <v>7</v>
      </c>
      <c r="F3476" t="s">
        <v>8815</v>
      </c>
      <c r="G3476" t="str">
        <f>HYPERLINK("http://www.ibulgyo.com/news/articleView.html?idxno=403554")</f>
        <v>http://www.ibulgyo.com/news/articleView.html?idxno=403554</v>
      </c>
      <c r="H3476">
        <v>0.36899999999999999</v>
      </c>
    </row>
    <row r="3477" spans="1:8" x14ac:dyDescent="0.3">
      <c r="A3477" t="s">
        <v>8793</v>
      </c>
      <c r="B3477" t="s">
        <v>26951</v>
      </c>
      <c r="C3477" t="s">
        <v>8819</v>
      </c>
      <c r="D3477" t="s">
        <v>8818</v>
      </c>
      <c r="E3477" s="2" t="s">
        <v>66</v>
      </c>
      <c r="F3477" t="s">
        <v>304</v>
      </c>
      <c r="G3477" t="str">
        <f>HYPERLINK("https://n.news.naver.com/mnews/article/006/0000130516?sid=102")</f>
        <v>https://n.news.naver.com/mnews/article/006/0000130516?sid=102</v>
      </c>
      <c r="H3477">
        <v>0.22700000000000001</v>
      </c>
    </row>
    <row r="3478" spans="1:8" x14ac:dyDescent="0.3">
      <c r="A3478" t="s">
        <v>8793</v>
      </c>
      <c r="B3478" t="s">
        <v>26951</v>
      </c>
      <c r="C3478" t="s">
        <v>8822</v>
      </c>
      <c r="D3478" t="s">
        <v>8821</v>
      </c>
      <c r="E3478" s="2" t="s">
        <v>66</v>
      </c>
      <c r="F3478" t="s">
        <v>8820</v>
      </c>
      <c r="G3478" t="str">
        <f>HYPERLINK("https://www.ekn.kr/web/view.php?key=20250608029543906")</f>
        <v>https://www.ekn.kr/web/view.php?key=20250608029543906</v>
      </c>
      <c r="H3478">
        <v>0.54400000000000004</v>
      </c>
    </row>
    <row r="3479" spans="1:8" x14ac:dyDescent="0.3">
      <c r="A3479" t="s">
        <v>8793</v>
      </c>
      <c r="B3479" t="s">
        <v>26951</v>
      </c>
      <c r="C3479" t="s">
        <v>8824</v>
      </c>
      <c r="D3479" t="s">
        <v>8823</v>
      </c>
      <c r="E3479" s="2" t="s">
        <v>66</v>
      </c>
      <c r="F3479" t="s">
        <v>1195</v>
      </c>
      <c r="G3479" t="str">
        <f>HYPERLINK("http://www.metroseoul.co.kr/article/20250316500143")</f>
        <v>http://www.metroseoul.co.kr/article/20250316500143</v>
      </c>
      <c r="H3479">
        <v>0.378</v>
      </c>
    </row>
    <row r="3480" spans="1:8" x14ac:dyDescent="0.3">
      <c r="A3480" t="s">
        <v>8793</v>
      </c>
      <c r="B3480" t="s">
        <v>26951</v>
      </c>
      <c r="C3480" t="s">
        <v>8827</v>
      </c>
      <c r="D3480" t="s">
        <v>8826</v>
      </c>
      <c r="E3480" s="2" t="s">
        <v>74</v>
      </c>
      <c r="F3480" t="s">
        <v>8825</v>
      </c>
      <c r="G3480" t="str">
        <f>HYPERLINK("http://www.breaknews.com/992281")</f>
        <v>http://www.breaknews.com/992281</v>
      </c>
      <c r="H3480">
        <v>0.53400000000000003</v>
      </c>
    </row>
    <row r="3481" spans="1:8" x14ac:dyDescent="0.3">
      <c r="A3481" t="s">
        <v>8793</v>
      </c>
      <c r="B3481" t="s">
        <v>26951</v>
      </c>
      <c r="C3481" t="s">
        <v>8830</v>
      </c>
      <c r="D3481" t="s">
        <v>8829</v>
      </c>
      <c r="E3481" s="2" t="s">
        <v>74</v>
      </c>
      <c r="F3481" t="s">
        <v>8828</v>
      </c>
      <c r="G3481" t="str">
        <f>HYPERLINK("https://n.news.naver.com/mnews/article/018/0005747047?sid=103")</f>
        <v>https://n.news.naver.com/mnews/article/018/0005747047?sid=103</v>
      </c>
      <c r="H3481">
        <v>0.38100000000000001</v>
      </c>
    </row>
    <row r="3482" spans="1:8" x14ac:dyDescent="0.3">
      <c r="A3482" t="s">
        <v>8793</v>
      </c>
      <c r="B3482" t="s">
        <v>26951</v>
      </c>
      <c r="C3482" t="s">
        <v>8833</v>
      </c>
      <c r="D3482" t="s">
        <v>8832</v>
      </c>
      <c r="E3482" s="2" t="s">
        <v>74</v>
      </c>
      <c r="F3482" t="s">
        <v>8831</v>
      </c>
      <c r="G3482" t="str">
        <f>HYPERLINK("http://ch.yes24.com/Article/View/37086")</f>
        <v>http://ch.yes24.com/Article/View/37086</v>
      </c>
      <c r="H3482">
        <v>0.54200000000000004</v>
      </c>
    </row>
    <row r="3483" spans="1:8" x14ac:dyDescent="0.3">
      <c r="A3483" t="s">
        <v>8793</v>
      </c>
      <c r="B3483" t="s">
        <v>26951</v>
      </c>
      <c r="C3483" t="s">
        <v>8836</v>
      </c>
      <c r="D3483" t="s">
        <v>8835</v>
      </c>
      <c r="E3483" s="2" t="s">
        <v>74</v>
      </c>
      <c r="F3483" t="s">
        <v>8834</v>
      </c>
      <c r="G3483" t="str">
        <f>HYPERLINK("http://www.00news.co.kr/news/articleView.html?idxno=95130")</f>
        <v>http://www.00news.co.kr/news/articleView.html?idxno=95130</v>
      </c>
      <c r="H3483">
        <v>0.53400000000000003</v>
      </c>
    </row>
    <row r="3484" spans="1:8" x14ac:dyDescent="0.3">
      <c r="A3484" t="s">
        <v>8793</v>
      </c>
      <c r="B3484" t="s">
        <v>26951</v>
      </c>
      <c r="C3484" t="s">
        <v>8839</v>
      </c>
      <c r="D3484" t="s">
        <v>8838</v>
      </c>
      <c r="E3484" s="2" t="s">
        <v>105</v>
      </c>
      <c r="F3484" t="s">
        <v>8837</v>
      </c>
      <c r="G3484" t="str">
        <f>HYPERLINK("http://www.jemin.com/news/articleView.html?idxno=300477")</f>
        <v>http://www.jemin.com/news/articleView.html?idxno=300477</v>
      </c>
      <c r="H3484">
        <v>0.24199999999999999</v>
      </c>
    </row>
    <row r="3485" spans="1:8" x14ac:dyDescent="0.3">
      <c r="A3485" t="s">
        <v>8793</v>
      </c>
      <c r="B3485" t="s">
        <v>26951</v>
      </c>
      <c r="C3485" t="s">
        <v>8842</v>
      </c>
      <c r="D3485" t="s">
        <v>8841</v>
      </c>
      <c r="E3485" s="2" t="s">
        <v>105</v>
      </c>
      <c r="F3485" t="s">
        <v>8840</v>
      </c>
      <c r="G3485" t="str">
        <f>HYPERLINK("https://n.news.naver.com/mnews/article/469/0000065874?sid=101")</f>
        <v>https://n.news.naver.com/mnews/article/469/0000065874?sid=101</v>
      </c>
      <c r="H3485">
        <v>0.26200000000000001</v>
      </c>
    </row>
    <row r="3486" spans="1:8" x14ac:dyDescent="0.3">
      <c r="A3486" t="s">
        <v>8793</v>
      </c>
      <c r="B3486" t="s">
        <v>26951</v>
      </c>
      <c r="C3486" t="s">
        <v>8845</v>
      </c>
      <c r="D3486" t="s">
        <v>8844</v>
      </c>
      <c r="E3486" s="2" t="s">
        <v>105</v>
      </c>
      <c r="F3486" t="s">
        <v>8843</v>
      </c>
      <c r="G3486" t="str">
        <f>HYPERLINK("https://www.forbeskorea.co.kr/news/articleView.html?idxno=400314")</f>
        <v>https://www.forbeskorea.co.kr/news/articleView.html?idxno=400314</v>
      </c>
      <c r="H3486">
        <v>0.48399999999999999</v>
      </c>
    </row>
    <row r="3487" spans="1:8" x14ac:dyDescent="0.3">
      <c r="A3487" t="s">
        <v>8793</v>
      </c>
      <c r="B3487" t="s">
        <v>26951</v>
      </c>
      <c r="C3487" t="s">
        <v>8847</v>
      </c>
      <c r="D3487" t="s">
        <v>8846</v>
      </c>
      <c r="E3487" s="2" t="s">
        <v>105</v>
      </c>
      <c r="F3487" t="s">
        <v>2517</v>
      </c>
      <c r="G3487" t="str">
        <f>HYPERLINK("http://www.ktsketch.co.kr/news/articleView.html?idxno=4963")</f>
        <v>http://www.ktsketch.co.kr/news/articleView.html?idxno=4963</v>
      </c>
      <c r="H3487">
        <v>0.47199999999999998</v>
      </c>
    </row>
    <row r="3488" spans="1:8" x14ac:dyDescent="0.3">
      <c r="A3488" t="s">
        <v>8793</v>
      </c>
      <c r="B3488" t="s">
        <v>26951</v>
      </c>
      <c r="C3488" t="s">
        <v>8850</v>
      </c>
      <c r="D3488" t="s">
        <v>8849</v>
      </c>
      <c r="E3488" s="2" t="s">
        <v>105</v>
      </c>
      <c r="F3488" t="s">
        <v>8848</v>
      </c>
      <c r="G3488" t="str">
        <f>HYPERLINK("http://www.kyosu.net/news/articleView.html?idxno=138191")</f>
        <v>http://www.kyosu.net/news/articleView.html?idxno=138191</v>
      </c>
      <c r="H3488">
        <v>0.47799999999999998</v>
      </c>
    </row>
    <row r="3489" spans="1:8" x14ac:dyDescent="0.3">
      <c r="A3489" t="s">
        <v>8793</v>
      </c>
      <c r="B3489" t="s">
        <v>26951</v>
      </c>
      <c r="C3489" t="s">
        <v>8853</v>
      </c>
      <c r="D3489" t="s">
        <v>8852</v>
      </c>
      <c r="E3489" s="2" t="s">
        <v>105</v>
      </c>
      <c r="F3489" t="s">
        <v>8851</v>
      </c>
      <c r="G3489" t="str">
        <f>HYPERLINK("http://jmagazine.joins.com/monthly/view/338907")</f>
        <v>http://jmagazine.joins.com/monthly/view/338907</v>
      </c>
      <c r="H3489">
        <v>0.48699999999999999</v>
      </c>
    </row>
    <row r="3490" spans="1:8" x14ac:dyDescent="0.3">
      <c r="A3490" t="s">
        <v>8793</v>
      </c>
      <c r="B3490" t="s">
        <v>26951</v>
      </c>
      <c r="C3490" t="s">
        <v>8856</v>
      </c>
      <c r="D3490" t="s">
        <v>8855</v>
      </c>
      <c r="E3490" s="2" t="s">
        <v>105</v>
      </c>
      <c r="F3490" t="s">
        <v>8854</v>
      </c>
      <c r="G3490" t="str">
        <f>HYPERLINK("https://n.news.naver.com/mnews/article/469/0000253301?sid=102")</f>
        <v>https://n.news.naver.com/mnews/article/469/0000253301?sid=102</v>
      </c>
      <c r="H3490">
        <v>0.23899999999999999</v>
      </c>
    </row>
    <row r="3491" spans="1:8" x14ac:dyDescent="0.3">
      <c r="A3491" t="s">
        <v>8793</v>
      </c>
      <c r="B3491" t="s">
        <v>26951</v>
      </c>
      <c r="C3491" t="s">
        <v>8859</v>
      </c>
      <c r="D3491" t="s">
        <v>8858</v>
      </c>
      <c r="E3491" s="2" t="s">
        <v>133</v>
      </c>
      <c r="F3491" t="s">
        <v>8857</v>
      </c>
      <c r="G3491" t="str">
        <f>HYPERLINK("https://www.hyunbulnews.com/news/articleView.html?idxno=419962")</f>
        <v>https://www.hyunbulnews.com/news/articleView.html?idxno=419962</v>
      </c>
      <c r="H3491">
        <v>0.54200000000000004</v>
      </c>
    </row>
    <row r="3492" spans="1:8" x14ac:dyDescent="0.3">
      <c r="A3492" t="s">
        <v>8793</v>
      </c>
      <c r="B3492" t="s">
        <v>26951</v>
      </c>
      <c r="C3492" t="s">
        <v>8861</v>
      </c>
      <c r="D3492" t="s">
        <v>8860</v>
      </c>
      <c r="E3492" s="2" t="s">
        <v>133</v>
      </c>
      <c r="F3492" t="s">
        <v>796</v>
      </c>
      <c r="G3492" t="str">
        <f>HYPERLINK("http://www.koreatimes.com/article/1090097")</f>
        <v>http://www.koreatimes.com/article/1090097</v>
      </c>
      <c r="H3492">
        <v>0.36299999999999999</v>
      </c>
    </row>
    <row r="3493" spans="1:8" x14ac:dyDescent="0.3">
      <c r="A3493" t="s">
        <v>8793</v>
      </c>
      <c r="B3493" t="s">
        <v>26951</v>
      </c>
      <c r="C3493" t="s">
        <v>8864</v>
      </c>
      <c r="D3493" t="s">
        <v>8863</v>
      </c>
      <c r="E3493" s="2" t="s">
        <v>133</v>
      </c>
      <c r="F3493" t="s">
        <v>8862</v>
      </c>
      <c r="G3493" t="str">
        <f>HYPERLINK("https://www.yeongnam.com/web/view.php?key=20250624022078165")</f>
        <v>https://www.yeongnam.com/web/view.php?key=20250624022078165</v>
      </c>
      <c r="H3493">
        <v>0.58299999999999996</v>
      </c>
    </row>
    <row r="3494" spans="1:8" x14ac:dyDescent="0.3">
      <c r="A3494" t="s">
        <v>8793</v>
      </c>
      <c r="B3494" t="s">
        <v>26951</v>
      </c>
      <c r="C3494" t="s">
        <v>8866</v>
      </c>
      <c r="D3494" t="s">
        <v>8865</v>
      </c>
      <c r="E3494" s="2" t="s">
        <v>133</v>
      </c>
      <c r="F3494" t="s">
        <v>1386</v>
      </c>
      <c r="G3494" t="str">
        <f>HYPERLINK("https://www.geconomy.co.kr/news/article.html?no=291967")</f>
        <v>https://www.geconomy.co.kr/news/article.html?no=291967</v>
      </c>
      <c r="H3494">
        <v>0.18099999999999999</v>
      </c>
    </row>
    <row r="3495" spans="1:8" x14ac:dyDescent="0.3">
      <c r="A3495" t="s">
        <v>8793</v>
      </c>
      <c r="B3495" t="s">
        <v>26951</v>
      </c>
      <c r="C3495" t="s">
        <v>8869</v>
      </c>
      <c r="D3495" t="s">
        <v>8868</v>
      </c>
      <c r="E3495" s="2" t="s">
        <v>133</v>
      </c>
      <c r="F3495" t="s">
        <v>8867</v>
      </c>
      <c r="G3495" t="str">
        <f>HYPERLINK("http://www.ilyoseoul.co.kr/news/articleView.html?idxno=444396")</f>
        <v>http://www.ilyoseoul.co.kr/news/articleView.html?idxno=444396</v>
      </c>
      <c r="H3495">
        <v>0.503</v>
      </c>
    </row>
    <row r="3496" spans="1:8" x14ac:dyDescent="0.3">
      <c r="A3496" t="s">
        <v>8793</v>
      </c>
      <c r="B3496" t="s">
        <v>26951</v>
      </c>
      <c r="C3496" t="s">
        <v>8871</v>
      </c>
      <c r="D3496" t="s">
        <v>8870</v>
      </c>
      <c r="E3496" s="2" t="s">
        <v>133</v>
      </c>
      <c r="F3496" t="s">
        <v>857</v>
      </c>
      <c r="G3496" t="str">
        <f>HYPERLINK("https://www.apnews.kr/news/articleView.html?idxno=3036701")</f>
        <v>https://www.apnews.kr/news/articleView.html?idxno=3036701</v>
      </c>
      <c r="H3496">
        <v>0.31900000000000001</v>
      </c>
    </row>
    <row r="3497" spans="1:8" x14ac:dyDescent="0.3">
      <c r="A3497" t="s">
        <v>8793</v>
      </c>
      <c r="B3497" t="s">
        <v>26951</v>
      </c>
      <c r="C3497" t="s">
        <v>8874</v>
      </c>
      <c r="D3497" t="s">
        <v>8873</v>
      </c>
      <c r="E3497" s="2" t="s">
        <v>133</v>
      </c>
      <c r="F3497" t="s">
        <v>8872</v>
      </c>
      <c r="G3497" t="str">
        <f>HYPERLINK("http://www.seoulwire.com/news/articleView.html?idxno=402060")</f>
        <v>http://www.seoulwire.com/news/articleView.html?idxno=402060</v>
      </c>
      <c r="H3497">
        <v>0.29299999999999998</v>
      </c>
    </row>
    <row r="3498" spans="1:8" x14ac:dyDescent="0.3">
      <c r="A3498" t="s">
        <v>8793</v>
      </c>
      <c r="B3498" t="s">
        <v>26951</v>
      </c>
      <c r="C3498" t="s">
        <v>8877</v>
      </c>
      <c r="D3498" t="s">
        <v>8876</v>
      </c>
      <c r="E3498" s="2" t="s">
        <v>133</v>
      </c>
      <c r="F3498" t="s">
        <v>8875</v>
      </c>
      <c r="G3498" t="str">
        <f>HYPERLINK("https://n.news.naver.com/mnews/article/469/0000872131?sid=100")</f>
        <v>https://n.news.naver.com/mnews/article/469/0000872131?sid=100</v>
      </c>
      <c r="H3498">
        <v>0.32300000000000001</v>
      </c>
    </row>
    <row r="3499" spans="1:8" x14ac:dyDescent="0.3">
      <c r="A3499" t="s">
        <v>8793</v>
      </c>
      <c r="B3499" t="s">
        <v>26951</v>
      </c>
      <c r="C3499" t="s">
        <v>8879</v>
      </c>
      <c r="D3499" t="s">
        <v>8878</v>
      </c>
      <c r="E3499" s="2" t="s">
        <v>172</v>
      </c>
      <c r="F3499" t="s">
        <v>2315</v>
      </c>
      <c r="G3499" t="str">
        <f>HYPERLINK("https://n.news.naver.com/mnews/article/469/0000872262?sid=103")</f>
        <v>https://n.news.naver.com/mnews/article/469/0000872262?sid=103</v>
      </c>
      <c r="H3499">
        <v>0.32800000000000001</v>
      </c>
    </row>
    <row r="3500" spans="1:8" x14ac:dyDescent="0.3">
      <c r="A3500" t="s">
        <v>8793</v>
      </c>
      <c r="B3500" t="s">
        <v>26951</v>
      </c>
      <c r="C3500" t="s">
        <v>8881</v>
      </c>
      <c r="D3500" t="s">
        <v>8880</v>
      </c>
      <c r="E3500" s="2" t="s">
        <v>172</v>
      </c>
      <c r="F3500" t="s">
        <v>2697</v>
      </c>
      <c r="G3500" t="str">
        <f>HYPERLINK("https://www.fortunekorea.co.kr/news/articleView.html?idxno=38669")</f>
        <v>https://www.fortunekorea.co.kr/news/articleView.html?idxno=38669</v>
      </c>
      <c r="H3500">
        <v>0.65900000000000003</v>
      </c>
    </row>
    <row r="3501" spans="1:8" x14ac:dyDescent="0.3">
      <c r="A3501" t="s">
        <v>8793</v>
      </c>
      <c r="B3501" t="s">
        <v>26951</v>
      </c>
      <c r="C3501" t="s">
        <v>8884</v>
      </c>
      <c r="D3501" t="s">
        <v>8883</v>
      </c>
      <c r="E3501" s="2" t="s">
        <v>172</v>
      </c>
      <c r="F3501" t="s">
        <v>8882</v>
      </c>
      <c r="G3501" t="str">
        <f>HYPERLINK("http://www.tournews21.com/news/articleView.html?idxno=67831")</f>
        <v>http://www.tournews21.com/news/articleView.html?idxno=67831</v>
      </c>
      <c r="H3501">
        <v>0.30099999999999999</v>
      </c>
    </row>
    <row r="3502" spans="1:8" x14ac:dyDescent="0.3">
      <c r="A3502" t="s">
        <v>8793</v>
      </c>
      <c r="B3502" t="s">
        <v>26951</v>
      </c>
      <c r="C3502" t="s">
        <v>8886</v>
      </c>
      <c r="D3502" t="s">
        <v>8885</v>
      </c>
      <c r="E3502" s="2" t="s">
        <v>172</v>
      </c>
      <c r="F3502" t="s">
        <v>235</v>
      </c>
      <c r="G3502" t="str">
        <f>HYPERLINK("https://n.news.naver.com/mnews/article/469/0000872269?sid=104")</f>
        <v>https://n.news.naver.com/mnews/article/469/0000872269?sid=104</v>
      </c>
      <c r="H3502">
        <v>0.26600000000000001</v>
      </c>
    </row>
    <row r="3503" spans="1:8" x14ac:dyDescent="0.3">
      <c r="A3503" t="s">
        <v>8793</v>
      </c>
      <c r="B3503" t="s">
        <v>26951</v>
      </c>
      <c r="C3503" t="s">
        <v>8889</v>
      </c>
      <c r="D3503" t="s">
        <v>8888</v>
      </c>
      <c r="E3503" s="2" t="s">
        <v>172</v>
      </c>
      <c r="F3503" t="s">
        <v>8887</v>
      </c>
      <c r="G3503" t="str">
        <f>HYPERLINK("https://n.news.naver.com/mnews/article/052/0002210400?sid=104")</f>
        <v>https://n.news.naver.com/mnews/article/052/0002210400?sid=104</v>
      </c>
      <c r="H3503">
        <v>0.37</v>
      </c>
    </row>
    <row r="3504" spans="1:8" x14ac:dyDescent="0.3">
      <c r="A3504" t="s">
        <v>8793</v>
      </c>
      <c r="B3504" t="s">
        <v>26951</v>
      </c>
      <c r="C3504" t="s">
        <v>8892</v>
      </c>
      <c r="D3504" t="s">
        <v>8891</v>
      </c>
      <c r="E3504" s="2" t="s">
        <v>172</v>
      </c>
      <c r="F3504" t="s">
        <v>8890</v>
      </c>
      <c r="G3504" t="str">
        <f>HYPERLINK("https://n.news.naver.com/mnews/article/018/0006048493?sid=104")</f>
        <v>https://n.news.naver.com/mnews/article/018/0006048493?sid=104</v>
      </c>
      <c r="H3504">
        <v>0.20499999999999999</v>
      </c>
    </row>
    <row r="3505" spans="1:8" x14ac:dyDescent="0.3">
      <c r="A3505" t="s">
        <v>8793</v>
      </c>
      <c r="B3505" t="s">
        <v>26951</v>
      </c>
      <c r="C3505" t="s">
        <v>8894</v>
      </c>
      <c r="D3505" t="s">
        <v>8893</v>
      </c>
      <c r="E3505" s="2" t="s">
        <v>172</v>
      </c>
      <c r="F3505" t="s">
        <v>8890</v>
      </c>
      <c r="G3505" t="str">
        <f>HYPERLINK("https://n.news.naver.com/mnews/article/018/0006048493?sid=104")</f>
        <v>https://n.news.naver.com/mnews/article/018/0006048493?sid=104</v>
      </c>
      <c r="H3505">
        <v>0.23499999999999999</v>
      </c>
    </row>
    <row r="3506" spans="1:8" x14ac:dyDescent="0.3">
      <c r="A3506" t="s">
        <v>8793</v>
      </c>
      <c r="B3506" t="s">
        <v>26951</v>
      </c>
      <c r="C3506" t="s">
        <v>8897</v>
      </c>
      <c r="D3506" t="s">
        <v>8896</v>
      </c>
      <c r="E3506" s="2" t="s">
        <v>172</v>
      </c>
      <c r="F3506" t="s">
        <v>8895</v>
      </c>
      <c r="G3506" t="str">
        <f>HYPERLINK("http://www.ksilbo.co.kr/news/articleView.html?idxno=524139")</f>
        <v>http://www.ksilbo.co.kr/news/articleView.html?idxno=524139</v>
      </c>
      <c r="H3506">
        <v>0.66700000000000004</v>
      </c>
    </row>
    <row r="3507" spans="1:8" x14ac:dyDescent="0.3">
      <c r="A3507" t="s">
        <v>8793</v>
      </c>
      <c r="B3507" t="s">
        <v>26951</v>
      </c>
      <c r="C3507" t="s">
        <v>8899</v>
      </c>
      <c r="D3507" t="s">
        <v>8898</v>
      </c>
      <c r="E3507" s="2" t="s">
        <v>196</v>
      </c>
      <c r="F3507" t="s">
        <v>327</v>
      </c>
      <c r="G3507" t="str">
        <f>HYPERLINK("http://www.enewstoday.co.kr/news/articleView.html?idxno=2293142")</f>
        <v>http://www.enewstoday.co.kr/news/articleView.html?idxno=2293142</v>
      </c>
      <c r="H3507">
        <v>0.68700000000000006</v>
      </c>
    </row>
    <row r="3508" spans="1:8" x14ac:dyDescent="0.3">
      <c r="A3508" t="s">
        <v>8793</v>
      </c>
      <c r="B3508" t="s">
        <v>26951</v>
      </c>
      <c r="C3508" t="s">
        <v>8902</v>
      </c>
      <c r="D3508" t="s">
        <v>8901</v>
      </c>
      <c r="E3508" s="2" t="s">
        <v>196</v>
      </c>
      <c r="F3508" t="s">
        <v>8900</v>
      </c>
      <c r="G3508" t="str">
        <f>HYPERLINK("https://www.hangyo.com/news/article.html?no=104735")</f>
        <v>https://www.hangyo.com/news/article.html?no=104735</v>
      </c>
      <c r="H3508">
        <v>0.52800000000000002</v>
      </c>
    </row>
    <row r="3509" spans="1:8" x14ac:dyDescent="0.3">
      <c r="A3509" t="s">
        <v>8793</v>
      </c>
      <c r="B3509" t="s">
        <v>26951</v>
      </c>
      <c r="C3509" t="s">
        <v>8904</v>
      </c>
      <c r="D3509" t="s">
        <v>8903</v>
      </c>
      <c r="E3509" s="2" t="s">
        <v>196</v>
      </c>
      <c r="F3509" t="s">
        <v>3349</v>
      </c>
      <c r="G3509" t="str">
        <f>HYPERLINK("https://n.news.naver.com/mnews/article/469/0000872077?sid=102")</f>
        <v>https://n.news.naver.com/mnews/article/469/0000872077?sid=102</v>
      </c>
      <c r="H3509">
        <v>0.26300000000000001</v>
      </c>
    </row>
    <row r="3510" spans="1:8" x14ac:dyDescent="0.3">
      <c r="A3510" t="s">
        <v>8793</v>
      </c>
      <c r="B3510" t="s">
        <v>26951</v>
      </c>
      <c r="C3510" t="s">
        <v>8907</v>
      </c>
      <c r="D3510" t="s">
        <v>8906</v>
      </c>
      <c r="E3510" s="2" t="s">
        <v>196</v>
      </c>
      <c r="F3510" t="s">
        <v>8905</v>
      </c>
      <c r="G3510" t="str">
        <f>HYPERLINK("http://www.ggilbo.com/news/articleView.html?idxno=739946")</f>
        <v>http://www.ggilbo.com/news/articleView.html?idxno=739946</v>
      </c>
      <c r="H3510">
        <v>0.61099999999999999</v>
      </c>
    </row>
    <row r="3511" spans="1:8" x14ac:dyDescent="0.3">
      <c r="A3511" t="s">
        <v>8793</v>
      </c>
      <c r="B3511" t="s">
        <v>26951</v>
      </c>
      <c r="C3511" t="s">
        <v>8910</v>
      </c>
      <c r="D3511" t="s">
        <v>8909</v>
      </c>
      <c r="E3511" s="2" t="s">
        <v>196</v>
      </c>
      <c r="F3511" t="s">
        <v>8908</v>
      </c>
      <c r="G3511" t="str">
        <f>HYPERLINK("http://ch.yes24.com/Article/View/38154")</f>
        <v>http://ch.yes24.com/Article/View/38154</v>
      </c>
      <c r="H3511">
        <v>0.60299999999999998</v>
      </c>
    </row>
    <row r="3512" spans="1:8" x14ac:dyDescent="0.3">
      <c r="A3512" t="s">
        <v>8793</v>
      </c>
      <c r="B3512" t="s">
        <v>26951</v>
      </c>
      <c r="C3512" t="s">
        <v>8912</v>
      </c>
      <c r="D3512" t="s">
        <v>8911</v>
      </c>
      <c r="E3512" s="2" t="s">
        <v>196</v>
      </c>
      <c r="F3512" t="s">
        <v>184</v>
      </c>
      <c r="G3512" t="str">
        <f>HYPERLINK("http://news.lghellovision.net/news/articleView.html?idxno=511210")</f>
        <v>http://news.lghellovision.net/news/articleView.html?idxno=511210</v>
      </c>
      <c r="H3512">
        <v>0.66700000000000004</v>
      </c>
    </row>
    <row r="3513" spans="1:8" x14ac:dyDescent="0.3">
      <c r="A3513" t="s">
        <v>8793</v>
      </c>
      <c r="B3513" t="s">
        <v>26951</v>
      </c>
      <c r="C3513" t="s">
        <v>8915</v>
      </c>
      <c r="D3513" t="s">
        <v>8914</v>
      </c>
      <c r="E3513" s="2" t="s">
        <v>230</v>
      </c>
      <c r="F3513" t="s">
        <v>8913</v>
      </c>
      <c r="G3513" t="str">
        <f>HYPERLINK("https://n.news.naver.com/mnews/article/469/0000825932?sid=110")</f>
        <v>https://n.news.naver.com/mnews/article/469/0000825932?sid=110</v>
      </c>
      <c r="H3513">
        <v>0.161</v>
      </c>
    </row>
    <row r="3514" spans="1:8" x14ac:dyDescent="0.3">
      <c r="A3514" t="s">
        <v>8793</v>
      </c>
      <c r="B3514" t="s">
        <v>26951</v>
      </c>
      <c r="C3514" t="s">
        <v>8917</v>
      </c>
      <c r="D3514" t="s">
        <v>8916</v>
      </c>
      <c r="E3514" s="2" t="s">
        <v>230</v>
      </c>
      <c r="F3514" t="s">
        <v>1090</v>
      </c>
      <c r="G3514" t="str">
        <f>HYPERLINK("https://n.news.naver.com/mnews/article/277/0005615828?sid=102")</f>
        <v>https://n.news.naver.com/mnews/article/277/0005615828?sid=102</v>
      </c>
      <c r="H3514">
        <v>0.23400000000000001</v>
      </c>
    </row>
    <row r="3515" spans="1:8" x14ac:dyDescent="0.3">
      <c r="A3515" t="s">
        <v>8793</v>
      </c>
      <c r="B3515" t="s">
        <v>26951</v>
      </c>
      <c r="C3515" t="s">
        <v>8920</v>
      </c>
      <c r="D3515" t="s">
        <v>8919</v>
      </c>
      <c r="E3515" s="2" t="s">
        <v>230</v>
      </c>
      <c r="F3515" t="s">
        <v>8918</v>
      </c>
      <c r="G3515" t="str">
        <f>HYPERLINK("http://www.fntoday.co.kr/news/articleView.html?idxno=337603")</f>
        <v>http://www.fntoday.co.kr/news/articleView.html?idxno=337603</v>
      </c>
      <c r="H3515">
        <v>0.48499999999999999</v>
      </c>
    </row>
    <row r="3516" spans="1:8" x14ac:dyDescent="0.3">
      <c r="A3516" t="s">
        <v>8793</v>
      </c>
      <c r="B3516" t="s">
        <v>26951</v>
      </c>
      <c r="C3516" t="s">
        <v>8923</v>
      </c>
      <c r="D3516" t="s">
        <v>8922</v>
      </c>
      <c r="E3516" s="2" t="s">
        <v>230</v>
      </c>
      <c r="F3516" t="s">
        <v>8921</v>
      </c>
      <c r="G3516" t="str">
        <f>HYPERLINK("https://www.m-joongang.com/news/articleView.html?idxno=401220")</f>
        <v>https://www.m-joongang.com/news/articleView.html?idxno=401220</v>
      </c>
      <c r="H3516">
        <v>0.36</v>
      </c>
    </row>
    <row r="3517" spans="1:8" x14ac:dyDescent="0.3">
      <c r="A3517" t="s">
        <v>8793</v>
      </c>
      <c r="B3517" t="s">
        <v>26951</v>
      </c>
      <c r="C3517" t="s">
        <v>8924</v>
      </c>
      <c r="D3517" t="s">
        <v>6874</v>
      </c>
      <c r="E3517" s="2" t="s">
        <v>230</v>
      </c>
      <c r="F3517" t="s">
        <v>6521</v>
      </c>
      <c r="G3517" t="str">
        <f>HYPERLINK("https://n.news.naver.com/mnews/article/119/0002973447?sid=102")</f>
        <v>https://n.news.naver.com/mnews/article/119/0002973447?sid=102</v>
      </c>
      <c r="H3517">
        <v>0.11799999999999999</v>
      </c>
    </row>
    <row r="3518" spans="1:8" x14ac:dyDescent="0.3">
      <c r="A3518" t="s">
        <v>8793</v>
      </c>
      <c r="B3518" t="s">
        <v>26951</v>
      </c>
      <c r="C3518" t="s">
        <v>8926</v>
      </c>
      <c r="D3518" t="s">
        <v>8925</v>
      </c>
      <c r="E3518" s="2" t="s">
        <v>230</v>
      </c>
      <c r="F3518" t="s">
        <v>89</v>
      </c>
      <c r="G3518" t="str">
        <f>HYPERLINK("http://www.ifs.or.kr/bbs/board.php?bo_table=News&amp;wr_id=4283")</f>
        <v>http://www.ifs.or.kr/bbs/board.php?bo_table=News&amp;wr_id=4283</v>
      </c>
      <c r="H3518">
        <v>0.44700000000000001</v>
      </c>
    </row>
    <row r="3519" spans="1:8" x14ac:dyDescent="0.3">
      <c r="A3519" t="s">
        <v>8793</v>
      </c>
      <c r="B3519" t="s">
        <v>26951</v>
      </c>
      <c r="C3519" t="s">
        <v>8929</v>
      </c>
      <c r="D3519" t="s">
        <v>8928</v>
      </c>
      <c r="E3519" s="2" t="s">
        <v>267</v>
      </c>
      <c r="F3519" t="s">
        <v>8927</v>
      </c>
      <c r="G3519" t="str">
        <f>HYPERLINK("https://www.livesnews.com/news/article.html?no=51733")</f>
        <v>https://www.livesnews.com/news/article.html?no=51733</v>
      </c>
      <c r="H3519">
        <v>0.93500000000000005</v>
      </c>
    </row>
    <row r="3520" spans="1:8" x14ac:dyDescent="0.3">
      <c r="A3520" t="s">
        <v>8793</v>
      </c>
      <c r="B3520" t="s">
        <v>26951</v>
      </c>
      <c r="C3520" t="s">
        <v>8932</v>
      </c>
      <c r="D3520" t="s">
        <v>8931</v>
      </c>
      <c r="E3520" s="2" t="s">
        <v>267</v>
      </c>
      <c r="F3520" t="s">
        <v>8930</v>
      </c>
      <c r="G3520" t="str">
        <f>HYPERLINK("https://n.news.naver.com/mnews/article/469/0000871697?sid=104")</f>
        <v>https://n.news.naver.com/mnews/article/469/0000871697?sid=104</v>
      </c>
      <c r="H3520">
        <v>0.253</v>
      </c>
    </row>
    <row r="3521" spans="1:8" x14ac:dyDescent="0.3">
      <c r="A3521" t="s">
        <v>8793</v>
      </c>
      <c r="B3521" t="s">
        <v>26951</v>
      </c>
      <c r="C3521" t="s">
        <v>8934</v>
      </c>
      <c r="D3521" t="s">
        <v>8933</v>
      </c>
      <c r="E3521" s="2" t="s">
        <v>267</v>
      </c>
      <c r="F3521" t="s">
        <v>805</v>
      </c>
      <c r="G3521" t="str">
        <f>HYPERLINK("https://n.news.naver.com/mnews/article/469/0000871723?sid=100")</f>
        <v>https://n.news.naver.com/mnews/article/469/0000871723?sid=100</v>
      </c>
      <c r="H3521">
        <v>0.21199999999999999</v>
      </c>
    </row>
    <row r="3522" spans="1:8" x14ac:dyDescent="0.3">
      <c r="A3522" t="s">
        <v>8793</v>
      </c>
      <c r="B3522" t="s">
        <v>26951</v>
      </c>
      <c r="C3522" t="s">
        <v>8936</v>
      </c>
      <c r="D3522" t="s">
        <v>8935</v>
      </c>
      <c r="E3522" s="2" t="s">
        <v>267</v>
      </c>
      <c r="F3522" t="s">
        <v>3173</v>
      </c>
      <c r="G3522" t="str">
        <f>HYPERLINK("https://www.cctoday.co.kr/news/articleView.html?idxno=2206158")</f>
        <v>https://www.cctoday.co.kr/news/articleView.html?idxno=2206158</v>
      </c>
      <c r="H3522">
        <v>0.26200000000000001</v>
      </c>
    </row>
    <row r="3523" spans="1:8" x14ac:dyDescent="0.3">
      <c r="A3523" t="s">
        <v>8793</v>
      </c>
      <c r="B3523" t="s">
        <v>26951</v>
      </c>
      <c r="C3523" t="s">
        <v>8938</v>
      </c>
      <c r="D3523" t="s">
        <v>8937</v>
      </c>
      <c r="E3523" s="2" t="s">
        <v>267</v>
      </c>
      <c r="F3523" t="s">
        <v>2046</v>
      </c>
      <c r="G3523" t="str">
        <f>HYPERLINK("https://n.news.naver.com/mnews/article/469/0000323494?sid=101")</f>
        <v>https://n.news.naver.com/mnews/article/469/0000323494?sid=101</v>
      </c>
      <c r="H3523">
        <v>0.27800000000000002</v>
      </c>
    </row>
    <row r="3524" spans="1:8" x14ac:dyDescent="0.3">
      <c r="A3524" t="s">
        <v>8793</v>
      </c>
      <c r="B3524" t="s">
        <v>26951</v>
      </c>
      <c r="C3524" t="s">
        <v>8941</v>
      </c>
      <c r="D3524" t="s">
        <v>8940</v>
      </c>
      <c r="E3524" s="2" t="s">
        <v>267</v>
      </c>
      <c r="F3524" t="s">
        <v>8939</v>
      </c>
      <c r="G3524" t="str">
        <f>HYPERLINK("http://www.newscj.com/news/articleView.html?idxno=944916")</f>
        <v>http://www.newscj.com/news/articleView.html?idxno=944916</v>
      </c>
      <c r="H3524">
        <v>0.224</v>
      </c>
    </row>
    <row r="3525" spans="1:8" x14ac:dyDescent="0.3">
      <c r="A3525" t="s">
        <v>8793</v>
      </c>
      <c r="B3525" t="s">
        <v>26951</v>
      </c>
      <c r="C3525" t="s">
        <v>8944</v>
      </c>
      <c r="D3525" t="s">
        <v>8943</v>
      </c>
      <c r="E3525" s="2" t="s">
        <v>267</v>
      </c>
      <c r="F3525" t="s">
        <v>8942</v>
      </c>
      <c r="G3525" t="str">
        <f>HYPERLINK("https://www.hyunbulnews.com/news/articleView.html?idxno=419962")</f>
        <v>https://www.hyunbulnews.com/news/articleView.html?idxno=419962</v>
      </c>
      <c r="H3525">
        <v>0.61</v>
      </c>
    </row>
    <row r="3526" spans="1:8" x14ac:dyDescent="0.3">
      <c r="A3526" t="s">
        <v>8793</v>
      </c>
      <c r="B3526" t="s">
        <v>26951</v>
      </c>
      <c r="C3526" t="s">
        <v>8947</v>
      </c>
      <c r="D3526" t="s">
        <v>8946</v>
      </c>
      <c r="E3526" s="2" t="s">
        <v>280</v>
      </c>
      <c r="F3526" t="s">
        <v>8945</v>
      </c>
      <c r="G3526" t="str">
        <f>HYPERLINK("https://n.news.naver.com/mnews/article/011/0002042356?sid=102")</f>
        <v>https://n.news.naver.com/mnews/article/011/0002042356?sid=102</v>
      </c>
      <c r="H3526">
        <v>0.16600000000000001</v>
      </c>
    </row>
    <row r="3527" spans="1:8" x14ac:dyDescent="0.3">
      <c r="A3527" t="s">
        <v>8793</v>
      </c>
      <c r="B3527" t="s">
        <v>26951</v>
      </c>
      <c r="C3527" t="s">
        <v>8950</v>
      </c>
      <c r="D3527" t="s">
        <v>8949</v>
      </c>
      <c r="E3527" s="2" t="s">
        <v>280</v>
      </c>
      <c r="F3527" t="s">
        <v>8948</v>
      </c>
      <c r="G3527" t="str">
        <f>HYPERLINK("https://daily.hankooki.com/news/articleView.html?idxno=1232646")</f>
        <v>https://daily.hankooki.com/news/articleView.html?idxno=1232646</v>
      </c>
      <c r="H3527">
        <v>0.97699999999999998</v>
      </c>
    </row>
    <row r="3528" spans="1:8" x14ac:dyDescent="0.3">
      <c r="A3528" t="s">
        <v>8793</v>
      </c>
      <c r="B3528" t="s">
        <v>26951</v>
      </c>
      <c r="C3528" t="s">
        <v>8953</v>
      </c>
      <c r="D3528" t="s">
        <v>8952</v>
      </c>
      <c r="E3528" s="2" t="s">
        <v>280</v>
      </c>
      <c r="F3528" t="s">
        <v>8951</v>
      </c>
      <c r="G3528" t="str">
        <f>HYPERLINK("http://www.kbmaeil.com/news/articleView.html?idxno=994709")</f>
        <v>http://www.kbmaeil.com/news/articleView.html?idxno=994709</v>
      </c>
      <c r="H3528">
        <v>0.49199999999999999</v>
      </c>
    </row>
    <row r="3529" spans="1:8" x14ac:dyDescent="0.3">
      <c r="A3529" t="s">
        <v>8793</v>
      </c>
      <c r="B3529" t="s">
        <v>26951</v>
      </c>
      <c r="C3529" t="s">
        <v>8956</v>
      </c>
      <c r="D3529" t="s">
        <v>8955</v>
      </c>
      <c r="E3529" s="2" t="s">
        <v>280</v>
      </c>
      <c r="F3529" t="s">
        <v>8954</v>
      </c>
      <c r="G3529" t="str">
        <f>HYPERLINK("https://www.greened.kr/news/articleView.html?idxno=313520")</f>
        <v>https://www.greened.kr/news/articleView.html?idxno=313520</v>
      </c>
      <c r="H3529">
        <v>0.68600000000000005</v>
      </c>
    </row>
    <row r="3530" spans="1:8" x14ac:dyDescent="0.3">
      <c r="A3530" t="s">
        <v>8793</v>
      </c>
      <c r="B3530" t="s">
        <v>26951</v>
      </c>
      <c r="C3530" t="s">
        <v>8958</v>
      </c>
      <c r="D3530" t="s">
        <v>8957</v>
      </c>
      <c r="E3530" s="2" t="s">
        <v>280</v>
      </c>
      <c r="F3530" t="s">
        <v>8913</v>
      </c>
      <c r="G3530" t="str">
        <f>HYPERLINK("http://www.jejusori.net/?mod=news&amp;act=articleView&amp;idxno=173014")</f>
        <v>http://www.jejusori.net/?mod=news&amp;act=articleView&amp;idxno=173014</v>
      </c>
      <c r="H3530">
        <v>0.39300000000000002</v>
      </c>
    </row>
    <row r="3531" spans="1:8" x14ac:dyDescent="0.3">
      <c r="A3531" t="s">
        <v>8793</v>
      </c>
      <c r="B3531" t="s">
        <v>26951</v>
      </c>
      <c r="C3531" t="s">
        <v>8960</v>
      </c>
      <c r="D3531" t="s">
        <v>8959</v>
      </c>
      <c r="E3531" s="2" t="s">
        <v>280</v>
      </c>
      <c r="F3531" t="s">
        <v>1277</v>
      </c>
      <c r="G3531" t="str">
        <f>HYPERLINK("https://www.newswhoplus.com/news/articleView.html?idxno=30533")</f>
        <v>https://www.newswhoplus.com/news/articleView.html?idxno=30533</v>
      </c>
      <c r="H3531">
        <v>0.60299999999999998</v>
      </c>
    </row>
    <row r="3532" spans="1:8" x14ac:dyDescent="0.3">
      <c r="A3532" t="s">
        <v>8793</v>
      </c>
      <c r="B3532" t="s">
        <v>26951</v>
      </c>
      <c r="C3532" t="s">
        <v>8963</v>
      </c>
      <c r="D3532" t="s">
        <v>8962</v>
      </c>
      <c r="E3532" s="2" t="s">
        <v>313</v>
      </c>
      <c r="F3532" t="s">
        <v>8961</v>
      </c>
      <c r="G3532" t="str">
        <f>HYPERLINK("https://www.kidshankook.kr/news/articleView.html?idxno=12483")</f>
        <v>https://www.kidshankook.kr/news/articleView.html?idxno=12483</v>
      </c>
      <c r="H3532">
        <v>0.623</v>
      </c>
    </row>
    <row r="3533" spans="1:8" x14ac:dyDescent="0.3">
      <c r="A3533" t="s">
        <v>8793</v>
      </c>
      <c r="B3533" t="s">
        <v>26951</v>
      </c>
      <c r="C3533" t="s">
        <v>8966</v>
      </c>
      <c r="D3533" t="s">
        <v>8965</v>
      </c>
      <c r="E3533" s="2" t="s">
        <v>313</v>
      </c>
      <c r="F3533" t="s">
        <v>8964</v>
      </c>
      <c r="G3533" t="str">
        <f>HYPERLINK("http://www.munhwanews.com/news/articleView.html?idxno=80203")</f>
        <v>http://www.munhwanews.com/news/articleView.html?idxno=80203</v>
      </c>
      <c r="H3533">
        <v>0.56299999999999994</v>
      </c>
    </row>
    <row r="3534" spans="1:8" x14ac:dyDescent="0.3">
      <c r="A3534" t="s">
        <v>8793</v>
      </c>
      <c r="B3534" t="s">
        <v>26951</v>
      </c>
      <c r="C3534" t="s">
        <v>8968</v>
      </c>
      <c r="D3534" t="s">
        <v>8967</v>
      </c>
      <c r="E3534" s="2" t="s">
        <v>313</v>
      </c>
      <c r="F3534" t="s">
        <v>2057</v>
      </c>
      <c r="G3534" t="str">
        <f>HYPERLINK("http://www.kihoilbo.co.kr/news/articleView.html?idxno=1115417")</f>
        <v>http://www.kihoilbo.co.kr/news/articleView.html?idxno=1115417</v>
      </c>
      <c r="H3534">
        <v>0.109</v>
      </c>
    </row>
    <row r="3535" spans="1:8" x14ac:dyDescent="0.3">
      <c r="A3535" t="s">
        <v>8793</v>
      </c>
      <c r="B3535" t="s">
        <v>26951</v>
      </c>
      <c r="C3535" t="s">
        <v>8971</v>
      </c>
      <c r="D3535" t="s">
        <v>8970</v>
      </c>
      <c r="E3535" s="2" t="s">
        <v>313</v>
      </c>
      <c r="F3535" t="s">
        <v>8969</v>
      </c>
      <c r="G3535" t="str">
        <f>HYPERLINK("https://www.newspim.com/news/view/20250508000510")</f>
        <v>https://www.newspim.com/news/view/20250508000510</v>
      </c>
      <c r="H3535">
        <v>0.41899999999999998</v>
      </c>
    </row>
    <row r="3536" spans="1:8" x14ac:dyDescent="0.3">
      <c r="A3536" t="s">
        <v>8793</v>
      </c>
      <c r="B3536" t="s">
        <v>26951</v>
      </c>
      <c r="C3536" t="s">
        <v>8973</v>
      </c>
      <c r="D3536" t="s">
        <v>8972</v>
      </c>
      <c r="E3536" s="2" t="s">
        <v>313</v>
      </c>
      <c r="F3536" t="s">
        <v>8890</v>
      </c>
      <c r="G3536" t="str">
        <f>HYPERLINK("https://n.news.naver.com/mnews/article/016/0001480243?sid=103")</f>
        <v>https://n.news.naver.com/mnews/article/016/0001480243?sid=103</v>
      </c>
      <c r="H3536">
        <v>0.126</v>
      </c>
    </row>
    <row r="3537" spans="1:8" x14ac:dyDescent="0.3">
      <c r="A3537" t="s">
        <v>8793</v>
      </c>
      <c r="B3537" t="s">
        <v>26951</v>
      </c>
      <c r="C3537" t="s">
        <v>8976</v>
      </c>
      <c r="D3537" t="s">
        <v>8975</v>
      </c>
      <c r="E3537" s="2" t="s">
        <v>356</v>
      </c>
      <c r="F3537" t="s">
        <v>8974</v>
      </c>
      <c r="G3537" t="str">
        <f>HYPERLINK("https://radio.ytn.co.kr/program/?f=2&amp;id=85743&amp;s_mcd=0452&amp;s_hcd=01")</f>
        <v>https://radio.ytn.co.kr/program/?f=2&amp;id=85743&amp;s_mcd=0452&amp;s_hcd=01</v>
      </c>
      <c r="H3537">
        <v>0.32900000000000001</v>
      </c>
    </row>
    <row r="3538" spans="1:8" x14ac:dyDescent="0.3">
      <c r="A3538" t="s">
        <v>8793</v>
      </c>
      <c r="B3538" t="s">
        <v>26951</v>
      </c>
      <c r="C3538" t="s">
        <v>8979</v>
      </c>
      <c r="D3538" t="s">
        <v>8978</v>
      </c>
      <c r="E3538" s="2" t="s">
        <v>356</v>
      </c>
      <c r="F3538" t="s">
        <v>8977</v>
      </c>
      <c r="G3538" t="str">
        <f>HYPERLINK("https://n.news.naver.com/mnews/article/277/0005019020?sid=102")</f>
        <v>https://n.news.naver.com/mnews/article/277/0005019020?sid=102</v>
      </c>
      <c r="H3538">
        <v>0.17799999999999999</v>
      </c>
    </row>
    <row r="3539" spans="1:8" x14ac:dyDescent="0.3">
      <c r="A3539" t="s">
        <v>8793</v>
      </c>
      <c r="B3539" t="s">
        <v>26951</v>
      </c>
      <c r="C3539" t="s">
        <v>8982</v>
      </c>
      <c r="D3539" t="s">
        <v>8981</v>
      </c>
      <c r="E3539" s="2" t="s">
        <v>356</v>
      </c>
      <c r="F3539" t="s">
        <v>8980</v>
      </c>
      <c r="G3539" t="str">
        <f>HYPERLINK("https://www.geconomy.co.kr/news/article.html?no=301537")</f>
        <v>https://www.geconomy.co.kr/news/article.html?no=301537</v>
      </c>
      <c r="H3539">
        <v>0.92100000000000004</v>
      </c>
    </row>
    <row r="3540" spans="1:8" x14ac:dyDescent="0.3">
      <c r="A3540" t="s">
        <v>8793</v>
      </c>
      <c r="B3540" t="s">
        <v>26951</v>
      </c>
      <c r="C3540" t="s">
        <v>8984</v>
      </c>
      <c r="D3540" t="s">
        <v>8983</v>
      </c>
      <c r="E3540" s="2" t="s">
        <v>356</v>
      </c>
      <c r="F3540" t="s">
        <v>7526</v>
      </c>
      <c r="G3540" t="str">
        <f>HYPERLINK("https://www.newscj.com/news/articleView.html?idxno=3283630")</f>
        <v>https://www.newscj.com/news/articleView.html?idxno=3283630</v>
      </c>
      <c r="H3540">
        <v>0.66600000000000004</v>
      </c>
    </row>
    <row r="3541" spans="1:8" x14ac:dyDescent="0.3">
      <c r="A3541" t="s">
        <v>8793</v>
      </c>
      <c r="B3541" t="s">
        <v>26951</v>
      </c>
      <c r="C3541" t="s">
        <v>8987</v>
      </c>
      <c r="D3541" t="s">
        <v>8986</v>
      </c>
      <c r="E3541" s="2" t="s">
        <v>356</v>
      </c>
      <c r="F3541" t="s">
        <v>8985</v>
      </c>
      <c r="G3541" t="str">
        <f>HYPERLINK("https://www.laborplus.co.kr/news/articleView.html?idxno=35112")</f>
        <v>https://www.laborplus.co.kr/news/articleView.html?idxno=35112</v>
      </c>
      <c r="H3541">
        <v>0.52600000000000002</v>
      </c>
    </row>
    <row r="3542" spans="1:8" x14ac:dyDescent="0.3">
      <c r="A3542" t="s">
        <v>8793</v>
      </c>
      <c r="B3542" t="s">
        <v>26951</v>
      </c>
      <c r="C3542" t="s">
        <v>8990</v>
      </c>
      <c r="D3542" t="s">
        <v>8989</v>
      </c>
      <c r="E3542" s="2" t="s">
        <v>356</v>
      </c>
      <c r="F3542" t="s">
        <v>8988</v>
      </c>
      <c r="G3542" t="str">
        <f>HYPERLINK("http://www.fntoday.co.kr/news/articleView.html?idxno=355973")</f>
        <v>http://www.fntoday.co.kr/news/articleView.html?idxno=355973</v>
      </c>
      <c r="H3542">
        <v>0.34300000000000003</v>
      </c>
    </row>
    <row r="3543" spans="1:8" x14ac:dyDescent="0.3">
      <c r="A3543" t="s">
        <v>8793</v>
      </c>
      <c r="B3543" t="s">
        <v>26951</v>
      </c>
      <c r="C3543" t="s">
        <v>8993</v>
      </c>
      <c r="D3543" t="s">
        <v>8992</v>
      </c>
      <c r="E3543" s="2" t="s">
        <v>356</v>
      </c>
      <c r="F3543" t="s">
        <v>8991</v>
      </c>
      <c r="G3543" t="str">
        <f>HYPERLINK("https://www.jejusori.net/news/articleView.html?idxno=437519")</f>
        <v>https://www.jejusori.net/news/articleView.html?idxno=437519</v>
      </c>
      <c r="H3543">
        <v>0.26400000000000001</v>
      </c>
    </row>
    <row r="3544" spans="1:8" x14ac:dyDescent="0.3">
      <c r="A3544" t="s">
        <v>8793</v>
      </c>
      <c r="B3544" t="s">
        <v>26951</v>
      </c>
      <c r="C3544" t="s">
        <v>8995</v>
      </c>
      <c r="D3544" t="s">
        <v>8994</v>
      </c>
      <c r="E3544" s="2" t="s">
        <v>356</v>
      </c>
      <c r="F3544" t="s">
        <v>1722</v>
      </c>
      <c r="G3544" t="str">
        <f>HYPERLINK("https://n.news.naver.com/mnews/article/469/0000805104?sid=103")</f>
        <v>https://n.news.naver.com/mnews/article/469/0000805104?sid=103</v>
      </c>
      <c r="H3544">
        <v>0.34799999999999998</v>
      </c>
    </row>
    <row r="3545" spans="1:8" x14ac:dyDescent="0.3">
      <c r="A3545" t="s">
        <v>8793</v>
      </c>
      <c r="B3545" t="s">
        <v>26951</v>
      </c>
      <c r="C3545" t="s">
        <v>8997</v>
      </c>
      <c r="D3545" t="s">
        <v>8996</v>
      </c>
      <c r="E3545" s="2" t="s">
        <v>356</v>
      </c>
      <c r="F3545" t="s">
        <v>373</v>
      </c>
      <c r="G3545" t="str">
        <f>HYPERLINK("https://www.newscj.com/news/articleView.html?idxno=3283630")</f>
        <v>https://www.newscj.com/news/articleView.html?idxno=3283630</v>
      </c>
      <c r="H3545">
        <v>0.86699999999999999</v>
      </c>
    </row>
    <row r="3546" spans="1:8" x14ac:dyDescent="0.3">
      <c r="A3546" t="s">
        <v>8793</v>
      </c>
      <c r="B3546" t="s">
        <v>26951</v>
      </c>
      <c r="C3546" t="s">
        <v>9000</v>
      </c>
      <c r="D3546" t="s">
        <v>8999</v>
      </c>
      <c r="E3546" s="2" t="s">
        <v>356</v>
      </c>
      <c r="F3546" t="s">
        <v>8998</v>
      </c>
      <c r="G3546" t="str">
        <f>HYPERLINK("http://www.newsbrite.net/news/articleView.html?idxno=166658")</f>
        <v>http://www.newsbrite.net/news/articleView.html?idxno=166658</v>
      </c>
      <c r="H3546">
        <v>0.69199999999999995</v>
      </c>
    </row>
    <row r="3547" spans="1:8" x14ac:dyDescent="0.3">
      <c r="A3547" t="s">
        <v>8793</v>
      </c>
      <c r="B3547" t="s">
        <v>26951</v>
      </c>
      <c r="C3547" t="s">
        <v>9002</v>
      </c>
      <c r="D3547" t="s">
        <v>9001</v>
      </c>
      <c r="E3547" s="2" t="s">
        <v>356</v>
      </c>
      <c r="F3547" t="s">
        <v>8890</v>
      </c>
      <c r="G3547" t="str">
        <f>HYPERLINK("https://n.news.naver.com/mnews/article/018/0006048493?sid=104")</f>
        <v>https://n.news.naver.com/mnews/article/018/0006048493?sid=104</v>
      </c>
      <c r="H3547">
        <v>0.32100000000000001</v>
      </c>
    </row>
    <row r="3548" spans="1:8" x14ac:dyDescent="0.3">
      <c r="A3548" t="s">
        <v>8793</v>
      </c>
      <c r="B3548" t="s">
        <v>26951</v>
      </c>
      <c r="C3548" t="s">
        <v>9004</v>
      </c>
      <c r="D3548" t="s">
        <v>9003</v>
      </c>
      <c r="E3548" s="2" t="s">
        <v>356</v>
      </c>
      <c r="F3548" t="s">
        <v>8890</v>
      </c>
      <c r="G3548" t="str">
        <f>HYPERLINK("https://n.news.naver.com/mnews/article/018/0006048493?sid=104")</f>
        <v>https://n.news.naver.com/mnews/article/018/0006048493?sid=104</v>
      </c>
      <c r="H3548">
        <v>0.23599999999999999</v>
      </c>
    </row>
    <row r="3549" spans="1:8" x14ac:dyDescent="0.3">
      <c r="A3549" t="s">
        <v>8793</v>
      </c>
      <c r="B3549" t="s">
        <v>26951</v>
      </c>
      <c r="C3549" t="s">
        <v>9006</v>
      </c>
      <c r="D3549" t="s">
        <v>9005</v>
      </c>
      <c r="E3549" s="2" t="s">
        <v>394</v>
      </c>
      <c r="F3549" t="s">
        <v>967</v>
      </c>
      <c r="G3549" t="str">
        <f>HYPERLINK("https://n.news.naver.com/mnews/article/011/0002569623?sid=102")</f>
        <v>https://n.news.naver.com/mnews/article/011/0002569623?sid=102</v>
      </c>
      <c r="H3549">
        <v>0.23799999999999999</v>
      </c>
    </row>
    <row r="3550" spans="1:8" x14ac:dyDescent="0.3">
      <c r="A3550" t="s">
        <v>8793</v>
      </c>
      <c r="B3550" t="s">
        <v>26951</v>
      </c>
      <c r="C3550" t="s">
        <v>9008</v>
      </c>
      <c r="D3550" t="s">
        <v>9007</v>
      </c>
      <c r="E3550" s="2" t="s">
        <v>394</v>
      </c>
      <c r="F3550" t="s">
        <v>1960</v>
      </c>
      <c r="G3550" t="str">
        <f>HYPERLINK("https://n.news.naver.com/mnews/article/006/0000130591?sid=102")</f>
        <v>https://n.news.naver.com/mnews/article/006/0000130591?sid=102</v>
      </c>
      <c r="H3550">
        <v>0.26100000000000001</v>
      </c>
    </row>
    <row r="3551" spans="1:8" x14ac:dyDescent="0.3">
      <c r="A3551" t="s">
        <v>8793</v>
      </c>
      <c r="B3551" t="s">
        <v>26951</v>
      </c>
      <c r="C3551" t="s">
        <v>9010</v>
      </c>
      <c r="D3551" t="s">
        <v>9009</v>
      </c>
      <c r="E3551" s="2" t="s">
        <v>394</v>
      </c>
      <c r="F3551" t="s">
        <v>8985</v>
      </c>
      <c r="G3551" t="str">
        <f>HYPERLINK("https://www.apnews.kr/news/articleView.html?idxno=3028169")</f>
        <v>https://www.apnews.kr/news/articleView.html?idxno=3028169</v>
      </c>
      <c r="H3551">
        <v>0.27900000000000003</v>
      </c>
    </row>
    <row r="3552" spans="1:8" x14ac:dyDescent="0.3">
      <c r="A3552" t="s">
        <v>8793</v>
      </c>
      <c r="B3552" t="s">
        <v>26951</v>
      </c>
      <c r="C3552" t="s">
        <v>9012</v>
      </c>
      <c r="D3552" t="s">
        <v>9011</v>
      </c>
      <c r="E3552" s="2" t="s">
        <v>394</v>
      </c>
      <c r="F3552" t="s">
        <v>1386</v>
      </c>
      <c r="G3552" t="str">
        <f>HYPERLINK("http://ppss.kr/archives/126530")</f>
        <v>http://ppss.kr/archives/126530</v>
      </c>
      <c r="H3552">
        <v>0.73</v>
      </c>
    </row>
    <row r="3553" spans="1:8" x14ac:dyDescent="0.3">
      <c r="A3553" t="s">
        <v>8793</v>
      </c>
      <c r="B3553" t="s">
        <v>26951</v>
      </c>
      <c r="C3553" t="s">
        <v>9015</v>
      </c>
      <c r="D3553" t="s">
        <v>9014</v>
      </c>
      <c r="E3553" s="2" t="s">
        <v>394</v>
      </c>
      <c r="F3553" t="s">
        <v>9013</v>
      </c>
      <c r="G3553" t="str">
        <f>HYPERLINK("https://n.news.naver.com/mnews/article/214/0001433501?sid=102")</f>
        <v>https://n.news.naver.com/mnews/article/214/0001433501?sid=102</v>
      </c>
      <c r="H3553">
        <v>0.33300000000000002</v>
      </c>
    </row>
    <row r="3554" spans="1:8" x14ac:dyDescent="0.3">
      <c r="A3554" t="s">
        <v>8793</v>
      </c>
      <c r="B3554" t="s">
        <v>26951</v>
      </c>
      <c r="C3554" t="s">
        <v>9019</v>
      </c>
      <c r="D3554" t="s">
        <v>9018</v>
      </c>
      <c r="E3554" s="2" t="s">
        <v>394</v>
      </c>
      <c r="F3554" t="s">
        <v>8939</v>
      </c>
      <c r="G3554" t="str">
        <f>HYPERLINK("http://www.newsmp.com/news/articleView.html?idxno=237399")</f>
        <v>http://www.newsmp.com/news/articleView.html?idxno=237399</v>
      </c>
      <c r="H3554">
        <v>0.128</v>
      </c>
    </row>
    <row r="3555" spans="1:8" x14ac:dyDescent="0.3">
      <c r="A3555" t="s">
        <v>8793</v>
      </c>
      <c r="B3555" t="s">
        <v>26951</v>
      </c>
      <c r="C3555" t="s">
        <v>9022</v>
      </c>
      <c r="D3555" t="s">
        <v>9021</v>
      </c>
      <c r="E3555" s="2" t="s">
        <v>418</v>
      </c>
      <c r="F3555" t="s">
        <v>9020</v>
      </c>
      <c r="G3555" t="str">
        <f>HYPERLINK("http://www.dynews.co.kr/news/articleView.html?idxno=805207")</f>
        <v>http://www.dynews.co.kr/news/articleView.html?idxno=805207</v>
      </c>
      <c r="H3555">
        <v>0.06</v>
      </c>
    </row>
    <row r="3556" spans="1:8" x14ac:dyDescent="0.3">
      <c r="A3556" t="s">
        <v>8793</v>
      </c>
      <c r="B3556" t="s">
        <v>26951</v>
      </c>
      <c r="C3556" t="s">
        <v>9024</v>
      </c>
      <c r="D3556" t="s">
        <v>9023</v>
      </c>
      <c r="E3556" s="2" t="s">
        <v>418</v>
      </c>
      <c r="F3556" t="s">
        <v>9020</v>
      </c>
      <c r="G3556" t="str">
        <f>HYPERLINK("http://www.e2news.com/news/articleView.html?idxno=219691")</f>
        <v>http://www.e2news.com/news/articleView.html?idxno=219691</v>
      </c>
      <c r="H3556">
        <v>0.17499999999999999</v>
      </c>
    </row>
    <row r="3557" spans="1:8" x14ac:dyDescent="0.3">
      <c r="A3557" t="s">
        <v>8793</v>
      </c>
      <c r="B3557" t="s">
        <v>26951</v>
      </c>
      <c r="C3557" t="s">
        <v>9027</v>
      </c>
      <c r="D3557" t="s">
        <v>9026</v>
      </c>
      <c r="E3557" s="2" t="s">
        <v>418</v>
      </c>
      <c r="F3557" t="s">
        <v>9025</v>
      </c>
      <c r="G3557" t="str">
        <f>HYPERLINK("http://www.ccdn.co.kr/news/articleView.html?idxno=670869")</f>
        <v>http://www.ccdn.co.kr/news/articleView.html?idxno=670869</v>
      </c>
      <c r="H3557">
        <v>0.38</v>
      </c>
    </row>
    <row r="3558" spans="1:8" x14ac:dyDescent="0.3">
      <c r="A3558" t="s">
        <v>8793</v>
      </c>
      <c r="B3558" t="s">
        <v>26951</v>
      </c>
      <c r="C3558" t="s">
        <v>9030</v>
      </c>
      <c r="D3558" t="s">
        <v>9029</v>
      </c>
      <c r="E3558" s="2" t="s">
        <v>418</v>
      </c>
      <c r="F3558" t="s">
        <v>9028</v>
      </c>
      <c r="G3558" t="str">
        <f>HYPERLINK("https://n.news.naver.com/mnews/article/057/0001438516?sid=103")</f>
        <v>https://n.news.naver.com/mnews/article/057/0001438516?sid=103</v>
      </c>
      <c r="H3558">
        <v>0.35599999999999998</v>
      </c>
    </row>
    <row r="3559" spans="1:8" x14ac:dyDescent="0.3">
      <c r="A3559" t="s">
        <v>8793</v>
      </c>
      <c r="B3559" t="s">
        <v>26951</v>
      </c>
      <c r="C3559" t="s">
        <v>9032</v>
      </c>
      <c r="D3559" t="s">
        <v>9031</v>
      </c>
      <c r="E3559" s="2" t="s">
        <v>418</v>
      </c>
      <c r="F3559" t="s">
        <v>8538</v>
      </c>
      <c r="G3559" t="str">
        <f>HYPERLINK("http://www.greened.kr/news/articleView.html?idxno=297672")</f>
        <v>http://www.greened.kr/news/articleView.html?idxno=297672</v>
      </c>
      <c r="H3559">
        <v>0.35399999999999998</v>
      </c>
    </row>
    <row r="3560" spans="1:8" x14ac:dyDescent="0.3">
      <c r="A3560" t="s">
        <v>8793</v>
      </c>
      <c r="B3560" t="s">
        <v>26951</v>
      </c>
      <c r="C3560" t="s">
        <v>9034</v>
      </c>
      <c r="D3560" t="s">
        <v>9033</v>
      </c>
      <c r="E3560" s="2" t="s">
        <v>452</v>
      </c>
      <c r="F3560" t="s">
        <v>4261</v>
      </c>
      <c r="G3560" t="str">
        <f>HYPERLINK("https://n.news.naver.com/mnews/article/088/0000953998?sid=100")</f>
        <v>https://n.news.naver.com/mnews/article/088/0000953998?sid=100</v>
      </c>
      <c r="H3560">
        <v>0.19400000000000001</v>
      </c>
    </row>
    <row r="3561" spans="1:8" x14ac:dyDescent="0.3">
      <c r="A3561" t="s">
        <v>8793</v>
      </c>
      <c r="B3561" t="s">
        <v>26951</v>
      </c>
      <c r="C3561" t="s">
        <v>9036</v>
      </c>
      <c r="D3561" t="s">
        <v>9035</v>
      </c>
      <c r="E3561" s="2" t="s">
        <v>452</v>
      </c>
      <c r="F3561" t="s">
        <v>197</v>
      </c>
      <c r="G3561" t="str">
        <f>HYPERLINK("https://n.news.naver.com/mnews/article/469/0000870558?sid=100")</f>
        <v>https://n.news.naver.com/mnews/article/469/0000870558?sid=100</v>
      </c>
      <c r="H3561">
        <v>0.34499999999999997</v>
      </c>
    </row>
    <row r="3562" spans="1:8" x14ac:dyDescent="0.3">
      <c r="A3562" t="s">
        <v>8793</v>
      </c>
      <c r="B3562" t="s">
        <v>26951</v>
      </c>
      <c r="C3562" t="s">
        <v>9038</v>
      </c>
      <c r="D3562" t="s">
        <v>9037</v>
      </c>
      <c r="E3562" s="2" t="s">
        <v>452</v>
      </c>
      <c r="F3562" t="s">
        <v>5969</v>
      </c>
      <c r="G3562" t="str">
        <f>HYPERLINK("https://n.news.naver.com/mnews/article/011/0004090051?sid=103")</f>
        <v>https://n.news.naver.com/mnews/article/011/0004090051?sid=103</v>
      </c>
      <c r="H3562">
        <v>0.34599999999999997</v>
      </c>
    </row>
    <row r="3563" spans="1:8" x14ac:dyDescent="0.3">
      <c r="A3563" t="s">
        <v>8793</v>
      </c>
      <c r="B3563" t="s">
        <v>26951</v>
      </c>
      <c r="C3563" t="s">
        <v>9041</v>
      </c>
      <c r="D3563" t="s">
        <v>9040</v>
      </c>
      <c r="E3563" s="2" t="s">
        <v>452</v>
      </c>
      <c r="F3563" t="s">
        <v>9039</v>
      </c>
      <c r="G3563" t="str">
        <f>HYPERLINK("http://www.kdpress.co.kr/news/articleView.html?idxno=138501")</f>
        <v>http://www.kdpress.co.kr/news/articleView.html?idxno=138501</v>
      </c>
      <c r="H3563">
        <v>0.98699999999999999</v>
      </c>
    </row>
    <row r="3564" spans="1:8" x14ac:dyDescent="0.3">
      <c r="A3564" t="s">
        <v>8793</v>
      </c>
      <c r="B3564" t="s">
        <v>26951</v>
      </c>
      <c r="C3564" t="s">
        <v>9044</v>
      </c>
      <c r="D3564" t="s">
        <v>9043</v>
      </c>
      <c r="E3564" s="2" t="s">
        <v>452</v>
      </c>
      <c r="F3564" t="s">
        <v>9042</v>
      </c>
      <c r="G3564" t="str">
        <f>HYPERLINK("https://www.econovill.com/news/articleView.html?idxno=701685")</f>
        <v>https://www.econovill.com/news/articleView.html?idxno=701685</v>
      </c>
      <c r="H3564">
        <v>0.218</v>
      </c>
    </row>
    <row r="3565" spans="1:8" x14ac:dyDescent="0.3">
      <c r="A3565" t="s">
        <v>8793</v>
      </c>
      <c r="B3565" t="s">
        <v>26951</v>
      </c>
      <c r="C3565" t="s">
        <v>9046</v>
      </c>
      <c r="D3565" t="s">
        <v>9045</v>
      </c>
      <c r="E3565" s="2" t="s">
        <v>452</v>
      </c>
      <c r="F3565" t="s">
        <v>7871</v>
      </c>
      <c r="G3565" t="str">
        <f>HYPERLINK("http://www.fntoday.co.kr/news/articleView.html?idxno=355973")</f>
        <v>http://www.fntoday.co.kr/news/articleView.html?idxno=355973</v>
      </c>
      <c r="H3565">
        <v>0.16800000000000001</v>
      </c>
    </row>
    <row r="3566" spans="1:8" x14ac:dyDescent="0.3">
      <c r="A3566" t="s">
        <v>8793</v>
      </c>
      <c r="B3566" t="s">
        <v>26951</v>
      </c>
      <c r="C3566" t="s">
        <v>9048</v>
      </c>
      <c r="D3566" t="s">
        <v>9047</v>
      </c>
      <c r="E3566" s="2" t="s">
        <v>452</v>
      </c>
      <c r="F3566" t="s">
        <v>8336</v>
      </c>
      <c r="G3566" t="str">
        <f>HYPERLINK("http://www.kyosu.net/news/articleView.html?idxno=59632")</f>
        <v>http://www.kyosu.net/news/articleView.html?idxno=59632</v>
      </c>
      <c r="H3566">
        <v>6.9000000000000006E-2</v>
      </c>
    </row>
    <row r="3567" spans="1:8" x14ac:dyDescent="0.3">
      <c r="A3567" t="s">
        <v>8793</v>
      </c>
      <c r="B3567" t="s">
        <v>26951</v>
      </c>
      <c r="C3567" t="s">
        <v>9051</v>
      </c>
      <c r="D3567" t="s">
        <v>9050</v>
      </c>
      <c r="E3567" s="2" t="s">
        <v>481</v>
      </c>
      <c r="F3567" t="s">
        <v>9049</v>
      </c>
      <c r="G3567" t="str">
        <f>HYPERLINK("http://www.iminju.net/news/articleView.html?idxno=92306")</f>
        <v>http://www.iminju.net/news/articleView.html?idxno=92306</v>
      </c>
      <c r="H3567">
        <v>0.439</v>
      </c>
    </row>
    <row r="3568" spans="1:8" x14ac:dyDescent="0.3">
      <c r="A3568" t="s">
        <v>8793</v>
      </c>
      <c r="B3568" t="s">
        <v>26951</v>
      </c>
      <c r="C3568" t="s">
        <v>9054</v>
      </c>
      <c r="D3568" t="s">
        <v>9053</v>
      </c>
      <c r="E3568" s="2" t="s">
        <v>481</v>
      </c>
      <c r="F3568" t="s">
        <v>9052</v>
      </c>
      <c r="G3568" t="str">
        <f>HYPERLINK("http://www.bulkyo21.com/news/articleView.html?idxno=60429")</f>
        <v>http://www.bulkyo21.com/news/articleView.html?idxno=60429</v>
      </c>
      <c r="H3568">
        <v>0.54500000000000004</v>
      </c>
    </row>
    <row r="3569" spans="1:8" x14ac:dyDescent="0.3">
      <c r="A3569" t="s">
        <v>8793</v>
      </c>
      <c r="B3569" t="s">
        <v>26951</v>
      </c>
      <c r="C3569" t="s">
        <v>9057</v>
      </c>
      <c r="D3569" t="s">
        <v>9056</v>
      </c>
      <c r="E3569" s="2" t="s">
        <v>481</v>
      </c>
      <c r="F3569" t="s">
        <v>9055</v>
      </c>
      <c r="G3569" t="str">
        <f>HYPERLINK("http://www.ibulgyo.com/news/articleView.html?idxno=215790")</f>
        <v>http://www.ibulgyo.com/news/articleView.html?idxno=215790</v>
      </c>
      <c r="H3569">
        <v>0.54800000000000004</v>
      </c>
    </row>
    <row r="3570" spans="1:8" x14ac:dyDescent="0.3">
      <c r="A3570" t="s">
        <v>8793</v>
      </c>
      <c r="B3570" t="s">
        <v>26951</v>
      </c>
      <c r="C3570" t="s">
        <v>9059</v>
      </c>
      <c r="D3570" t="s">
        <v>9058</v>
      </c>
      <c r="E3570" s="2" t="s">
        <v>481</v>
      </c>
      <c r="F3570" t="s">
        <v>2315</v>
      </c>
      <c r="G3570" t="str">
        <f>HYPERLINK("https://n.news.naver.com/mnews/article/469/0000042616?sid=103")</f>
        <v>https://n.news.naver.com/mnews/article/469/0000042616?sid=103</v>
      </c>
      <c r="H3570">
        <v>0.27600000000000002</v>
      </c>
    </row>
    <row r="3571" spans="1:8" x14ac:dyDescent="0.3">
      <c r="A3571" t="s">
        <v>8793</v>
      </c>
      <c r="B3571" t="s">
        <v>26951</v>
      </c>
      <c r="C3571" t="s">
        <v>9062</v>
      </c>
      <c r="D3571" t="s">
        <v>9061</v>
      </c>
      <c r="E3571" s="2" t="s">
        <v>502</v>
      </c>
      <c r="F3571" t="s">
        <v>9060</v>
      </c>
      <c r="G3571" t="str">
        <f>HYPERLINK("https://n.news.naver.com/mnews/article/469/0000229432?sid=101")</f>
        <v>https://n.news.naver.com/mnews/article/469/0000229432?sid=101</v>
      </c>
      <c r="H3571">
        <v>0.32800000000000001</v>
      </c>
    </row>
    <row r="3572" spans="1:8" x14ac:dyDescent="0.3">
      <c r="A3572" t="s">
        <v>8793</v>
      </c>
      <c r="B3572" t="s">
        <v>26951</v>
      </c>
      <c r="C3572" t="s">
        <v>9065</v>
      </c>
      <c r="D3572" t="s">
        <v>9064</v>
      </c>
      <c r="E3572" s="2" t="s">
        <v>502</v>
      </c>
      <c r="F3572" t="s">
        <v>9063</v>
      </c>
      <c r="G3572" t="str">
        <f>HYPERLINK("http://www.beopbo.com/news/articleView.html?idxno=98230")</f>
        <v>http://www.beopbo.com/news/articleView.html?idxno=98230</v>
      </c>
      <c r="H3572">
        <v>0.66500000000000004</v>
      </c>
    </row>
    <row r="3573" spans="1:8" x14ac:dyDescent="0.3">
      <c r="A3573" t="s">
        <v>8793</v>
      </c>
      <c r="B3573" t="s">
        <v>26951</v>
      </c>
      <c r="C3573" t="s">
        <v>9067</v>
      </c>
      <c r="D3573" t="s">
        <v>9066</v>
      </c>
      <c r="E3573" s="2" t="s">
        <v>502</v>
      </c>
      <c r="F3573" t="s">
        <v>2814</v>
      </c>
      <c r="G3573" t="str">
        <f>HYPERLINK("https://n.news.naver.com/mnews/article/018/0006052826?sid=101")</f>
        <v>https://n.news.naver.com/mnews/article/018/0006052826?sid=101</v>
      </c>
      <c r="H3573">
        <v>0.312</v>
      </c>
    </row>
    <row r="3574" spans="1:8" x14ac:dyDescent="0.3">
      <c r="A3574" t="s">
        <v>8793</v>
      </c>
      <c r="B3574" t="s">
        <v>26951</v>
      </c>
      <c r="C3574" t="s">
        <v>9069</v>
      </c>
      <c r="D3574" t="s">
        <v>9068</v>
      </c>
      <c r="E3574" s="2" t="s">
        <v>502</v>
      </c>
      <c r="F3574" t="s">
        <v>3725</v>
      </c>
      <c r="G3574" t="str">
        <f>HYPERLINK("http://www.jbsori.com/news/articleView.html?idxno=10541")</f>
        <v>http://www.jbsori.com/news/articleView.html?idxno=10541</v>
      </c>
      <c r="H3574">
        <v>0.42899999999999999</v>
      </c>
    </row>
    <row r="3575" spans="1:8" x14ac:dyDescent="0.3">
      <c r="A3575" t="s">
        <v>8793</v>
      </c>
      <c r="B3575" t="s">
        <v>26951</v>
      </c>
      <c r="C3575" t="s">
        <v>9071</v>
      </c>
      <c r="D3575" t="s">
        <v>9070</v>
      </c>
      <c r="E3575" s="2" t="s">
        <v>517</v>
      </c>
      <c r="F3575" t="s">
        <v>3195</v>
      </c>
      <c r="G3575" t="str">
        <f>HYPERLINK("https://www.laborplus.co.kr/news/articleView.html?idxno=35657")</f>
        <v>https://www.laborplus.co.kr/news/articleView.html?idxno=35657</v>
      </c>
      <c r="H3575">
        <v>0.53400000000000003</v>
      </c>
    </row>
    <row r="3576" spans="1:8" x14ac:dyDescent="0.3">
      <c r="A3576" t="s">
        <v>8793</v>
      </c>
      <c r="B3576" t="s">
        <v>26951</v>
      </c>
      <c r="C3576" t="s">
        <v>9073</v>
      </c>
      <c r="D3576" t="s">
        <v>9072</v>
      </c>
      <c r="E3576" s="2" t="s">
        <v>517</v>
      </c>
      <c r="F3576" t="s">
        <v>298</v>
      </c>
      <c r="G3576" t="str">
        <f>HYPERLINK("http://www.ggilbo.com/news/articleView.html?idxno=238765")</f>
        <v>http://www.ggilbo.com/news/articleView.html?idxno=238765</v>
      </c>
      <c r="H3576">
        <v>0.498</v>
      </c>
    </row>
    <row r="3577" spans="1:8" x14ac:dyDescent="0.3">
      <c r="A3577" t="s">
        <v>8793</v>
      </c>
      <c r="B3577" t="s">
        <v>26951</v>
      </c>
      <c r="C3577" t="s">
        <v>9076</v>
      </c>
      <c r="D3577" t="s">
        <v>9075</v>
      </c>
      <c r="E3577" s="2" t="s">
        <v>517</v>
      </c>
      <c r="F3577" t="s">
        <v>9074</v>
      </c>
      <c r="G3577" t="str">
        <f>HYPERLINK("https://www.apnews.kr/news/articleView.html?idxno=3031657")</f>
        <v>https://www.apnews.kr/news/articleView.html?idxno=3031657</v>
      </c>
      <c r="H3577">
        <v>0.217</v>
      </c>
    </row>
    <row r="3578" spans="1:8" x14ac:dyDescent="0.3">
      <c r="A3578" t="s">
        <v>8793</v>
      </c>
      <c r="B3578" t="s">
        <v>26951</v>
      </c>
      <c r="C3578" t="s">
        <v>9078</v>
      </c>
      <c r="D3578" t="s">
        <v>9077</v>
      </c>
      <c r="E3578" s="2" t="s">
        <v>538</v>
      </c>
      <c r="F3578" t="s">
        <v>8890</v>
      </c>
      <c r="G3578" t="str">
        <f>HYPERLINK("http://www.mediajeju.com/news/articleView.html?idxno=326842")</f>
        <v>http://www.mediajeju.com/news/articleView.html?idxno=326842</v>
      </c>
      <c r="H3578">
        <v>0.50700000000000001</v>
      </c>
    </row>
    <row r="3579" spans="1:8" x14ac:dyDescent="0.3">
      <c r="A3579" t="s">
        <v>8793</v>
      </c>
      <c r="B3579" t="s">
        <v>26951</v>
      </c>
      <c r="C3579" t="s">
        <v>9080</v>
      </c>
      <c r="D3579" t="s">
        <v>9079</v>
      </c>
      <c r="E3579" s="2" t="s">
        <v>538</v>
      </c>
      <c r="F3579" t="s">
        <v>776</v>
      </c>
      <c r="G3579" t="str">
        <f>HYPERLINK("https://n.news.naver.com/mnews/article/469/0000871248?sid=100")</f>
        <v>https://n.news.naver.com/mnews/article/469/0000871248?sid=100</v>
      </c>
      <c r="H3579">
        <v>0.27600000000000002</v>
      </c>
    </row>
    <row r="3580" spans="1:8" x14ac:dyDescent="0.3">
      <c r="A3580" t="s">
        <v>8793</v>
      </c>
      <c r="B3580" t="s">
        <v>26951</v>
      </c>
      <c r="C3580" t="s">
        <v>9082</v>
      </c>
      <c r="D3580" t="s">
        <v>9081</v>
      </c>
      <c r="E3580" s="2" t="s">
        <v>538</v>
      </c>
      <c r="F3580" t="s">
        <v>7673</v>
      </c>
      <c r="G3580" t="str">
        <f>HYPERLINK("https://www.pennmike.com/news/articleView.html?idxno=103182")</f>
        <v>https://www.pennmike.com/news/articleView.html?idxno=103182</v>
      </c>
      <c r="H3580">
        <v>0.69299999999999995</v>
      </c>
    </row>
    <row r="3581" spans="1:8" x14ac:dyDescent="0.3">
      <c r="A3581" t="s">
        <v>8793</v>
      </c>
      <c r="B3581" t="s">
        <v>26951</v>
      </c>
      <c r="C3581" t="s">
        <v>9084</v>
      </c>
      <c r="D3581" t="s">
        <v>9083</v>
      </c>
      <c r="E3581" s="2" t="s">
        <v>538</v>
      </c>
      <c r="F3581" t="s">
        <v>805</v>
      </c>
      <c r="G3581" t="str">
        <f>HYPERLINK("https://n.news.naver.com/mnews/article/028/0002750681?sid=102")</f>
        <v>https://n.news.naver.com/mnews/article/028/0002750681?sid=102</v>
      </c>
      <c r="H3581">
        <v>0.224</v>
      </c>
    </row>
    <row r="3582" spans="1:8" x14ac:dyDescent="0.3">
      <c r="A3582" t="s">
        <v>8793</v>
      </c>
      <c r="B3582" t="s">
        <v>26951</v>
      </c>
      <c r="C3582" t="s">
        <v>9086</v>
      </c>
      <c r="D3582" t="s">
        <v>9085</v>
      </c>
      <c r="E3582" s="2" t="s">
        <v>538</v>
      </c>
      <c r="F3582" t="s">
        <v>8985</v>
      </c>
      <c r="G3582" t="str">
        <f>HYPERLINK("http://www.laborplus.co.kr/news/articleView.html?idxno=31161")</f>
        <v>http://www.laborplus.co.kr/news/articleView.html?idxno=31161</v>
      </c>
      <c r="H3582">
        <v>0.58299999999999996</v>
      </c>
    </row>
    <row r="3583" spans="1:8" x14ac:dyDescent="0.3">
      <c r="A3583" t="s">
        <v>8793</v>
      </c>
      <c r="B3583" t="s">
        <v>26951</v>
      </c>
      <c r="C3583" t="s">
        <v>9089</v>
      </c>
      <c r="D3583" t="s">
        <v>9088</v>
      </c>
      <c r="E3583" s="2" t="s">
        <v>538</v>
      </c>
      <c r="F3583" t="s">
        <v>9087</v>
      </c>
      <c r="G3583" t="str">
        <f>HYPERLINK("https://www.vogue.co.kr/2021/07/26/%ed%95%9c%ea%b5%ad%ea%b3%84-%ec%86%8c%ec%84%a4%ea%b0%80-4%ec%9d%b8/?utm_source=naver&amp;utm_medium=partnership")</f>
        <v>https://www.vogue.co.kr/2021/07/26/%ed%95%9c%ea%b5%ad%ea%b3%84-%ec%86%8c%ec%84%a4%ea%b0%80-4%ec%9d%b8/?utm_source=naver&amp;utm_medium=partnership</v>
      </c>
      <c r="H3583">
        <v>0.79900000000000004</v>
      </c>
    </row>
    <row r="3584" spans="1:8" x14ac:dyDescent="0.3">
      <c r="A3584" t="s">
        <v>8793</v>
      </c>
      <c r="B3584" t="s">
        <v>26951</v>
      </c>
      <c r="C3584" t="s">
        <v>9091</v>
      </c>
      <c r="D3584" t="s">
        <v>9090</v>
      </c>
      <c r="E3584" s="2" t="s">
        <v>538</v>
      </c>
      <c r="F3584" t="s">
        <v>5799</v>
      </c>
      <c r="G3584" t="str">
        <f>HYPERLINK("https://www.safetimes.co.kr/news/articleView.html?idxno=231338")</f>
        <v>https://www.safetimes.co.kr/news/articleView.html?idxno=231338</v>
      </c>
      <c r="H3584">
        <v>0.58399999999999996</v>
      </c>
    </row>
    <row r="3585" spans="1:8" x14ac:dyDescent="0.3">
      <c r="A3585" t="s">
        <v>8793</v>
      </c>
      <c r="B3585" t="s">
        <v>26951</v>
      </c>
      <c r="C3585" t="s">
        <v>9094</v>
      </c>
      <c r="D3585" t="s">
        <v>9093</v>
      </c>
      <c r="E3585" s="2" t="s">
        <v>538</v>
      </c>
      <c r="F3585" t="s">
        <v>9092</v>
      </c>
      <c r="G3585" t="str">
        <f>HYPERLINK("http://www.laborplus.co.kr/news/articleView.html?idxno=29136")</f>
        <v>http://www.laborplus.co.kr/news/articleView.html?idxno=29136</v>
      </c>
      <c r="H3585">
        <v>0.311</v>
      </c>
    </row>
    <row r="3586" spans="1:8" x14ac:dyDescent="0.3">
      <c r="A3586" t="s">
        <v>8793</v>
      </c>
      <c r="B3586" t="s">
        <v>26951</v>
      </c>
      <c r="C3586" t="s">
        <v>9096</v>
      </c>
      <c r="D3586" t="s">
        <v>9095</v>
      </c>
      <c r="E3586" s="2" t="s">
        <v>538</v>
      </c>
      <c r="F3586" t="s">
        <v>166</v>
      </c>
      <c r="G3586" t="str">
        <f>HYPERLINK("https://n.news.naver.com/mnews/article/469/0000870074?sid=102")</f>
        <v>https://n.news.naver.com/mnews/article/469/0000870074?sid=102</v>
      </c>
      <c r="H3586">
        <v>0.14099999999999999</v>
      </c>
    </row>
    <row r="3587" spans="1:8" x14ac:dyDescent="0.3">
      <c r="A3587" t="s">
        <v>8793</v>
      </c>
      <c r="B3587" t="s">
        <v>26951</v>
      </c>
      <c r="C3587" t="s">
        <v>2180</v>
      </c>
      <c r="D3587" t="s">
        <v>2179</v>
      </c>
      <c r="E3587" s="2" t="s">
        <v>572</v>
      </c>
      <c r="F3587" t="s">
        <v>197</v>
      </c>
      <c r="G3587" t="str">
        <f>HYPERLINK("https://n.news.naver.com/mnews/article/469/0000869530?sid=100")</f>
        <v>https://n.news.naver.com/mnews/article/469/0000869530?sid=100</v>
      </c>
      <c r="H3587">
        <v>0.30399999999999999</v>
      </c>
    </row>
    <row r="3588" spans="1:8" x14ac:dyDescent="0.3">
      <c r="A3588" t="s">
        <v>8793</v>
      </c>
      <c r="B3588" t="s">
        <v>26951</v>
      </c>
      <c r="C3588" t="s">
        <v>9099</v>
      </c>
      <c r="D3588" t="s">
        <v>9098</v>
      </c>
      <c r="E3588" s="2" t="s">
        <v>572</v>
      </c>
      <c r="F3588" t="s">
        <v>9097</v>
      </c>
      <c r="G3588" t="str">
        <f>HYPERLINK("https://n.news.naver.com/mnews/article/469/0000869659?sid=154")</f>
        <v>https://n.news.naver.com/mnews/article/469/0000869659?sid=154</v>
      </c>
      <c r="H3588">
        <v>0.318</v>
      </c>
    </row>
    <row r="3589" spans="1:8" x14ac:dyDescent="0.3">
      <c r="A3589" t="s">
        <v>8793</v>
      </c>
      <c r="B3589" t="s">
        <v>26951</v>
      </c>
      <c r="C3589" t="s">
        <v>9102</v>
      </c>
      <c r="D3589" t="s">
        <v>9101</v>
      </c>
      <c r="E3589" s="2" t="s">
        <v>572</v>
      </c>
      <c r="F3589" t="s">
        <v>9100</v>
      </c>
      <c r="G3589" t="str">
        <f>HYPERLINK("https://www.ekn.kr/web/view.php?key=20250630027353065")</f>
        <v>https://www.ekn.kr/web/view.php?key=20250630027353065</v>
      </c>
      <c r="H3589">
        <v>0.50700000000000001</v>
      </c>
    </row>
    <row r="3590" spans="1:8" x14ac:dyDescent="0.3">
      <c r="A3590" t="s">
        <v>8793</v>
      </c>
      <c r="B3590" t="s">
        <v>26951</v>
      </c>
      <c r="C3590" t="s">
        <v>9104</v>
      </c>
      <c r="D3590" t="s">
        <v>9103</v>
      </c>
      <c r="E3590" s="2" t="s">
        <v>572</v>
      </c>
      <c r="F3590" t="s">
        <v>8985</v>
      </c>
      <c r="G3590" t="str">
        <f>HYPERLINK("https://n.news.naver.com/mnews/article/469/0000872131?sid=100")</f>
        <v>https://n.news.naver.com/mnews/article/469/0000872131?sid=100</v>
      </c>
      <c r="H3590">
        <v>0.29599999999999999</v>
      </c>
    </row>
    <row r="3591" spans="1:8" x14ac:dyDescent="0.3">
      <c r="A3591" t="s">
        <v>8793</v>
      </c>
      <c r="B3591" t="s">
        <v>26951</v>
      </c>
      <c r="C3591" t="s">
        <v>9106</v>
      </c>
      <c r="D3591" t="s">
        <v>9105</v>
      </c>
      <c r="E3591" s="2" t="s">
        <v>572</v>
      </c>
      <c r="F3591" t="s">
        <v>8339</v>
      </c>
      <c r="G3591" t="str">
        <f>HYPERLINK("https://n.news.naver.com/mnews/article/028/0002753297?sid=102")</f>
        <v>https://n.news.naver.com/mnews/article/028/0002753297?sid=102</v>
      </c>
      <c r="H3591">
        <v>0.36499999999999999</v>
      </c>
    </row>
    <row r="3592" spans="1:8" x14ac:dyDescent="0.3">
      <c r="A3592" t="s">
        <v>8793</v>
      </c>
      <c r="B3592" t="s">
        <v>26951</v>
      </c>
      <c r="C3592" t="s">
        <v>9109</v>
      </c>
      <c r="D3592" t="s">
        <v>9108</v>
      </c>
      <c r="E3592" s="2" t="s">
        <v>572</v>
      </c>
      <c r="F3592" t="s">
        <v>9107</v>
      </c>
      <c r="G3592" t="str">
        <f>HYPERLINK("https://n.news.naver.com/mnews/article/088/0000953954?sid=100")</f>
        <v>https://n.news.naver.com/mnews/article/088/0000953954?sid=100</v>
      </c>
      <c r="H3592">
        <v>0.12</v>
      </c>
    </row>
    <row r="3593" spans="1:8" x14ac:dyDescent="0.3">
      <c r="A3593" t="s">
        <v>8793</v>
      </c>
      <c r="B3593" t="s">
        <v>26951</v>
      </c>
      <c r="C3593" t="s">
        <v>9111</v>
      </c>
      <c r="D3593" t="s">
        <v>9110</v>
      </c>
      <c r="E3593" s="2" t="s">
        <v>572</v>
      </c>
      <c r="F3593" t="s">
        <v>4261</v>
      </c>
      <c r="G3593" t="str">
        <f>HYPERLINK("http://www.sisafocus.co.kr/news/articleView.html?idxno=327206")</f>
        <v>http://www.sisafocus.co.kr/news/articleView.html?idxno=327206</v>
      </c>
      <c r="H3593">
        <v>0.27500000000000002</v>
      </c>
    </row>
    <row r="3594" spans="1:8" x14ac:dyDescent="0.3">
      <c r="A3594" t="s">
        <v>8793</v>
      </c>
      <c r="B3594" t="s">
        <v>26951</v>
      </c>
      <c r="C3594" t="s">
        <v>9113</v>
      </c>
      <c r="D3594" t="s">
        <v>9112</v>
      </c>
      <c r="E3594" s="2" t="s">
        <v>572</v>
      </c>
      <c r="F3594" t="s">
        <v>1795</v>
      </c>
      <c r="G3594" t="str">
        <f>HYPERLINK("https://n.news.naver.com/mnews/article/052/0001180199?sid=100")</f>
        <v>https://n.news.naver.com/mnews/article/052/0001180199?sid=100</v>
      </c>
      <c r="H3594">
        <v>0.18</v>
      </c>
    </row>
    <row r="3595" spans="1:8" x14ac:dyDescent="0.3">
      <c r="A3595" t="s">
        <v>8793</v>
      </c>
      <c r="B3595" t="s">
        <v>26951</v>
      </c>
      <c r="C3595" t="s">
        <v>9115</v>
      </c>
      <c r="D3595" t="s">
        <v>9114</v>
      </c>
      <c r="E3595" s="2" t="s">
        <v>572</v>
      </c>
      <c r="F3595" t="s">
        <v>677</v>
      </c>
      <c r="G3595" t="str">
        <f>HYPERLINK("https://n.news.naver.com/mnews/article/214/0001429480?sid=100")</f>
        <v>https://n.news.naver.com/mnews/article/214/0001429480?sid=100</v>
      </c>
      <c r="H3595">
        <v>0.246</v>
      </c>
    </row>
    <row r="3596" spans="1:8" x14ac:dyDescent="0.3">
      <c r="A3596" t="s">
        <v>8793</v>
      </c>
      <c r="B3596" t="s">
        <v>26951</v>
      </c>
      <c r="C3596" t="s">
        <v>9118</v>
      </c>
      <c r="D3596" t="s">
        <v>9117</v>
      </c>
      <c r="E3596" s="2" t="s">
        <v>609</v>
      </c>
      <c r="F3596" t="s">
        <v>9116</v>
      </c>
      <c r="G3596" t="str">
        <f>HYPERLINK("https://n.news.naver.com/mnews/article/028/0002695717?sid=103")</f>
        <v>https://n.news.naver.com/mnews/article/028/0002695717?sid=103</v>
      </c>
      <c r="H3596">
        <v>9.8000000000000004E-2</v>
      </c>
    </row>
    <row r="3597" spans="1:8" x14ac:dyDescent="0.3">
      <c r="A3597" t="s">
        <v>8793</v>
      </c>
      <c r="B3597" t="s">
        <v>26951</v>
      </c>
      <c r="C3597" t="s">
        <v>9120</v>
      </c>
      <c r="D3597" t="s">
        <v>9119</v>
      </c>
      <c r="E3597" s="2" t="s">
        <v>609</v>
      </c>
      <c r="F3597" t="s">
        <v>4243</v>
      </c>
      <c r="G3597" t="str">
        <f>HYPERLINK("https://n.news.naver.com/mnews/article/469/0000872836?sid=102")</f>
        <v>https://n.news.naver.com/mnews/article/469/0000872836?sid=102</v>
      </c>
      <c r="H3597">
        <v>0.28000000000000003</v>
      </c>
    </row>
    <row r="3598" spans="1:8" x14ac:dyDescent="0.3">
      <c r="A3598" t="s">
        <v>8793</v>
      </c>
      <c r="B3598" t="s">
        <v>26951</v>
      </c>
      <c r="C3598" t="s">
        <v>9123</v>
      </c>
      <c r="D3598" t="s">
        <v>9122</v>
      </c>
      <c r="E3598" s="2" t="s">
        <v>609</v>
      </c>
      <c r="F3598" t="s">
        <v>9121</v>
      </c>
      <c r="G3598" t="str">
        <f>HYPERLINK("https://www.iusm.co.kr/news/articleView.html?idxno=1011101")</f>
        <v>https://www.iusm.co.kr/news/articleView.html?idxno=1011101</v>
      </c>
      <c r="H3598">
        <v>0.17499999999999999</v>
      </c>
    </row>
    <row r="3599" spans="1:8" x14ac:dyDescent="0.3">
      <c r="A3599" t="s">
        <v>8793</v>
      </c>
      <c r="B3599" t="s">
        <v>26951</v>
      </c>
      <c r="C3599" t="s">
        <v>9126</v>
      </c>
      <c r="D3599" t="s">
        <v>9125</v>
      </c>
      <c r="E3599" s="2" t="s">
        <v>609</v>
      </c>
      <c r="F3599" t="s">
        <v>9124</v>
      </c>
      <c r="G3599" t="str">
        <f>HYPERLINK("http://dream.kotra.or.kr/kotranews/cms/news/actionKotraBoardDetail.do?SITE_NO=3&amp;MENU_ID=80&amp;CONTENTS_NO=2&amp;bbsGbn=242&amp;bbsSn=242&amp;pNttSn=207588")</f>
        <v>http://dream.kotra.or.kr/kotranews/cms/news/actionKotraBoardDetail.do?SITE_NO=3&amp;MENU_ID=80&amp;CONTENTS_NO=2&amp;bbsGbn=242&amp;bbsSn=242&amp;pNttSn=207588</v>
      </c>
      <c r="H3599">
        <v>0.25600000000000001</v>
      </c>
    </row>
    <row r="3600" spans="1:8" x14ac:dyDescent="0.3">
      <c r="A3600" t="s">
        <v>8793</v>
      </c>
      <c r="B3600" t="s">
        <v>26951</v>
      </c>
      <c r="C3600" t="s">
        <v>9130</v>
      </c>
      <c r="D3600" t="s">
        <v>9129</v>
      </c>
      <c r="E3600" s="2" t="s">
        <v>609</v>
      </c>
      <c r="F3600" t="s">
        <v>9128</v>
      </c>
      <c r="G3600" t="str">
        <f>HYPERLINK("https://www.lecturernews.com/news/articleView.html?idxno=135139")</f>
        <v>https://www.lecturernews.com/news/articleView.html?idxno=135139</v>
      </c>
      <c r="H3600">
        <v>0.47099999999999997</v>
      </c>
    </row>
    <row r="3601" spans="1:8" x14ac:dyDescent="0.3">
      <c r="A3601" t="s">
        <v>8793</v>
      </c>
      <c r="B3601" t="s">
        <v>26951</v>
      </c>
      <c r="C3601" t="s">
        <v>9133</v>
      </c>
      <c r="D3601" t="s">
        <v>9132</v>
      </c>
      <c r="E3601" s="2" t="s">
        <v>609</v>
      </c>
      <c r="F3601" t="s">
        <v>9131</v>
      </c>
      <c r="G3601" t="str">
        <f>HYPERLINK("http://www.veritas-a.com/news/articleView.html?idxno=557468")</f>
        <v>http://www.veritas-a.com/news/articleView.html?idxno=557468</v>
      </c>
      <c r="H3601">
        <v>0.81599999999999995</v>
      </c>
    </row>
    <row r="3602" spans="1:8" x14ac:dyDescent="0.3">
      <c r="A3602" t="s">
        <v>8793</v>
      </c>
      <c r="B3602" t="s">
        <v>26951</v>
      </c>
      <c r="C3602" t="s">
        <v>9136</v>
      </c>
      <c r="D3602" t="s">
        <v>9135</v>
      </c>
      <c r="E3602" s="2" t="s">
        <v>609</v>
      </c>
      <c r="F3602" t="s">
        <v>9134</v>
      </c>
      <c r="G3602" t="str">
        <f>HYPERLINK("https://n.news.naver.com/mnews/article/044/0000255864?sid=104")</f>
        <v>https://n.news.naver.com/mnews/article/044/0000255864?sid=104</v>
      </c>
      <c r="H3602">
        <v>8.7999999999999995E-2</v>
      </c>
    </row>
    <row r="3603" spans="1:8" x14ac:dyDescent="0.3">
      <c r="A3603" t="s">
        <v>8793</v>
      </c>
      <c r="B3603" t="s">
        <v>26951</v>
      </c>
      <c r="C3603" t="s">
        <v>9139</v>
      </c>
      <c r="D3603" t="s">
        <v>9138</v>
      </c>
      <c r="E3603" s="2" t="s">
        <v>609</v>
      </c>
      <c r="F3603" t="s">
        <v>9137</v>
      </c>
      <c r="G3603" t="str">
        <f>HYPERLINK("http://www.kado.net/news/articleView.html?idxno=813254")</f>
        <v>http://www.kado.net/news/articleView.html?idxno=813254</v>
      </c>
      <c r="H3603">
        <v>0.39300000000000002</v>
      </c>
    </row>
    <row r="3604" spans="1:8" x14ac:dyDescent="0.3">
      <c r="A3604" t="s">
        <v>8793</v>
      </c>
      <c r="B3604" t="s">
        <v>26951</v>
      </c>
      <c r="C3604" t="s">
        <v>9143</v>
      </c>
      <c r="D3604" t="s">
        <v>9142</v>
      </c>
      <c r="E3604" s="2" t="s">
        <v>653</v>
      </c>
      <c r="F3604" t="s">
        <v>2887</v>
      </c>
      <c r="G3604" t="str">
        <f>HYPERLINK("https://n.news.naver.com/mnews/article/016/0002481892?sid=100")</f>
        <v>https://n.news.naver.com/mnews/article/016/0002481892?sid=100</v>
      </c>
      <c r="H3604">
        <v>0.248</v>
      </c>
    </row>
    <row r="3605" spans="1:8" x14ac:dyDescent="0.3">
      <c r="A3605" t="s">
        <v>8793</v>
      </c>
      <c r="B3605" t="s">
        <v>26951</v>
      </c>
      <c r="C3605" t="s">
        <v>9145</v>
      </c>
      <c r="D3605" t="s">
        <v>9144</v>
      </c>
      <c r="E3605" s="2" t="s">
        <v>653</v>
      </c>
      <c r="F3605" t="s">
        <v>148</v>
      </c>
      <c r="G3605" t="str">
        <f>HYPERLINK("https://n.news.naver.com/mnews/article/469/0000872954?sid=102")</f>
        <v>https://n.news.naver.com/mnews/article/469/0000872954?sid=102</v>
      </c>
      <c r="H3605">
        <v>0.26</v>
      </c>
    </row>
    <row r="3606" spans="1:8" x14ac:dyDescent="0.3">
      <c r="A3606" t="s">
        <v>8793</v>
      </c>
      <c r="B3606" t="s">
        <v>26951</v>
      </c>
      <c r="C3606" t="s">
        <v>9148</v>
      </c>
      <c r="D3606" t="s">
        <v>9147</v>
      </c>
      <c r="E3606" s="2" t="s">
        <v>653</v>
      </c>
      <c r="F3606" t="s">
        <v>9146</v>
      </c>
      <c r="G3606" t="str">
        <f>HYPERLINK("http://www.lecturernews.com/news/articleView.html?idxno=37583")</f>
        <v>http://www.lecturernews.com/news/articleView.html?idxno=37583</v>
      </c>
      <c r="H3606">
        <v>0.65300000000000002</v>
      </c>
    </row>
    <row r="3607" spans="1:8" x14ac:dyDescent="0.3">
      <c r="A3607" t="s">
        <v>8793</v>
      </c>
      <c r="B3607" t="s">
        <v>26951</v>
      </c>
      <c r="C3607" t="s">
        <v>9151</v>
      </c>
      <c r="D3607" t="s">
        <v>9150</v>
      </c>
      <c r="E3607" s="2" t="s">
        <v>653</v>
      </c>
      <c r="F3607" t="s">
        <v>9149</v>
      </c>
      <c r="G3607" t="str">
        <f>HYPERLINK("http://www.ggilbo.com/news/articleView.html?idxno=701020")</f>
        <v>http://www.ggilbo.com/news/articleView.html?idxno=701020</v>
      </c>
      <c r="H3607">
        <v>0.61899999999999999</v>
      </c>
    </row>
    <row r="3608" spans="1:8" x14ac:dyDescent="0.3">
      <c r="A3608" t="s">
        <v>8793</v>
      </c>
      <c r="B3608" t="s">
        <v>26951</v>
      </c>
      <c r="C3608" t="s">
        <v>9154</v>
      </c>
      <c r="D3608" t="s">
        <v>9153</v>
      </c>
      <c r="E3608" s="2" t="s">
        <v>653</v>
      </c>
      <c r="F3608" t="s">
        <v>9152</v>
      </c>
      <c r="G3608" t="str">
        <f>HYPERLINK("http://www.newstnt.com/news/articleView.html?idxno=496963")</f>
        <v>http://www.newstnt.com/news/articleView.html?idxno=496963</v>
      </c>
      <c r="H3608">
        <v>0.872</v>
      </c>
    </row>
    <row r="3609" spans="1:8" x14ac:dyDescent="0.3">
      <c r="A3609" t="s">
        <v>8793</v>
      </c>
      <c r="B3609" t="s">
        <v>26951</v>
      </c>
      <c r="C3609" t="s">
        <v>9156</v>
      </c>
      <c r="D3609" t="s">
        <v>9155</v>
      </c>
      <c r="E3609" s="2" t="s">
        <v>653</v>
      </c>
      <c r="F3609" t="s">
        <v>857</v>
      </c>
      <c r="G3609" t="str">
        <f>HYPERLINK("https://www.apnews.kr/news/articleView.html?idxno=3020698")</f>
        <v>https://www.apnews.kr/news/articleView.html?idxno=3020698</v>
      </c>
      <c r="H3609">
        <v>0.36199999999999999</v>
      </c>
    </row>
    <row r="3610" spans="1:8" x14ac:dyDescent="0.3">
      <c r="A3610" t="s">
        <v>8793</v>
      </c>
      <c r="B3610" t="s">
        <v>26951</v>
      </c>
      <c r="C3610" t="s">
        <v>9159</v>
      </c>
      <c r="D3610" t="s">
        <v>9158</v>
      </c>
      <c r="E3610" s="2" t="s">
        <v>653</v>
      </c>
      <c r="F3610" t="s">
        <v>9157</v>
      </c>
      <c r="G3610" t="str">
        <f>HYPERLINK("http://www.newsfreezone.co.kr/news/articleView.html?idxno=262787")</f>
        <v>http://www.newsfreezone.co.kr/news/articleView.html?idxno=262787</v>
      </c>
      <c r="H3610">
        <v>0.499</v>
      </c>
    </row>
    <row r="3611" spans="1:8" x14ac:dyDescent="0.3">
      <c r="A3611" t="s">
        <v>8793</v>
      </c>
      <c r="B3611" t="s">
        <v>26951</v>
      </c>
      <c r="C3611" t="s">
        <v>9161</v>
      </c>
      <c r="D3611" t="s">
        <v>9160</v>
      </c>
      <c r="E3611" s="2" t="s">
        <v>692</v>
      </c>
      <c r="F3611" t="s">
        <v>9131</v>
      </c>
      <c r="G3611" t="str">
        <f>HYPERLINK("https://n.news.naver.com/mnews/article/277/0005604736?sid=102")</f>
        <v>https://n.news.naver.com/mnews/article/277/0005604736?sid=102</v>
      </c>
      <c r="H3611">
        <v>0.29399999999999998</v>
      </c>
    </row>
    <row r="3612" spans="1:8" x14ac:dyDescent="0.3">
      <c r="A3612" t="s">
        <v>8793</v>
      </c>
      <c r="B3612" t="s">
        <v>26951</v>
      </c>
      <c r="C3612" t="s">
        <v>9164</v>
      </c>
      <c r="D3612" t="s">
        <v>9163</v>
      </c>
      <c r="E3612" s="2" t="s">
        <v>692</v>
      </c>
      <c r="F3612" t="s">
        <v>9162</v>
      </c>
      <c r="G3612" t="str">
        <f>HYPERLINK("https://n.news.naver.com/mnews/article/469/0000868913?sid=102")</f>
        <v>https://n.news.naver.com/mnews/article/469/0000868913?sid=102</v>
      </c>
      <c r="H3612">
        <v>0.20499999999999999</v>
      </c>
    </row>
    <row r="3613" spans="1:8" x14ac:dyDescent="0.3">
      <c r="A3613" t="s">
        <v>8793</v>
      </c>
      <c r="B3613" t="s">
        <v>26951</v>
      </c>
      <c r="C3613" t="s">
        <v>9167</v>
      </c>
      <c r="D3613" t="s">
        <v>9166</v>
      </c>
      <c r="E3613" s="2" t="s">
        <v>711</v>
      </c>
      <c r="F3613" t="s">
        <v>9165</v>
      </c>
      <c r="G3613" t="str">
        <f>HYPERLINK("https://dealsite.co.kr/articles/115394")</f>
        <v>https://dealsite.co.kr/articles/115394</v>
      </c>
      <c r="H3613">
        <v>0.375</v>
      </c>
    </row>
    <row r="3614" spans="1:8" x14ac:dyDescent="0.3">
      <c r="A3614" t="s">
        <v>8793</v>
      </c>
      <c r="B3614" t="s">
        <v>26951</v>
      </c>
      <c r="C3614" t="s">
        <v>9169</v>
      </c>
      <c r="D3614" t="s">
        <v>9168</v>
      </c>
      <c r="E3614" s="2" t="s">
        <v>711</v>
      </c>
      <c r="F3614" t="s">
        <v>9087</v>
      </c>
      <c r="G3614" t="str">
        <f>HYPERLINK("https://n.news.naver.com/mnews/article/079/0004031980?sid=100")</f>
        <v>https://n.news.naver.com/mnews/article/079/0004031980?sid=100</v>
      </c>
      <c r="H3614">
        <v>0.28999999999999998</v>
      </c>
    </row>
    <row r="3615" spans="1:8" x14ac:dyDescent="0.3">
      <c r="A3615" t="s">
        <v>8793</v>
      </c>
      <c r="B3615" t="s">
        <v>26951</v>
      </c>
      <c r="C3615" t="s">
        <v>9171</v>
      </c>
      <c r="D3615" t="s">
        <v>9170</v>
      </c>
      <c r="E3615" s="2" t="s">
        <v>725</v>
      </c>
      <c r="F3615" t="s">
        <v>2046</v>
      </c>
      <c r="G3615" t="str">
        <f>HYPERLINK("http://www.ajunews.com/view/20190726161307177")</f>
        <v>http://www.ajunews.com/view/20190726161307177</v>
      </c>
      <c r="H3615">
        <v>0.34799999999999998</v>
      </c>
    </row>
    <row r="3616" spans="1:8" x14ac:dyDescent="0.3">
      <c r="A3616" t="s">
        <v>8793</v>
      </c>
      <c r="B3616" t="s">
        <v>26951</v>
      </c>
      <c r="C3616" t="s">
        <v>9174</v>
      </c>
      <c r="D3616" t="s">
        <v>9173</v>
      </c>
      <c r="E3616" s="2" t="s">
        <v>725</v>
      </c>
      <c r="F3616" t="s">
        <v>9172</v>
      </c>
      <c r="G3616" t="str">
        <f>HYPERLINK("http://www.nongaek.com/news/articleView.html?idxno=91599")</f>
        <v>http://www.nongaek.com/news/articleView.html?idxno=91599</v>
      </c>
      <c r="H3616">
        <v>0.68899999999999995</v>
      </c>
    </row>
    <row r="3617" spans="1:8" x14ac:dyDescent="0.3">
      <c r="A3617" t="s">
        <v>8793</v>
      </c>
      <c r="B3617" t="s">
        <v>26951</v>
      </c>
      <c r="C3617" t="s">
        <v>9177</v>
      </c>
      <c r="D3617" t="s">
        <v>9176</v>
      </c>
      <c r="E3617" s="2" t="s">
        <v>725</v>
      </c>
      <c r="F3617" t="s">
        <v>9175</v>
      </c>
      <c r="G3617" t="str">
        <f>HYPERLINK("http://www.lecturernews.com/news/articleView.html?idxno=101697")</f>
        <v>http://www.lecturernews.com/news/articleView.html?idxno=101697</v>
      </c>
      <c r="H3617">
        <v>0.23200000000000001</v>
      </c>
    </row>
    <row r="3618" spans="1:8" x14ac:dyDescent="0.3">
      <c r="A3618" t="s">
        <v>8793</v>
      </c>
      <c r="B3618" t="s">
        <v>26951</v>
      </c>
      <c r="C3618" t="s">
        <v>9179</v>
      </c>
      <c r="D3618" t="s">
        <v>9178</v>
      </c>
      <c r="E3618" s="2" t="s">
        <v>725</v>
      </c>
      <c r="F3618" t="s">
        <v>5562</v>
      </c>
      <c r="G3618" t="str">
        <f>HYPERLINK("https://n.news.naver.com/mnews/article/469/0000868919?sid=103")</f>
        <v>https://n.news.naver.com/mnews/article/469/0000868919?sid=103</v>
      </c>
      <c r="H3618">
        <v>0.30599999999999999</v>
      </c>
    </row>
    <row r="3619" spans="1:8" x14ac:dyDescent="0.3">
      <c r="A3619" t="s">
        <v>8793</v>
      </c>
      <c r="B3619" t="s">
        <v>26951</v>
      </c>
      <c r="C3619" t="s">
        <v>9181</v>
      </c>
      <c r="D3619" t="s">
        <v>9180</v>
      </c>
      <c r="E3619" s="2" t="s">
        <v>725</v>
      </c>
      <c r="F3619" t="s">
        <v>2074</v>
      </c>
      <c r="G3619" t="str">
        <f>HYPERLINK("https://news.bbsi.co.kr/news/articleView.html?idxno=4035631")</f>
        <v>https://news.bbsi.co.kr/news/articleView.html?idxno=4035631</v>
      </c>
      <c r="H3619">
        <v>0.36799999999999999</v>
      </c>
    </row>
    <row r="3620" spans="1:8" x14ac:dyDescent="0.3">
      <c r="A3620" t="s">
        <v>8793</v>
      </c>
      <c r="B3620" t="s">
        <v>26951</v>
      </c>
      <c r="C3620" t="s">
        <v>9183</v>
      </c>
      <c r="D3620" t="s">
        <v>9182</v>
      </c>
      <c r="E3620" s="2" t="s">
        <v>725</v>
      </c>
      <c r="F3620" t="s">
        <v>8848</v>
      </c>
      <c r="G3620" t="str">
        <f>HYPERLINK("https://n.news.naver.com/mnews/article/002/0001977991?sid=100")</f>
        <v>https://n.news.naver.com/mnews/article/002/0001977991?sid=100</v>
      </c>
      <c r="H3620">
        <v>0.17699999999999999</v>
      </c>
    </row>
    <row r="3621" spans="1:8" x14ac:dyDescent="0.3">
      <c r="A3621" t="s">
        <v>8793</v>
      </c>
      <c r="B3621" t="s">
        <v>26951</v>
      </c>
      <c r="C3621" t="s">
        <v>9186</v>
      </c>
      <c r="D3621" t="s">
        <v>9185</v>
      </c>
      <c r="E3621" s="2" t="s">
        <v>725</v>
      </c>
      <c r="F3621" t="s">
        <v>9184</v>
      </c>
      <c r="G3621" t="str">
        <f>HYPERLINK("https://n.news.naver.com/mnews/article/022/0004041318?sid=100")</f>
        <v>https://n.news.naver.com/mnews/article/022/0004041318?sid=100</v>
      </c>
      <c r="H3621">
        <v>0.30499999999999999</v>
      </c>
    </row>
    <row r="3622" spans="1:8" x14ac:dyDescent="0.3">
      <c r="A3622" t="s">
        <v>8793</v>
      </c>
      <c r="B3622" t="s">
        <v>26951</v>
      </c>
      <c r="C3622" t="s">
        <v>9188</v>
      </c>
      <c r="D3622" t="s">
        <v>9187</v>
      </c>
      <c r="E3622" s="2" t="s">
        <v>742</v>
      </c>
      <c r="F3622" t="s">
        <v>8538</v>
      </c>
      <c r="G3622" t="str">
        <f>HYPERLINK("http://www.kyosu.net/news/articleView.html?idxno=53641")</f>
        <v>http://www.kyosu.net/news/articleView.html?idxno=53641</v>
      </c>
      <c r="H3622">
        <v>0.64500000000000002</v>
      </c>
    </row>
    <row r="3623" spans="1:8" x14ac:dyDescent="0.3">
      <c r="A3623" t="s">
        <v>8793</v>
      </c>
      <c r="B3623" t="s">
        <v>26951</v>
      </c>
      <c r="C3623" t="s">
        <v>9191</v>
      </c>
      <c r="D3623" t="s">
        <v>9190</v>
      </c>
      <c r="E3623" s="2" t="s">
        <v>742</v>
      </c>
      <c r="F3623" t="s">
        <v>9189</v>
      </c>
      <c r="G3623" t="str">
        <f>HYPERLINK("http://www.breaknews.com/986243")</f>
        <v>http://www.breaknews.com/986243</v>
      </c>
      <c r="H3623">
        <v>0.66800000000000004</v>
      </c>
    </row>
    <row r="3624" spans="1:8" x14ac:dyDescent="0.3">
      <c r="A3624" t="s">
        <v>8793</v>
      </c>
      <c r="B3624" t="s">
        <v>26951</v>
      </c>
      <c r="C3624" t="s">
        <v>9194</v>
      </c>
      <c r="D3624" t="s">
        <v>9193</v>
      </c>
      <c r="E3624" s="2" t="s">
        <v>742</v>
      </c>
      <c r="F3624" t="s">
        <v>9192</v>
      </c>
      <c r="G3624" t="str">
        <f>HYPERLINK("https://www.travie.com/news/articleView.html?idxno=53622")</f>
        <v>https://www.travie.com/news/articleView.html?idxno=53622</v>
      </c>
      <c r="H3624">
        <v>0.52800000000000002</v>
      </c>
    </row>
    <row r="3625" spans="1:8" x14ac:dyDescent="0.3">
      <c r="A3625" t="s">
        <v>8793</v>
      </c>
      <c r="B3625" t="s">
        <v>26951</v>
      </c>
      <c r="C3625" t="s">
        <v>9196</v>
      </c>
      <c r="D3625" t="s">
        <v>9195</v>
      </c>
      <c r="E3625" s="2" t="s">
        <v>742</v>
      </c>
      <c r="F3625" t="s">
        <v>197</v>
      </c>
      <c r="G3625" t="str">
        <f>HYPERLINK("https://n.news.naver.com/mnews/article/469/0000870786?sid=101")</f>
        <v>https://n.news.naver.com/mnews/article/469/0000870786?sid=101</v>
      </c>
      <c r="H3625">
        <v>0.33800000000000002</v>
      </c>
    </row>
    <row r="3626" spans="1:8" x14ac:dyDescent="0.3">
      <c r="A3626" t="s">
        <v>8793</v>
      </c>
      <c r="B3626" t="s">
        <v>26951</v>
      </c>
      <c r="C3626" t="s">
        <v>9198</v>
      </c>
      <c r="D3626" t="s">
        <v>9197</v>
      </c>
      <c r="E3626" s="2" t="s">
        <v>742</v>
      </c>
      <c r="F3626" t="s">
        <v>4934</v>
      </c>
      <c r="G3626" t="str">
        <f>HYPERLINK("http://www.newstnt.com/news/articleView.html?idxno=505556")</f>
        <v>http://www.newstnt.com/news/articleView.html?idxno=505556</v>
      </c>
      <c r="H3626">
        <v>0.66900000000000004</v>
      </c>
    </row>
    <row r="3627" spans="1:8" x14ac:dyDescent="0.3">
      <c r="A3627" t="s">
        <v>8793</v>
      </c>
      <c r="B3627" t="s">
        <v>26951</v>
      </c>
      <c r="C3627" t="s">
        <v>9200</v>
      </c>
      <c r="D3627" t="s">
        <v>9199</v>
      </c>
      <c r="E3627" s="2" t="s">
        <v>742</v>
      </c>
      <c r="F3627" t="s">
        <v>4210</v>
      </c>
      <c r="G3627" t="str">
        <f>HYPERLINK("https://www.apnews.kr/news/articleView.html?idxno=3031657")</f>
        <v>https://www.apnews.kr/news/articleView.html?idxno=3031657</v>
      </c>
      <c r="H3627">
        <v>0.218</v>
      </c>
    </row>
    <row r="3628" spans="1:8" x14ac:dyDescent="0.3">
      <c r="A3628" t="s">
        <v>8793</v>
      </c>
      <c r="B3628" t="s">
        <v>26951</v>
      </c>
      <c r="C3628" t="s">
        <v>9202</v>
      </c>
      <c r="D3628" t="s">
        <v>9201</v>
      </c>
      <c r="E3628" s="2" t="s">
        <v>742</v>
      </c>
      <c r="F3628" t="s">
        <v>8890</v>
      </c>
      <c r="G3628" t="str">
        <f>HYPERLINK("https://n.news.naver.com/mnews/article/018/0006048493?sid=104")</f>
        <v>https://n.news.naver.com/mnews/article/018/0006048493?sid=104</v>
      </c>
      <c r="H3628">
        <v>0.20200000000000001</v>
      </c>
    </row>
    <row r="3629" spans="1:8" x14ac:dyDescent="0.3">
      <c r="A3629" t="s">
        <v>8793</v>
      </c>
      <c r="B3629" t="s">
        <v>26951</v>
      </c>
      <c r="C3629" t="s">
        <v>9204</v>
      </c>
      <c r="D3629" t="s">
        <v>9203</v>
      </c>
      <c r="E3629" s="2" t="s">
        <v>742</v>
      </c>
      <c r="F3629" t="s">
        <v>8890</v>
      </c>
      <c r="G3629" t="str">
        <f>HYPERLINK("https://news.einfomax.co.kr/news/articleView.html?idxno=4358892")</f>
        <v>https://news.einfomax.co.kr/news/articleView.html?idxno=4358892</v>
      </c>
      <c r="H3629">
        <v>0.433</v>
      </c>
    </row>
    <row r="3630" spans="1:8" x14ac:dyDescent="0.3">
      <c r="A3630" t="s">
        <v>8793</v>
      </c>
      <c r="B3630" t="s">
        <v>26951</v>
      </c>
      <c r="C3630" t="s">
        <v>9206</v>
      </c>
      <c r="D3630" t="s">
        <v>9205</v>
      </c>
      <c r="E3630" s="2" t="s">
        <v>799</v>
      </c>
      <c r="F3630" t="s">
        <v>4318</v>
      </c>
      <c r="G3630" t="str">
        <f>HYPERLINK("http://www.koreatimes.com/article/1020334")</f>
        <v>http://www.koreatimes.com/article/1020334</v>
      </c>
      <c r="H3630">
        <v>0.51200000000000001</v>
      </c>
    </row>
    <row r="3631" spans="1:8" x14ac:dyDescent="0.3">
      <c r="A3631" t="s">
        <v>8793</v>
      </c>
      <c r="B3631" t="s">
        <v>26951</v>
      </c>
      <c r="C3631" t="s">
        <v>9209</v>
      </c>
      <c r="D3631" t="s">
        <v>9208</v>
      </c>
      <c r="E3631" s="2" t="s">
        <v>799</v>
      </c>
      <c r="F3631" t="s">
        <v>9207</v>
      </c>
      <c r="G3631" t="str">
        <f>HYPERLINK("https://n.news.naver.com/mnews/article/469/0000868264?sid=102")</f>
        <v>https://n.news.naver.com/mnews/article/469/0000868264?sid=102</v>
      </c>
      <c r="H3631">
        <v>0.24099999999999999</v>
      </c>
    </row>
    <row r="3632" spans="1:8" x14ac:dyDescent="0.3">
      <c r="A3632" t="s">
        <v>8793</v>
      </c>
      <c r="B3632" t="s">
        <v>26951</v>
      </c>
      <c r="C3632" t="s">
        <v>9212</v>
      </c>
      <c r="D3632" t="s">
        <v>9211</v>
      </c>
      <c r="E3632" s="2" t="s">
        <v>799</v>
      </c>
      <c r="F3632" t="s">
        <v>9210</v>
      </c>
      <c r="G3632" t="str">
        <f>HYPERLINK("https://www.apnews.kr/news/articleView.html?idxno=3028169")</f>
        <v>https://www.apnews.kr/news/articleView.html?idxno=3028169</v>
      </c>
      <c r="H3632">
        <v>0.45600000000000002</v>
      </c>
    </row>
    <row r="3633" spans="1:8" x14ac:dyDescent="0.3">
      <c r="A3633" t="s">
        <v>8793</v>
      </c>
      <c r="B3633" t="s">
        <v>26951</v>
      </c>
      <c r="C3633" t="s">
        <v>9214</v>
      </c>
      <c r="D3633" t="s">
        <v>9213</v>
      </c>
      <c r="E3633" s="2" t="s">
        <v>799</v>
      </c>
      <c r="F3633" t="s">
        <v>2109</v>
      </c>
      <c r="G3633" t="str">
        <f>HYPERLINK("https://www.pennmike.com/news/articleView.html?idxno=93805")</f>
        <v>https://www.pennmike.com/news/articleView.html?idxno=93805</v>
      </c>
      <c r="H3633">
        <v>0.61699999999999999</v>
      </c>
    </row>
    <row r="3634" spans="1:8" x14ac:dyDescent="0.3">
      <c r="A3634" t="s">
        <v>8793</v>
      </c>
      <c r="B3634" t="s">
        <v>26951</v>
      </c>
      <c r="C3634" t="s">
        <v>9217</v>
      </c>
      <c r="D3634" t="s">
        <v>9216</v>
      </c>
      <c r="E3634" s="2" t="s">
        <v>799</v>
      </c>
      <c r="F3634" t="s">
        <v>9215</v>
      </c>
      <c r="G3634" t="str">
        <f>HYPERLINK("http://www.econotelling.com/news/articleView.html?idxno=15253")</f>
        <v>http://www.econotelling.com/news/articleView.html?idxno=15253</v>
      </c>
      <c r="H3634">
        <v>0.54800000000000004</v>
      </c>
    </row>
    <row r="3635" spans="1:8" x14ac:dyDescent="0.3">
      <c r="A3635" t="s">
        <v>8793</v>
      </c>
      <c r="B3635" t="s">
        <v>26951</v>
      </c>
      <c r="C3635" t="s">
        <v>9219</v>
      </c>
      <c r="D3635" t="s">
        <v>9218</v>
      </c>
      <c r="E3635" s="2" t="s">
        <v>799</v>
      </c>
      <c r="F3635" t="s">
        <v>857</v>
      </c>
      <c r="G3635" t="str">
        <f>HYPERLINK("https://www.kidshankook.kr/news/articleView.html?idxno=14205")</f>
        <v>https://www.kidshankook.kr/news/articleView.html?idxno=14205</v>
      </c>
      <c r="H3635">
        <v>0.216</v>
      </c>
    </row>
    <row r="3636" spans="1:8" x14ac:dyDescent="0.3">
      <c r="A3636" t="s">
        <v>8793</v>
      </c>
      <c r="B3636" t="s">
        <v>26951</v>
      </c>
      <c r="C3636" t="s">
        <v>9221</v>
      </c>
      <c r="D3636" t="s">
        <v>9220</v>
      </c>
      <c r="E3636" s="2" t="s">
        <v>799</v>
      </c>
      <c r="F3636" t="s">
        <v>7543</v>
      </c>
      <c r="G3636" t="str">
        <f>HYPERLINK("https://n.news.naver.com/mnews/article/006/0000130439?sid=102")</f>
        <v>https://n.news.naver.com/mnews/article/006/0000130439?sid=102</v>
      </c>
      <c r="H3636">
        <v>0.25</v>
      </c>
    </row>
    <row r="3637" spans="1:8" x14ac:dyDescent="0.3">
      <c r="A3637" t="s">
        <v>8793</v>
      </c>
      <c r="B3637" t="s">
        <v>26951</v>
      </c>
      <c r="C3637" t="s">
        <v>9224</v>
      </c>
      <c r="D3637" t="s">
        <v>9223</v>
      </c>
      <c r="E3637" s="2" t="s">
        <v>799</v>
      </c>
      <c r="F3637" t="s">
        <v>9222</v>
      </c>
      <c r="G3637" t="str">
        <f>HYPERLINK("http://www.newsroad.co.kr/news/articleView.html?idxno=40400")</f>
        <v>http://www.newsroad.co.kr/news/articleView.html?idxno=40400</v>
      </c>
      <c r="H3637">
        <v>0.67900000000000005</v>
      </c>
    </row>
    <row r="3638" spans="1:8" x14ac:dyDescent="0.3">
      <c r="A3638" t="s">
        <v>8793</v>
      </c>
      <c r="B3638" t="s">
        <v>26951</v>
      </c>
      <c r="C3638" t="s">
        <v>9226</v>
      </c>
      <c r="D3638" t="s">
        <v>9225</v>
      </c>
      <c r="E3638" s="2" t="s">
        <v>840</v>
      </c>
      <c r="F3638" t="s">
        <v>1098</v>
      </c>
      <c r="G3638" t="str">
        <f>HYPERLINK("https://www.ajunews.com/view/20250420094207667")</f>
        <v>https://www.ajunews.com/view/20250420094207667</v>
      </c>
      <c r="H3638">
        <v>0.45800000000000002</v>
      </c>
    </row>
    <row r="3639" spans="1:8" x14ac:dyDescent="0.3">
      <c r="A3639" t="s">
        <v>8793</v>
      </c>
      <c r="B3639" t="s">
        <v>26951</v>
      </c>
      <c r="C3639" t="s">
        <v>9228</v>
      </c>
      <c r="D3639" t="s">
        <v>9227</v>
      </c>
      <c r="E3639" s="2" t="s">
        <v>840</v>
      </c>
      <c r="F3639" t="s">
        <v>6871</v>
      </c>
      <c r="G3639" t="str">
        <f>HYPERLINK("http://www.jbsori.com/news/articleView.html?idxno=15674")</f>
        <v>http://www.jbsori.com/news/articleView.html?idxno=15674</v>
      </c>
      <c r="H3639">
        <v>0.61</v>
      </c>
    </row>
    <row r="3640" spans="1:8" x14ac:dyDescent="0.3">
      <c r="A3640" t="s">
        <v>8793</v>
      </c>
      <c r="B3640" t="s">
        <v>26951</v>
      </c>
      <c r="C3640" t="s">
        <v>9231</v>
      </c>
      <c r="D3640" t="s">
        <v>9230</v>
      </c>
      <c r="E3640" s="2" t="s">
        <v>840</v>
      </c>
      <c r="F3640" t="s">
        <v>857</v>
      </c>
      <c r="G3640" t="str">
        <f>HYPERLINK("https://www.apnews.kr/news/articleView.html?idxno=3031657")</f>
        <v>https://www.apnews.kr/news/articleView.html?idxno=3031657</v>
      </c>
      <c r="H3640">
        <v>0.29599999999999999</v>
      </c>
    </row>
    <row r="3641" spans="1:8" x14ac:dyDescent="0.3">
      <c r="A3641" t="s">
        <v>8793</v>
      </c>
      <c r="B3641" t="s">
        <v>26951</v>
      </c>
      <c r="C3641" t="s">
        <v>9233</v>
      </c>
      <c r="D3641" t="s">
        <v>9232</v>
      </c>
      <c r="E3641" s="2" t="s">
        <v>840</v>
      </c>
      <c r="F3641" t="s">
        <v>3679</v>
      </c>
      <c r="G3641" t="str">
        <f>HYPERLINK("https://n.news.naver.com/mnews/article/469/0000870522?sid=102")</f>
        <v>https://n.news.naver.com/mnews/article/469/0000870522?sid=102</v>
      </c>
      <c r="H3641">
        <v>0.26600000000000001</v>
      </c>
    </row>
    <row r="3642" spans="1:8" x14ac:dyDescent="0.3">
      <c r="A3642" t="s">
        <v>8793</v>
      </c>
      <c r="B3642" t="s">
        <v>26951</v>
      </c>
      <c r="C3642" t="s">
        <v>9236</v>
      </c>
      <c r="D3642" t="s">
        <v>9235</v>
      </c>
      <c r="E3642" s="2" t="s">
        <v>860</v>
      </c>
      <c r="F3642" t="s">
        <v>9234</v>
      </c>
      <c r="G3642" t="str">
        <f>HYPERLINK("http://www.industrynews.co.kr/news/articleView.html?idxno=64836")</f>
        <v>http://www.industrynews.co.kr/news/articleView.html?idxno=64836</v>
      </c>
      <c r="H3642">
        <v>0.72199999999999998</v>
      </c>
    </row>
    <row r="3643" spans="1:8" x14ac:dyDescent="0.3">
      <c r="A3643" t="s">
        <v>8793</v>
      </c>
      <c r="B3643" t="s">
        <v>26951</v>
      </c>
      <c r="C3643" t="s">
        <v>9239</v>
      </c>
      <c r="D3643" t="s">
        <v>9238</v>
      </c>
      <c r="E3643" s="2" t="s">
        <v>860</v>
      </c>
      <c r="F3643" t="s">
        <v>9237</v>
      </c>
      <c r="G3643" t="str">
        <f>HYPERLINK("http://www.gjdream.com/news/articleView.html?idxno=616949")</f>
        <v>http://www.gjdream.com/news/articleView.html?idxno=616949</v>
      </c>
      <c r="H3643">
        <v>0.40200000000000002</v>
      </c>
    </row>
    <row r="3644" spans="1:8" x14ac:dyDescent="0.3">
      <c r="A3644" t="s">
        <v>8793</v>
      </c>
      <c r="B3644" t="s">
        <v>26951</v>
      </c>
      <c r="C3644" t="s">
        <v>9243</v>
      </c>
      <c r="D3644" t="s">
        <v>9242</v>
      </c>
      <c r="E3644" s="2" t="s">
        <v>860</v>
      </c>
      <c r="F3644" t="s">
        <v>9241</v>
      </c>
      <c r="G3644" t="str">
        <f>HYPERLINK("https://n.news.naver.com/mnews/article/002/0002391324?sid=102")</f>
        <v>https://n.news.naver.com/mnews/article/002/0002391324?sid=102</v>
      </c>
      <c r="H3644">
        <v>0.24</v>
      </c>
    </row>
    <row r="3645" spans="1:8" x14ac:dyDescent="0.3">
      <c r="A3645" t="s">
        <v>8793</v>
      </c>
      <c r="B3645" t="s">
        <v>26951</v>
      </c>
      <c r="C3645" t="s">
        <v>9246</v>
      </c>
      <c r="D3645" t="s">
        <v>9245</v>
      </c>
      <c r="E3645" s="2" t="s">
        <v>903</v>
      </c>
      <c r="F3645" t="s">
        <v>9244</v>
      </c>
      <c r="G3645" t="str">
        <f>HYPERLINK("https://n.news.naver.com/mnews/article/469/0000504539?sid=102")</f>
        <v>https://n.news.naver.com/mnews/article/469/0000504539?sid=102</v>
      </c>
      <c r="H3645">
        <v>0.432</v>
      </c>
    </row>
    <row r="3646" spans="1:8" x14ac:dyDescent="0.3">
      <c r="A3646" t="s">
        <v>8793</v>
      </c>
      <c r="B3646" t="s">
        <v>26951</v>
      </c>
      <c r="C3646" t="s">
        <v>9249</v>
      </c>
      <c r="D3646" t="s">
        <v>9248</v>
      </c>
      <c r="E3646" s="2" t="s">
        <v>903</v>
      </c>
      <c r="F3646" t="s">
        <v>9247</v>
      </c>
      <c r="G3646" t="str">
        <f>HYPERLINK("https://n.news.naver.com/mnews/article/469/0000148273?sid=104")</f>
        <v>https://n.news.naver.com/mnews/article/469/0000148273?sid=104</v>
      </c>
      <c r="H3646">
        <v>0.28100000000000003</v>
      </c>
    </row>
    <row r="3647" spans="1:8" x14ac:dyDescent="0.3">
      <c r="A3647" t="s">
        <v>8793</v>
      </c>
      <c r="B3647" t="s">
        <v>26951</v>
      </c>
      <c r="C3647" t="s">
        <v>9252</v>
      </c>
      <c r="D3647" t="s">
        <v>9251</v>
      </c>
      <c r="E3647" s="2" t="s">
        <v>903</v>
      </c>
      <c r="F3647" t="s">
        <v>9250</v>
      </c>
      <c r="G3647" t="str">
        <f>HYPERLINK("https://www.lecturernews.com/news/articleView.html?idxno=159602")</f>
        <v>https://www.lecturernews.com/news/articleView.html?idxno=159602</v>
      </c>
      <c r="H3647">
        <v>0.55200000000000005</v>
      </c>
    </row>
    <row r="3648" spans="1:8" x14ac:dyDescent="0.3">
      <c r="A3648" t="s">
        <v>8793</v>
      </c>
      <c r="B3648" t="s">
        <v>26951</v>
      </c>
      <c r="C3648" t="s">
        <v>9254</v>
      </c>
      <c r="D3648" t="s">
        <v>9253</v>
      </c>
      <c r="E3648" s="2" t="s">
        <v>903</v>
      </c>
      <c r="F3648" t="s">
        <v>3073</v>
      </c>
      <c r="G3648" t="str">
        <f>HYPERLINK("https://n.news.naver.com/mnews/article/081/0000066800?sid=103")</f>
        <v>https://n.news.naver.com/mnews/article/081/0000066800?sid=103</v>
      </c>
      <c r="H3648">
        <v>0.21299999999999999</v>
      </c>
    </row>
    <row r="3649" spans="1:8" x14ac:dyDescent="0.3">
      <c r="A3649" t="s">
        <v>9255</v>
      </c>
      <c r="B3649" t="s">
        <v>26951</v>
      </c>
      <c r="C3649" t="s">
        <v>9258</v>
      </c>
      <c r="D3649" t="s">
        <v>9257</v>
      </c>
      <c r="E3649" s="2" t="s">
        <v>7</v>
      </c>
      <c r="F3649" t="s">
        <v>9256</v>
      </c>
      <c r="G3649" t="str">
        <f>HYPERLINK("http://www.idjnews.kr/news/articleView.html?idxno=124045")</f>
        <v>http://www.idjnews.kr/news/articleView.html?idxno=124045</v>
      </c>
      <c r="H3649">
        <v>0.38</v>
      </c>
    </row>
    <row r="3650" spans="1:8" x14ac:dyDescent="0.3">
      <c r="A3650" t="s">
        <v>9255</v>
      </c>
      <c r="B3650" t="s">
        <v>26951</v>
      </c>
      <c r="C3650" t="s">
        <v>9260</v>
      </c>
      <c r="D3650" t="s">
        <v>9259</v>
      </c>
      <c r="E3650" s="2" t="s">
        <v>7</v>
      </c>
      <c r="F3650" t="s">
        <v>2057</v>
      </c>
      <c r="G3650" t="str">
        <f>HYPERLINK("https://www.cctoday.co.kr/news/articleView.html?idxno=2214316")</f>
        <v>https://www.cctoday.co.kr/news/articleView.html?idxno=2214316</v>
      </c>
      <c r="H3650">
        <v>0.13900000000000001</v>
      </c>
    </row>
    <row r="3651" spans="1:8" x14ac:dyDescent="0.3">
      <c r="A3651" t="s">
        <v>9255</v>
      </c>
      <c r="B3651" t="s">
        <v>26951</v>
      </c>
      <c r="C3651" t="s">
        <v>9262</v>
      </c>
      <c r="D3651" t="s">
        <v>9261</v>
      </c>
      <c r="E3651" s="2" t="s">
        <v>7</v>
      </c>
      <c r="F3651" t="s">
        <v>2057</v>
      </c>
      <c r="G3651" t="str">
        <f>HYPERLINK("http://www.brainmedia.co.kr/RecommendedBook/24873")</f>
        <v>http://www.brainmedia.co.kr/RecommendedBook/24873</v>
      </c>
      <c r="H3651">
        <v>0.16400000000000001</v>
      </c>
    </row>
    <row r="3652" spans="1:8" x14ac:dyDescent="0.3">
      <c r="A3652" t="s">
        <v>9255</v>
      </c>
      <c r="B3652" t="s">
        <v>26951</v>
      </c>
      <c r="C3652" t="s">
        <v>9264</v>
      </c>
      <c r="D3652" t="s">
        <v>9263</v>
      </c>
      <c r="E3652" s="2" t="s">
        <v>7</v>
      </c>
      <c r="F3652" t="s">
        <v>857</v>
      </c>
      <c r="G3652" t="str">
        <f>HYPERLINK("http://www.vogue.co.kr/?p=123944")</f>
        <v>http://www.vogue.co.kr/?p=123944</v>
      </c>
      <c r="H3652">
        <v>0.192</v>
      </c>
    </row>
    <row r="3653" spans="1:8" x14ac:dyDescent="0.3">
      <c r="A3653" t="s">
        <v>9255</v>
      </c>
      <c r="B3653" t="s">
        <v>26951</v>
      </c>
      <c r="C3653" t="s">
        <v>9266</v>
      </c>
      <c r="D3653" t="s">
        <v>9265</v>
      </c>
      <c r="E3653" s="2" t="s">
        <v>7</v>
      </c>
      <c r="F3653" t="s">
        <v>2046</v>
      </c>
      <c r="G3653" t="str">
        <f>HYPERLINK("https://n.news.naver.com/mnews/article/081/0002806616?sid=103")</f>
        <v>https://n.news.naver.com/mnews/article/081/0002806616?sid=103</v>
      </c>
      <c r="H3653">
        <v>0.246</v>
      </c>
    </row>
    <row r="3654" spans="1:8" x14ac:dyDescent="0.3">
      <c r="A3654" t="s">
        <v>9255</v>
      </c>
      <c r="B3654" t="s">
        <v>26951</v>
      </c>
      <c r="C3654" t="s">
        <v>9269</v>
      </c>
      <c r="D3654" t="s">
        <v>9268</v>
      </c>
      <c r="E3654" s="2" t="s">
        <v>66</v>
      </c>
      <c r="F3654" t="s">
        <v>9267</v>
      </c>
      <c r="G3654" t="str">
        <f>HYPERLINK("https://www.sportsw.kr/news/newsview.php?ncode=1065569460198283")</f>
        <v>https://www.sportsw.kr/news/newsview.php?ncode=1065569460198283</v>
      </c>
      <c r="H3654">
        <v>9.0999999999999998E-2</v>
      </c>
    </row>
    <row r="3655" spans="1:8" x14ac:dyDescent="0.3">
      <c r="A3655" t="s">
        <v>9255</v>
      </c>
      <c r="B3655" t="s">
        <v>26951</v>
      </c>
      <c r="C3655" t="s">
        <v>9271</v>
      </c>
      <c r="D3655" t="s">
        <v>9270</v>
      </c>
      <c r="E3655" s="2" t="s">
        <v>66</v>
      </c>
      <c r="F3655" t="s">
        <v>2046</v>
      </c>
      <c r="G3655" t="str">
        <f>HYPERLINK("https://n.news.naver.com/mnews/article/081/0002573184?sid=103")</f>
        <v>https://n.news.naver.com/mnews/article/081/0002573184?sid=103</v>
      </c>
      <c r="H3655">
        <v>0.30099999999999999</v>
      </c>
    </row>
    <row r="3656" spans="1:8" x14ac:dyDescent="0.3">
      <c r="A3656" t="s">
        <v>9255</v>
      </c>
      <c r="B3656" t="s">
        <v>26951</v>
      </c>
      <c r="C3656" t="s">
        <v>9274</v>
      </c>
      <c r="D3656" t="s">
        <v>9273</v>
      </c>
      <c r="E3656" s="2" t="s">
        <v>66</v>
      </c>
      <c r="F3656" t="s">
        <v>9272</v>
      </c>
      <c r="G3656" t="str">
        <f>HYPERLINK("http://www.banronbodo.com/news/articleView.html?idxno=23490")</f>
        <v>http://www.banronbodo.com/news/articleView.html?idxno=23490</v>
      </c>
      <c r="H3656">
        <v>0.45100000000000001</v>
      </c>
    </row>
    <row r="3657" spans="1:8" x14ac:dyDescent="0.3">
      <c r="A3657" t="s">
        <v>9255</v>
      </c>
      <c r="B3657" t="s">
        <v>26951</v>
      </c>
      <c r="C3657" t="s">
        <v>9276</v>
      </c>
      <c r="D3657" t="s">
        <v>9275</v>
      </c>
      <c r="E3657" s="2" t="s">
        <v>66</v>
      </c>
      <c r="F3657" t="s">
        <v>1195</v>
      </c>
      <c r="G3657" t="str">
        <f>HYPERLINK("https://n.news.naver.com/mnews/article/119/0002974082?sid=104")</f>
        <v>https://n.news.naver.com/mnews/article/119/0002974082?sid=104</v>
      </c>
      <c r="H3657">
        <v>0.23200000000000001</v>
      </c>
    </row>
    <row r="3658" spans="1:8" x14ac:dyDescent="0.3">
      <c r="A3658" t="s">
        <v>9255</v>
      </c>
      <c r="B3658" t="s">
        <v>26951</v>
      </c>
      <c r="C3658" t="s">
        <v>9279</v>
      </c>
      <c r="D3658" t="s">
        <v>9278</v>
      </c>
      <c r="E3658" s="2" t="s">
        <v>66</v>
      </c>
      <c r="F3658" t="s">
        <v>9277</v>
      </c>
      <c r="G3658" t="str">
        <f>HYPERLINK("http://www.ilyoseoul.co.kr/news/articleView.html?idxno=452162")</f>
        <v>http://www.ilyoseoul.co.kr/news/articleView.html?idxno=452162</v>
      </c>
      <c r="H3658">
        <v>0.39100000000000001</v>
      </c>
    </row>
    <row r="3659" spans="1:8" x14ac:dyDescent="0.3">
      <c r="A3659" t="s">
        <v>9255</v>
      </c>
      <c r="B3659" t="s">
        <v>26951</v>
      </c>
      <c r="C3659" t="s">
        <v>9282</v>
      </c>
      <c r="D3659" t="s">
        <v>9281</v>
      </c>
      <c r="E3659" s="2" t="s">
        <v>74</v>
      </c>
      <c r="F3659" t="s">
        <v>9280</v>
      </c>
      <c r="G3659" t="str">
        <f>HYPERLINK("http://ch.yes24.com/Article/View/45517")</f>
        <v>http://ch.yes24.com/Article/View/45517</v>
      </c>
      <c r="H3659">
        <v>0.498</v>
      </c>
    </row>
    <row r="3660" spans="1:8" x14ac:dyDescent="0.3">
      <c r="A3660" t="s">
        <v>9255</v>
      </c>
      <c r="B3660" t="s">
        <v>26951</v>
      </c>
      <c r="C3660" t="s">
        <v>9284</v>
      </c>
      <c r="D3660" t="s">
        <v>9283</v>
      </c>
      <c r="E3660" s="2" t="s">
        <v>74</v>
      </c>
      <c r="F3660" t="s">
        <v>6788</v>
      </c>
      <c r="G3660" t="str">
        <f>HYPERLINK("http://www.kyongbuk.co.kr/news/articleView.html?idxno=2145939")</f>
        <v>http://www.kyongbuk.co.kr/news/articleView.html?idxno=2145939</v>
      </c>
      <c r="H3660">
        <v>0.43099999999999999</v>
      </c>
    </row>
    <row r="3661" spans="1:8" x14ac:dyDescent="0.3">
      <c r="A3661" t="s">
        <v>9255</v>
      </c>
      <c r="B3661" t="s">
        <v>26951</v>
      </c>
      <c r="C3661" t="s">
        <v>9286</v>
      </c>
      <c r="D3661" t="s">
        <v>9285</v>
      </c>
      <c r="E3661" s="2" t="s">
        <v>105</v>
      </c>
      <c r="F3661" t="s">
        <v>2057</v>
      </c>
      <c r="G3661" t="str">
        <f>HYPERLINK("https://www.newspim.com/news/view/20250625000647")</f>
        <v>https://www.newspim.com/news/view/20250625000647</v>
      </c>
      <c r="H3661">
        <v>0.13</v>
      </c>
    </row>
    <row r="3662" spans="1:8" x14ac:dyDescent="0.3">
      <c r="A3662" t="s">
        <v>9255</v>
      </c>
      <c r="B3662" t="s">
        <v>26951</v>
      </c>
      <c r="C3662" t="s">
        <v>9288</v>
      </c>
      <c r="D3662" t="s">
        <v>9287</v>
      </c>
      <c r="E3662" s="2" t="s">
        <v>105</v>
      </c>
      <c r="F3662" t="s">
        <v>2057</v>
      </c>
      <c r="G3662" t="str">
        <f>HYPERLINK("http://www.doctorstimes.com/news/articleView.html?idxno=233139")</f>
        <v>http://www.doctorstimes.com/news/articleView.html?idxno=233139</v>
      </c>
      <c r="H3662">
        <v>0.22800000000000001</v>
      </c>
    </row>
    <row r="3663" spans="1:8" x14ac:dyDescent="0.3">
      <c r="A3663" t="s">
        <v>9255</v>
      </c>
      <c r="B3663" t="s">
        <v>26951</v>
      </c>
      <c r="C3663" t="s">
        <v>9290</v>
      </c>
      <c r="D3663" t="s">
        <v>9289</v>
      </c>
      <c r="E3663" s="2" t="s">
        <v>105</v>
      </c>
      <c r="F3663" t="s">
        <v>3337</v>
      </c>
      <c r="G3663" t="str">
        <f>HYPERLINK("https://n.news.naver.com/mnews/article/081/0003552860?sid=101")</f>
        <v>https://n.news.naver.com/mnews/article/081/0003552860?sid=101</v>
      </c>
      <c r="H3663">
        <v>0.26400000000000001</v>
      </c>
    </row>
    <row r="3664" spans="1:8" x14ac:dyDescent="0.3">
      <c r="A3664" t="s">
        <v>9255</v>
      </c>
      <c r="B3664" t="s">
        <v>26951</v>
      </c>
      <c r="C3664" t="s">
        <v>9293</v>
      </c>
      <c r="D3664" t="s">
        <v>9292</v>
      </c>
      <c r="E3664" s="2" t="s">
        <v>105</v>
      </c>
      <c r="F3664" t="s">
        <v>9291</v>
      </c>
      <c r="G3664" t="str">
        <f>HYPERLINK("http://www.namdonews.com/news/articleView.html?idxno=823876")</f>
        <v>http://www.namdonews.com/news/articleView.html?idxno=823876</v>
      </c>
      <c r="H3664">
        <v>0.53700000000000003</v>
      </c>
    </row>
    <row r="3665" spans="1:8" x14ac:dyDescent="0.3">
      <c r="A3665" t="s">
        <v>9255</v>
      </c>
      <c r="B3665" t="s">
        <v>26951</v>
      </c>
      <c r="C3665" t="s">
        <v>9296</v>
      </c>
      <c r="D3665" t="s">
        <v>9295</v>
      </c>
      <c r="E3665" s="2" t="s">
        <v>105</v>
      </c>
      <c r="F3665" t="s">
        <v>9294</v>
      </c>
      <c r="G3665" t="str">
        <f>HYPERLINK("http://www.koreareport.co.kr/news/articleView.html?idxno=30167")</f>
        <v>http://www.koreareport.co.kr/news/articleView.html?idxno=30167</v>
      </c>
      <c r="H3665">
        <v>0.31</v>
      </c>
    </row>
    <row r="3666" spans="1:8" x14ac:dyDescent="0.3">
      <c r="A3666" t="s">
        <v>9255</v>
      </c>
      <c r="B3666" t="s">
        <v>26951</v>
      </c>
      <c r="C3666" t="s">
        <v>9299</v>
      </c>
      <c r="D3666" t="s">
        <v>9298</v>
      </c>
      <c r="E3666" s="2" t="s">
        <v>105</v>
      </c>
      <c r="F3666" t="s">
        <v>9297</v>
      </c>
      <c r="G3666" t="str">
        <f>HYPERLINK("http://www.jbsori.com/news/articleView.html?idxno=14967")</f>
        <v>http://www.jbsori.com/news/articleView.html?idxno=14967</v>
      </c>
      <c r="H3666">
        <v>0.216</v>
      </c>
    </row>
    <row r="3667" spans="1:8" x14ac:dyDescent="0.3">
      <c r="A3667" t="s">
        <v>9255</v>
      </c>
      <c r="B3667" t="s">
        <v>26951</v>
      </c>
      <c r="C3667" t="s">
        <v>9301</v>
      </c>
      <c r="D3667" t="s">
        <v>9300</v>
      </c>
      <c r="E3667" s="2" t="s">
        <v>105</v>
      </c>
      <c r="F3667" t="s">
        <v>2902</v>
      </c>
      <c r="G3667" t="str">
        <f>HYPERLINK("http://www.nongaek.com/news/articleView.html?idxno=91799")</f>
        <v>http://www.nongaek.com/news/articleView.html?idxno=91799</v>
      </c>
      <c r="H3667">
        <v>0.32500000000000001</v>
      </c>
    </row>
    <row r="3668" spans="1:8" x14ac:dyDescent="0.3">
      <c r="A3668" t="s">
        <v>9255</v>
      </c>
      <c r="B3668" t="s">
        <v>26951</v>
      </c>
      <c r="C3668" t="s">
        <v>9304</v>
      </c>
      <c r="D3668" t="s">
        <v>9303</v>
      </c>
      <c r="E3668" s="2" t="s">
        <v>105</v>
      </c>
      <c r="F3668" t="s">
        <v>9302</v>
      </c>
      <c r="G3668" t="str">
        <f>HYPERLINK("https://www.ekn.kr/web/view.php?key=20250625023049921")</f>
        <v>https://www.ekn.kr/web/view.php?key=20250625023049921</v>
      </c>
      <c r="H3668">
        <v>0.33</v>
      </c>
    </row>
    <row r="3669" spans="1:8" x14ac:dyDescent="0.3">
      <c r="A3669" t="s">
        <v>9255</v>
      </c>
      <c r="B3669" t="s">
        <v>26951</v>
      </c>
      <c r="C3669" t="s">
        <v>9306</v>
      </c>
      <c r="D3669" t="s">
        <v>9305</v>
      </c>
      <c r="E3669" s="2" t="s">
        <v>105</v>
      </c>
      <c r="F3669" t="s">
        <v>677</v>
      </c>
      <c r="G3669" t="str">
        <f>HYPERLINK("https://n.news.naver.com/mnews/article/008/0005212877?sid=102")</f>
        <v>https://n.news.naver.com/mnews/article/008/0005212877?sid=102</v>
      </c>
      <c r="H3669">
        <v>0.36499999999999999</v>
      </c>
    </row>
    <row r="3670" spans="1:8" x14ac:dyDescent="0.3">
      <c r="A3670" t="s">
        <v>9255</v>
      </c>
      <c r="B3670" t="s">
        <v>26951</v>
      </c>
      <c r="C3670" t="s">
        <v>9308</v>
      </c>
      <c r="D3670" t="s">
        <v>9307</v>
      </c>
      <c r="E3670" s="2" t="s">
        <v>105</v>
      </c>
      <c r="F3670" t="s">
        <v>1960</v>
      </c>
      <c r="G3670" t="str">
        <f>HYPERLINK("https://n.news.naver.com/mnews/article/119/0002973001?sid=102")</f>
        <v>https://n.news.naver.com/mnews/article/119/0002973001?sid=102</v>
      </c>
      <c r="H3670">
        <v>0.32800000000000001</v>
      </c>
    </row>
    <row r="3671" spans="1:8" x14ac:dyDescent="0.3">
      <c r="A3671" t="s">
        <v>9255</v>
      </c>
      <c r="B3671" t="s">
        <v>26951</v>
      </c>
      <c r="C3671" t="s">
        <v>9311</v>
      </c>
      <c r="D3671" t="s">
        <v>9310</v>
      </c>
      <c r="E3671" s="2" t="s">
        <v>105</v>
      </c>
      <c r="F3671" t="s">
        <v>9309</v>
      </c>
      <c r="G3671" t="str">
        <f>HYPERLINK("https://n.news.naver.com/mnews/article/032/0002185892?sid=102")</f>
        <v>https://n.news.naver.com/mnews/article/032/0002185892?sid=102</v>
      </c>
      <c r="H3671">
        <v>0.26900000000000002</v>
      </c>
    </row>
    <row r="3672" spans="1:8" x14ac:dyDescent="0.3">
      <c r="A3672" t="s">
        <v>9255</v>
      </c>
      <c r="B3672" t="s">
        <v>26951</v>
      </c>
      <c r="C3672" t="s">
        <v>9313</v>
      </c>
      <c r="D3672" t="s">
        <v>9312</v>
      </c>
      <c r="E3672" s="2" t="s">
        <v>133</v>
      </c>
      <c r="F3672" t="s">
        <v>4023</v>
      </c>
      <c r="G3672" t="str">
        <f>HYPERLINK("http://www.newspost.kr/news/articleView.html?idxno=93131")</f>
        <v>http://www.newspost.kr/news/articleView.html?idxno=93131</v>
      </c>
      <c r="H3672">
        <v>0.495</v>
      </c>
    </row>
    <row r="3673" spans="1:8" x14ac:dyDescent="0.3">
      <c r="A3673" t="s">
        <v>9255</v>
      </c>
      <c r="B3673" t="s">
        <v>26951</v>
      </c>
      <c r="C3673" t="s">
        <v>9316</v>
      </c>
      <c r="D3673" t="s">
        <v>9315</v>
      </c>
      <c r="E3673" s="2" t="s">
        <v>133</v>
      </c>
      <c r="F3673" t="s">
        <v>9314</v>
      </c>
      <c r="G3673" t="str">
        <f>HYPERLINK("http://www.ggilbo.com/news/articleView.html?idxno=769055")</f>
        <v>http://www.ggilbo.com/news/articleView.html?idxno=769055</v>
      </c>
      <c r="H3673">
        <v>0.65200000000000002</v>
      </c>
    </row>
    <row r="3674" spans="1:8" x14ac:dyDescent="0.3">
      <c r="A3674" t="s">
        <v>9255</v>
      </c>
      <c r="B3674" t="s">
        <v>26951</v>
      </c>
      <c r="C3674" t="s">
        <v>9318</v>
      </c>
      <c r="D3674" t="s">
        <v>9317</v>
      </c>
      <c r="E3674" s="2" t="s">
        <v>133</v>
      </c>
      <c r="F3674" t="s">
        <v>857</v>
      </c>
      <c r="G3674" t="str">
        <f>HYPERLINK("https://www.apnews.kr/news/articleView.html?idxno=3036701")</f>
        <v>https://www.apnews.kr/news/articleView.html?idxno=3036701</v>
      </c>
      <c r="H3674">
        <v>0.24399999999999999</v>
      </c>
    </row>
    <row r="3675" spans="1:8" x14ac:dyDescent="0.3">
      <c r="A3675" t="s">
        <v>9255</v>
      </c>
      <c r="B3675" t="s">
        <v>26951</v>
      </c>
      <c r="C3675" t="s">
        <v>9320</v>
      </c>
      <c r="D3675" t="s">
        <v>9319</v>
      </c>
      <c r="E3675" s="2" t="s">
        <v>133</v>
      </c>
      <c r="F3675" t="s">
        <v>3836</v>
      </c>
      <c r="G3675" t="str">
        <f>HYPERLINK("https://n.news.naver.com/mnews/article/044/0000271837?sid=104")</f>
        <v>https://n.news.naver.com/mnews/article/044/0000271837?sid=104</v>
      </c>
      <c r="H3675">
        <v>0.309</v>
      </c>
    </row>
    <row r="3676" spans="1:8" x14ac:dyDescent="0.3">
      <c r="A3676" t="s">
        <v>9255</v>
      </c>
      <c r="B3676" t="s">
        <v>26951</v>
      </c>
      <c r="C3676" t="s">
        <v>9323</v>
      </c>
      <c r="D3676" t="s">
        <v>9322</v>
      </c>
      <c r="E3676" s="2" t="s">
        <v>133</v>
      </c>
      <c r="F3676" t="s">
        <v>9321</v>
      </c>
      <c r="G3676" t="str">
        <f>HYPERLINK("http://www.jbnews.com/news/articleView.html?idxno=1285590")</f>
        <v>http://www.jbnews.com/news/articleView.html?idxno=1285590</v>
      </c>
      <c r="H3676">
        <v>0.51</v>
      </c>
    </row>
    <row r="3677" spans="1:8" x14ac:dyDescent="0.3">
      <c r="A3677" t="s">
        <v>9255</v>
      </c>
      <c r="B3677" t="s">
        <v>26951</v>
      </c>
      <c r="C3677" t="s">
        <v>9326</v>
      </c>
      <c r="D3677" t="s">
        <v>9325</v>
      </c>
      <c r="E3677" s="2" t="s">
        <v>172</v>
      </c>
      <c r="F3677" t="s">
        <v>9324</v>
      </c>
      <c r="G3677" t="str">
        <f>HYPERLINK("https://n.news.naver.com/mnews/article/081/0003552330?sid=104")</f>
        <v>https://n.news.naver.com/mnews/article/081/0003552330?sid=104</v>
      </c>
      <c r="H3677">
        <v>0.247</v>
      </c>
    </row>
    <row r="3678" spans="1:8" x14ac:dyDescent="0.3">
      <c r="A3678" t="s">
        <v>9255</v>
      </c>
      <c r="B3678" t="s">
        <v>26951</v>
      </c>
      <c r="C3678" t="s">
        <v>9328</v>
      </c>
      <c r="D3678" t="s">
        <v>9327</v>
      </c>
      <c r="E3678" s="2" t="s">
        <v>172</v>
      </c>
      <c r="F3678" t="s">
        <v>2057</v>
      </c>
      <c r="G3678" t="str">
        <f>HYPERLINK("http://www.nongaek.com/news/articleView.html?idxno=91760")</f>
        <v>http://www.nongaek.com/news/articleView.html?idxno=91760</v>
      </c>
      <c r="H3678">
        <v>0.22600000000000001</v>
      </c>
    </row>
    <row r="3679" spans="1:8" x14ac:dyDescent="0.3">
      <c r="A3679" t="s">
        <v>9255</v>
      </c>
      <c r="B3679" t="s">
        <v>26951</v>
      </c>
      <c r="C3679" t="s">
        <v>9330</v>
      </c>
      <c r="D3679" t="s">
        <v>9329</v>
      </c>
      <c r="E3679" s="2" t="s">
        <v>172</v>
      </c>
      <c r="F3679" t="s">
        <v>2057</v>
      </c>
      <c r="G3679" t="str">
        <f>HYPERLINK("http://www.apnews.kr/news/articleView.html?idxno=3005819")</f>
        <v>http://www.apnews.kr/news/articleView.html?idxno=3005819</v>
      </c>
      <c r="H3679">
        <v>0.18</v>
      </c>
    </row>
    <row r="3680" spans="1:8" x14ac:dyDescent="0.3">
      <c r="A3680" t="s">
        <v>9255</v>
      </c>
      <c r="B3680" t="s">
        <v>26951</v>
      </c>
      <c r="C3680" t="s">
        <v>9332</v>
      </c>
      <c r="D3680" t="s">
        <v>9331</v>
      </c>
      <c r="E3680" s="2" t="s">
        <v>172</v>
      </c>
      <c r="F3680" t="s">
        <v>9324</v>
      </c>
      <c r="G3680" t="str">
        <f>HYPERLINK("https://n.news.naver.com/mnews/article/030/0002710775?sid=105")</f>
        <v>https://n.news.naver.com/mnews/article/030/0002710775?sid=105</v>
      </c>
      <c r="H3680">
        <v>0.22700000000000001</v>
      </c>
    </row>
    <row r="3681" spans="1:8" x14ac:dyDescent="0.3">
      <c r="A3681" t="s">
        <v>9255</v>
      </c>
      <c r="B3681" t="s">
        <v>26951</v>
      </c>
      <c r="C3681" t="s">
        <v>9335</v>
      </c>
      <c r="D3681" t="s">
        <v>9334</v>
      </c>
      <c r="E3681" s="2" t="s">
        <v>172</v>
      </c>
      <c r="F3681" t="s">
        <v>9333</v>
      </c>
      <c r="G3681" t="str">
        <f>HYPERLINK("http://www.sctoday.co.kr/news/articleView.html?idxno=40962")</f>
        <v>http://www.sctoday.co.kr/news/articleView.html?idxno=40962</v>
      </c>
      <c r="H3681">
        <v>0.56000000000000005</v>
      </c>
    </row>
    <row r="3682" spans="1:8" x14ac:dyDescent="0.3">
      <c r="A3682" t="s">
        <v>9255</v>
      </c>
      <c r="B3682" t="s">
        <v>26951</v>
      </c>
      <c r="C3682" t="s">
        <v>9338</v>
      </c>
      <c r="D3682" t="s">
        <v>9337</v>
      </c>
      <c r="E3682" s="2" t="s">
        <v>172</v>
      </c>
      <c r="F3682" t="s">
        <v>9336</v>
      </c>
      <c r="G3682" t="str">
        <f>HYPERLINK("https://n.news.naver.com/mnews/article/081/0003552136?sid=102")</f>
        <v>https://n.news.naver.com/mnews/article/081/0003552136?sid=102</v>
      </c>
      <c r="H3682">
        <v>0.39300000000000002</v>
      </c>
    </row>
    <row r="3683" spans="1:8" x14ac:dyDescent="0.3">
      <c r="A3683" t="s">
        <v>9255</v>
      </c>
      <c r="B3683" t="s">
        <v>26951</v>
      </c>
      <c r="C3683" t="s">
        <v>9340</v>
      </c>
      <c r="D3683" t="s">
        <v>9339</v>
      </c>
      <c r="E3683" s="2" t="s">
        <v>172</v>
      </c>
      <c r="F3683" t="s">
        <v>1094</v>
      </c>
      <c r="G3683" t="str">
        <f>HYPERLINK("https://www.newspim.com/news/view/20250701000924")</f>
        <v>https://www.newspim.com/news/view/20250701000924</v>
      </c>
      <c r="H3683">
        <v>0.45100000000000001</v>
      </c>
    </row>
    <row r="3684" spans="1:8" x14ac:dyDescent="0.3">
      <c r="A3684" t="s">
        <v>9255</v>
      </c>
      <c r="B3684" t="s">
        <v>26951</v>
      </c>
      <c r="C3684" t="s">
        <v>9342</v>
      </c>
      <c r="D3684" t="s">
        <v>9341</v>
      </c>
      <c r="E3684" s="2" t="s">
        <v>196</v>
      </c>
      <c r="F3684" t="s">
        <v>9336</v>
      </c>
      <c r="G3684" t="str">
        <f>HYPERLINK("https://www.iusm.co.kr/news/articleView.html?idxno=1046650")</f>
        <v>https://www.iusm.co.kr/news/articleView.html?idxno=1046650</v>
      </c>
      <c r="H3684">
        <v>0.41299999999999998</v>
      </c>
    </row>
    <row r="3685" spans="1:8" x14ac:dyDescent="0.3">
      <c r="A3685" t="s">
        <v>9255</v>
      </c>
      <c r="B3685" t="s">
        <v>26951</v>
      </c>
      <c r="C3685" t="s">
        <v>9344</v>
      </c>
      <c r="D3685" t="s">
        <v>9343</v>
      </c>
      <c r="E3685" s="2" t="s">
        <v>196</v>
      </c>
      <c r="F3685" t="s">
        <v>6164</v>
      </c>
      <c r="G3685" t="str">
        <f>HYPERLINK("https://n.news.naver.com/mnews/article/081/0002891266?sid=105")</f>
        <v>https://n.news.naver.com/mnews/article/081/0002891266?sid=105</v>
      </c>
      <c r="H3685">
        <v>0.30099999999999999</v>
      </c>
    </row>
    <row r="3686" spans="1:8" x14ac:dyDescent="0.3">
      <c r="A3686" t="s">
        <v>9255</v>
      </c>
      <c r="B3686" t="s">
        <v>26951</v>
      </c>
      <c r="C3686" t="s">
        <v>9347</v>
      </c>
      <c r="D3686" t="s">
        <v>9346</v>
      </c>
      <c r="E3686" s="2" t="s">
        <v>196</v>
      </c>
      <c r="F3686" t="s">
        <v>9345</v>
      </c>
      <c r="G3686" t="str">
        <f>HYPERLINK("https://n.news.naver.com/mnews/article/081/0002929225?sid=104")</f>
        <v>https://n.news.naver.com/mnews/article/081/0002929225?sid=104</v>
      </c>
      <c r="H3686">
        <v>0.34799999999999998</v>
      </c>
    </row>
    <row r="3687" spans="1:8" x14ac:dyDescent="0.3">
      <c r="A3687" t="s">
        <v>9255</v>
      </c>
      <c r="B3687" t="s">
        <v>26951</v>
      </c>
      <c r="C3687" t="s">
        <v>9350</v>
      </c>
      <c r="D3687" t="s">
        <v>9349</v>
      </c>
      <c r="E3687" s="2" t="s">
        <v>196</v>
      </c>
      <c r="F3687" t="s">
        <v>9348</v>
      </c>
      <c r="G3687" t="str">
        <f>HYPERLINK("https://n.news.naver.com/mnews/article/052/0001830943?sid=100")</f>
        <v>https://n.news.naver.com/mnews/article/052/0001830943?sid=100</v>
      </c>
      <c r="H3687">
        <v>0.13800000000000001</v>
      </c>
    </row>
    <row r="3688" spans="1:8" x14ac:dyDescent="0.3">
      <c r="A3688" t="s">
        <v>9255</v>
      </c>
      <c r="B3688" t="s">
        <v>26951</v>
      </c>
      <c r="C3688" t="s">
        <v>9353</v>
      </c>
      <c r="D3688" t="s">
        <v>9352</v>
      </c>
      <c r="E3688" s="2" t="s">
        <v>196</v>
      </c>
      <c r="F3688" t="s">
        <v>9351</v>
      </c>
      <c r="G3688" t="str">
        <f>HYPERLINK("https://n.news.naver.com/mnews/article/006/0000050190?sid=102")</f>
        <v>https://n.news.naver.com/mnews/article/006/0000050190?sid=102</v>
      </c>
      <c r="H3688">
        <v>0.218</v>
      </c>
    </row>
    <row r="3689" spans="1:8" x14ac:dyDescent="0.3">
      <c r="A3689" t="s">
        <v>9255</v>
      </c>
      <c r="B3689" t="s">
        <v>26951</v>
      </c>
      <c r="C3689" t="s">
        <v>9358</v>
      </c>
      <c r="D3689" t="s">
        <v>9357</v>
      </c>
      <c r="E3689" s="2" t="s">
        <v>196</v>
      </c>
      <c r="F3689" t="s">
        <v>9356</v>
      </c>
      <c r="G3689" t="str">
        <f>HYPERLINK("https://n.news.naver.com/mnews/article/081/0002460225?sid=103")</f>
        <v>https://n.news.naver.com/mnews/article/081/0002460225?sid=103</v>
      </c>
      <c r="H3689">
        <v>0.24099999999999999</v>
      </c>
    </row>
    <row r="3690" spans="1:8" x14ac:dyDescent="0.3">
      <c r="A3690" t="s">
        <v>9255</v>
      </c>
      <c r="B3690" t="s">
        <v>26951</v>
      </c>
      <c r="C3690" t="s">
        <v>9360</v>
      </c>
      <c r="D3690" t="s">
        <v>9359</v>
      </c>
      <c r="E3690" s="2" t="s">
        <v>196</v>
      </c>
      <c r="F3690" t="s">
        <v>3311</v>
      </c>
      <c r="G3690" t="str">
        <f>HYPERLINK("https://n.news.naver.com/mnews/article/081/0003549680?sid=110")</f>
        <v>https://n.news.naver.com/mnews/article/081/0003549680?sid=110</v>
      </c>
      <c r="H3690">
        <v>0.247</v>
      </c>
    </row>
    <row r="3691" spans="1:8" x14ac:dyDescent="0.3">
      <c r="A3691" t="s">
        <v>9255</v>
      </c>
      <c r="B3691" t="s">
        <v>26951</v>
      </c>
      <c r="C3691" t="s">
        <v>9362</v>
      </c>
      <c r="D3691" t="s">
        <v>9361</v>
      </c>
      <c r="E3691" s="2" t="s">
        <v>196</v>
      </c>
      <c r="F3691" t="s">
        <v>1298</v>
      </c>
      <c r="G3691" t="str">
        <f>HYPERLINK("http://www.nongaek.com/news/articleView.html?idxno=87957")</f>
        <v>http://www.nongaek.com/news/articleView.html?idxno=87957</v>
      </c>
      <c r="H3691">
        <v>0.23799999999999999</v>
      </c>
    </row>
    <row r="3692" spans="1:8" x14ac:dyDescent="0.3">
      <c r="A3692" t="s">
        <v>9255</v>
      </c>
      <c r="B3692" t="s">
        <v>26951</v>
      </c>
      <c r="C3692" t="s">
        <v>9365</v>
      </c>
      <c r="D3692" t="s">
        <v>9364</v>
      </c>
      <c r="E3692" s="2" t="s">
        <v>230</v>
      </c>
      <c r="F3692" t="s">
        <v>9363</v>
      </c>
      <c r="G3692" t="str">
        <f>HYPERLINK("https://n.news.naver.com/mnews/article/214/0001431944?sid=100")</f>
        <v>https://n.news.naver.com/mnews/article/214/0001431944?sid=100</v>
      </c>
      <c r="H3692">
        <v>0.372</v>
      </c>
    </row>
    <row r="3693" spans="1:8" x14ac:dyDescent="0.3">
      <c r="A3693" t="s">
        <v>9255</v>
      </c>
      <c r="B3693" t="s">
        <v>26951</v>
      </c>
      <c r="C3693" t="s">
        <v>9368</v>
      </c>
      <c r="D3693" t="s">
        <v>9367</v>
      </c>
      <c r="E3693" s="2" t="s">
        <v>230</v>
      </c>
      <c r="F3693" t="s">
        <v>9366</v>
      </c>
      <c r="G3693" t="str">
        <f>HYPERLINK("https://n.news.naver.com/mnews/article/081/0002499284?sid=100")</f>
        <v>https://n.news.naver.com/mnews/article/081/0002499284?sid=100</v>
      </c>
      <c r="H3693">
        <v>0.35699999999999998</v>
      </c>
    </row>
    <row r="3694" spans="1:8" x14ac:dyDescent="0.3">
      <c r="A3694" t="s">
        <v>9255</v>
      </c>
      <c r="B3694" t="s">
        <v>26951</v>
      </c>
      <c r="C3694" t="s">
        <v>9371</v>
      </c>
      <c r="D3694" t="s">
        <v>9370</v>
      </c>
      <c r="E3694" s="2" t="s">
        <v>230</v>
      </c>
      <c r="F3694" t="s">
        <v>9369</v>
      </c>
      <c r="G3694" t="str">
        <f>HYPERLINK("https://n.news.naver.com/mnews/article/081/0003551692?sid=103")</f>
        <v>https://n.news.naver.com/mnews/article/081/0003551692?sid=103</v>
      </c>
      <c r="H3694">
        <v>0.16700000000000001</v>
      </c>
    </row>
    <row r="3695" spans="1:8" x14ac:dyDescent="0.3">
      <c r="A3695" t="s">
        <v>9255</v>
      </c>
      <c r="B3695" t="s">
        <v>26951</v>
      </c>
      <c r="C3695" t="s">
        <v>9374</v>
      </c>
      <c r="D3695" t="s">
        <v>9373</v>
      </c>
      <c r="E3695" s="2" t="s">
        <v>230</v>
      </c>
      <c r="F3695" t="s">
        <v>9372</v>
      </c>
      <c r="G3695" t="str">
        <f>HYPERLINK("http://www.catholicpress.kr/news/view.php?idx=7904")</f>
        <v>http://www.catholicpress.kr/news/view.php?idx=7904</v>
      </c>
      <c r="H3695">
        <v>0.66300000000000003</v>
      </c>
    </row>
    <row r="3696" spans="1:8" x14ac:dyDescent="0.3">
      <c r="A3696" t="s">
        <v>9255</v>
      </c>
      <c r="B3696" t="s">
        <v>26951</v>
      </c>
      <c r="C3696" t="s">
        <v>9376</v>
      </c>
      <c r="D3696" t="s">
        <v>9375</v>
      </c>
      <c r="E3696" s="2" t="s">
        <v>230</v>
      </c>
      <c r="F3696" t="s">
        <v>184</v>
      </c>
      <c r="G3696" t="str">
        <f>HYPERLINK("https://n.news.naver.com/mnews/article/081/0002883884?sid=102")</f>
        <v>https://n.news.naver.com/mnews/article/081/0002883884?sid=102</v>
      </c>
      <c r="H3696">
        <v>0.314</v>
      </c>
    </row>
    <row r="3697" spans="1:8" x14ac:dyDescent="0.3">
      <c r="A3697" t="s">
        <v>9255</v>
      </c>
      <c r="B3697" t="s">
        <v>26951</v>
      </c>
      <c r="C3697" t="s">
        <v>9379</v>
      </c>
      <c r="D3697" t="s">
        <v>9378</v>
      </c>
      <c r="E3697" s="2" t="s">
        <v>230</v>
      </c>
      <c r="F3697" t="s">
        <v>9377</v>
      </c>
      <c r="G3697" t="str">
        <f>HYPERLINK("https://n.news.naver.com/mnews/article/022/0002638522?sid=101")</f>
        <v>https://n.news.naver.com/mnews/article/022/0002638522?sid=101</v>
      </c>
      <c r="H3697">
        <v>0.433</v>
      </c>
    </row>
    <row r="3698" spans="1:8" x14ac:dyDescent="0.3">
      <c r="A3698" t="s">
        <v>9255</v>
      </c>
      <c r="B3698" t="s">
        <v>26951</v>
      </c>
      <c r="C3698" t="s">
        <v>9381</v>
      </c>
      <c r="D3698" t="s">
        <v>9380</v>
      </c>
      <c r="E3698" s="2" t="s">
        <v>230</v>
      </c>
      <c r="F3698" t="s">
        <v>1266</v>
      </c>
      <c r="G3698" t="str">
        <f>HYPERLINK("https://www.jjan.kr/article/20250107580140")</f>
        <v>https://www.jjan.kr/article/20250107580140</v>
      </c>
      <c r="H3698">
        <v>0.40600000000000003</v>
      </c>
    </row>
    <row r="3699" spans="1:8" x14ac:dyDescent="0.3">
      <c r="A3699" t="s">
        <v>9255</v>
      </c>
      <c r="B3699" t="s">
        <v>26951</v>
      </c>
      <c r="C3699" t="s">
        <v>9384</v>
      </c>
      <c r="D3699" t="s">
        <v>9383</v>
      </c>
      <c r="E3699" s="2" t="s">
        <v>230</v>
      </c>
      <c r="F3699" t="s">
        <v>9382</v>
      </c>
      <c r="G3699" t="str">
        <f>HYPERLINK("https://n.news.naver.com/mnews/article/081/0003551392?sid=102")</f>
        <v>https://n.news.naver.com/mnews/article/081/0003551392?sid=102</v>
      </c>
      <c r="H3699">
        <v>0.26600000000000001</v>
      </c>
    </row>
    <row r="3700" spans="1:8" x14ac:dyDescent="0.3">
      <c r="A3700" t="s">
        <v>9255</v>
      </c>
      <c r="B3700" t="s">
        <v>26951</v>
      </c>
      <c r="C3700" t="s">
        <v>9387</v>
      </c>
      <c r="D3700" t="s">
        <v>9386</v>
      </c>
      <c r="E3700" s="2" t="s">
        <v>267</v>
      </c>
      <c r="F3700" t="s">
        <v>9385</v>
      </c>
      <c r="G3700" t="str">
        <f>HYPERLINK("https://www.ilyoseoul.co.kr/news/articleView.html?idxno=503902")</f>
        <v>https://www.ilyoseoul.co.kr/news/articleView.html?idxno=503902</v>
      </c>
      <c r="H3700">
        <v>0.96499999999999997</v>
      </c>
    </row>
    <row r="3701" spans="1:8" x14ac:dyDescent="0.3">
      <c r="A3701" t="s">
        <v>9255</v>
      </c>
      <c r="B3701" t="s">
        <v>26951</v>
      </c>
      <c r="C3701" t="s">
        <v>9389</v>
      </c>
      <c r="D3701" t="s">
        <v>9388</v>
      </c>
      <c r="E3701" s="2" t="s">
        <v>267</v>
      </c>
      <c r="F3701" t="s">
        <v>2046</v>
      </c>
      <c r="G3701" t="str">
        <f>HYPERLINK("http://www.bulkyo21.com/news/articleView.html?idxno=61794")</f>
        <v>http://www.bulkyo21.com/news/articleView.html?idxno=61794</v>
      </c>
      <c r="H3701">
        <v>0.72099999999999997</v>
      </c>
    </row>
    <row r="3702" spans="1:8" x14ac:dyDescent="0.3">
      <c r="A3702" t="s">
        <v>9255</v>
      </c>
      <c r="B3702" t="s">
        <v>26951</v>
      </c>
      <c r="C3702" t="s">
        <v>9391</v>
      </c>
      <c r="D3702" t="s">
        <v>9390</v>
      </c>
      <c r="E3702" s="2" t="s">
        <v>280</v>
      </c>
      <c r="F3702" t="s">
        <v>7131</v>
      </c>
      <c r="G3702" t="str">
        <f>HYPERLINK("https://www.nbntv.co.kr/news/articleView.html?idxno=3019334")</f>
        <v>https://www.nbntv.co.kr/news/articleView.html?idxno=3019334</v>
      </c>
      <c r="H3702">
        <v>0.53700000000000003</v>
      </c>
    </row>
    <row r="3703" spans="1:8" x14ac:dyDescent="0.3">
      <c r="A3703" t="s">
        <v>9255</v>
      </c>
      <c r="B3703" t="s">
        <v>26951</v>
      </c>
      <c r="C3703" t="s">
        <v>9394</v>
      </c>
      <c r="D3703" t="s">
        <v>9393</v>
      </c>
      <c r="E3703" s="2" t="s">
        <v>280</v>
      </c>
      <c r="F3703" t="s">
        <v>9392</v>
      </c>
      <c r="G3703" t="str">
        <f>HYPERLINK("https://n.news.naver.com/mnews/article/081/0002924236?sid=102")</f>
        <v>https://n.news.naver.com/mnews/article/081/0002924236?sid=102</v>
      </c>
      <c r="H3703">
        <v>0.42099999999999999</v>
      </c>
    </row>
    <row r="3704" spans="1:8" x14ac:dyDescent="0.3">
      <c r="A3704" t="s">
        <v>9255</v>
      </c>
      <c r="B3704" t="s">
        <v>26951</v>
      </c>
      <c r="C3704" t="s">
        <v>9396</v>
      </c>
      <c r="D3704" t="s">
        <v>9395</v>
      </c>
      <c r="E3704" s="2" t="s">
        <v>280</v>
      </c>
      <c r="F3704" t="s">
        <v>89</v>
      </c>
      <c r="G3704" t="str">
        <f>HYPERLINK("https://www.apnews.kr/news/articleView.html?idxno=3023196")</f>
        <v>https://www.apnews.kr/news/articleView.html?idxno=3023196</v>
      </c>
      <c r="H3704">
        <v>0.496</v>
      </c>
    </row>
    <row r="3705" spans="1:8" x14ac:dyDescent="0.3">
      <c r="A3705" t="s">
        <v>9255</v>
      </c>
      <c r="B3705" t="s">
        <v>26951</v>
      </c>
      <c r="C3705" t="s">
        <v>9398</v>
      </c>
      <c r="D3705" t="s">
        <v>9397</v>
      </c>
      <c r="E3705" s="2" t="s">
        <v>280</v>
      </c>
      <c r="F3705" t="s">
        <v>2057</v>
      </c>
      <c r="G3705" t="str">
        <f>HYPERLINK("http://www.mediafine.co.kr/news/articleView.html?idxno=12149")</f>
        <v>http://www.mediafine.co.kr/news/articleView.html?idxno=12149</v>
      </c>
      <c r="H3705">
        <v>0.16600000000000001</v>
      </c>
    </row>
    <row r="3706" spans="1:8" x14ac:dyDescent="0.3">
      <c r="A3706" t="s">
        <v>9255</v>
      </c>
      <c r="B3706" t="s">
        <v>26951</v>
      </c>
      <c r="C3706" t="s">
        <v>9400</v>
      </c>
      <c r="D3706" t="s">
        <v>9399</v>
      </c>
      <c r="E3706" s="2" t="s">
        <v>280</v>
      </c>
      <c r="F3706" t="s">
        <v>2057</v>
      </c>
      <c r="G3706" t="str">
        <f>HYPERLINK("https://n.news.naver.com/mnews/article/081/0003547956?sid=110")</f>
        <v>https://n.news.naver.com/mnews/article/081/0003547956?sid=110</v>
      </c>
      <c r="H3706">
        <v>5.8000000000000003E-2</v>
      </c>
    </row>
    <row r="3707" spans="1:8" x14ac:dyDescent="0.3">
      <c r="A3707" t="s">
        <v>9255</v>
      </c>
      <c r="B3707" t="s">
        <v>26951</v>
      </c>
      <c r="C3707" t="s">
        <v>9402</v>
      </c>
      <c r="D3707" t="s">
        <v>9401</v>
      </c>
      <c r="E3707" s="2" t="s">
        <v>280</v>
      </c>
      <c r="F3707" t="s">
        <v>2057</v>
      </c>
      <c r="G3707" t="str">
        <f>HYPERLINK("https://www.ntoday.co.kr/news/articleView.html?idxno=115059")</f>
        <v>https://www.ntoday.co.kr/news/articleView.html?idxno=115059</v>
      </c>
      <c r="H3707">
        <v>0.217</v>
      </c>
    </row>
    <row r="3708" spans="1:8" x14ac:dyDescent="0.3">
      <c r="A3708" t="s">
        <v>9255</v>
      </c>
      <c r="B3708" t="s">
        <v>26951</v>
      </c>
      <c r="C3708" t="s">
        <v>9404</v>
      </c>
      <c r="D3708" t="s">
        <v>9403</v>
      </c>
      <c r="E3708" s="2" t="s">
        <v>280</v>
      </c>
      <c r="F3708" t="s">
        <v>2057</v>
      </c>
      <c r="G3708" t="str">
        <f>HYPERLINK("https://www.greened.kr/news/articleView.html?idxno=327301")</f>
        <v>https://www.greened.kr/news/articleView.html?idxno=327301</v>
      </c>
      <c r="H3708">
        <v>0.13400000000000001</v>
      </c>
    </row>
    <row r="3709" spans="1:8" x14ac:dyDescent="0.3">
      <c r="A3709" t="s">
        <v>9255</v>
      </c>
      <c r="B3709" t="s">
        <v>26951</v>
      </c>
      <c r="C3709" t="s">
        <v>9406</v>
      </c>
      <c r="D3709" t="s">
        <v>9405</v>
      </c>
      <c r="E3709" s="2" t="s">
        <v>313</v>
      </c>
      <c r="F3709" t="s">
        <v>521</v>
      </c>
      <c r="G3709" t="str">
        <f>HYPERLINK("https://n.news.naver.com/mnews/article/081/0003551134?sid=104")</f>
        <v>https://n.news.naver.com/mnews/article/081/0003551134?sid=104</v>
      </c>
      <c r="H3709">
        <v>0.30499999999999999</v>
      </c>
    </row>
    <row r="3710" spans="1:8" x14ac:dyDescent="0.3">
      <c r="A3710" t="s">
        <v>9255</v>
      </c>
      <c r="B3710" t="s">
        <v>26951</v>
      </c>
      <c r="C3710" t="s">
        <v>9409</v>
      </c>
      <c r="D3710" t="s">
        <v>9408</v>
      </c>
      <c r="E3710" s="2" t="s">
        <v>313</v>
      </c>
      <c r="F3710" t="s">
        <v>9407</v>
      </c>
      <c r="G3710" t="str">
        <f>HYPERLINK("http://www.ggilbo.com/news/articleView.html?idxno=739946")</f>
        <v>http://www.ggilbo.com/news/articleView.html?idxno=739946</v>
      </c>
      <c r="H3710">
        <v>0.60599999999999998</v>
      </c>
    </row>
    <row r="3711" spans="1:8" x14ac:dyDescent="0.3">
      <c r="A3711" t="s">
        <v>9255</v>
      </c>
      <c r="B3711" t="s">
        <v>26951</v>
      </c>
      <c r="C3711" t="s">
        <v>9411</v>
      </c>
      <c r="D3711" t="s">
        <v>9410</v>
      </c>
      <c r="E3711" s="2" t="s">
        <v>313</v>
      </c>
      <c r="F3711" t="s">
        <v>3822</v>
      </c>
      <c r="G3711" t="str">
        <f>HYPERLINK("https://n.news.naver.com/mnews/article/081/0000082930?sid=103")</f>
        <v>https://n.news.naver.com/mnews/article/081/0000082930?sid=103</v>
      </c>
      <c r="H3711">
        <v>0.316</v>
      </c>
    </row>
    <row r="3712" spans="1:8" x14ac:dyDescent="0.3">
      <c r="A3712" t="s">
        <v>9255</v>
      </c>
      <c r="B3712" t="s">
        <v>26951</v>
      </c>
      <c r="C3712" t="s">
        <v>9413</v>
      </c>
      <c r="D3712" t="s">
        <v>9412</v>
      </c>
      <c r="E3712" s="2" t="s">
        <v>313</v>
      </c>
      <c r="F3712" t="s">
        <v>2046</v>
      </c>
      <c r="G3712" t="str">
        <f>HYPERLINK("https://n.news.naver.com/mnews/article/081/0003550981?sid=103")</f>
        <v>https://n.news.naver.com/mnews/article/081/0003550981?sid=103</v>
      </c>
      <c r="H3712">
        <v>0.313</v>
      </c>
    </row>
    <row r="3713" spans="1:8" x14ac:dyDescent="0.3">
      <c r="A3713" t="s">
        <v>9255</v>
      </c>
      <c r="B3713" t="s">
        <v>26951</v>
      </c>
      <c r="C3713" t="s">
        <v>9416</v>
      </c>
      <c r="D3713" t="s">
        <v>9415</v>
      </c>
      <c r="E3713" s="2" t="s">
        <v>313</v>
      </c>
      <c r="F3713" t="s">
        <v>9414</v>
      </c>
      <c r="G3713" t="str">
        <f>HYPERLINK("https://www.idomin.com/news/articleView.html?idxno=935930")</f>
        <v>https://www.idomin.com/news/articleView.html?idxno=935930</v>
      </c>
      <c r="H3713">
        <v>0.48499999999999999</v>
      </c>
    </row>
    <row r="3714" spans="1:8" x14ac:dyDescent="0.3">
      <c r="A3714" t="s">
        <v>9255</v>
      </c>
      <c r="B3714" t="s">
        <v>26951</v>
      </c>
      <c r="C3714" t="s">
        <v>9418</v>
      </c>
      <c r="D3714" t="s">
        <v>9417</v>
      </c>
      <c r="E3714" s="2" t="s">
        <v>313</v>
      </c>
      <c r="F3714" t="s">
        <v>8619</v>
      </c>
      <c r="G3714" t="str">
        <f>HYPERLINK("https://n.news.naver.com/mnews/article/081/0003543863?sid=104")</f>
        <v>https://n.news.naver.com/mnews/article/081/0003543863?sid=104</v>
      </c>
      <c r="H3714">
        <v>0.33500000000000002</v>
      </c>
    </row>
    <row r="3715" spans="1:8" x14ac:dyDescent="0.3">
      <c r="A3715" t="s">
        <v>9255</v>
      </c>
      <c r="B3715" t="s">
        <v>26951</v>
      </c>
      <c r="C3715" t="s">
        <v>9420</v>
      </c>
      <c r="D3715" t="s">
        <v>9419</v>
      </c>
      <c r="E3715" s="2" t="s">
        <v>313</v>
      </c>
      <c r="F3715" t="s">
        <v>5630</v>
      </c>
      <c r="G3715" t="str">
        <f>HYPERLINK("https://weekly.cnbnews.com/news/article.html?no=155839")</f>
        <v>https://weekly.cnbnews.com/news/article.html?no=155839</v>
      </c>
      <c r="H3715">
        <v>0.56200000000000006</v>
      </c>
    </row>
    <row r="3716" spans="1:8" x14ac:dyDescent="0.3">
      <c r="A3716" t="s">
        <v>9255</v>
      </c>
      <c r="B3716" t="s">
        <v>26951</v>
      </c>
      <c r="C3716" t="s">
        <v>9422</v>
      </c>
      <c r="D3716" t="s">
        <v>9421</v>
      </c>
      <c r="E3716" s="2" t="s">
        <v>356</v>
      </c>
      <c r="F3716" t="s">
        <v>7427</v>
      </c>
      <c r="G3716" t="str">
        <f>HYPERLINK("http://www.greened.kr/news/articleView.html?idxno=304646")</f>
        <v>http://www.greened.kr/news/articleView.html?idxno=304646</v>
      </c>
      <c r="H3716">
        <v>0.65300000000000002</v>
      </c>
    </row>
    <row r="3717" spans="1:8" x14ac:dyDescent="0.3">
      <c r="A3717" t="s">
        <v>9255</v>
      </c>
      <c r="B3717" t="s">
        <v>26951</v>
      </c>
      <c r="C3717" t="s">
        <v>9425</v>
      </c>
      <c r="D3717" t="s">
        <v>9424</v>
      </c>
      <c r="E3717" s="2" t="s">
        <v>356</v>
      </c>
      <c r="F3717" t="s">
        <v>9423</v>
      </c>
      <c r="G3717" t="str">
        <f>HYPERLINK("http://www.livesnews.com/news/article.html?no=42379")</f>
        <v>http://www.livesnews.com/news/article.html?no=42379</v>
      </c>
      <c r="H3717">
        <v>0.16900000000000001</v>
      </c>
    </row>
    <row r="3718" spans="1:8" x14ac:dyDescent="0.3">
      <c r="A3718" t="s">
        <v>9255</v>
      </c>
      <c r="B3718" t="s">
        <v>26951</v>
      </c>
      <c r="C3718" t="s">
        <v>9427</v>
      </c>
      <c r="D3718" t="s">
        <v>9426</v>
      </c>
      <c r="E3718" s="2" t="s">
        <v>394</v>
      </c>
      <c r="F3718" t="s">
        <v>1705</v>
      </c>
      <c r="G3718" t="str">
        <f>HYPERLINK("http://www.biotimes.co.kr/news/articleView.html?idxno=21806")</f>
        <v>http://www.biotimes.co.kr/news/articleView.html?idxno=21806</v>
      </c>
      <c r="H3718">
        <v>0.56000000000000005</v>
      </c>
    </row>
    <row r="3719" spans="1:8" x14ac:dyDescent="0.3">
      <c r="A3719" t="s">
        <v>9255</v>
      </c>
      <c r="B3719" t="s">
        <v>26951</v>
      </c>
      <c r="C3719" t="s">
        <v>9430</v>
      </c>
      <c r="D3719" t="s">
        <v>9429</v>
      </c>
      <c r="E3719" s="2" t="s">
        <v>394</v>
      </c>
      <c r="F3719" t="s">
        <v>9428</v>
      </c>
      <c r="G3719" t="str">
        <f>HYPERLINK("http://www.cfnews.kr/news.aspx/90644")</f>
        <v>http://www.cfnews.kr/news.aspx/90644</v>
      </c>
      <c r="H3719">
        <v>0.41199999999999998</v>
      </c>
    </row>
    <row r="3720" spans="1:8" x14ac:dyDescent="0.3">
      <c r="A3720" t="s">
        <v>9255</v>
      </c>
      <c r="B3720" t="s">
        <v>26951</v>
      </c>
      <c r="C3720" t="s">
        <v>7200</v>
      </c>
      <c r="D3720" t="s">
        <v>7199</v>
      </c>
      <c r="E3720" s="2" t="s">
        <v>394</v>
      </c>
      <c r="F3720" t="s">
        <v>197</v>
      </c>
      <c r="G3720" t="str">
        <f>HYPERLINK("https://n.news.naver.com/mnews/article/006/0000130557?sid=102")</f>
        <v>https://n.news.naver.com/mnews/article/006/0000130557?sid=102</v>
      </c>
      <c r="H3720">
        <v>0.251</v>
      </c>
    </row>
    <row r="3721" spans="1:8" x14ac:dyDescent="0.3">
      <c r="A3721" t="s">
        <v>9255</v>
      </c>
      <c r="B3721" t="s">
        <v>26951</v>
      </c>
      <c r="C3721" t="s">
        <v>9432</v>
      </c>
      <c r="D3721" t="s">
        <v>9431</v>
      </c>
      <c r="E3721" s="2" t="s">
        <v>394</v>
      </c>
      <c r="F3721" t="s">
        <v>2594</v>
      </c>
      <c r="G3721" t="str">
        <f>HYPERLINK("https://n.news.naver.com/mnews/article/081/0003550489?sid=102")</f>
        <v>https://n.news.naver.com/mnews/article/081/0003550489?sid=102</v>
      </c>
      <c r="H3721">
        <v>0.22700000000000001</v>
      </c>
    </row>
    <row r="3722" spans="1:8" x14ac:dyDescent="0.3">
      <c r="A3722" t="s">
        <v>9255</v>
      </c>
      <c r="B3722" t="s">
        <v>26951</v>
      </c>
      <c r="C3722" t="s">
        <v>9435</v>
      </c>
      <c r="D3722" t="s">
        <v>9434</v>
      </c>
      <c r="E3722" s="2" t="s">
        <v>394</v>
      </c>
      <c r="F3722" t="s">
        <v>9433</v>
      </c>
      <c r="G3722" t="str">
        <f>HYPERLINK("https://www.etoday.co.kr/news/view/2457042")</f>
        <v>https://www.etoday.co.kr/news/view/2457042</v>
      </c>
      <c r="H3722">
        <v>0.39900000000000002</v>
      </c>
    </row>
    <row r="3723" spans="1:8" x14ac:dyDescent="0.3">
      <c r="A3723" t="s">
        <v>9255</v>
      </c>
      <c r="B3723" t="s">
        <v>26951</v>
      </c>
      <c r="C3723" t="s">
        <v>9437</v>
      </c>
      <c r="D3723" t="s">
        <v>9436</v>
      </c>
      <c r="E3723" s="2" t="s">
        <v>394</v>
      </c>
      <c r="F3723" t="s">
        <v>96</v>
      </c>
      <c r="G3723" t="str">
        <f>HYPERLINK("https://n.news.naver.com/mnews/article/081/0003550259?sid=104")</f>
        <v>https://n.news.naver.com/mnews/article/081/0003550259?sid=104</v>
      </c>
      <c r="H3723">
        <v>0.28100000000000003</v>
      </c>
    </row>
    <row r="3724" spans="1:8" x14ac:dyDescent="0.3">
      <c r="A3724" t="s">
        <v>9255</v>
      </c>
      <c r="B3724" t="s">
        <v>26951</v>
      </c>
      <c r="C3724" t="s">
        <v>9440</v>
      </c>
      <c r="D3724" t="s">
        <v>9439</v>
      </c>
      <c r="E3724" s="2" t="s">
        <v>394</v>
      </c>
      <c r="F3724" t="s">
        <v>9438</v>
      </c>
      <c r="G3724" t="str">
        <f>HYPERLINK("https://n.news.naver.com/mnews/article/028/0002571147?sid=102")</f>
        <v>https://n.news.naver.com/mnews/article/028/0002571147?sid=102</v>
      </c>
      <c r="H3724">
        <v>0.27300000000000002</v>
      </c>
    </row>
    <row r="3725" spans="1:8" x14ac:dyDescent="0.3">
      <c r="A3725" t="s">
        <v>9255</v>
      </c>
      <c r="B3725" t="s">
        <v>26951</v>
      </c>
      <c r="C3725" t="s">
        <v>9443</v>
      </c>
      <c r="D3725" t="s">
        <v>9442</v>
      </c>
      <c r="E3725" s="2" t="s">
        <v>394</v>
      </c>
      <c r="F3725" t="s">
        <v>9441</v>
      </c>
      <c r="G3725" t="str">
        <f>HYPERLINK("https://n.news.naver.com/mnews/article/081/0002866429?sid=103")</f>
        <v>https://n.news.naver.com/mnews/article/081/0002866429?sid=103</v>
      </c>
      <c r="H3725">
        <v>0.39200000000000002</v>
      </c>
    </row>
    <row r="3726" spans="1:8" x14ac:dyDescent="0.3">
      <c r="A3726" t="s">
        <v>9255</v>
      </c>
      <c r="B3726" t="s">
        <v>26951</v>
      </c>
      <c r="C3726" t="s">
        <v>7277</v>
      </c>
      <c r="D3726" t="s">
        <v>7276</v>
      </c>
      <c r="E3726" s="2" t="s">
        <v>418</v>
      </c>
      <c r="F3726" t="s">
        <v>197</v>
      </c>
      <c r="G3726" t="str">
        <f>HYPERLINK("https://n.news.naver.com/mnews/article/081/0002200623?sid=104")</f>
        <v>https://n.news.naver.com/mnews/article/081/0002200623?sid=104</v>
      </c>
      <c r="H3726">
        <v>0.30399999999999999</v>
      </c>
    </row>
    <row r="3727" spans="1:8" x14ac:dyDescent="0.3">
      <c r="A3727" t="s">
        <v>9255</v>
      </c>
      <c r="B3727" t="s">
        <v>26951</v>
      </c>
      <c r="C3727" t="s">
        <v>9445</v>
      </c>
      <c r="D3727" t="s">
        <v>9444</v>
      </c>
      <c r="E3727" s="2" t="s">
        <v>418</v>
      </c>
      <c r="F3727" t="s">
        <v>197</v>
      </c>
      <c r="G3727" t="str">
        <f>HYPERLINK("http://www.mediapen.com/news/articleView.html?idxno=23488")</f>
        <v>http://www.mediapen.com/news/articleView.html?idxno=23488</v>
      </c>
      <c r="H3727">
        <v>0.55300000000000005</v>
      </c>
    </row>
    <row r="3728" spans="1:8" x14ac:dyDescent="0.3">
      <c r="A3728" t="s">
        <v>9255</v>
      </c>
      <c r="B3728" t="s">
        <v>26951</v>
      </c>
      <c r="C3728" t="s">
        <v>9448</v>
      </c>
      <c r="D3728" t="s">
        <v>9447</v>
      </c>
      <c r="E3728" s="2" t="s">
        <v>418</v>
      </c>
      <c r="F3728" t="s">
        <v>9446</v>
      </c>
      <c r="G3728" t="str">
        <f>HYPERLINK("https://www.greened.kr/news/articleView.html?idxno=324616")</f>
        <v>https://www.greened.kr/news/articleView.html?idxno=324616</v>
      </c>
      <c r="H3728">
        <v>0.48299999999999998</v>
      </c>
    </row>
    <row r="3729" spans="1:8" x14ac:dyDescent="0.3">
      <c r="A3729" t="s">
        <v>9255</v>
      </c>
      <c r="B3729" t="s">
        <v>26951</v>
      </c>
      <c r="C3729" t="s">
        <v>9451</v>
      </c>
      <c r="D3729" t="s">
        <v>9450</v>
      </c>
      <c r="E3729" s="2" t="s">
        <v>418</v>
      </c>
      <c r="F3729" t="s">
        <v>9449</v>
      </c>
      <c r="G3729" t="str">
        <f>HYPERLINK("https://weekly.cnbnews.com/news/article.html?no=167330")</f>
        <v>https://weekly.cnbnews.com/news/article.html?no=167330</v>
      </c>
      <c r="H3729">
        <v>0.39800000000000002</v>
      </c>
    </row>
    <row r="3730" spans="1:8" x14ac:dyDescent="0.3">
      <c r="A3730" t="s">
        <v>9255</v>
      </c>
      <c r="B3730" t="s">
        <v>26951</v>
      </c>
      <c r="C3730" t="s">
        <v>9454</v>
      </c>
      <c r="D3730" t="s">
        <v>9453</v>
      </c>
      <c r="E3730" s="2" t="s">
        <v>418</v>
      </c>
      <c r="F3730" t="s">
        <v>9452</v>
      </c>
      <c r="G3730" t="str">
        <f>HYPERLINK("https://n.news.naver.com/mnews/article/011/0004503652?sid=101")</f>
        <v>https://n.news.naver.com/mnews/article/011/0004503652?sid=101</v>
      </c>
      <c r="H3730">
        <v>0.254</v>
      </c>
    </row>
    <row r="3731" spans="1:8" x14ac:dyDescent="0.3">
      <c r="A3731" t="s">
        <v>9255</v>
      </c>
      <c r="B3731" t="s">
        <v>26951</v>
      </c>
      <c r="C3731" t="s">
        <v>9456</v>
      </c>
      <c r="D3731" t="s">
        <v>9455</v>
      </c>
      <c r="E3731" s="2" t="s">
        <v>418</v>
      </c>
      <c r="F3731" t="s">
        <v>2046</v>
      </c>
      <c r="G3731" t="str">
        <f>HYPERLINK("https://n.news.naver.com/mnews/article/081/0003549962?sid=103")</f>
        <v>https://n.news.naver.com/mnews/article/081/0003549962?sid=103</v>
      </c>
      <c r="H3731">
        <v>0.24199999999999999</v>
      </c>
    </row>
    <row r="3732" spans="1:8" x14ac:dyDescent="0.3">
      <c r="A3732" t="s">
        <v>9255</v>
      </c>
      <c r="B3732" t="s">
        <v>26951</v>
      </c>
      <c r="C3732" t="s">
        <v>9458</v>
      </c>
      <c r="D3732" t="s">
        <v>9457</v>
      </c>
      <c r="E3732" s="2" t="s">
        <v>418</v>
      </c>
      <c r="F3732" t="s">
        <v>2046</v>
      </c>
      <c r="G3732" t="str">
        <f>HYPERLINK("https://n.news.naver.com/mnews/article/081/0002789586?sid=103")</f>
        <v>https://n.news.naver.com/mnews/article/081/0002789586?sid=103</v>
      </c>
      <c r="H3732">
        <v>0.27400000000000002</v>
      </c>
    </row>
    <row r="3733" spans="1:8" x14ac:dyDescent="0.3">
      <c r="A3733" t="s">
        <v>9255</v>
      </c>
      <c r="B3733" t="s">
        <v>26951</v>
      </c>
      <c r="C3733" t="s">
        <v>9461</v>
      </c>
      <c r="D3733" t="s">
        <v>9460</v>
      </c>
      <c r="E3733" s="2" t="s">
        <v>418</v>
      </c>
      <c r="F3733" t="s">
        <v>9459</v>
      </c>
      <c r="G3733" t="str">
        <f>HYPERLINK("https://news.bbsi.co.kr/news/articleView.html?idxno=3105444")</f>
        <v>https://news.bbsi.co.kr/news/articleView.html?idxno=3105444</v>
      </c>
      <c r="H3733">
        <v>0.32700000000000001</v>
      </c>
    </row>
    <row r="3734" spans="1:8" x14ac:dyDescent="0.3">
      <c r="A3734" t="s">
        <v>9255</v>
      </c>
      <c r="B3734" t="s">
        <v>26951</v>
      </c>
      <c r="C3734" t="s">
        <v>9464</v>
      </c>
      <c r="D3734" t="s">
        <v>9463</v>
      </c>
      <c r="E3734" s="2" t="s">
        <v>418</v>
      </c>
      <c r="F3734" t="s">
        <v>9462</v>
      </c>
      <c r="G3734" t="str">
        <f>HYPERLINK("http://www.mhj21.com/sub_read.html?uid=114443&amp;section=sc243")</f>
        <v>http://www.mhj21.com/sub_read.html?uid=114443&amp;section=sc243</v>
      </c>
      <c r="H3734">
        <v>0.497</v>
      </c>
    </row>
    <row r="3735" spans="1:8" x14ac:dyDescent="0.3">
      <c r="A3735" t="s">
        <v>9255</v>
      </c>
      <c r="B3735" t="s">
        <v>26951</v>
      </c>
      <c r="C3735" t="s">
        <v>9467</v>
      </c>
      <c r="D3735" t="s">
        <v>9466</v>
      </c>
      <c r="E3735" s="2" t="s">
        <v>418</v>
      </c>
      <c r="F3735" t="s">
        <v>9465</v>
      </c>
      <c r="G3735" t="str">
        <f>HYPERLINK("https://www.greened.kr/news/articleView.html?idxno=326869")</f>
        <v>https://www.greened.kr/news/articleView.html?idxno=326869</v>
      </c>
      <c r="H3735">
        <v>0.72099999999999997</v>
      </c>
    </row>
    <row r="3736" spans="1:8" x14ac:dyDescent="0.3">
      <c r="A3736" t="s">
        <v>9255</v>
      </c>
      <c r="B3736" t="s">
        <v>26951</v>
      </c>
      <c r="C3736" t="s">
        <v>9469</v>
      </c>
      <c r="D3736" t="s">
        <v>9468</v>
      </c>
      <c r="E3736" s="2" t="s">
        <v>418</v>
      </c>
      <c r="F3736" t="s">
        <v>9345</v>
      </c>
      <c r="G3736" t="str">
        <f>HYPERLINK("https://www.idaegu.com/news/articleView.html?idxno=622647")</f>
        <v>https://www.idaegu.com/news/articleView.html?idxno=622647</v>
      </c>
      <c r="H3736">
        <v>0.248</v>
      </c>
    </row>
    <row r="3737" spans="1:8" x14ac:dyDescent="0.3">
      <c r="A3737" t="s">
        <v>9255</v>
      </c>
      <c r="B3737" t="s">
        <v>26951</v>
      </c>
      <c r="C3737" t="s">
        <v>9472</v>
      </c>
      <c r="D3737" t="s">
        <v>9471</v>
      </c>
      <c r="E3737" s="2" t="s">
        <v>418</v>
      </c>
      <c r="F3737" t="s">
        <v>9470</v>
      </c>
      <c r="G3737" t="str">
        <f>HYPERLINK("https://n.news.naver.com/mnews/article/057/0001287928?sid=100")</f>
        <v>https://n.news.naver.com/mnews/article/057/0001287928?sid=100</v>
      </c>
      <c r="H3737">
        <v>0.23499999999999999</v>
      </c>
    </row>
    <row r="3738" spans="1:8" x14ac:dyDescent="0.3">
      <c r="A3738" t="s">
        <v>9255</v>
      </c>
      <c r="B3738" t="s">
        <v>26951</v>
      </c>
      <c r="C3738" t="s">
        <v>9474</v>
      </c>
      <c r="D3738" t="s">
        <v>9473</v>
      </c>
      <c r="E3738" s="2" t="s">
        <v>418</v>
      </c>
      <c r="F3738" t="s">
        <v>2046</v>
      </c>
      <c r="G3738" t="str">
        <f>HYPERLINK("http://www.civicnews.com/news/articleView.html?idxno=15276")</f>
        <v>http://www.civicnews.com/news/articleView.html?idxno=15276</v>
      </c>
      <c r="H3738">
        <v>0.27700000000000002</v>
      </c>
    </row>
    <row r="3739" spans="1:8" x14ac:dyDescent="0.3">
      <c r="A3739" t="s">
        <v>9255</v>
      </c>
      <c r="B3739" t="s">
        <v>26951</v>
      </c>
      <c r="C3739" t="s">
        <v>9476</v>
      </c>
      <c r="D3739" t="s">
        <v>9475</v>
      </c>
      <c r="E3739" s="2" t="s">
        <v>452</v>
      </c>
      <c r="F3739" t="s">
        <v>460</v>
      </c>
      <c r="G3739" t="str">
        <f>HYPERLINK("https://www.apnews.kr/news/articleView.html?idxno=3012403")</f>
        <v>https://www.apnews.kr/news/articleView.html?idxno=3012403</v>
      </c>
      <c r="H3739">
        <v>0.44</v>
      </c>
    </row>
    <row r="3740" spans="1:8" x14ac:dyDescent="0.3">
      <c r="A3740" t="s">
        <v>9255</v>
      </c>
      <c r="B3740" t="s">
        <v>26951</v>
      </c>
      <c r="C3740" t="s">
        <v>9479</v>
      </c>
      <c r="D3740" t="s">
        <v>9478</v>
      </c>
      <c r="E3740" s="2" t="s">
        <v>452</v>
      </c>
      <c r="F3740" t="s">
        <v>9477</v>
      </c>
      <c r="G3740" t="str">
        <f>HYPERLINK("https://www.idomin.com/news/articleView.html?idxno=938522")</f>
        <v>https://www.idomin.com/news/articleView.html?idxno=938522</v>
      </c>
      <c r="H3740">
        <v>0.63400000000000001</v>
      </c>
    </row>
    <row r="3741" spans="1:8" x14ac:dyDescent="0.3">
      <c r="A3741" t="s">
        <v>9255</v>
      </c>
      <c r="B3741" t="s">
        <v>26951</v>
      </c>
      <c r="C3741" t="s">
        <v>9482</v>
      </c>
      <c r="D3741" t="s">
        <v>9481</v>
      </c>
      <c r="E3741" s="2" t="s">
        <v>452</v>
      </c>
      <c r="F3741" t="s">
        <v>9480</v>
      </c>
      <c r="G3741" t="str">
        <f>HYPERLINK("http://www.bigtanews.co.kr/news/articleView.html?idxno=5595")</f>
        <v>http://www.bigtanews.co.kr/news/articleView.html?idxno=5595</v>
      </c>
      <c r="H3741">
        <v>0.36199999999999999</v>
      </c>
    </row>
    <row r="3742" spans="1:8" x14ac:dyDescent="0.3">
      <c r="A3742" t="s">
        <v>9255</v>
      </c>
      <c r="B3742" t="s">
        <v>26951</v>
      </c>
      <c r="C3742" t="s">
        <v>9485</v>
      </c>
      <c r="D3742" t="s">
        <v>9484</v>
      </c>
      <c r="E3742" s="2" t="s">
        <v>452</v>
      </c>
      <c r="F3742" t="s">
        <v>9483</v>
      </c>
      <c r="G3742" t="str">
        <f>HYPERLINK("http://www.sisaon.co.kr/news/articleView.html?idxno=172400")</f>
        <v>http://www.sisaon.co.kr/news/articleView.html?idxno=172400</v>
      </c>
      <c r="H3742">
        <v>0.33500000000000002</v>
      </c>
    </row>
    <row r="3743" spans="1:8" x14ac:dyDescent="0.3">
      <c r="A3743" t="s">
        <v>9255</v>
      </c>
      <c r="B3743" t="s">
        <v>26951</v>
      </c>
      <c r="C3743" t="s">
        <v>9487</v>
      </c>
      <c r="D3743" t="s">
        <v>9486</v>
      </c>
      <c r="E3743" s="2" t="s">
        <v>452</v>
      </c>
      <c r="F3743" t="s">
        <v>2046</v>
      </c>
      <c r="G3743" t="str">
        <f>HYPERLINK("http://www.newsmp.com/news/articleView.html?idxno=246627")</f>
        <v>http://www.newsmp.com/news/articleView.html?idxno=246627</v>
      </c>
      <c r="H3743">
        <v>0.55600000000000005</v>
      </c>
    </row>
    <row r="3744" spans="1:8" x14ac:dyDescent="0.3">
      <c r="A3744" t="s">
        <v>9255</v>
      </c>
      <c r="B3744" t="s">
        <v>26951</v>
      </c>
      <c r="C3744" t="s">
        <v>9490</v>
      </c>
      <c r="D3744" t="s">
        <v>9489</v>
      </c>
      <c r="E3744" s="2" t="s">
        <v>481</v>
      </c>
      <c r="F3744" t="s">
        <v>9488</v>
      </c>
      <c r="G3744" t="str">
        <f>HYPERLINK("https://www.apnews.kr/news/articleView.html?idxno=3023196")</f>
        <v>https://www.apnews.kr/news/articleView.html?idxno=3023196</v>
      </c>
      <c r="H3744">
        <v>0.22800000000000001</v>
      </c>
    </row>
    <row r="3745" spans="1:8" x14ac:dyDescent="0.3">
      <c r="A3745" t="s">
        <v>9255</v>
      </c>
      <c r="B3745" t="s">
        <v>26951</v>
      </c>
      <c r="C3745" t="s">
        <v>9493</v>
      </c>
      <c r="D3745" t="s">
        <v>9492</v>
      </c>
      <c r="E3745" s="2" t="s">
        <v>481</v>
      </c>
      <c r="F3745" t="s">
        <v>542</v>
      </c>
      <c r="G3745" t="str">
        <f>HYPERLINK("https://n.news.naver.com/mnews/article/081/0002829366?sid=102")</f>
        <v>https://n.news.naver.com/mnews/article/081/0002829366?sid=102</v>
      </c>
      <c r="H3745">
        <v>0.155</v>
      </c>
    </row>
    <row r="3746" spans="1:8" x14ac:dyDescent="0.3">
      <c r="A3746" t="s">
        <v>9255</v>
      </c>
      <c r="B3746" t="s">
        <v>26951</v>
      </c>
      <c r="C3746" t="s">
        <v>9495</v>
      </c>
      <c r="D3746" t="s">
        <v>9494</v>
      </c>
      <c r="E3746" s="2" t="s">
        <v>502</v>
      </c>
      <c r="F3746" t="s">
        <v>2057</v>
      </c>
      <c r="G3746" t="str">
        <f>HYPERLINK("http://www.mediajeju.com/news/articleView.html?idxno=333658")</f>
        <v>http://www.mediajeju.com/news/articleView.html?idxno=333658</v>
      </c>
      <c r="H3746">
        <v>0.218</v>
      </c>
    </row>
    <row r="3747" spans="1:8" x14ac:dyDescent="0.3">
      <c r="A3747" t="s">
        <v>9255</v>
      </c>
      <c r="B3747" t="s">
        <v>26951</v>
      </c>
      <c r="C3747" t="s">
        <v>9497</v>
      </c>
      <c r="D3747" t="s">
        <v>9496</v>
      </c>
      <c r="E3747" s="2" t="s">
        <v>502</v>
      </c>
      <c r="F3747" t="s">
        <v>2057</v>
      </c>
      <c r="G3747" t="str">
        <f>HYPERLINK("https://n.news.naver.com/mnews/article/081/0003001441?sid=110")</f>
        <v>https://n.news.naver.com/mnews/article/081/0003001441?sid=110</v>
      </c>
      <c r="H3747">
        <v>0.11600000000000001</v>
      </c>
    </row>
    <row r="3748" spans="1:8" x14ac:dyDescent="0.3">
      <c r="A3748" t="s">
        <v>9255</v>
      </c>
      <c r="B3748" t="s">
        <v>26951</v>
      </c>
      <c r="C3748" t="s">
        <v>9499</v>
      </c>
      <c r="D3748" t="s">
        <v>9498</v>
      </c>
      <c r="E3748" s="2" t="s">
        <v>502</v>
      </c>
      <c r="F3748" t="s">
        <v>805</v>
      </c>
      <c r="G3748" t="str">
        <f>HYPERLINK("https://www.korea.kr/news/policyNewsView.do?newsId=148944190&amp;call_from=naver_news")</f>
        <v>https://www.korea.kr/news/policyNewsView.do?newsId=148944190&amp;call_from=naver_news</v>
      </c>
      <c r="H3748">
        <v>0.27400000000000002</v>
      </c>
    </row>
    <row r="3749" spans="1:8" x14ac:dyDescent="0.3">
      <c r="A3749" t="s">
        <v>9255</v>
      </c>
      <c r="B3749" t="s">
        <v>26951</v>
      </c>
      <c r="C3749" t="s">
        <v>9502</v>
      </c>
      <c r="D3749" t="s">
        <v>9501</v>
      </c>
      <c r="E3749" s="2" t="s">
        <v>502</v>
      </c>
      <c r="F3749" t="s">
        <v>9500</v>
      </c>
      <c r="G3749" t="str">
        <f>HYPERLINK("https://n.news.naver.com/mnews/article/081/0002187762?sid=102")</f>
        <v>https://n.news.naver.com/mnews/article/081/0002187762?sid=102</v>
      </c>
      <c r="H3749">
        <v>0.29699999999999999</v>
      </c>
    </row>
    <row r="3750" spans="1:8" x14ac:dyDescent="0.3">
      <c r="A3750" t="s">
        <v>9255</v>
      </c>
      <c r="B3750" t="s">
        <v>26951</v>
      </c>
      <c r="C3750" t="s">
        <v>9504</v>
      </c>
      <c r="D3750" t="s">
        <v>9503</v>
      </c>
      <c r="E3750" s="2" t="s">
        <v>502</v>
      </c>
      <c r="F3750" t="s">
        <v>2046</v>
      </c>
      <c r="G3750" t="str">
        <f>HYPERLINK("https://n.news.naver.com/mnews/article/308/0000001782?sid=102")</f>
        <v>https://n.news.naver.com/mnews/article/308/0000001782?sid=102</v>
      </c>
      <c r="H3750">
        <v>0.35799999999999998</v>
      </c>
    </row>
    <row r="3751" spans="1:8" x14ac:dyDescent="0.3">
      <c r="A3751" t="s">
        <v>9255</v>
      </c>
      <c r="B3751" t="s">
        <v>26951</v>
      </c>
      <c r="C3751" t="s">
        <v>9506</v>
      </c>
      <c r="D3751" t="s">
        <v>9505</v>
      </c>
      <c r="E3751" s="2" t="s">
        <v>517</v>
      </c>
      <c r="F3751" t="s">
        <v>2315</v>
      </c>
      <c r="G3751" t="str">
        <f>HYPERLINK("https://n.news.naver.com/mnews/article/081/0003548712?sid=103")</f>
        <v>https://n.news.naver.com/mnews/article/081/0003548712?sid=103</v>
      </c>
      <c r="H3751">
        <v>0.40799999999999997</v>
      </c>
    </row>
    <row r="3752" spans="1:8" x14ac:dyDescent="0.3">
      <c r="A3752" t="s">
        <v>9255</v>
      </c>
      <c r="B3752" t="s">
        <v>26951</v>
      </c>
      <c r="C3752" t="s">
        <v>9509</v>
      </c>
      <c r="D3752" t="s">
        <v>9508</v>
      </c>
      <c r="E3752" s="2" t="s">
        <v>517</v>
      </c>
      <c r="F3752" t="s">
        <v>9507</v>
      </c>
      <c r="G3752" t="str">
        <f>HYPERLINK("http://www.dtnews24.com/news/articleView.html?idxno=791878")</f>
        <v>http://www.dtnews24.com/news/articleView.html?idxno=791878</v>
      </c>
      <c r="H3752">
        <v>0.54</v>
      </c>
    </row>
    <row r="3753" spans="1:8" x14ac:dyDescent="0.3">
      <c r="A3753" t="s">
        <v>9255</v>
      </c>
      <c r="B3753" t="s">
        <v>26951</v>
      </c>
      <c r="C3753" t="s">
        <v>5077</v>
      </c>
      <c r="D3753" t="s">
        <v>5076</v>
      </c>
      <c r="E3753" s="2" t="s">
        <v>517</v>
      </c>
      <c r="F3753" t="s">
        <v>2423</v>
      </c>
      <c r="G3753" t="str">
        <f>HYPERLINK("http://www.gokorea.kr/news/articleView.html?idxno=711835")</f>
        <v>http://www.gokorea.kr/news/articleView.html?idxno=711835</v>
      </c>
      <c r="H3753">
        <v>0.48199999999999998</v>
      </c>
    </row>
    <row r="3754" spans="1:8" x14ac:dyDescent="0.3">
      <c r="A3754" t="s">
        <v>9255</v>
      </c>
      <c r="B3754" t="s">
        <v>26951</v>
      </c>
      <c r="C3754" t="s">
        <v>9511</v>
      </c>
      <c r="D3754" t="s">
        <v>9510</v>
      </c>
      <c r="E3754" s="2" t="s">
        <v>517</v>
      </c>
      <c r="F3754" t="s">
        <v>2046</v>
      </c>
      <c r="G3754" t="str">
        <f>HYPERLINK("https://n.news.naver.com/mnews/article/081/0000122073?sid=103")</f>
        <v>https://n.news.naver.com/mnews/article/081/0000122073?sid=103</v>
      </c>
      <c r="H3754">
        <v>0.28499999999999998</v>
      </c>
    </row>
    <row r="3755" spans="1:8" x14ac:dyDescent="0.3">
      <c r="A3755" t="s">
        <v>9255</v>
      </c>
      <c r="B3755" t="s">
        <v>26951</v>
      </c>
      <c r="C3755" t="s">
        <v>9513</v>
      </c>
      <c r="D3755" t="s">
        <v>9512</v>
      </c>
      <c r="E3755" s="2" t="s">
        <v>517</v>
      </c>
      <c r="F3755" t="s">
        <v>2046</v>
      </c>
      <c r="G3755" t="str">
        <f>HYPERLINK("https://n.news.naver.com/mnews/article/081/0002883884?sid=102")</f>
        <v>https://n.news.naver.com/mnews/article/081/0002883884?sid=102</v>
      </c>
      <c r="H3755">
        <v>0.27100000000000002</v>
      </c>
    </row>
    <row r="3756" spans="1:8" x14ac:dyDescent="0.3">
      <c r="A3756" t="s">
        <v>9255</v>
      </c>
      <c r="B3756" t="s">
        <v>26951</v>
      </c>
      <c r="C3756" t="s">
        <v>9515</v>
      </c>
      <c r="D3756" t="s">
        <v>9514</v>
      </c>
      <c r="E3756" s="2" t="s">
        <v>517</v>
      </c>
      <c r="F3756" t="s">
        <v>1911</v>
      </c>
      <c r="G3756" t="str">
        <f>HYPERLINK("https://www.kidshankook.kr/news/articleView.html?idxno=14178")</f>
        <v>https://www.kidshankook.kr/news/articleView.html?idxno=14178</v>
      </c>
      <c r="H3756">
        <v>0.183</v>
      </c>
    </row>
    <row r="3757" spans="1:8" x14ac:dyDescent="0.3">
      <c r="A3757" t="s">
        <v>9255</v>
      </c>
      <c r="B3757" t="s">
        <v>26951</v>
      </c>
      <c r="C3757" t="s">
        <v>9518</v>
      </c>
      <c r="D3757" t="s">
        <v>9517</v>
      </c>
      <c r="E3757" s="2" t="s">
        <v>517</v>
      </c>
      <c r="F3757" t="s">
        <v>9516</v>
      </c>
      <c r="G3757" t="str">
        <f>HYPERLINK("https://n.news.naver.com/mnews/article/081/0002115985?sid=110")</f>
        <v>https://n.news.naver.com/mnews/article/081/0002115985?sid=110</v>
      </c>
      <c r="H3757">
        <v>0.24299999999999999</v>
      </c>
    </row>
    <row r="3758" spans="1:8" x14ac:dyDescent="0.3">
      <c r="A3758" t="s">
        <v>9255</v>
      </c>
      <c r="B3758" t="s">
        <v>26951</v>
      </c>
      <c r="C3758" t="s">
        <v>9521</v>
      </c>
      <c r="D3758" t="s">
        <v>9520</v>
      </c>
      <c r="E3758" s="2" t="s">
        <v>517</v>
      </c>
      <c r="F3758" t="s">
        <v>9519</v>
      </c>
      <c r="G3758" t="str">
        <f>HYPERLINK("http://www.ibabynews.com/news/articleView.html?idxno=71930")</f>
        <v>http://www.ibabynews.com/news/articleView.html?idxno=71930</v>
      </c>
      <c r="H3758">
        <v>0.57599999999999996</v>
      </c>
    </row>
    <row r="3759" spans="1:8" x14ac:dyDescent="0.3">
      <c r="A3759" t="s">
        <v>9255</v>
      </c>
      <c r="B3759" t="s">
        <v>26951</v>
      </c>
      <c r="C3759" t="s">
        <v>9524</v>
      </c>
      <c r="D3759" t="s">
        <v>9523</v>
      </c>
      <c r="E3759" s="2" t="s">
        <v>517</v>
      </c>
      <c r="F3759" t="s">
        <v>9522</v>
      </c>
      <c r="G3759" t="str">
        <f>HYPERLINK("https://n.news.naver.com/mnews/article/057/0001287928?sid=100")</f>
        <v>https://n.news.naver.com/mnews/article/057/0001287928?sid=100</v>
      </c>
      <c r="H3759">
        <v>0.185</v>
      </c>
    </row>
    <row r="3760" spans="1:8" x14ac:dyDescent="0.3">
      <c r="A3760" t="s">
        <v>9255</v>
      </c>
      <c r="B3760" t="s">
        <v>26951</v>
      </c>
      <c r="C3760" t="s">
        <v>9526</v>
      </c>
      <c r="D3760" t="s">
        <v>9525</v>
      </c>
      <c r="E3760" s="2" t="s">
        <v>517</v>
      </c>
      <c r="F3760" t="s">
        <v>205</v>
      </c>
      <c r="G3760" t="str">
        <f>HYPERLINK("https://www.econovill.com/news/articleView.html?idxno=701231")</f>
        <v>https://www.econovill.com/news/articleView.html?idxno=701231</v>
      </c>
      <c r="H3760">
        <v>0.47199999999999998</v>
      </c>
    </row>
    <row r="3761" spans="1:8" x14ac:dyDescent="0.3">
      <c r="A3761" t="s">
        <v>9255</v>
      </c>
      <c r="B3761" t="s">
        <v>26951</v>
      </c>
      <c r="C3761" t="s">
        <v>9529</v>
      </c>
      <c r="D3761" t="s">
        <v>9528</v>
      </c>
      <c r="E3761" s="2" t="s">
        <v>517</v>
      </c>
      <c r="F3761" t="s">
        <v>9527</v>
      </c>
      <c r="G3761" t="str">
        <f>HYPERLINK("http://www.gjdream.com/news/articleView.html?idxno=645351")</f>
        <v>http://www.gjdream.com/news/articleView.html?idxno=645351</v>
      </c>
      <c r="H3761">
        <v>0.55500000000000005</v>
      </c>
    </row>
    <row r="3762" spans="1:8" x14ac:dyDescent="0.3">
      <c r="A3762" t="s">
        <v>9255</v>
      </c>
      <c r="B3762" t="s">
        <v>26951</v>
      </c>
      <c r="C3762" t="s">
        <v>9531</v>
      </c>
      <c r="D3762" t="s">
        <v>9530</v>
      </c>
      <c r="E3762" s="2" t="s">
        <v>517</v>
      </c>
      <c r="F3762" t="s">
        <v>677</v>
      </c>
      <c r="G3762" t="str">
        <f>HYPERLINK("http://www.incheonin.com/news/articleView.html?idxno=109497")</f>
        <v>http://www.incheonin.com/news/articleView.html?idxno=109497</v>
      </c>
      <c r="H3762">
        <v>0.316</v>
      </c>
    </row>
    <row r="3763" spans="1:8" x14ac:dyDescent="0.3">
      <c r="A3763" t="s">
        <v>9255</v>
      </c>
      <c r="B3763" t="s">
        <v>26951</v>
      </c>
      <c r="C3763" t="s">
        <v>9533</v>
      </c>
      <c r="D3763" t="s">
        <v>9532</v>
      </c>
      <c r="E3763" s="2" t="s">
        <v>538</v>
      </c>
      <c r="F3763" t="s">
        <v>3337</v>
      </c>
      <c r="G3763" t="str">
        <f>HYPERLINK("https://news.einfomax.co.kr/news/articleView.html?idxno=4323342")</f>
        <v>https://news.einfomax.co.kr/news/articleView.html?idxno=4323342</v>
      </c>
      <c r="H3763">
        <v>0.55500000000000005</v>
      </c>
    </row>
    <row r="3764" spans="1:8" x14ac:dyDescent="0.3">
      <c r="A3764" t="s">
        <v>9255</v>
      </c>
      <c r="B3764" t="s">
        <v>26951</v>
      </c>
      <c r="C3764" t="s">
        <v>9535</v>
      </c>
      <c r="D3764" t="s">
        <v>9534</v>
      </c>
      <c r="E3764" s="2" t="s">
        <v>538</v>
      </c>
      <c r="F3764" t="s">
        <v>9385</v>
      </c>
      <c r="G3764" t="str">
        <f>HYPERLINK("https://www.ilyoseoul.co.kr/news/articleView.html?idxno=503582")</f>
        <v>https://www.ilyoseoul.co.kr/news/articleView.html?idxno=503582</v>
      </c>
      <c r="H3764">
        <v>0.72599999999999998</v>
      </c>
    </row>
    <row r="3765" spans="1:8" x14ac:dyDescent="0.3">
      <c r="A3765" t="s">
        <v>9255</v>
      </c>
      <c r="B3765" t="s">
        <v>26951</v>
      </c>
      <c r="C3765" t="s">
        <v>9537</v>
      </c>
      <c r="D3765" t="s">
        <v>9536</v>
      </c>
      <c r="E3765" s="2" t="s">
        <v>538</v>
      </c>
      <c r="F3765" t="s">
        <v>487</v>
      </c>
      <c r="G3765" t="str">
        <f>HYPERLINK("https://n.news.naver.com/mnews/article/081/0002724839?sid=100")</f>
        <v>https://n.news.naver.com/mnews/article/081/0002724839?sid=100</v>
      </c>
      <c r="H3765">
        <v>0.109</v>
      </c>
    </row>
    <row r="3766" spans="1:8" x14ac:dyDescent="0.3">
      <c r="A3766" t="s">
        <v>9255</v>
      </c>
      <c r="B3766" t="s">
        <v>26951</v>
      </c>
      <c r="C3766" t="s">
        <v>9539</v>
      </c>
      <c r="D3766" t="s">
        <v>9538</v>
      </c>
      <c r="E3766" s="2" t="s">
        <v>538</v>
      </c>
      <c r="F3766" t="s">
        <v>1882</v>
      </c>
      <c r="G3766" t="str">
        <f>HYPERLINK("https://www.nbntv.co.kr/news/articleView.html?idxno=4002323")</f>
        <v>https://www.nbntv.co.kr/news/articleView.html?idxno=4002323</v>
      </c>
      <c r="H3766">
        <v>0.34799999999999998</v>
      </c>
    </row>
    <row r="3767" spans="1:8" x14ac:dyDescent="0.3">
      <c r="A3767" t="s">
        <v>9255</v>
      </c>
      <c r="B3767" t="s">
        <v>26951</v>
      </c>
      <c r="C3767" t="s">
        <v>9542</v>
      </c>
      <c r="D3767" t="s">
        <v>9541</v>
      </c>
      <c r="E3767" s="2" t="s">
        <v>538</v>
      </c>
      <c r="F3767" t="s">
        <v>9540</v>
      </c>
      <c r="G3767" t="str">
        <f>HYPERLINK("https://www.hellot.net/news/article.html?no=82194")</f>
        <v>https://www.hellot.net/news/article.html?no=82194</v>
      </c>
      <c r="H3767">
        <v>0.40500000000000003</v>
      </c>
    </row>
    <row r="3768" spans="1:8" x14ac:dyDescent="0.3">
      <c r="A3768" t="s">
        <v>9255</v>
      </c>
      <c r="B3768" t="s">
        <v>26951</v>
      </c>
      <c r="C3768" t="s">
        <v>9545</v>
      </c>
      <c r="D3768" t="s">
        <v>9544</v>
      </c>
      <c r="E3768" s="2" t="s">
        <v>572</v>
      </c>
      <c r="F3768" t="s">
        <v>9543</v>
      </c>
      <c r="G3768" t="str">
        <f>HYPERLINK("https://n.news.naver.com/mnews/article/011/0004499900?sid=102")</f>
        <v>https://n.news.naver.com/mnews/article/011/0004499900?sid=102</v>
      </c>
      <c r="H3768">
        <v>0.34200000000000003</v>
      </c>
    </row>
    <row r="3769" spans="1:8" x14ac:dyDescent="0.3">
      <c r="A3769" t="s">
        <v>9255</v>
      </c>
      <c r="B3769" t="s">
        <v>26951</v>
      </c>
      <c r="C3769" t="s">
        <v>9549</v>
      </c>
      <c r="D3769" t="s">
        <v>9548</v>
      </c>
      <c r="E3769" s="2" t="s">
        <v>572</v>
      </c>
      <c r="F3769" t="s">
        <v>2046</v>
      </c>
      <c r="G3769" t="str">
        <f>HYPERLINK("https://n.news.naver.com/mnews/article/081/0000119367?sid=103")</f>
        <v>https://n.news.naver.com/mnews/article/081/0000119367?sid=103</v>
      </c>
      <c r="H3769">
        <v>0.24399999999999999</v>
      </c>
    </row>
    <row r="3770" spans="1:8" x14ac:dyDescent="0.3">
      <c r="A3770" t="s">
        <v>9255</v>
      </c>
      <c r="B3770" t="s">
        <v>26951</v>
      </c>
      <c r="C3770" t="s">
        <v>9551</v>
      </c>
      <c r="D3770" t="s">
        <v>9550</v>
      </c>
      <c r="E3770" s="2" t="s">
        <v>572</v>
      </c>
      <c r="F3770" t="s">
        <v>2073</v>
      </c>
      <c r="G3770" t="str">
        <f>HYPERLINK("https://n.news.naver.com/mnews/article/081/0002864256?sid=100")</f>
        <v>https://n.news.naver.com/mnews/article/081/0002864256?sid=100</v>
      </c>
      <c r="H3770">
        <v>0.129</v>
      </c>
    </row>
    <row r="3771" spans="1:8" x14ac:dyDescent="0.3">
      <c r="A3771" t="s">
        <v>9255</v>
      </c>
      <c r="B3771" t="s">
        <v>26951</v>
      </c>
      <c r="C3771" t="s">
        <v>9553</v>
      </c>
      <c r="D3771" t="s">
        <v>9552</v>
      </c>
      <c r="E3771" s="2" t="s">
        <v>572</v>
      </c>
      <c r="F3771" t="s">
        <v>805</v>
      </c>
      <c r="G3771" t="str">
        <f>HYPERLINK("http://www.jjan.kr/news/articleView.html?idxno=2077871")</f>
        <v>http://www.jjan.kr/news/articleView.html?idxno=2077871</v>
      </c>
      <c r="H3771">
        <v>0.56899999999999995</v>
      </c>
    </row>
    <row r="3772" spans="1:8" x14ac:dyDescent="0.3">
      <c r="A3772" t="s">
        <v>9255</v>
      </c>
      <c r="B3772" t="s">
        <v>26951</v>
      </c>
      <c r="C3772" t="s">
        <v>9555</v>
      </c>
      <c r="D3772" t="s">
        <v>9554</v>
      </c>
      <c r="E3772" s="2" t="s">
        <v>609</v>
      </c>
      <c r="F3772" t="s">
        <v>158</v>
      </c>
      <c r="G3772" t="str">
        <f>HYPERLINK("https://n.news.naver.com/mnews/article/081/0002320409?sid=004")</f>
        <v>https://n.news.naver.com/mnews/article/081/0002320409?sid=004</v>
      </c>
      <c r="H3772">
        <v>0.182</v>
      </c>
    </row>
    <row r="3773" spans="1:8" x14ac:dyDescent="0.3">
      <c r="A3773" t="s">
        <v>9255</v>
      </c>
      <c r="B3773" t="s">
        <v>26951</v>
      </c>
      <c r="C3773" t="s">
        <v>9557</v>
      </c>
      <c r="D3773" t="s">
        <v>9556</v>
      </c>
      <c r="E3773" s="2" t="s">
        <v>609</v>
      </c>
      <c r="F3773" t="s">
        <v>184</v>
      </c>
      <c r="G3773" t="str">
        <f>HYPERLINK("https://www.newspim.com/news/view/20250610000434")</f>
        <v>https://www.newspim.com/news/view/20250610000434</v>
      </c>
      <c r="H3773">
        <v>0.54500000000000004</v>
      </c>
    </row>
    <row r="3774" spans="1:8" x14ac:dyDescent="0.3">
      <c r="A3774" t="s">
        <v>9255</v>
      </c>
      <c r="B3774" t="s">
        <v>26951</v>
      </c>
      <c r="C3774" t="s">
        <v>9559</v>
      </c>
      <c r="D3774" t="s">
        <v>9558</v>
      </c>
      <c r="E3774" s="2" t="s">
        <v>609</v>
      </c>
      <c r="F3774" t="s">
        <v>151</v>
      </c>
      <c r="G3774" t="str">
        <f>HYPERLINK("https://www.christiantoday.co.kr/news/369168")</f>
        <v>https://www.christiantoday.co.kr/news/369168</v>
      </c>
      <c r="H3774">
        <v>0.58499999999999996</v>
      </c>
    </row>
    <row r="3775" spans="1:8" x14ac:dyDescent="0.3">
      <c r="A3775" t="s">
        <v>9255</v>
      </c>
      <c r="B3775" t="s">
        <v>26951</v>
      </c>
      <c r="C3775" t="s">
        <v>9562</v>
      </c>
      <c r="D3775" t="s">
        <v>9561</v>
      </c>
      <c r="E3775" s="2" t="s">
        <v>653</v>
      </c>
      <c r="F3775" t="s">
        <v>9560</v>
      </c>
      <c r="G3775" t="str">
        <f>HYPERLINK("https://n.news.naver.com/mnews/article/081/0002085728?sid=102")</f>
        <v>https://n.news.naver.com/mnews/article/081/0002085728?sid=102</v>
      </c>
      <c r="H3775">
        <v>0.25700000000000001</v>
      </c>
    </row>
    <row r="3776" spans="1:8" x14ac:dyDescent="0.3">
      <c r="A3776" t="s">
        <v>9255</v>
      </c>
      <c r="B3776" t="s">
        <v>26951</v>
      </c>
      <c r="C3776" t="s">
        <v>9565</v>
      </c>
      <c r="D3776" t="s">
        <v>9564</v>
      </c>
      <c r="E3776" s="2" t="s">
        <v>653</v>
      </c>
      <c r="F3776" t="s">
        <v>9563</v>
      </c>
      <c r="G3776" t="str">
        <f>HYPERLINK("https://n.news.naver.com/mnews/article/011/0004503269?sid=104")</f>
        <v>https://n.news.naver.com/mnews/article/011/0004503269?sid=104</v>
      </c>
      <c r="H3776">
        <v>0.255</v>
      </c>
    </row>
    <row r="3777" spans="1:8" x14ac:dyDescent="0.3">
      <c r="A3777" t="s">
        <v>9255</v>
      </c>
      <c r="B3777" t="s">
        <v>26951</v>
      </c>
      <c r="C3777" t="s">
        <v>9568</v>
      </c>
      <c r="D3777" t="s">
        <v>9567</v>
      </c>
      <c r="E3777" s="2" t="s">
        <v>653</v>
      </c>
      <c r="F3777" t="s">
        <v>9566</v>
      </c>
      <c r="G3777" t="str">
        <f>HYPERLINK("https://n.news.naver.com/mnews/article/079/0004035144?sid=102")</f>
        <v>https://n.news.naver.com/mnews/article/079/0004035144?sid=102</v>
      </c>
      <c r="H3777">
        <v>0.115</v>
      </c>
    </row>
    <row r="3778" spans="1:8" x14ac:dyDescent="0.3">
      <c r="A3778" t="s">
        <v>9255</v>
      </c>
      <c r="B3778" t="s">
        <v>26951</v>
      </c>
      <c r="C3778" t="s">
        <v>9570</v>
      </c>
      <c r="D3778" t="s">
        <v>9569</v>
      </c>
      <c r="E3778" s="2" t="s">
        <v>653</v>
      </c>
      <c r="F3778" t="s">
        <v>5091</v>
      </c>
      <c r="G3778" t="str">
        <f>HYPERLINK("https://www.newscj.com/news/articleView.html?idxno=3108591")</f>
        <v>https://www.newscj.com/news/articleView.html?idxno=3108591</v>
      </c>
      <c r="H3778">
        <v>0.81200000000000006</v>
      </c>
    </row>
    <row r="3779" spans="1:8" x14ac:dyDescent="0.3">
      <c r="A3779" t="s">
        <v>9255</v>
      </c>
      <c r="B3779" t="s">
        <v>26951</v>
      </c>
      <c r="C3779" t="s">
        <v>9573</v>
      </c>
      <c r="D3779" t="s">
        <v>9572</v>
      </c>
      <c r="E3779" s="2" t="s">
        <v>653</v>
      </c>
      <c r="F3779" t="s">
        <v>9571</v>
      </c>
      <c r="G3779" t="str">
        <f>HYPERLINK("https://n.news.naver.com/mnews/article/081/0003543102?sid=102")</f>
        <v>https://n.news.naver.com/mnews/article/081/0003543102?sid=102</v>
      </c>
      <c r="H3779">
        <v>0.224</v>
      </c>
    </row>
    <row r="3780" spans="1:8" x14ac:dyDescent="0.3">
      <c r="A3780" t="s">
        <v>9255</v>
      </c>
      <c r="B3780" t="s">
        <v>26951</v>
      </c>
      <c r="C3780" t="s">
        <v>9575</v>
      </c>
      <c r="D3780" t="s">
        <v>9574</v>
      </c>
      <c r="E3780" s="2" t="s">
        <v>653</v>
      </c>
      <c r="F3780" t="s">
        <v>3836</v>
      </c>
      <c r="G3780" t="str">
        <f>HYPERLINK("https://n.news.naver.com/mnews/article/044/0000271837?sid=104")</f>
        <v>https://n.news.naver.com/mnews/article/044/0000271837?sid=104</v>
      </c>
      <c r="H3780">
        <v>0.31900000000000001</v>
      </c>
    </row>
    <row r="3781" spans="1:8" x14ac:dyDescent="0.3">
      <c r="A3781" t="s">
        <v>9255</v>
      </c>
      <c r="B3781" t="s">
        <v>26951</v>
      </c>
      <c r="C3781" t="s">
        <v>9577</v>
      </c>
      <c r="D3781" t="s">
        <v>9576</v>
      </c>
      <c r="E3781" s="2" t="s">
        <v>653</v>
      </c>
      <c r="F3781" t="s">
        <v>2046</v>
      </c>
      <c r="G3781" t="str">
        <f>HYPERLINK("https://n.news.naver.com/mnews/article/081/0003517723?sid=103")</f>
        <v>https://n.news.naver.com/mnews/article/081/0003517723?sid=103</v>
      </c>
      <c r="H3781">
        <v>0.372</v>
      </c>
    </row>
    <row r="3782" spans="1:8" x14ac:dyDescent="0.3">
      <c r="A3782" t="s">
        <v>9255</v>
      </c>
      <c r="B3782" t="s">
        <v>26951</v>
      </c>
      <c r="C3782" t="s">
        <v>9579</v>
      </c>
      <c r="D3782" t="s">
        <v>9578</v>
      </c>
      <c r="E3782" s="2" t="s">
        <v>653</v>
      </c>
      <c r="F3782" t="s">
        <v>2046</v>
      </c>
      <c r="G3782" t="str">
        <f>HYPERLINK("https://n.news.naver.com/mnews/article/081/0003065318?sid=102")</f>
        <v>https://n.news.naver.com/mnews/article/081/0003065318?sid=102</v>
      </c>
      <c r="H3782">
        <v>0.28100000000000003</v>
      </c>
    </row>
    <row r="3783" spans="1:8" x14ac:dyDescent="0.3">
      <c r="A3783" t="s">
        <v>9255</v>
      </c>
      <c r="B3783" t="s">
        <v>26951</v>
      </c>
      <c r="C3783" t="s">
        <v>9581</v>
      </c>
      <c r="D3783" t="s">
        <v>9580</v>
      </c>
      <c r="E3783" s="2" t="s">
        <v>692</v>
      </c>
      <c r="F3783" t="s">
        <v>737</v>
      </c>
      <c r="G3783" t="str">
        <f>HYPERLINK("https://www.christiantoday.co.kr/news/353453")</f>
        <v>https://www.christiantoday.co.kr/news/353453</v>
      </c>
      <c r="H3783">
        <v>0.49099999999999999</v>
      </c>
    </row>
    <row r="3784" spans="1:8" x14ac:dyDescent="0.3">
      <c r="A3784" t="s">
        <v>9255</v>
      </c>
      <c r="B3784" t="s">
        <v>26951</v>
      </c>
      <c r="C3784" t="s">
        <v>9584</v>
      </c>
      <c r="D3784" t="s">
        <v>9583</v>
      </c>
      <c r="E3784" s="2" t="s">
        <v>692</v>
      </c>
      <c r="F3784" t="s">
        <v>9582</v>
      </c>
      <c r="G3784" t="str">
        <f>HYPERLINK("http://www.laborplus.co.kr/news/articleView.html?idxno=27450")</f>
        <v>http://www.laborplus.co.kr/news/articleView.html?idxno=27450</v>
      </c>
      <c r="H3784">
        <v>0.499</v>
      </c>
    </row>
    <row r="3785" spans="1:8" x14ac:dyDescent="0.3">
      <c r="A3785" t="s">
        <v>9255</v>
      </c>
      <c r="B3785" t="s">
        <v>26951</v>
      </c>
      <c r="C3785" t="s">
        <v>9587</v>
      </c>
      <c r="D3785" t="s">
        <v>9586</v>
      </c>
      <c r="E3785" s="2" t="s">
        <v>711</v>
      </c>
      <c r="F3785" t="s">
        <v>9585</v>
      </c>
      <c r="G3785" t="str">
        <f>HYPERLINK("http://www.imwood.co.kr/news/articleView.html?idxno=36592")</f>
        <v>http://www.imwood.co.kr/news/articleView.html?idxno=36592</v>
      </c>
      <c r="H3785">
        <v>0.129</v>
      </c>
    </row>
    <row r="3786" spans="1:8" x14ac:dyDescent="0.3">
      <c r="A3786" t="s">
        <v>9255</v>
      </c>
      <c r="B3786" t="s">
        <v>26951</v>
      </c>
      <c r="C3786" t="s">
        <v>9589</v>
      </c>
      <c r="D3786" t="s">
        <v>9588</v>
      </c>
      <c r="E3786" s="2" t="s">
        <v>711</v>
      </c>
      <c r="F3786" t="s">
        <v>2057</v>
      </c>
      <c r="G3786" t="str">
        <f>HYPERLINK("https://n.news.naver.com/mnews/article/081/0003546926?sid=110")</f>
        <v>https://n.news.naver.com/mnews/article/081/0003546926?sid=110</v>
      </c>
      <c r="H3786">
        <v>0.20799999999999999</v>
      </c>
    </row>
    <row r="3787" spans="1:8" x14ac:dyDescent="0.3">
      <c r="A3787" t="s">
        <v>9255</v>
      </c>
      <c r="B3787" t="s">
        <v>26951</v>
      </c>
      <c r="C3787" t="s">
        <v>9591</v>
      </c>
      <c r="D3787" t="s">
        <v>9590</v>
      </c>
      <c r="E3787" s="2" t="s">
        <v>711</v>
      </c>
      <c r="F3787" t="s">
        <v>1579</v>
      </c>
      <c r="G3787" t="str">
        <f>HYPERLINK("http://www.mediapen.com/news/articleView.html?idxno=64134")</f>
        <v>http://www.mediapen.com/news/articleView.html?idxno=64134</v>
      </c>
      <c r="H3787">
        <v>0.70799999999999996</v>
      </c>
    </row>
    <row r="3788" spans="1:8" x14ac:dyDescent="0.3">
      <c r="A3788" t="s">
        <v>9255</v>
      </c>
      <c r="B3788" t="s">
        <v>26951</v>
      </c>
      <c r="C3788" t="s">
        <v>9594</v>
      </c>
      <c r="D3788" t="s">
        <v>9593</v>
      </c>
      <c r="E3788" s="2" t="s">
        <v>725</v>
      </c>
      <c r="F3788" t="s">
        <v>9592</v>
      </c>
      <c r="G3788" t="str">
        <f>HYPERLINK("https://n.news.naver.com/mnews/article/081/0002249707?sid=102")</f>
        <v>https://n.news.naver.com/mnews/article/081/0002249707?sid=102</v>
      </c>
      <c r="H3788">
        <v>0.32200000000000001</v>
      </c>
    </row>
    <row r="3789" spans="1:8" x14ac:dyDescent="0.3">
      <c r="A3789" t="s">
        <v>9255</v>
      </c>
      <c r="B3789" t="s">
        <v>26951</v>
      </c>
      <c r="C3789" t="s">
        <v>9596</v>
      </c>
      <c r="D3789" t="s">
        <v>9595</v>
      </c>
      <c r="E3789" s="2" t="s">
        <v>725</v>
      </c>
      <c r="F3789" t="s">
        <v>2057</v>
      </c>
      <c r="G3789" t="str">
        <f>HYPERLINK("http://www.seoulwire.com/news/articleView.html?idxno=413982")</f>
        <v>http://www.seoulwire.com/news/articleView.html?idxno=413982</v>
      </c>
      <c r="H3789">
        <v>0.438</v>
      </c>
    </row>
    <row r="3790" spans="1:8" x14ac:dyDescent="0.3">
      <c r="A3790" t="s">
        <v>9255</v>
      </c>
      <c r="B3790" t="s">
        <v>26951</v>
      </c>
      <c r="C3790" t="s">
        <v>9599</v>
      </c>
      <c r="D3790" t="s">
        <v>9598</v>
      </c>
      <c r="E3790" s="2" t="s">
        <v>725</v>
      </c>
      <c r="F3790" t="s">
        <v>9597</v>
      </c>
      <c r="G3790" t="str">
        <f>HYPERLINK("https://n.news.naver.com/mnews/article/005/0001786733?sid=101")</f>
        <v>https://n.news.naver.com/mnews/article/005/0001786733?sid=101</v>
      </c>
      <c r="H3790">
        <v>0.29899999999999999</v>
      </c>
    </row>
    <row r="3791" spans="1:8" x14ac:dyDescent="0.3">
      <c r="A3791" t="s">
        <v>9255</v>
      </c>
      <c r="B3791" t="s">
        <v>26951</v>
      </c>
      <c r="C3791" t="s">
        <v>9601</v>
      </c>
      <c r="D3791" t="s">
        <v>9600</v>
      </c>
      <c r="E3791" s="2" t="s">
        <v>725</v>
      </c>
      <c r="F3791" t="s">
        <v>677</v>
      </c>
      <c r="G3791" t="str">
        <f>HYPERLINK("https://n.news.naver.com/mnews/article/214/0001428474?sid=102")</f>
        <v>https://n.news.naver.com/mnews/article/214/0001428474?sid=102</v>
      </c>
      <c r="H3791">
        <v>0.37</v>
      </c>
    </row>
    <row r="3792" spans="1:8" x14ac:dyDescent="0.3">
      <c r="A3792" t="s">
        <v>9255</v>
      </c>
      <c r="B3792" t="s">
        <v>26951</v>
      </c>
      <c r="C3792" t="s">
        <v>9603</v>
      </c>
      <c r="D3792" t="s">
        <v>9602</v>
      </c>
      <c r="E3792" s="2" t="s">
        <v>725</v>
      </c>
      <c r="F3792" t="s">
        <v>1546</v>
      </c>
      <c r="G3792" t="str">
        <f>HYPERLINK("https://n.news.naver.com/mnews/article/081/0003546840?sid=104")</f>
        <v>https://n.news.naver.com/mnews/article/081/0003546840?sid=104</v>
      </c>
      <c r="H3792">
        <v>0.218</v>
      </c>
    </row>
    <row r="3793" spans="1:8" x14ac:dyDescent="0.3">
      <c r="A3793" t="s">
        <v>9255</v>
      </c>
      <c r="B3793" t="s">
        <v>26951</v>
      </c>
      <c r="C3793" t="s">
        <v>9605</v>
      </c>
      <c r="D3793" t="s">
        <v>9604</v>
      </c>
      <c r="E3793" s="2" t="s">
        <v>742</v>
      </c>
      <c r="F3793" t="s">
        <v>2057</v>
      </c>
      <c r="G3793" t="str">
        <f>HYPERLINK("http://www.incheonilbo.com/news/articleView.html?idxno=1103357")</f>
        <v>http://www.incheonilbo.com/news/articleView.html?idxno=1103357</v>
      </c>
      <c r="H3793">
        <v>0.27300000000000002</v>
      </c>
    </row>
    <row r="3794" spans="1:8" x14ac:dyDescent="0.3">
      <c r="A3794" t="s">
        <v>9255</v>
      </c>
      <c r="B3794" t="s">
        <v>26951</v>
      </c>
      <c r="C3794" t="s">
        <v>9607</v>
      </c>
      <c r="D3794" t="s">
        <v>9606</v>
      </c>
      <c r="E3794" s="2" t="s">
        <v>742</v>
      </c>
      <c r="F3794" t="s">
        <v>487</v>
      </c>
      <c r="G3794" t="str">
        <f>HYPERLINK("https://www.mediawatch.kr/news/article.html?no=256187")</f>
        <v>https://www.mediawatch.kr/news/article.html?no=256187</v>
      </c>
      <c r="H3794">
        <v>0.20100000000000001</v>
      </c>
    </row>
    <row r="3795" spans="1:8" x14ac:dyDescent="0.3">
      <c r="A3795" t="s">
        <v>9255</v>
      </c>
      <c r="B3795" t="s">
        <v>26951</v>
      </c>
      <c r="C3795" t="s">
        <v>9609</v>
      </c>
      <c r="D3795" t="s">
        <v>9608</v>
      </c>
      <c r="E3795" s="2" t="s">
        <v>742</v>
      </c>
      <c r="F3795" t="s">
        <v>2109</v>
      </c>
      <c r="G3795" t="str">
        <f>HYPERLINK("https://weekly.hankooki.com/news/articleView.html?idxno=7108672")</f>
        <v>https://weekly.hankooki.com/news/articleView.html?idxno=7108672</v>
      </c>
      <c r="H3795">
        <v>0.70899999999999996</v>
      </c>
    </row>
    <row r="3796" spans="1:8" x14ac:dyDescent="0.3">
      <c r="A3796" t="s">
        <v>9255</v>
      </c>
      <c r="B3796" t="s">
        <v>26951</v>
      </c>
      <c r="C3796" t="s">
        <v>9611</v>
      </c>
      <c r="D3796" t="s">
        <v>9610</v>
      </c>
      <c r="E3796" s="2" t="s">
        <v>742</v>
      </c>
      <c r="F3796" t="s">
        <v>2109</v>
      </c>
      <c r="G3796" t="str">
        <f>HYPERLINK("https://www.ziksir.com/news/articleView.html?idxno=87047")</f>
        <v>https://www.ziksir.com/news/articleView.html?idxno=87047</v>
      </c>
      <c r="H3796">
        <v>0.77400000000000002</v>
      </c>
    </row>
    <row r="3797" spans="1:8" x14ac:dyDescent="0.3">
      <c r="A3797" t="s">
        <v>9255</v>
      </c>
      <c r="B3797" t="s">
        <v>26951</v>
      </c>
      <c r="C3797" t="s">
        <v>9613</v>
      </c>
      <c r="D3797" t="s">
        <v>9612</v>
      </c>
      <c r="E3797" s="2" t="s">
        <v>742</v>
      </c>
      <c r="F3797" t="s">
        <v>7673</v>
      </c>
      <c r="G3797" t="str">
        <f>HYPERLINK("https://www.greened.kr/news/articleView.html?idxno=326869")</f>
        <v>https://www.greened.kr/news/articleView.html?idxno=326869</v>
      </c>
      <c r="H3797">
        <v>0.58199999999999996</v>
      </c>
    </row>
    <row r="3798" spans="1:8" x14ac:dyDescent="0.3">
      <c r="A3798" t="s">
        <v>9255</v>
      </c>
      <c r="B3798" t="s">
        <v>26951</v>
      </c>
      <c r="C3798" t="s">
        <v>9616</v>
      </c>
      <c r="D3798" t="s">
        <v>9615</v>
      </c>
      <c r="E3798" s="2" t="s">
        <v>742</v>
      </c>
      <c r="F3798" t="s">
        <v>9614</v>
      </c>
      <c r="G3798" t="str">
        <f>HYPERLINK("https://www.laborplus.co.kr/news/articleView.html?idxno=35431")</f>
        <v>https://www.laborplus.co.kr/news/articleView.html?idxno=35431</v>
      </c>
      <c r="H3798">
        <v>0.24199999999999999</v>
      </c>
    </row>
    <row r="3799" spans="1:8" x14ac:dyDescent="0.3">
      <c r="A3799" t="s">
        <v>9255</v>
      </c>
      <c r="B3799" t="s">
        <v>26951</v>
      </c>
      <c r="C3799" t="s">
        <v>9618</v>
      </c>
      <c r="D3799" t="s">
        <v>9617</v>
      </c>
      <c r="E3799" s="2" t="s">
        <v>742</v>
      </c>
      <c r="F3799" t="s">
        <v>2138</v>
      </c>
      <c r="G3799" t="str">
        <f>HYPERLINK("http://www.newsfreezone.co.kr/news/articleView.html?idxno=276533")</f>
        <v>http://www.newsfreezone.co.kr/news/articleView.html?idxno=276533</v>
      </c>
      <c r="H3799">
        <v>0.53700000000000003</v>
      </c>
    </row>
    <row r="3800" spans="1:8" x14ac:dyDescent="0.3">
      <c r="A3800" t="s">
        <v>9255</v>
      </c>
      <c r="B3800" t="s">
        <v>26951</v>
      </c>
      <c r="C3800" t="s">
        <v>9620</v>
      </c>
      <c r="D3800" t="s">
        <v>9619</v>
      </c>
      <c r="E3800" s="2" t="s">
        <v>742</v>
      </c>
      <c r="F3800" t="s">
        <v>2697</v>
      </c>
      <c r="G3800" t="str">
        <f>HYPERLINK("http://www.nongaek.com/news/articleView.html?idxno=90185")</f>
        <v>http://www.nongaek.com/news/articleView.html?idxno=90185</v>
      </c>
      <c r="H3800">
        <v>0.63200000000000001</v>
      </c>
    </row>
    <row r="3801" spans="1:8" x14ac:dyDescent="0.3">
      <c r="A3801" t="s">
        <v>9255</v>
      </c>
      <c r="B3801" t="s">
        <v>26951</v>
      </c>
      <c r="C3801" t="s">
        <v>9622</v>
      </c>
      <c r="D3801" t="s">
        <v>9621</v>
      </c>
      <c r="E3801" s="2" t="s">
        <v>742</v>
      </c>
      <c r="F3801" t="s">
        <v>1945</v>
      </c>
      <c r="G3801" t="str">
        <f>HYPERLINK("https://n.news.naver.com/mnews/article/081/0003553918?sid=101")</f>
        <v>https://n.news.naver.com/mnews/article/081/0003553918?sid=101</v>
      </c>
      <c r="H3801">
        <v>0.20399999999999999</v>
      </c>
    </row>
    <row r="3802" spans="1:8" x14ac:dyDescent="0.3">
      <c r="A3802" t="s">
        <v>9255</v>
      </c>
      <c r="B3802" t="s">
        <v>26951</v>
      </c>
      <c r="C3802" t="s">
        <v>9624</v>
      </c>
      <c r="D3802" t="s">
        <v>9623</v>
      </c>
      <c r="E3802" s="2" t="s">
        <v>799</v>
      </c>
      <c r="F3802" t="s">
        <v>1882</v>
      </c>
      <c r="G3802" t="str">
        <f>HYPERLINK("https://www.idaegu.com/news/articleView.html?idxno=622647")</f>
        <v>https://www.idaegu.com/news/articleView.html?idxno=622647</v>
      </c>
      <c r="H3802">
        <v>0.26700000000000002</v>
      </c>
    </row>
    <row r="3803" spans="1:8" x14ac:dyDescent="0.3">
      <c r="A3803" t="s">
        <v>9255</v>
      </c>
      <c r="B3803" t="s">
        <v>26951</v>
      </c>
      <c r="C3803" t="s">
        <v>9626</v>
      </c>
      <c r="D3803" t="s">
        <v>9625</v>
      </c>
      <c r="E3803" s="2" t="s">
        <v>799</v>
      </c>
      <c r="F3803" t="s">
        <v>1247</v>
      </c>
      <c r="G3803" t="str">
        <f>HYPERLINK("http://www.niceeconomy.co.kr/news/articleView.html?idxno=80513")</f>
        <v>http://www.niceeconomy.co.kr/news/articleView.html?idxno=80513</v>
      </c>
      <c r="H3803">
        <v>0.32200000000000001</v>
      </c>
    </row>
    <row r="3804" spans="1:8" x14ac:dyDescent="0.3">
      <c r="A3804" t="s">
        <v>9255</v>
      </c>
      <c r="B3804" t="s">
        <v>26951</v>
      </c>
      <c r="C3804" t="s">
        <v>9628</v>
      </c>
      <c r="D3804" t="s">
        <v>9627</v>
      </c>
      <c r="E3804" s="2" t="s">
        <v>799</v>
      </c>
      <c r="F3804" t="s">
        <v>981</v>
      </c>
      <c r="G3804" t="str">
        <f>HYPERLINK("https://n.news.naver.com/mnews/article/011/0004503269?sid=104")</f>
        <v>https://n.news.naver.com/mnews/article/011/0004503269?sid=104</v>
      </c>
      <c r="H3804">
        <v>0.33900000000000002</v>
      </c>
    </row>
    <row r="3805" spans="1:8" x14ac:dyDescent="0.3">
      <c r="A3805" t="s">
        <v>9255</v>
      </c>
      <c r="B3805" t="s">
        <v>26951</v>
      </c>
      <c r="C3805" t="s">
        <v>9631</v>
      </c>
      <c r="D3805" t="s">
        <v>9630</v>
      </c>
      <c r="E3805" s="2" t="s">
        <v>799</v>
      </c>
      <c r="F3805" t="s">
        <v>9629</v>
      </c>
      <c r="G3805" t="str">
        <f>HYPERLINK("https://n.news.naver.com/mnews/article/081/0003554079?sid=102")</f>
        <v>https://n.news.naver.com/mnews/article/081/0003554079?sid=102</v>
      </c>
      <c r="H3805">
        <v>0.28499999999999998</v>
      </c>
    </row>
    <row r="3806" spans="1:8" x14ac:dyDescent="0.3">
      <c r="A3806" t="s">
        <v>9255</v>
      </c>
      <c r="B3806" t="s">
        <v>26951</v>
      </c>
      <c r="C3806" t="s">
        <v>9634</v>
      </c>
      <c r="D3806" t="s">
        <v>9633</v>
      </c>
      <c r="E3806" s="2" t="s">
        <v>799</v>
      </c>
      <c r="F3806" t="s">
        <v>9632</v>
      </c>
      <c r="G3806" t="str">
        <f>HYPERLINK("http://www.greened.kr/news/articleView.html?idxno=298057")</f>
        <v>http://www.greened.kr/news/articleView.html?idxno=298057</v>
      </c>
      <c r="H3806">
        <v>0.45300000000000001</v>
      </c>
    </row>
    <row r="3807" spans="1:8" x14ac:dyDescent="0.3">
      <c r="A3807" t="s">
        <v>9255</v>
      </c>
      <c r="B3807" t="s">
        <v>26951</v>
      </c>
      <c r="C3807" t="s">
        <v>823</v>
      </c>
      <c r="D3807" t="s">
        <v>822</v>
      </c>
      <c r="E3807" s="2" t="s">
        <v>799</v>
      </c>
      <c r="F3807" t="s">
        <v>510</v>
      </c>
      <c r="G3807" t="str">
        <f>HYPERLINK("https://n.news.naver.com/mnews/article/079/0002644876?sid=102")</f>
        <v>https://n.news.naver.com/mnews/article/079/0002644876?sid=102</v>
      </c>
      <c r="H3807">
        <v>0.154</v>
      </c>
    </row>
    <row r="3808" spans="1:8" x14ac:dyDescent="0.3">
      <c r="A3808" t="s">
        <v>9255</v>
      </c>
      <c r="B3808" t="s">
        <v>26951</v>
      </c>
      <c r="C3808" t="s">
        <v>9636</v>
      </c>
      <c r="D3808" t="s">
        <v>9635</v>
      </c>
      <c r="E3808" s="2" t="s">
        <v>799</v>
      </c>
      <c r="F3808" t="s">
        <v>2046</v>
      </c>
      <c r="G3808" t="str">
        <f>HYPERLINK("http://www.readersnews.com/news/articleView.html?idxno=90400")</f>
        <v>http://www.readersnews.com/news/articleView.html?idxno=90400</v>
      </c>
      <c r="H3808">
        <v>0.35499999999999998</v>
      </c>
    </row>
    <row r="3809" spans="1:8" x14ac:dyDescent="0.3">
      <c r="A3809" t="s">
        <v>9255</v>
      </c>
      <c r="B3809" t="s">
        <v>26951</v>
      </c>
      <c r="C3809" t="s">
        <v>9639</v>
      </c>
      <c r="D3809" t="s">
        <v>9638</v>
      </c>
      <c r="E3809" s="2" t="s">
        <v>840</v>
      </c>
      <c r="F3809" t="s">
        <v>9637</v>
      </c>
      <c r="G3809" t="str">
        <f>HYPERLINK("https://www.sisajournal-e.com/news/articleView.html?idxno=412876")</f>
        <v>https://www.sisajournal-e.com/news/articleView.html?idxno=412876</v>
      </c>
      <c r="H3809">
        <v>0.63900000000000001</v>
      </c>
    </row>
    <row r="3810" spans="1:8" x14ac:dyDescent="0.3">
      <c r="A3810" t="s">
        <v>9255</v>
      </c>
      <c r="B3810" t="s">
        <v>26951</v>
      </c>
      <c r="C3810" t="s">
        <v>9641</v>
      </c>
      <c r="D3810" t="s">
        <v>9640</v>
      </c>
      <c r="E3810" s="2" t="s">
        <v>840</v>
      </c>
      <c r="F3810" t="s">
        <v>779</v>
      </c>
      <c r="G3810" t="str">
        <f>HYPERLINK("https://n.news.naver.com/mnews/article/081/0003546030?sid=102")</f>
        <v>https://n.news.naver.com/mnews/article/081/0003546030?sid=102</v>
      </c>
      <c r="H3810">
        <v>0.248</v>
      </c>
    </row>
    <row r="3811" spans="1:8" x14ac:dyDescent="0.3">
      <c r="A3811" t="s">
        <v>9255</v>
      </c>
      <c r="B3811" t="s">
        <v>26951</v>
      </c>
      <c r="C3811" t="s">
        <v>9643</v>
      </c>
      <c r="D3811" t="s">
        <v>9642</v>
      </c>
      <c r="E3811" s="2" t="s">
        <v>840</v>
      </c>
      <c r="F3811" t="s">
        <v>857</v>
      </c>
      <c r="G3811" t="str">
        <f>HYPERLINK("https://www.apnews.kr/news/articleView.html?idxno=3019539")</f>
        <v>https://www.apnews.kr/news/articleView.html?idxno=3019539</v>
      </c>
      <c r="H3811">
        <v>0.26800000000000002</v>
      </c>
    </row>
    <row r="3812" spans="1:8" x14ac:dyDescent="0.3">
      <c r="A3812" t="s">
        <v>9255</v>
      </c>
      <c r="B3812" t="s">
        <v>26951</v>
      </c>
      <c r="C3812" t="s">
        <v>9645</v>
      </c>
      <c r="D3812" t="s">
        <v>9644</v>
      </c>
      <c r="E3812" s="2" t="s">
        <v>840</v>
      </c>
      <c r="F3812" t="s">
        <v>2046</v>
      </c>
      <c r="G3812" t="str">
        <f>HYPERLINK("https://daily.hankooki.com/news/articleView.html?idxno=1224090")</f>
        <v>https://daily.hankooki.com/news/articleView.html?idxno=1224090</v>
      </c>
      <c r="H3812">
        <v>0.85499999999999998</v>
      </c>
    </row>
    <row r="3813" spans="1:8" x14ac:dyDescent="0.3">
      <c r="A3813" t="s">
        <v>9255</v>
      </c>
      <c r="B3813" t="s">
        <v>26951</v>
      </c>
      <c r="C3813" t="s">
        <v>9651</v>
      </c>
      <c r="D3813" t="s">
        <v>9650</v>
      </c>
      <c r="E3813" s="2" t="s">
        <v>840</v>
      </c>
      <c r="F3813" t="s">
        <v>9649</v>
      </c>
      <c r="G3813" t="str">
        <f>HYPERLINK("http://www.iusm.co.kr/news/articleView.html?idxno=667505")</f>
        <v>http://www.iusm.co.kr/news/articleView.html?idxno=667505</v>
      </c>
      <c r="H3813">
        <v>0.47699999999999998</v>
      </c>
    </row>
    <row r="3814" spans="1:8" x14ac:dyDescent="0.3">
      <c r="A3814" t="s">
        <v>9255</v>
      </c>
      <c r="B3814" t="s">
        <v>26951</v>
      </c>
      <c r="C3814" t="s">
        <v>9653</v>
      </c>
      <c r="D3814" t="s">
        <v>9652</v>
      </c>
      <c r="E3814" s="2" t="s">
        <v>860</v>
      </c>
      <c r="F3814" t="s">
        <v>1882</v>
      </c>
      <c r="G3814" t="str">
        <f>HYPERLINK("https://radio.ytn.co.kr/program/?f=2&amp;id=81530&amp;s_mcd=0263&amp;s_hcd=01")</f>
        <v>https://radio.ytn.co.kr/program/?f=2&amp;id=81530&amp;s_mcd=0263&amp;s_hcd=01</v>
      </c>
      <c r="H3814">
        <v>0.47499999999999998</v>
      </c>
    </row>
    <row r="3815" spans="1:8" x14ac:dyDescent="0.3">
      <c r="A3815" t="s">
        <v>9255</v>
      </c>
      <c r="B3815" t="s">
        <v>26951</v>
      </c>
      <c r="C3815" t="s">
        <v>9656</v>
      </c>
      <c r="D3815" t="s">
        <v>9655</v>
      </c>
      <c r="E3815" s="2" t="s">
        <v>860</v>
      </c>
      <c r="F3815" t="s">
        <v>9654</v>
      </c>
      <c r="G3815" t="str">
        <f>HYPERLINK("http://www.interview365.com/news/articleView.html?idxno=109744")</f>
        <v>http://www.interview365.com/news/articleView.html?idxno=109744</v>
      </c>
      <c r="H3815">
        <v>0.503</v>
      </c>
    </row>
    <row r="3816" spans="1:8" x14ac:dyDescent="0.3">
      <c r="A3816" t="s">
        <v>9255</v>
      </c>
      <c r="B3816" t="s">
        <v>26951</v>
      </c>
      <c r="C3816" t="s">
        <v>9660</v>
      </c>
      <c r="D3816" t="s">
        <v>9659</v>
      </c>
      <c r="E3816" s="2" t="s">
        <v>860</v>
      </c>
      <c r="F3816" t="s">
        <v>9658</v>
      </c>
      <c r="G3816" t="str">
        <f>HYPERLINK("http://news.lghellovision.net/news/articleView.html?idxno=510915")</f>
        <v>http://news.lghellovision.net/news/articleView.html?idxno=510915</v>
      </c>
      <c r="H3816">
        <v>0.28499999999999998</v>
      </c>
    </row>
    <row r="3817" spans="1:8" x14ac:dyDescent="0.3">
      <c r="A3817" t="s">
        <v>9255</v>
      </c>
      <c r="B3817" t="s">
        <v>26951</v>
      </c>
      <c r="C3817" t="s">
        <v>9662</v>
      </c>
      <c r="D3817" t="s">
        <v>9661</v>
      </c>
      <c r="E3817" s="2" t="s">
        <v>860</v>
      </c>
      <c r="F3817" t="s">
        <v>857</v>
      </c>
      <c r="G3817" t="str">
        <f>HYPERLINK("https://www.the-pr.co.kr/news/articleView.html?idxno=52743")</f>
        <v>https://www.the-pr.co.kr/news/articleView.html?idxno=52743</v>
      </c>
      <c r="H3817">
        <v>0.255</v>
      </c>
    </row>
    <row r="3818" spans="1:8" x14ac:dyDescent="0.3">
      <c r="A3818" t="s">
        <v>9255</v>
      </c>
      <c r="B3818" t="s">
        <v>26951</v>
      </c>
      <c r="C3818" t="s">
        <v>9664</v>
      </c>
      <c r="D3818" t="s">
        <v>9663</v>
      </c>
      <c r="E3818" s="2" t="s">
        <v>860</v>
      </c>
      <c r="F3818" t="s">
        <v>1202</v>
      </c>
      <c r="G3818" t="str">
        <f>HYPERLINK("http://www.joongang.tv/news/articleView.html?idxno=63504")</f>
        <v>http://www.joongang.tv/news/articleView.html?idxno=63504</v>
      </c>
      <c r="H3818">
        <v>0.48099999999999998</v>
      </c>
    </row>
    <row r="3819" spans="1:8" x14ac:dyDescent="0.3">
      <c r="A3819" t="s">
        <v>9255</v>
      </c>
      <c r="B3819" t="s">
        <v>26951</v>
      </c>
      <c r="C3819" t="s">
        <v>9667</v>
      </c>
      <c r="D3819" t="s">
        <v>9666</v>
      </c>
      <c r="E3819" s="2" t="s">
        <v>903</v>
      </c>
      <c r="F3819" t="s">
        <v>9665</v>
      </c>
      <c r="G3819" t="str">
        <f>HYPERLINK("https://n.news.naver.com/mnews/article/081/0002712819?sid=103")</f>
        <v>https://n.news.naver.com/mnews/article/081/0002712819?sid=103</v>
      </c>
      <c r="H3819">
        <v>0.36699999999999999</v>
      </c>
    </row>
    <row r="3820" spans="1:8" x14ac:dyDescent="0.3">
      <c r="A3820" t="s">
        <v>9255</v>
      </c>
      <c r="B3820" t="s">
        <v>26951</v>
      </c>
      <c r="C3820" t="s">
        <v>9670</v>
      </c>
      <c r="D3820" t="s">
        <v>9669</v>
      </c>
      <c r="E3820" s="2" t="s">
        <v>903</v>
      </c>
      <c r="F3820" t="s">
        <v>9668</v>
      </c>
      <c r="G3820" t="str">
        <f>HYPERLINK("https://n.news.naver.com/mnews/article/028/0002753427?sid=102")</f>
        <v>https://n.news.naver.com/mnews/article/028/0002753427?sid=102</v>
      </c>
      <c r="H3820">
        <v>0.312</v>
      </c>
    </row>
    <row r="3821" spans="1:8" x14ac:dyDescent="0.3">
      <c r="A3821" t="s">
        <v>9255</v>
      </c>
      <c r="B3821" t="s">
        <v>26951</v>
      </c>
      <c r="C3821" t="s">
        <v>9672</v>
      </c>
      <c r="D3821" t="s">
        <v>9671</v>
      </c>
      <c r="E3821" s="2" t="s">
        <v>903</v>
      </c>
      <c r="F3821" t="s">
        <v>2057</v>
      </c>
      <c r="G3821" t="str">
        <f>HYPERLINK("https://www.econovill.com/news/articleView.html?idxno=697397")</f>
        <v>https://www.econovill.com/news/articleView.html?idxno=697397</v>
      </c>
      <c r="H3821">
        <v>0.35099999999999998</v>
      </c>
    </row>
    <row r="3822" spans="1:8" x14ac:dyDescent="0.3">
      <c r="A3822" t="s">
        <v>9255</v>
      </c>
      <c r="B3822" t="s">
        <v>26951</v>
      </c>
      <c r="C3822" t="s">
        <v>9674</v>
      </c>
      <c r="D3822" t="s">
        <v>9673</v>
      </c>
      <c r="E3822" s="2" t="s">
        <v>903</v>
      </c>
      <c r="F3822" t="s">
        <v>2046</v>
      </c>
      <c r="G3822" t="str">
        <f>HYPERLINK("https://n.news.naver.com/mnews/article/081/0003545543?sid=103")</f>
        <v>https://n.news.naver.com/mnews/article/081/0003545543?sid=103</v>
      </c>
      <c r="H3822">
        <v>0.29699999999999999</v>
      </c>
    </row>
    <row r="3823" spans="1:8" x14ac:dyDescent="0.3">
      <c r="A3823" t="s">
        <v>9255</v>
      </c>
      <c r="B3823" t="s">
        <v>26951</v>
      </c>
      <c r="C3823" t="s">
        <v>9677</v>
      </c>
      <c r="D3823" t="s">
        <v>9676</v>
      </c>
      <c r="E3823" s="2" t="s">
        <v>903</v>
      </c>
      <c r="F3823" t="s">
        <v>9675</v>
      </c>
      <c r="G3823" t="str">
        <f>HYPERLINK("https://n.news.naver.com/mnews/article/011/0004503269?sid=104")</f>
        <v>https://n.news.naver.com/mnews/article/011/0004503269?sid=104</v>
      </c>
      <c r="H3823">
        <v>0.19400000000000001</v>
      </c>
    </row>
    <row r="3824" spans="1:8" x14ac:dyDescent="0.3">
      <c r="A3824" t="s">
        <v>9678</v>
      </c>
      <c r="B3824" t="s">
        <v>26951</v>
      </c>
      <c r="C3824" t="s">
        <v>9681</v>
      </c>
      <c r="D3824" t="s">
        <v>9680</v>
      </c>
      <c r="E3824" s="2" t="s">
        <v>840</v>
      </c>
      <c r="F3824" t="s">
        <v>9679</v>
      </c>
      <c r="G3824" t="str">
        <f>HYPERLINK("https://www.delighti.co.kr/news/articleView.html?idxno=97230")</f>
        <v>https://www.delighti.co.kr/news/articleView.html?idxno=97230</v>
      </c>
      <c r="H3824">
        <v>0.61</v>
      </c>
    </row>
    <row r="3825" spans="1:8" x14ac:dyDescent="0.3">
      <c r="A3825" t="s">
        <v>9678</v>
      </c>
      <c r="B3825" t="s">
        <v>26951</v>
      </c>
      <c r="C3825" t="s">
        <v>9684</v>
      </c>
      <c r="D3825" t="s">
        <v>9683</v>
      </c>
      <c r="E3825" s="2" t="s">
        <v>840</v>
      </c>
      <c r="F3825" t="s">
        <v>9682</v>
      </c>
      <c r="G3825" t="str">
        <f>HYPERLINK("http://www.hansbiz.co.kr/news/articleView.html?idxno=746346")</f>
        <v>http://www.hansbiz.co.kr/news/articleView.html?idxno=746346</v>
      </c>
      <c r="H3825">
        <v>0.46899999999999997</v>
      </c>
    </row>
    <row r="3826" spans="1:8" x14ac:dyDescent="0.3">
      <c r="A3826" t="s">
        <v>9678</v>
      </c>
      <c r="B3826" t="s">
        <v>26951</v>
      </c>
      <c r="C3826" t="s">
        <v>9687</v>
      </c>
      <c r="D3826" t="s">
        <v>9686</v>
      </c>
      <c r="E3826" s="2" t="s">
        <v>840</v>
      </c>
      <c r="F3826" t="s">
        <v>9685</v>
      </c>
      <c r="G3826" t="str">
        <f>HYPERLINK("https://www.pinpointnews.co.kr/news/articleView.html?idxno=350539")</f>
        <v>https://www.pinpointnews.co.kr/news/articleView.html?idxno=350539</v>
      </c>
      <c r="H3826">
        <v>0.45400000000000001</v>
      </c>
    </row>
    <row r="3827" spans="1:8" x14ac:dyDescent="0.3">
      <c r="A3827" t="s">
        <v>9678</v>
      </c>
      <c r="B3827" t="s">
        <v>26951</v>
      </c>
      <c r="C3827" t="s">
        <v>9689</v>
      </c>
      <c r="D3827" t="s">
        <v>9688</v>
      </c>
      <c r="E3827" s="2" t="s">
        <v>840</v>
      </c>
      <c r="F3827" t="s">
        <v>5548</v>
      </c>
      <c r="G3827" t="str">
        <f>HYPERLINK("https://sports.hankooki.com/news/articleView.html?idxno=6889852")</f>
        <v>https://sports.hankooki.com/news/articleView.html?idxno=6889852</v>
      </c>
      <c r="H3827">
        <v>0.40100000000000002</v>
      </c>
    </row>
    <row r="3828" spans="1:8" x14ac:dyDescent="0.3">
      <c r="A3828" t="s">
        <v>9678</v>
      </c>
      <c r="B3828" t="s">
        <v>26951</v>
      </c>
      <c r="C3828" t="s">
        <v>9691</v>
      </c>
      <c r="D3828" t="s">
        <v>9690</v>
      </c>
      <c r="E3828" s="2" t="s">
        <v>840</v>
      </c>
      <c r="F3828" t="s">
        <v>6212</v>
      </c>
      <c r="G3828" t="str">
        <f>HYPERLINK("https://n.news.naver.com/mnews/article/214/0001426450?sid=100")</f>
        <v>https://n.news.naver.com/mnews/article/214/0001426450?sid=100</v>
      </c>
      <c r="H3828">
        <v>0.19700000000000001</v>
      </c>
    </row>
    <row r="3829" spans="1:8" x14ac:dyDescent="0.3">
      <c r="A3829" t="s">
        <v>9678</v>
      </c>
      <c r="B3829" t="s">
        <v>26951</v>
      </c>
      <c r="C3829" t="s">
        <v>9694</v>
      </c>
      <c r="D3829" t="s">
        <v>9693</v>
      </c>
      <c r="E3829" s="2" t="s">
        <v>840</v>
      </c>
      <c r="F3829" t="s">
        <v>9692</v>
      </c>
      <c r="G3829" t="str">
        <f>HYPERLINK("http://www.seoulwire.com/news/articleView.html?idxno=654187")</f>
        <v>http://www.seoulwire.com/news/articleView.html?idxno=654187</v>
      </c>
      <c r="H3829">
        <v>0.54100000000000004</v>
      </c>
    </row>
    <row r="3830" spans="1:8" x14ac:dyDescent="0.3">
      <c r="A3830" t="s">
        <v>9678</v>
      </c>
      <c r="B3830" t="s">
        <v>26951</v>
      </c>
      <c r="C3830" t="s">
        <v>9697</v>
      </c>
      <c r="D3830" t="s">
        <v>9696</v>
      </c>
      <c r="E3830" s="2" t="s">
        <v>840</v>
      </c>
      <c r="F3830" t="s">
        <v>9695</v>
      </c>
      <c r="G3830" t="str">
        <f>HYPERLINK("http://www.fntoday.co.kr/news/articleView.html?idxno=355547")</f>
        <v>http://www.fntoday.co.kr/news/articleView.html?idxno=355547</v>
      </c>
      <c r="H3830">
        <v>0.35899999999999999</v>
      </c>
    </row>
    <row r="3831" spans="1:8" x14ac:dyDescent="0.3">
      <c r="A3831" t="s">
        <v>9678</v>
      </c>
      <c r="B3831" t="s">
        <v>26951</v>
      </c>
      <c r="C3831" t="s">
        <v>9700</v>
      </c>
      <c r="D3831" t="s">
        <v>9699</v>
      </c>
      <c r="E3831" s="2" t="s">
        <v>840</v>
      </c>
      <c r="F3831" t="s">
        <v>9698</v>
      </c>
      <c r="G3831" t="str">
        <f>HYPERLINK("https://wemakenews.co.kr/news/view.php?no=21849")</f>
        <v>https://wemakenews.co.kr/news/view.php?no=21849</v>
      </c>
      <c r="H3831">
        <v>0.48699999999999999</v>
      </c>
    </row>
    <row r="3832" spans="1:8" x14ac:dyDescent="0.3">
      <c r="A3832" t="s">
        <v>9678</v>
      </c>
      <c r="B3832" t="s">
        <v>26951</v>
      </c>
      <c r="C3832" t="s">
        <v>9702</v>
      </c>
      <c r="D3832" t="s">
        <v>9701</v>
      </c>
      <c r="E3832" s="2" t="s">
        <v>840</v>
      </c>
      <c r="F3832" t="s">
        <v>5548</v>
      </c>
      <c r="G3832" t="str">
        <f>HYPERLINK("https://weekly.hankooki.com/news/articleView.html?idxno=7087319")</f>
        <v>https://weekly.hankooki.com/news/articleView.html?idxno=7087319</v>
      </c>
      <c r="H3832">
        <v>0.54100000000000004</v>
      </c>
    </row>
    <row r="3833" spans="1:8" x14ac:dyDescent="0.3">
      <c r="A3833" t="s">
        <v>9678</v>
      </c>
      <c r="B3833" t="s">
        <v>26951</v>
      </c>
      <c r="C3833" t="s">
        <v>9704</v>
      </c>
      <c r="D3833" t="s">
        <v>9703</v>
      </c>
      <c r="E3833" s="2" t="s">
        <v>840</v>
      </c>
      <c r="F3833" t="s">
        <v>879</v>
      </c>
      <c r="G3833" t="str">
        <f>HYPERLINK("https://n.news.naver.com/mnews/article/022/0004047724?sid=102")</f>
        <v>https://n.news.naver.com/mnews/article/022/0004047724?sid=102</v>
      </c>
      <c r="H3833">
        <v>0.21099999999999999</v>
      </c>
    </row>
    <row r="3834" spans="1:8" x14ac:dyDescent="0.3">
      <c r="A3834" t="s">
        <v>9678</v>
      </c>
      <c r="B3834" t="s">
        <v>26951</v>
      </c>
      <c r="C3834" t="s">
        <v>9707</v>
      </c>
      <c r="D3834" t="s">
        <v>9706</v>
      </c>
      <c r="E3834" s="2" t="s">
        <v>840</v>
      </c>
      <c r="F3834" t="s">
        <v>9705</v>
      </c>
      <c r="G3834" t="str">
        <f>HYPERLINK("https://n.news.naver.com/mnews/article/028/0002753752?sid=103")</f>
        <v>https://n.news.naver.com/mnews/article/028/0002753752?sid=103</v>
      </c>
      <c r="H3834">
        <v>0.223</v>
      </c>
    </row>
    <row r="3835" spans="1:8" x14ac:dyDescent="0.3">
      <c r="A3835" t="s">
        <v>9678</v>
      </c>
      <c r="B3835" t="s">
        <v>26951</v>
      </c>
      <c r="C3835" t="s">
        <v>9709</v>
      </c>
      <c r="D3835" t="s">
        <v>9708</v>
      </c>
      <c r="E3835" s="2" t="s">
        <v>840</v>
      </c>
      <c r="F3835" t="s">
        <v>5548</v>
      </c>
      <c r="G3835" t="str">
        <f>HYPERLINK("https://www.lecturernews.com/news/articleView.html?idxno=174769")</f>
        <v>https://www.lecturernews.com/news/articleView.html?idxno=174769</v>
      </c>
      <c r="H3835">
        <v>0.372</v>
      </c>
    </row>
    <row r="3836" spans="1:8" x14ac:dyDescent="0.3">
      <c r="A3836" t="s">
        <v>9678</v>
      </c>
      <c r="B3836" t="s">
        <v>26951</v>
      </c>
      <c r="C3836" t="s">
        <v>9711</v>
      </c>
      <c r="D3836" t="s">
        <v>9710</v>
      </c>
      <c r="E3836" s="2" t="s">
        <v>840</v>
      </c>
      <c r="F3836" t="s">
        <v>6304</v>
      </c>
      <c r="G3836" t="str">
        <f>HYPERLINK("https://n.news.naver.com/mnews/article/002/0002095731?sid=102")</f>
        <v>https://n.news.naver.com/mnews/article/002/0002095731?sid=102</v>
      </c>
      <c r="H3836">
        <v>0.17299999999999999</v>
      </c>
    </row>
    <row r="3837" spans="1:8" x14ac:dyDescent="0.3">
      <c r="A3837" t="s">
        <v>9678</v>
      </c>
      <c r="B3837" t="s">
        <v>26951</v>
      </c>
      <c r="C3837" t="s">
        <v>9714</v>
      </c>
      <c r="D3837" t="s">
        <v>9713</v>
      </c>
      <c r="E3837" s="2" t="s">
        <v>840</v>
      </c>
      <c r="F3837" t="s">
        <v>9712</v>
      </c>
      <c r="G3837" t="str">
        <f>HYPERLINK("https://www.ntoday.co.kr/news/articleView.html?idxno=105261")</f>
        <v>https://www.ntoday.co.kr/news/articleView.html?idxno=105261</v>
      </c>
      <c r="H3837">
        <v>0.317</v>
      </c>
    </row>
    <row r="3838" spans="1:8" x14ac:dyDescent="0.3">
      <c r="A3838" t="s">
        <v>9678</v>
      </c>
      <c r="B3838" t="s">
        <v>26951</v>
      </c>
      <c r="C3838" t="s">
        <v>9717</v>
      </c>
      <c r="D3838" t="s">
        <v>9716</v>
      </c>
      <c r="E3838" s="2" t="s">
        <v>840</v>
      </c>
      <c r="F3838" t="s">
        <v>9715</v>
      </c>
      <c r="G3838" t="str">
        <f>HYPERLINK("https://n.news.naver.com/mnews/article/002/0002392053?sid=102")</f>
        <v>https://n.news.naver.com/mnews/article/002/0002392053?sid=102</v>
      </c>
      <c r="H3838">
        <v>0.32400000000000001</v>
      </c>
    </row>
    <row r="3839" spans="1:8" x14ac:dyDescent="0.3">
      <c r="A3839" t="s">
        <v>9678</v>
      </c>
      <c r="B3839" t="s">
        <v>26951</v>
      </c>
      <c r="C3839" t="s">
        <v>9720</v>
      </c>
      <c r="D3839" t="s">
        <v>9719</v>
      </c>
      <c r="E3839" s="2" t="s">
        <v>840</v>
      </c>
      <c r="F3839" t="s">
        <v>9718</v>
      </c>
      <c r="G3839" t="str">
        <f>HYPERLINK("http://www.ablenews.co.kr/News/NewsContent.aspx?CategoryCode=0030&amp;NewsCode=003020170106134955918520")</f>
        <v>http://www.ablenews.co.kr/News/NewsContent.aspx?CategoryCode=0030&amp;NewsCode=003020170106134955918520</v>
      </c>
      <c r="H3839">
        <v>0.54400000000000004</v>
      </c>
    </row>
    <row r="3840" spans="1:8" x14ac:dyDescent="0.3">
      <c r="A3840" t="s">
        <v>9678</v>
      </c>
      <c r="B3840" t="s">
        <v>26951</v>
      </c>
      <c r="C3840" t="s">
        <v>9722</v>
      </c>
      <c r="D3840" t="s">
        <v>9721</v>
      </c>
      <c r="E3840" s="2" t="s">
        <v>840</v>
      </c>
      <c r="F3840" t="s">
        <v>1055</v>
      </c>
      <c r="G3840" t="str">
        <f>HYPERLINK("https://n.news.naver.com/mnews/article/214/0001430771?sid=102")</f>
        <v>https://n.news.naver.com/mnews/article/214/0001430771?sid=102</v>
      </c>
      <c r="H3840">
        <v>0.2</v>
      </c>
    </row>
    <row r="3841" spans="1:8" x14ac:dyDescent="0.3">
      <c r="A3841" t="s">
        <v>9678</v>
      </c>
      <c r="B3841" t="s">
        <v>26951</v>
      </c>
      <c r="C3841" t="s">
        <v>9724</v>
      </c>
      <c r="D3841" t="s">
        <v>9723</v>
      </c>
      <c r="E3841" s="2" t="s">
        <v>840</v>
      </c>
      <c r="F3841" t="s">
        <v>5548</v>
      </c>
      <c r="G3841" t="str">
        <f>HYPERLINK("http://www.ggilbo.com/news/articleView.html?idxno=520951")</f>
        <v>http://www.ggilbo.com/news/articleView.html?idxno=520951</v>
      </c>
      <c r="H3841">
        <v>0.48</v>
      </c>
    </row>
    <row r="3842" spans="1:8" x14ac:dyDescent="0.3">
      <c r="A3842" t="s">
        <v>9678</v>
      </c>
      <c r="B3842" t="s">
        <v>26951</v>
      </c>
      <c r="C3842" t="s">
        <v>9726</v>
      </c>
      <c r="D3842" t="s">
        <v>9725</v>
      </c>
      <c r="E3842" s="2" t="s">
        <v>840</v>
      </c>
      <c r="F3842" t="s">
        <v>5004</v>
      </c>
      <c r="G3842" t="str">
        <f>HYPERLINK("http://www.hansbiz.co.kr/news/articleView.html?idxno=753169")</f>
        <v>http://www.hansbiz.co.kr/news/articleView.html?idxno=753169</v>
      </c>
      <c r="H3842">
        <v>0.49399999999999999</v>
      </c>
    </row>
    <row r="3843" spans="1:8" x14ac:dyDescent="0.3">
      <c r="A3843" t="s">
        <v>9678</v>
      </c>
      <c r="B3843" t="s">
        <v>26951</v>
      </c>
      <c r="C3843" t="s">
        <v>9729</v>
      </c>
      <c r="D3843" t="s">
        <v>9728</v>
      </c>
      <c r="E3843" s="2" t="s">
        <v>840</v>
      </c>
      <c r="F3843" t="s">
        <v>9727</v>
      </c>
      <c r="G3843" t="str">
        <f>HYPERLINK("https://n.news.naver.com/mnews/article/008/0005201913?sid=102")</f>
        <v>https://n.news.naver.com/mnews/article/008/0005201913?sid=102</v>
      </c>
      <c r="H3843">
        <v>0.317</v>
      </c>
    </row>
    <row r="3844" spans="1:8" x14ac:dyDescent="0.3">
      <c r="A3844" t="s">
        <v>9678</v>
      </c>
      <c r="B3844" t="s">
        <v>26951</v>
      </c>
      <c r="C3844" t="s">
        <v>9732</v>
      </c>
      <c r="D3844" t="s">
        <v>9731</v>
      </c>
      <c r="E3844" s="2" t="s">
        <v>840</v>
      </c>
      <c r="F3844" t="s">
        <v>9730</v>
      </c>
      <c r="G3844" t="str">
        <f>HYPERLINK("https://n.news.naver.com/mnews/article/214/0001428173?sid=154")</f>
        <v>https://n.news.naver.com/mnews/article/214/0001428173?sid=154</v>
      </c>
      <c r="H3844">
        <v>0.20300000000000001</v>
      </c>
    </row>
    <row r="3845" spans="1:8" x14ac:dyDescent="0.3">
      <c r="A3845" t="s">
        <v>9678</v>
      </c>
      <c r="B3845" t="s">
        <v>26951</v>
      </c>
      <c r="C3845" t="s">
        <v>9735</v>
      </c>
      <c r="D3845" t="s">
        <v>9734</v>
      </c>
      <c r="E3845" s="2" t="s">
        <v>840</v>
      </c>
      <c r="F3845" t="s">
        <v>9733</v>
      </c>
      <c r="G3845" t="str">
        <f>HYPERLINK("https://www.newspim.com/news/view/20250528000707")</f>
        <v>https://www.newspim.com/news/view/20250528000707</v>
      </c>
      <c r="H3845">
        <v>0.55600000000000005</v>
      </c>
    </row>
    <row r="3846" spans="1:8" x14ac:dyDescent="0.3">
      <c r="A3846" t="s">
        <v>9678</v>
      </c>
      <c r="B3846" t="s">
        <v>26951</v>
      </c>
      <c r="C3846" t="s">
        <v>9737</v>
      </c>
      <c r="D3846" t="s">
        <v>9736</v>
      </c>
      <c r="E3846" s="2" t="s">
        <v>840</v>
      </c>
      <c r="F3846" t="s">
        <v>7612</v>
      </c>
      <c r="G3846" t="str">
        <f>HYPERLINK("https://n.news.naver.com/mnews/article/214/0001426695?sid=100")</f>
        <v>https://n.news.naver.com/mnews/article/214/0001426695?sid=100</v>
      </c>
      <c r="H3846">
        <v>0.47699999999999998</v>
      </c>
    </row>
    <row r="3847" spans="1:8" x14ac:dyDescent="0.3">
      <c r="A3847" t="s">
        <v>9678</v>
      </c>
      <c r="B3847" t="s">
        <v>26951</v>
      </c>
      <c r="C3847" t="s">
        <v>9740</v>
      </c>
      <c r="D3847" t="s">
        <v>9739</v>
      </c>
      <c r="E3847" s="2" t="s">
        <v>840</v>
      </c>
      <c r="F3847" t="s">
        <v>9738</v>
      </c>
      <c r="G3847" t="str">
        <f>HYPERLINK("https://www.dongponews.net/news/articleView.html?idxno=52925")</f>
        <v>https://www.dongponews.net/news/articleView.html?idxno=52925</v>
      </c>
      <c r="H3847">
        <v>0.46400000000000002</v>
      </c>
    </row>
    <row r="3848" spans="1:8" x14ac:dyDescent="0.3">
      <c r="A3848" t="s">
        <v>9678</v>
      </c>
      <c r="B3848" t="s">
        <v>26951</v>
      </c>
      <c r="C3848" t="s">
        <v>9743</v>
      </c>
      <c r="D3848" t="s">
        <v>9742</v>
      </c>
      <c r="E3848" s="2" t="s">
        <v>840</v>
      </c>
      <c r="F3848" t="s">
        <v>9741</v>
      </c>
      <c r="G3848" t="str">
        <f>HYPERLINK("https://www.huffingtonpost.kr/news/articleView.html?idxno=232013")</f>
        <v>https://www.huffingtonpost.kr/news/articleView.html?idxno=232013</v>
      </c>
      <c r="H3848">
        <v>0.29699999999999999</v>
      </c>
    </row>
    <row r="3849" spans="1:8" x14ac:dyDescent="0.3">
      <c r="A3849" t="s">
        <v>9678</v>
      </c>
      <c r="B3849" t="s">
        <v>26951</v>
      </c>
      <c r="C3849" t="s">
        <v>9746</v>
      </c>
      <c r="D3849" t="s">
        <v>9745</v>
      </c>
      <c r="E3849" s="2" t="s">
        <v>840</v>
      </c>
      <c r="F3849" t="s">
        <v>9744</v>
      </c>
      <c r="G3849" t="str">
        <f>HYPERLINK("http://www.kbmaeil.com/news/articleView.html?idxno=957171")</f>
        <v>http://www.kbmaeil.com/news/articleView.html?idxno=957171</v>
      </c>
      <c r="H3849">
        <v>0.42299999999999999</v>
      </c>
    </row>
    <row r="3850" spans="1:8" x14ac:dyDescent="0.3">
      <c r="A3850" t="s">
        <v>9678</v>
      </c>
      <c r="B3850" t="s">
        <v>26951</v>
      </c>
      <c r="C3850" t="s">
        <v>9748</v>
      </c>
      <c r="D3850" t="s">
        <v>9747</v>
      </c>
      <c r="E3850" s="2" t="s">
        <v>840</v>
      </c>
      <c r="F3850" t="s">
        <v>8074</v>
      </c>
      <c r="G3850" t="str">
        <f>HYPERLINK("https://www.m-economynews.com/news/article.html?no=54784")</f>
        <v>https://www.m-economynews.com/news/article.html?no=54784</v>
      </c>
      <c r="H3850">
        <v>0.46</v>
      </c>
    </row>
    <row r="3851" spans="1:8" x14ac:dyDescent="0.3">
      <c r="A3851" t="s">
        <v>9678</v>
      </c>
      <c r="B3851" t="s">
        <v>26951</v>
      </c>
      <c r="C3851" t="s">
        <v>9751</v>
      </c>
      <c r="D3851" t="s">
        <v>9750</v>
      </c>
      <c r="E3851" s="2" t="s">
        <v>840</v>
      </c>
      <c r="F3851" t="s">
        <v>9749</v>
      </c>
      <c r="G3851" t="str">
        <f>HYPERLINK("https://sports.hankooki.com/news/articleView.html?idxno=6899833")</f>
        <v>https://sports.hankooki.com/news/articleView.html?idxno=6899833</v>
      </c>
      <c r="H3851">
        <v>0.61899999999999999</v>
      </c>
    </row>
    <row r="3852" spans="1:8" x14ac:dyDescent="0.3">
      <c r="A3852" t="s">
        <v>9678</v>
      </c>
      <c r="B3852" t="s">
        <v>26951</v>
      </c>
      <c r="C3852" t="s">
        <v>9754</v>
      </c>
      <c r="D3852" t="s">
        <v>9753</v>
      </c>
      <c r="E3852" s="2" t="s">
        <v>840</v>
      </c>
      <c r="F3852" t="s">
        <v>9752</v>
      </c>
      <c r="G3852" t="str">
        <f>HYPERLINK("https://www.kyeongin.com/article/1723287?ref=naver")</f>
        <v>https://www.kyeongin.com/article/1723287?ref=naver</v>
      </c>
      <c r="H3852">
        <v>0.41899999999999998</v>
      </c>
    </row>
    <row r="3853" spans="1:8" x14ac:dyDescent="0.3">
      <c r="A3853" t="s">
        <v>9678</v>
      </c>
      <c r="B3853" t="s">
        <v>26951</v>
      </c>
      <c r="C3853" t="s">
        <v>9757</v>
      </c>
      <c r="D3853" t="s">
        <v>9756</v>
      </c>
      <c r="E3853" s="2" t="s">
        <v>840</v>
      </c>
      <c r="F3853" t="s">
        <v>9755</v>
      </c>
      <c r="G3853" t="str">
        <f>HYPERLINK("https://n.news.naver.com/mnews/article/008/0005203051?sid=154")</f>
        <v>https://n.news.naver.com/mnews/article/008/0005203051?sid=154</v>
      </c>
      <c r="H3853">
        <v>0.22500000000000001</v>
      </c>
    </row>
    <row r="3854" spans="1:8" x14ac:dyDescent="0.3">
      <c r="A3854" t="s">
        <v>9678</v>
      </c>
      <c r="B3854" t="s">
        <v>26951</v>
      </c>
      <c r="C3854" t="s">
        <v>9759</v>
      </c>
      <c r="D3854" t="s">
        <v>9758</v>
      </c>
      <c r="E3854" s="2" t="s">
        <v>840</v>
      </c>
      <c r="F3854" t="s">
        <v>7949</v>
      </c>
      <c r="G3854" t="str">
        <f>HYPERLINK("https://n.news.naver.com/mnews/article/119/0002971144?sid=100")</f>
        <v>https://n.news.naver.com/mnews/article/119/0002971144?sid=100</v>
      </c>
      <c r="H3854">
        <v>0.33800000000000002</v>
      </c>
    </row>
    <row r="3855" spans="1:8" x14ac:dyDescent="0.3">
      <c r="A3855" t="s">
        <v>9678</v>
      </c>
      <c r="B3855" t="s">
        <v>26951</v>
      </c>
      <c r="C3855" t="s">
        <v>9762</v>
      </c>
      <c r="D3855" t="s">
        <v>9761</v>
      </c>
      <c r="E3855" s="2" t="s">
        <v>840</v>
      </c>
      <c r="F3855" t="s">
        <v>9760</v>
      </c>
      <c r="G3855" t="str">
        <f>HYPERLINK("https://www.incheonilbo.com/news/articleView.html?idxno=1294277")</f>
        <v>https://www.incheonilbo.com/news/articleView.html?idxno=1294277</v>
      </c>
      <c r="H3855">
        <v>0.10199999999999999</v>
      </c>
    </row>
    <row r="3856" spans="1:8" x14ac:dyDescent="0.3">
      <c r="A3856" t="s">
        <v>9678</v>
      </c>
      <c r="B3856" t="s">
        <v>26951</v>
      </c>
      <c r="C3856" t="s">
        <v>9764</v>
      </c>
      <c r="D3856" t="s">
        <v>9763</v>
      </c>
      <c r="E3856" s="2" t="s">
        <v>840</v>
      </c>
      <c r="F3856" t="s">
        <v>7896</v>
      </c>
      <c r="G3856" t="str">
        <f>HYPERLINK("https://www.meconomynews.com/news/articleView.html?idxno=113896")</f>
        <v>https://www.meconomynews.com/news/articleView.html?idxno=113896</v>
      </c>
      <c r="H3856">
        <v>0.307</v>
      </c>
    </row>
    <row r="3857" spans="1:8" x14ac:dyDescent="0.3">
      <c r="A3857" t="s">
        <v>9678</v>
      </c>
      <c r="B3857" t="s">
        <v>26951</v>
      </c>
      <c r="C3857" t="s">
        <v>9767</v>
      </c>
      <c r="D3857" t="s">
        <v>9766</v>
      </c>
      <c r="E3857" s="2" t="s">
        <v>840</v>
      </c>
      <c r="F3857" t="s">
        <v>9765</v>
      </c>
      <c r="G3857" t="str">
        <f>HYPERLINK("https://n.news.naver.com/mnews/article/008/0005202826?sid=154")</f>
        <v>https://n.news.naver.com/mnews/article/008/0005202826?sid=154</v>
      </c>
      <c r="H3857">
        <v>0.123</v>
      </c>
    </row>
    <row r="3858" spans="1:8" x14ac:dyDescent="0.3">
      <c r="A3858" t="s">
        <v>9678</v>
      </c>
      <c r="B3858" t="s">
        <v>26951</v>
      </c>
      <c r="C3858" t="s">
        <v>9769</v>
      </c>
      <c r="D3858" t="s">
        <v>9768</v>
      </c>
      <c r="E3858" s="2" t="s">
        <v>840</v>
      </c>
      <c r="F3858" t="s">
        <v>2336</v>
      </c>
      <c r="G3858" t="str">
        <f>HYPERLINK("https://www.ntoday.co.kr/news/articleView.html?idxno=116145")</f>
        <v>https://www.ntoday.co.kr/news/articleView.html?idxno=116145</v>
      </c>
      <c r="H3858">
        <v>0.33700000000000002</v>
      </c>
    </row>
    <row r="3859" spans="1:8" x14ac:dyDescent="0.3">
      <c r="A3859" t="s">
        <v>9678</v>
      </c>
      <c r="B3859" t="s">
        <v>26951</v>
      </c>
      <c r="C3859" t="s">
        <v>9771</v>
      </c>
      <c r="D3859" t="s">
        <v>9770</v>
      </c>
      <c r="E3859" s="2" t="s">
        <v>840</v>
      </c>
      <c r="F3859" t="s">
        <v>9712</v>
      </c>
      <c r="G3859" t="str">
        <f>HYPERLINK("https://kr.aving.net/news/articleView.html?idxno=1780759")</f>
        <v>https://kr.aving.net/news/articleView.html?idxno=1780759</v>
      </c>
      <c r="H3859">
        <v>0.19700000000000001</v>
      </c>
    </row>
    <row r="3860" spans="1:8" x14ac:dyDescent="0.3">
      <c r="A3860" t="s">
        <v>9678</v>
      </c>
      <c r="B3860" t="s">
        <v>26951</v>
      </c>
      <c r="C3860" t="s">
        <v>9774</v>
      </c>
      <c r="D3860" t="s">
        <v>9773</v>
      </c>
      <c r="E3860" s="2" t="s">
        <v>840</v>
      </c>
      <c r="F3860" t="s">
        <v>9772</v>
      </c>
      <c r="G3860" t="str">
        <f>HYPERLINK("http://www.kyosu.net/news/articleView.html?idxno=138200")</f>
        <v>http://www.kyosu.net/news/articleView.html?idxno=138200</v>
      </c>
      <c r="H3860">
        <v>0.435</v>
      </c>
    </row>
    <row r="3861" spans="1:8" x14ac:dyDescent="0.3">
      <c r="A3861" t="s">
        <v>9678</v>
      </c>
      <c r="B3861" t="s">
        <v>26951</v>
      </c>
      <c r="C3861" t="s">
        <v>9776</v>
      </c>
      <c r="D3861" t="s">
        <v>9775</v>
      </c>
      <c r="E3861" s="2" t="s">
        <v>840</v>
      </c>
      <c r="F3861" t="s">
        <v>2661</v>
      </c>
      <c r="G3861" t="str">
        <f>HYPERLINK("https://n.news.naver.com/mnews/article/127/0000037762?sid=102")</f>
        <v>https://n.news.naver.com/mnews/article/127/0000037762?sid=102</v>
      </c>
      <c r="H3861">
        <v>0.30499999999999999</v>
      </c>
    </row>
    <row r="3862" spans="1:8" x14ac:dyDescent="0.3">
      <c r="A3862" t="s">
        <v>9678</v>
      </c>
      <c r="B3862" t="s">
        <v>26951</v>
      </c>
      <c r="C3862" t="s">
        <v>9779</v>
      </c>
      <c r="D3862" t="s">
        <v>9778</v>
      </c>
      <c r="E3862" s="2" t="s">
        <v>840</v>
      </c>
      <c r="F3862" t="s">
        <v>9777</v>
      </c>
      <c r="G3862" t="str">
        <f>HYPERLINK("https://ppss.kr/archives/244904")</f>
        <v>https://ppss.kr/archives/244904</v>
      </c>
      <c r="H3862">
        <v>0.57899999999999996</v>
      </c>
    </row>
    <row r="3863" spans="1:8" x14ac:dyDescent="0.3">
      <c r="A3863" t="s">
        <v>9678</v>
      </c>
      <c r="B3863" t="s">
        <v>26951</v>
      </c>
      <c r="C3863" t="s">
        <v>9782</v>
      </c>
      <c r="D3863" t="s">
        <v>9781</v>
      </c>
      <c r="E3863" s="2" t="s">
        <v>840</v>
      </c>
      <c r="F3863" t="s">
        <v>9780</v>
      </c>
      <c r="G3863" t="str">
        <f>HYPERLINK("https://www.pn.or.kr/news/articleView.html?idxno=32147")</f>
        <v>https://www.pn.or.kr/news/articleView.html?idxno=32147</v>
      </c>
      <c r="H3863">
        <v>0.96699999999999997</v>
      </c>
    </row>
    <row r="3864" spans="1:8" x14ac:dyDescent="0.3">
      <c r="A3864" t="s">
        <v>9678</v>
      </c>
      <c r="B3864" t="s">
        <v>26951</v>
      </c>
      <c r="C3864" t="s">
        <v>9785</v>
      </c>
      <c r="D3864" t="s">
        <v>9784</v>
      </c>
      <c r="E3864" s="2" t="s">
        <v>840</v>
      </c>
      <c r="F3864" t="s">
        <v>9783</v>
      </c>
      <c r="G3864" t="str">
        <f>HYPERLINK("https://weekly.hankooki.com/news/articleView.html?idxno=7114107")</f>
        <v>https://weekly.hankooki.com/news/articleView.html?idxno=7114107</v>
      </c>
      <c r="H3864">
        <v>0.54100000000000004</v>
      </c>
    </row>
    <row r="3865" spans="1:8" x14ac:dyDescent="0.3">
      <c r="A3865" t="s">
        <v>9678</v>
      </c>
      <c r="B3865" t="s">
        <v>26951</v>
      </c>
      <c r="C3865" t="s">
        <v>9788</v>
      </c>
      <c r="D3865" t="s">
        <v>9787</v>
      </c>
      <c r="E3865" s="2" t="s">
        <v>840</v>
      </c>
      <c r="F3865" t="s">
        <v>9786</v>
      </c>
      <c r="G3865" t="str">
        <f>HYPERLINK("http://www.lecturernews.com/news/articleView.html?idxno=80648")</f>
        <v>http://www.lecturernews.com/news/articleView.html?idxno=80648</v>
      </c>
      <c r="H3865">
        <v>0.23499999999999999</v>
      </c>
    </row>
    <row r="3866" spans="1:8" x14ac:dyDescent="0.3">
      <c r="A3866" t="s">
        <v>9678</v>
      </c>
      <c r="B3866" t="s">
        <v>26951</v>
      </c>
      <c r="C3866" t="s">
        <v>9791</v>
      </c>
      <c r="D3866" t="s">
        <v>9790</v>
      </c>
      <c r="E3866" s="2" t="s">
        <v>840</v>
      </c>
      <c r="F3866" t="s">
        <v>9789</v>
      </c>
      <c r="G3866" t="str">
        <f>HYPERLINK("http://www.gjdream.com/news/articleView.html?idxno=657924")</f>
        <v>http://www.gjdream.com/news/articleView.html?idxno=657924</v>
      </c>
      <c r="H3866">
        <v>0.28299999999999997</v>
      </c>
    </row>
    <row r="3867" spans="1:8" x14ac:dyDescent="0.3">
      <c r="A3867" t="s">
        <v>9678</v>
      </c>
      <c r="B3867" t="s">
        <v>26951</v>
      </c>
      <c r="C3867" t="s">
        <v>9793</v>
      </c>
      <c r="D3867" t="s">
        <v>9792</v>
      </c>
      <c r="E3867" s="2" t="s">
        <v>840</v>
      </c>
      <c r="F3867" t="s">
        <v>9786</v>
      </c>
      <c r="G3867" t="str">
        <f>HYPERLINK("http://www.lecturernews.com/news/articleView.html?idxno=80648")</f>
        <v>http://www.lecturernews.com/news/articleView.html?idxno=80648</v>
      </c>
      <c r="H3867">
        <v>0.23799999999999999</v>
      </c>
    </row>
    <row r="3868" spans="1:8" x14ac:dyDescent="0.3">
      <c r="A3868" t="s">
        <v>9678</v>
      </c>
      <c r="B3868" t="s">
        <v>26951</v>
      </c>
      <c r="C3868" t="s">
        <v>9796</v>
      </c>
      <c r="D3868" t="s">
        <v>9795</v>
      </c>
      <c r="E3868" s="2" t="s">
        <v>840</v>
      </c>
      <c r="F3868" t="s">
        <v>9794</v>
      </c>
      <c r="G3868" t="str">
        <f>HYPERLINK("http://www.segyebiz.com/newsView/20250603512386?OutUrl=naver")</f>
        <v>http://www.segyebiz.com/newsView/20250603512386?OutUrl=naver</v>
      </c>
      <c r="H3868">
        <v>0.52500000000000002</v>
      </c>
    </row>
    <row r="3869" spans="1:8" x14ac:dyDescent="0.3">
      <c r="A3869" t="s">
        <v>9678</v>
      </c>
      <c r="B3869" t="s">
        <v>26951</v>
      </c>
      <c r="C3869" t="s">
        <v>9799</v>
      </c>
      <c r="D3869" t="s">
        <v>9798</v>
      </c>
      <c r="E3869" s="2" t="s">
        <v>840</v>
      </c>
      <c r="F3869" t="s">
        <v>9797</v>
      </c>
      <c r="G3869" t="str">
        <f>HYPERLINK("http://www.breaknews.com/1122045")</f>
        <v>http://www.breaknews.com/1122045</v>
      </c>
      <c r="H3869">
        <v>0.36599999999999999</v>
      </c>
    </row>
    <row r="3870" spans="1:8" x14ac:dyDescent="0.3">
      <c r="A3870" t="s">
        <v>9678</v>
      </c>
      <c r="B3870" t="s">
        <v>26951</v>
      </c>
      <c r="C3870" t="s">
        <v>9802</v>
      </c>
      <c r="D3870" t="s">
        <v>9801</v>
      </c>
      <c r="E3870" s="2" t="s">
        <v>840</v>
      </c>
      <c r="F3870" t="s">
        <v>9800</v>
      </c>
      <c r="G3870" t="str">
        <f>HYPERLINK("http://www.kyosu.net/news/articleView.html?idxno=138200")</f>
        <v>http://www.kyosu.net/news/articleView.html?idxno=138200</v>
      </c>
      <c r="H3870">
        <v>0.1</v>
      </c>
    </row>
    <row r="3871" spans="1:8" x14ac:dyDescent="0.3">
      <c r="A3871" t="s">
        <v>9678</v>
      </c>
      <c r="B3871" t="s">
        <v>26951</v>
      </c>
      <c r="C3871" t="s">
        <v>9805</v>
      </c>
      <c r="D3871" t="s">
        <v>9804</v>
      </c>
      <c r="E3871" s="2" t="s">
        <v>840</v>
      </c>
      <c r="F3871" t="s">
        <v>9803</v>
      </c>
      <c r="G3871" t="str">
        <f>HYPERLINK("https://www.ekn.kr/web/view.php?key=20250608029543906")</f>
        <v>https://www.ekn.kr/web/view.php?key=20250608029543906</v>
      </c>
      <c r="H3871">
        <v>0.26900000000000002</v>
      </c>
    </row>
    <row r="3872" spans="1:8" x14ac:dyDescent="0.3">
      <c r="A3872" t="s">
        <v>9678</v>
      </c>
      <c r="B3872" t="s">
        <v>26951</v>
      </c>
      <c r="C3872" t="s">
        <v>9808</v>
      </c>
      <c r="D3872" t="s">
        <v>9807</v>
      </c>
      <c r="E3872" s="2" t="s">
        <v>840</v>
      </c>
      <c r="F3872" t="s">
        <v>9806</v>
      </c>
      <c r="G3872" t="str">
        <f>HYPERLINK("https://n.news.naver.com/mnews/article/081/0003546217?sid=100")</f>
        <v>https://n.news.naver.com/mnews/article/081/0003546217?sid=100</v>
      </c>
      <c r="H3872">
        <v>0.154</v>
      </c>
    </row>
    <row r="3873" spans="1:8" x14ac:dyDescent="0.3">
      <c r="A3873" t="s">
        <v>9678</v>
      </c>
      <c r="B3873" t="s">
        <v>26951</v>
      </c>
      <c r="C3873" t="s">
        <v>9811</v>
      </c>
      <c r="D3873" t="s">
        <v>9810</v>
      </c>
      <c r="E3873" s="2" t="s">
        <v>840</v>
      </c>
      <c r="F3873" t="s">
        <v>9809</v>
      </c>
      <c r="G3873" t="str">
        <f>HYPERLINK("https://www.newswhoplus.com/news/articleView.html?idxno=29040")</f>
        <v>https://www.newswhoplus.com/news/articleView.html?idxno=29040</v>
      </c>
      <c r="H3873">
        <v>0.46899999999999997</v>
      </c>
    </row>
    <row r="3874" spans="1:8" x14ac:dyDescent="0.3">
      <c r="A3874" t="s">
        <v>9678</v>
      </c>
      <c r="B3874" t="s">
        <v>26951</v>
      </c>
      <c r="C3874" t="s">
        <v>9814</v>
      </c>
      <c r="D3874" t="s">
        <v>9813</v>
      </c>
      <c r="E3874" s="2" t="s">
        <v>840</v>
      </c>
      <c r="F3874" t="s">
        <v>9812</v>
      </c>
      <c r="G3874" t="str">
        <f>HYPERLINK("https://n.news.naver.com/mnews/article/308/0000036172?sid=100")</f>
        <v>https://n.news.naver.com/mnews/article/308/0000036172?sid=100</v>
      </c>
      <c r="H3874">
        <v>0.30499999999999999</v>
      </c>
    </row>
    <row r="3875" spans="1:8" x14ac:dyDescent="0.3">
      <c r="A3875" t="s">
        <v>9678</v>
      </c>
      <c r="B3875" t="s">
        <v>26951</v>
      </c>
      <c r="C3875" t="s">
        <v>9817</v>
      </c>
      <c r="D3875" t="s">
        <v>9816</v>
      </c>
      <c r="E3875" s="2" t="s">
        <v>840</v>
      </c>
      <c r="F3875" t="s">
        <v>9815</v>
      </c>
      <c r="G3875" t="str">
        <f>HYPERLINK("https://news.einfomax.co.kr/news/articleView.html?idxno=4358622")</f>
        <v>https://news.einfomax.co.kr/news/articleView.html?idxno=4358622</v>
      </c>
      <c r="H3875">
        <v>0.53400000000000003</v>
      </c>
    </row>
    <row r="3876" spans="1:8" x14ac:dyDescent="0.3">
      <c r="A3876" t="s">
        <v>9678</v>
      </c>
      <c r="B3876" t="s">
        <v>26951</v>
      </c>
      <c r="C3876" t="s">
        <v>9819</v>
      </c>
      <c r="D3876" t="s">
        <v>9818</v>
      </c>
      <c r="E3876" s="2" t="s">
        <v>840</v>
      </c>
      <c r="F3876" t="s">
        <v>197</v>
      </c>
      <c r="G3876" t="str">
        <f>HYPERLINK("http://www.sisamagazine.co.kr/news/articleView.html?idxno=133668")</f>
        <v>http://www.sisamagazine.co.kr/news/articleView.html?idxno=133668</v>
      </c>
      <c r="H3876">
        <v>0.65900000000000003</v>
      </c>
    </row>
    <row r="3877" spans="1:8" x14ac:dyDescent="0.3">
      <c r="A3877" t="s">
        <v>9678</v>
      </c>
      <c r="B3877" t="s">
        <v>26951</v>
      </c>
      <c r="C3877" t="s">
        <v>9822</v>
      </c>
      <c r="D3877" t="s">
        <v>9821</v>
      </c>
      <c r="E3877" s="2" t="s">
        <v>840</v>
      </c>
      <c r="F3877" t="s">
        <v>9820</v>
      </c>
      <c r="G3877" t="str">
        <f>HYPERLINK("https://n.news.naver.com/mnews/article/014/0005358786?sid=100")</f>
        <v>https://n.news.naver.com/mnews/article/014/0005358786?sid=100</v>
      </c>
      <c r="H3877">
        <v>0.23300000000000001</v>
      </c>
    </row>
    <row r="3878" spans="1:8" x14ac:dyDescent="0.3">
      <c r="A3878" t="s">
        <v>9678</v>
      </c>
      <c r="B3878" t="s">
        <v>26951</v>
      </c>
      <c r="C3878" t="s">
        <v>9825</v>
      </c>
      <c r="D3878" t="s">
        <v>9824</v>
      </c>
      <c r="E3878" s="2" t="s">
        <v>840</v>
      </c>
      <c r="F3878" t="s">
        <v>9823</v>
      </c>
      <c r="G3878" t="str">
        <f>HYPERLINK("https://www.etoday.co.kr/news/view/2476151")</f>
        <v>https://www.etoday.co.kr/news/view/2476151</v>
      </c>
      <c r="H3878">
        <v>0.25600000000000001</v>
      </c>
    </row>
    <row r="3879" spans="1:8" x14ac:dyDescent="0.3">
      <c r="A3879" t="s">
        <v>9678</v>
      </c>
      <c r="B3879" t="s">
        <v>26951</v>
      </c>
      <c r="C3879" t="s">
        <v>9828</v>
      </c>
      <c r="D3879" t="s">
        <v>9827</v>
      </c>
      <c r="E3879" s="2" t="s">
        <v>840</v>
      </c>
      <c r="F3879" t="s">
        <v>9826</v>
      </c>
      <c r="G3879" t="str">
        <f>HYPERLINK("https://n.news.naver.com/mnews/article/057/0001444752?sid=103")</f>
        <v>https://n.news.naver.com/mnews/article/057/0001444752?sid=103</v>
      </c>
      <c r="H3879">
        <v>2.8000000000000001E-2</v>
      </c>
    </row>
    <row r="3880" spans="1:8" x14ac:dyDescent="0.3">
      <c r="A3880" t="s">
        <v>9678</v>
      </c>
      <c r="B3880" t="s">
        <v>26951</v>
      </c>
      <c r="C3880" t="s">
        <v>9830</v>
      </c>
      <c r="D3880" t="s">
        <v>9829</v>
      </c>
      <c r="E3880" s="2" t="s">
        <v>840</v>
      </c>
      <c r="F3880" t="s">
        <v>3349</v>
      </c>
      <c r="G3880" t="str">
        <f>HYPERLINK("https://n.news.naver.com/mnews/article/214/0001425336?sid=100")</f>
        <v>https://n.news.naver.com/mnews/article/214/0001425336?sid=100</v>
      </c>
      <c r="H3880">
        <v>0.22700000000000001</v>
      </c>
    </row>
    <row r="3881" spans="1:8" x14ac:dyDescent="0.3">
      <c r="A3881" t="s">
        <v>9678</v>
      </c>
      <c r="B3881" t="s">
        <v>26951</v>
      </c>
      <c r="C3881" t="s">
        <v>9832</v>
      </c>
      <c r="D3881" t="s">
        <v>9831</v>
      </c>
      <c r="E3881" s="2" t="s">
        <v>840</v>
      </c>
      <c r="F3881" t="s">
        <v>9712</v>
      </c>
      <c r="G3881" t="str">
        <f>HYPERLINK("http://www.pdjournal.com/news/articleView.html?idxno=60613")</f>
        <v>http://www.pdjournal.com/news/articleView.html?idxno=60613</v>
      </c>
      <c r="H3881">
        <v>0.443</v>
      </c>
    </row>
    <row r="3882" spans="1:8" x14ac:dyDescent="0.3">
      <c r="A3882" t="s">
        <v>9678</v>
      </c>
      <c r="B3882" t="s">
        <v>26951</v>
      </c>
      <c r="C3882" t="s">
        <v>9835</v>
      </c>
      <c r="D3882" t="s">
        <v>9834</v>
      </c>
      <c r="E3882" s="2" t="s">
        <v>840</v>
      </c>
      <c r="F3882" t="s">
        <v>9833</v>
      </c>
      <c r="G3882" t="str">
        <f>HYPERLINK("http://www.kyosu.net/news/articleView.html?idxno=138200")</f>
        <v>http://www.kyosu.net/news/articleView.html?idxno=138200</v>
      </c>
      <c r="H3882">
        <v>0.35499999999999998</v>
      </c>
    </row>
    <row r="3883" spans="1:8" x14ac:dyDescent="0.3">
      <c r="A3883" t="s">
        <v>9678</v>
      </c>
      <c r="B3883" t="s">
        <v>26951</v>
      </c>
      <c r="C3883" t="s">
        <v>9838</v>
      </c>
      <c r="D3883" t="s">
        <v>9837</v>
      </c>
      <c r="E3883" s="2" t="s">
        <v>840</v>
      </c>
      <c r="F3883" t="s">
        <v>9836</v>
      </c>
      <c r="G3883" t="str">
        <f>HYPERLINK("https://n.news.naver.com/mnews/article/656/0000134885?sid=100")</f>
        <v>https://n.news.naver.com/mnews/article/656/0000134885?sid=100</v>
      </c>
      <c r="H3883">
        <v>7.0999999999999994E-2</v>
      </c>
    </row>
    <row r="3884" spans="1:8" x14ac:dyDescent="0.3">
      <c r="A3884" t="s">
        <v>9678</v>
      </c>
      <c r="B3884" t="s">
        <v>26951</v>
      </c>
      <c r="C3884" t="s">
        <v>9841</v>
      </c>
      <c r="D3884" t="s">
        <v>9840</v>
      </c>
      <c r="E3884" s="2" t="s">
        <v>840</v>
      </c>
      <c r="F3884" t="s">
        <v>9839</v>
      </c>
      <c r="G3884" t="str">
        <f>HYPERLINK("https://www.banronbodo.com/news/articleView.html?idxno=30445")</f>
        <v>https://www.banronbodo.com/news/articleView.html?idxno=30445</v>
      </c>
      <c r="H3884">
        <v>0.29799999999999999</v>
      </c>
    </row>
    <row r="3885" spans="1:8" x14ac:dyDescent="0.3">
      <c r="A3885" t="s">
        <v>9678</v>
      </c>
      <c r="B3885" t="s">
        <v>26951</v>
      </c>
      <c r="C3885" t="s">
        <v>9843</v>
      </c>
      <c r="D3885" t="s">
        <v>9842</v>
      </c>
      <c r="E3885" s="2" t="s">
        <v>840</v>
      </c>
      <c r="F3885" t="s">
        <v>9172</v>
      </c>
      <c r="G3885" t="str">
        <f>HYPERLINK("https://n.news.naver.com/mnews/article/008/0005202923?sid=154")</f>
        <v>https://n.news.naver.com/mnews/article/008/0005202923?sid=154</v>
      </c>
      <c r="H3885">
        <v>0.249</v>
      </c>
    </row>
    <row r="3886" spans="1:8" x14ac:dyDescent="0.3">
      <c r="A3886" t="s">
        <v>9678</v>
      </c>
      <c r="B3886" t="s">
        <v>26951</v>
      </c>
      <c r="C3886" t="s">
        <v>9844</v>
      </c>
      <c r="D3886" t="s">
        <v>9747</v>
      </c>
      <c r="E3886" s="2" t="s">
        <v>840</v>
      </c>
      <c r="F3886" t="s">
        <v>7550</v>
      </c>
      <c r="G3886" t="str">
        <f>HYPERLINK("https://www.m-economynews.com/news/article.html?no=54784")</f>
        <v>https://www.m-economynews.com/news/article.html?no=54784</v>
      </c>
      <c r="H3886">
        <v>0.39600000000000002</v>
      </c>
    </row>
    <row r="3887" spans="1:8" x14ac:dyDescent="0.3">
      <c r="A3887" t="s">
        <v>9678</v>
      </c>
      <c r="B3887" t="s">
        <v>26951</v>
      </c>
      <c r="C3887" t="s">
        <v>9847</v>
      </c>
      <c r="D3887" t="s">
        <v>9846</v>
      </c>
      <c r="E3887" s="2" t="s">
        <v>840</v>
      </c>
      <c r="F3887" t="s">
        <v>9845</v>
      </c>
      <c r="G3887" t="str">
        <f>HYPERLINK("https://n.news.naver.com/mnews/article/008/0005202963?sid=154")</f>
        <v>https://n.news.naver.com/mnews/article/008/0005202963?sid=154</v>
      </c>
      <c r="H3887">
        <v>0.19400000000000001</v>
      </c>
    </row>
    <row r="3888" spans="1:8" x14ac:dyDescent="0.3">
      <c r="A3888" t="s">
        <v>9678</v>
      </c>
      <c r="B3888" t="s">
        <v>26951</v>
      </c>
      <c r="C3888" t="s">
        <v>9850</v>
      </c>
      <c r="D3888" t="s">
        <v>9849</v>
      </c>
      <c r="E3888" s="2" t="s">
        <v>840</v>
      </c>
      <c r="F3888" t="s">
        <v>9848</v>
      </c>
      <c r="G3888" t="str">
        <f>HYPERLINK("https://news.ifm.kr/news/articleView.html?idxno=444065")</f>
        <v>https://news.ifm.kr/news/articleView.html?idxno=444065</v>
      </c>
      <c r="H3888">
        <v>0.57999999999999996</v>
      </c>
    </row>
    <row r="3889" spans="1:8" x14ac:dyDescent="0.3">
      <c r="A3889" t="s">
        <v>9678</v>
      </c>
      <c r="B3889" t="s">
        <v>26951</v>
      </c>
      <c r="C3889" t="s">
        <v>9852</v>
      </c>
      <c r="D3889" t="s">
        <v>9851</v>
      </c>
      <c r="E3889" s="2" t="s">
        <v>840</v>
      </c>
      <c r="F3889" t="s">
        <v>7962</v>
      </c>
      <c r="G3889" t="str">
        <f>HYPERLINK("https://news.ifm.kr/news/articleView.html?idxno=444065")</f>
        <v>https://news.ifm.kr/news/articleView.html?idxno=444065</v>
      </c>
      <c r="H3889">
        <v>0.35699999999999998</v>
      </c>
    </row>
    <row r="3890" spans="1:8" x14ac:dyDescent="0.3">
      <c r="A3890" t="s">
        <v>9678</v>
      </c>
      <c r="B3890" t="s">
        <v>26951</v>
      </c>
      <c r="C3890" t="s">
        <v>9854</v>
      </c>
      <c r="D3890" t="s">
        <v>9853</v>
      </c>
      <c r="E3890" s="2" t="s">
        <v>840</v>
      </c>
      <c r="F3890" t="s">
        <v>6292</v>
      </c>
      <c r="G3890" t="str">
        <f>HYPERLINK("http://www.gjdream.com/news/articleView.html?idxno=657924")</f>
        <v>http://www.gjdream.com/news/articleView.html?idxno=657924</v>
      </c>
      <c r="H3890">
        <v>0.70499999999999996</v>
      </c>
    </row>
    <row r="3891" spans="1:8" x14ac:dyDescent="0.3">
      <c r="A3891" t="s">
        <v>9678</v>
      </c>
      <c r="B3891" t="s">
        <v>26951</v>
      </c>
      <c r="C3891" t="s">
        <v>9856</v>
      </c>
      <c r="D3891" t="s">
        <v>9855</v>
      </c>
      <c r="E3891" s="2" t="s">
        <v>840</v>
      </c>
      <c r="F3891" t="s">
        <v>3420</v>
      </c>
      <c r="G3891" t="str">
        <f>HYPERLINK("https://www.sisamagazine.co.kr/news/articleView.html?idxno=514980")</f>
        <v>https://www.sisamagazine.co.kr/news/articleView.html?idxno=514980</v>
      </c>
      <c r="H3891">
        <v>0.497</v>
      </c>
    </row>
    <row r="3892" spans="1:8" x14ac:dyDescent="0.3">
      <c r="A3892" t="s">
        <v>9678</v>
      </c>
      <c r="B3892" t="s">
        <v>26951</v>
      </c>
      <c r="C3892" t="s">
        <v>9859</v>
      </c>
      <c r="D3892" t="s">
        <v>9858</v>
      </c>
      <c r="E3892" s="2" t="s">
        <v>840</v>
      </c>
      <c r="F3892" t="s">
        <v>9857</v>
      </c>
      <c r="G3892" t="str">
        <f>HYPERLINK("http://www.sisaon.co.kr/news/articleView.html?idxno=127873")</f>
        <v>http://www.sisaon.co.kr/news/articleView.html?idxno=127873</v>
      </c>
      <c r="H3892">
        <v>0.48899999999999999</v>
      </c>
    </row>
    <row r="3893" spans="1:8" x14ac:dyDescent="0.3">
      <c r="A3893" t="s">
        <v>9678</v>
      </c>
      <c r="B3893" t="s">
        <v>26951</v>
      </c>
      <c r="C3893" t="s">
        <v>9862</v>
      </c>
      <c r="D3893" t="s">
        <v>9861</v>
      </c>
      <c r="E3893" s="2" t="s">
        <v>840</v>
      </c>
      <c r="F3893" t="s">
        <v>9860</v>
      </c>
      <c r="G3893" t="str">
        <f>HYPERLINK("https://daily.hankooki.com/news/articleView.html?idxno=966818")</f>
        <v>https://daily.hankooki.com/news/articleView.html?idxno=966818</v>
      </c>
      <c r="H3893">
        <v>0.109</v>
      </c>
    </row>
    <row r="3894" spans="1:8" x14ac:dyDescent="0.3">
      <c r="A3894" t="s">
        <v>9678</v>
      </c>
      <c r="B3894" t="s">
        <v>26951</v>
      </c>
      <c r="C3894" t="s">
        <v>9869</v>
      </c>
      <c r="D3894" t="s">
        <v>9868</v>
      </c>
      <c r="E3894" s="2" t="s">
        <v>840</v>
      </c>
      <c r="F3894" t="s">
        <v>9867</v>
      </c>
      <c r="G3894" t="str">
        <f>HYPERLINK("https://www.m-economynews.com/news/article.html?no=47937")</f>
        <v>https://www.m-economynews.com/news/article.html?no=47937</v>
      </c>
      <c r="H3894">
        <v>0.61699999999999999</v>
      </c>
    </row>
    <row r="3895" spans="1:8" x14ac:dyDescent="0.3">
      <c r="A3895" t="s">
        <v>9678</v>
      </c>
      <c r="B3895" t="s">
        <v>26951</v>
      </c>
      <c r="C3895" t="s">
        <v>9872</v>
      </c>
      <c r="D3895" t="s">
        <v>9871</v>
      </c>
      <c r="E3895" s="2" t="s">
        <v>840</v>
      </c>
      <c r="F3895" t="s">
        <v>9870</v>
      </c>
      <c r="G3895" t="str">
        <f>HYPERLINK("https://n.news.naver.com/mnews/article/018/0006051714?sid=102")</f>
        <v>https://n.news.naver.com/mnews/article/018/0006051714?sid=102</v>
      </c>
      <c r="H3895">
        <v>0.23</v>
      </c>
    </row>
    <row r="3896" spans="1:8" x14ac:dyDescent="0.3">
      <c r="A3896" t="s">
        <v>9678</v>
      </c>
      <c r="B3896" t="s">
        <v>26951</v>
      </c>
      <c r="C3896" t="s">
        <v>9875</v>
      </c>
      <c r="D3896" t="s">
        <v>9874</v>
      </c>
      <c r="E3896" s="2" t="s">
        <v>840</v>
      </c>
      <c r="F3896" t="s">
        <v>9873</v>
      </c>
      <c r="G3896" t="str">
        <f>HYPERLINK("https://www.sisajournal-e.com/news/articleView.html?idxno=408785")</f>
        <v>https://www.sisajournal-e.com/news/articleView.html?idxno=408785</v>
      </c>
      <c r="H3896">
        <v>0.54600000000000004</v>
      </c>
    </row>
    <row r="3897" spans="1:8" x14ac:dyDescent="0.3">
      <c r="A3897" t="s">
        <v>9678</v>
      </c>
      <c r="B3897" t="s">
        <v>26951</v>
      </c>
      <c r="C3897" t="s">
        <v>9877</v>
      </c>
      <c r="D3897" t="s">
        <v>9876</v>
      </c>
      <c r="E3897" s="2" t="s">
        <v>840</v>
      </c>
      <c r="F3897" t="s">
        <v>9712</v>
      </c>
      <c r="G3897" t="str">
        <f>HYPERLINK("http://www.sisafocus.co.kr/news/articleView.html?idxno=340296")</f>
        <v>http://www.sisafocus.co.kr/news/articleView.html?idxno=340296</v>
      </c>
      <c r="H3897">
        <v>0.6</v>
      </c>
    </row>
    <row r="3898" spans="1:8" x14ac:dyDescent="0.3">
      <c r="A3898" t="s">
        <v>9678</v>
      </c>
      <c r="B3898" t="s">
        <v>26951</v>
      </c>
      <c r="C3898" t="s">
        <v>9881</v>
      </c>
      <c r="D3898" t="s">
        <v>9880</v>
      </c>
      <c r="E3898" s="2" t="s">
        <v>840</v>
      </c>
      <c r="F3898" t="s">
        <v>9879</v>
      </c>
      <c r="G3898" t="str">
        <f>HYPERLINK("http://www.etoday.co.kr/news/section/newsview.php?idxno=1621455")</f>
        <v>http://www.etoday.co.kr/news/section/newsview.php?idxno=1621455</v>
      </c>
      <c r="H3898">
        <v>0.55200000000000005</v>
      </c>
    </row>
    <row r="3899" spans="1:8" x14ac:dyDescent="0.3">
      <c r="A3899" t="s">
        <v>9678</v>
      </c>
      <c r="B3899" t="s">
        <v>26951</v>
      </c>
      <c r="C3899" t="s">
        <v>9884</v>
      </c>
      <c r="D3899" t="s">
        <v>9883</v>
      </c>
      <c r="E3899" s="2" t="s">
        <v>840</v>
      </c>
      <c r="F3899" t="s">
        <v>9882</v>
      </c>
      <c r="G3899" t="str">
        <f>HYPERLINK("https://www.jemin.com/news/articleView.html?idxno=808386")</f>
        <v>https://www.jemin.com/news/articleView.html?idxno=808386</v>
      </c>
      <c r="H3899">
        <v>0.58399999999999996</v>
      </c>
    </row>
    <row r="3900" spans="1:8" x14ac:dyDescent="0.3">
      <c r="A3900" t="s">
        <v>9678</v>
      </c>
      <c r="B3900" t="s">
        <v>26951</v>
      </c>
      <c r="C3900" t="s">
        <v>9887</v>
      </c>
      <c r="D3900" t="s">
        <v>9886</v>
      </c>
      <c r="E3900" s="2" t="s">
        <v>840</v>
      </c>
      <c r="F3900" t="s">
        <v>9885</v>
      </c>
      <c r="G3900" t="str">
        <f>HYPERLINK("http://www.jbsori.com/news/articleView.html?idxno=13510")</f>
        <v>http://www.jbsori.com/news/articleView.html?idxno=13510</v>
      </c>
      <c r="H3900">
        <v>0.74299999999999999</v>
      </c>
    </row>
    <row r="3901" spans="1:8" x14ac:dyDescent="0.3">
      <c r="A3901" t="s">
        <v>9678</v>
      </c>
      <c r="B3901" t="s">
        <v>26951</v>
      </c>
      <c r="C3901" t="s">
        <v>9890</v>
      </c>
      <c r="D3901" t="s">
        <v>9889</v>
      </c>
      <c r="E3901" s="2" t="s">
        <v>840</v>
      </c>
      <c r="F3901" t="s">
        <v>9888</v>
      </c>
      <c r="G3901" t="str">
        <f>HYPERLINK("http://www.pdjournal.com/news/articleView.html?idxno=60616")</f>
        <v>http://www.pdjournal.com/news/articleView.html?idxno=60616</v>
      </c>
      <c r="H3901">
        <v>0.46899999999999997</v>
      </c>
    </row>
    <row r="3902" spans="1:8" x14ac:dyDescent="0.3">
      <c r="A3902" t="s">
        <v>9678</v>
      </c>
      <c r="B3902" t="s">
        <v>26951</v>
      </c>
      <c r="C3902" t="s">
        <v>9893</v>
      </c>
      <c r="D3902" t="s">
        <v>9892</v>
      </c>
      <c r="E3902" s="2" t="s">
        <v>840</v>
      </c>
      <c r="F3902" t="s">
        <v>9891</v>
      </c>
      <c r="G3902" t="str">
        <f>HYPERLINK("https://www.kizmom.com/news/articleView.html?idxno=100779")</f>
        <v>https://www.kizmom.com/news/articleView.html?idxno=100779</v>
      </c>
      <c r="H3902">
        <v>0.61199999999999999</v>
      </c>
    </row>
    <row r="3903" spans="1:8" x14ac:dyDescent="0.3">
      <c r="A3903" t="s">
        <v>9678</v>
      </c>
      <c r="B3903" t="s">
        <v>26951</v>
      </c>
      <c r="C3903" t="s">
        <v>9896</v>
      </c>
      <c r="D3903" t="s">
        <v>9895</v>
      </c>
      <c r="E3903" s="2" t="s">
        <v>840</v>
      </c>
      <c r="F3903" t="s">
        <v>9894</v>
      </c>
      <c r="G3903" t="str">
        <f>HYPERLINK("http://www.the-pr.co.kr/news/articleView.html?idxno=14543")</f>
        <v>http://www.the-pr.co.kr/news/articleView.html?idxno=14543</v>
      </c>
      <c r="H3903">
        <v>0.53</v>
      </c>
    </row>
    <row r="3904" spans="1:8" x14ac:dyDescent="0.3">
      <c r="A3904" t="s">
        <v>9678</v>
      </c>
      <c r="B3904" t="s">
        <v>26951</v>
      </c>
      <c r="C3904" t="s">
        <v>9899</v>
      </c>
      <c r="D3904" t="s">
        <v>9898</v>
      </c>
      <c r="E3904" s="2" t="s">
        <v>840</v>
      </c>
      <c r="F3904" t="s">
        <v>9897</v>
      </c>
      <c r="G3904" t="str">
        <f>HYPERLINK("https://n.news.naver.com/mnews/article/081/0003546180?sid=102")</f>
        <v>https://n.news.naver.com/mnews/article/081/0003546180?sid=102</v>
      </c>
      <c r="H3904">
        <v>0.246</v>
      </c>
    </row>
    <row r="3905" spans="1:8" x14ac:dyDescent="0.3">
      <c r="A3905" t="s">
        <v>9678</v>
      </c>
      <c r="B3905" t="s">
        <v>26951</v>
      </c>
      <c r="C3905" t="s">
        <v>9901</v>
      </c>
      <c r="D3905" t="s">
        <v>9900</v>
      </c>
      <c r="E3905" s="2" t="s">
        <v>840</v>
      </c>
      <c r="F3905" t="s">
        <v>171</v>
      </c>
      <c r="G3905" t="str">
        <f>HYPERLINK("https://www.itbiznews.com/news/articleView.html?idxno=170868")</f>
        <v>https://www.itbiznews.com/news/articleView.html?idxno=170868</v>
      </c>
      <c r="H3905">
        <v>0.76500000000000001</v>
      </c>
    </row>
    <row r="3906" spans="1:8" x14ac:dyDescent="0.3">
      <c r="A3906" t="s">
        <v>9678</v>
      </c>
      <c r="B3906" t="s">
        <v>26951</v>
      </c>
      <c r="C3906" t="s">
        <v>9904</v>
      </c>
      <c r="D3906" t="s">
        <v>9903</v>
      </c>
      <c r="E3906" s="2" t="s">
        <v>840</v>
      </c>
      <c r="F3906" t="s">
        <v>9902</v>
      </c>
      <c r="G3906" t="str">
        <f>HYPERLINK("https://www.jeonmae.co.kr/news/articleView.html?idxno=1004626")</f>
        <v>https://www.jeonmae.co.kr/news/articleView.html?idxno=1004626</v>
      </c>
      <c r="H3906">
        <v>0.36199999999999999</v>
      </c>
    </row>
    <row r="3907" spans="1:8" x14ac:dyDescent="0.3">
      <c r="A3907" t="s">
        <v>9678</v>
      </c>
      <c r="B3907" t="s">
        <v>26951</v>
      </c>
      <c r="C3907" t="s">
        <v>9906</v>
      </c>
      <c r="D3907" t="s">
        <v>9905</v>
      </c>
      <c r="E3907" s="2" t="s">
        <v>840</v>
      </c>
      <c r="F3907" t="s">
        <v>5342</v>
      </c>
      <c r="G3907" t="str">
        <f>HYPERLINK("https://www.jemin.com/news/articleView.html?idxno=810078")</f>
        <v>https://www.jemin.com/news/articleView.html?idxno=810078</v>
      </c>
      <c r="H3907">
        <v>0.61699999999999999</v>
      </c>
    </row>
    <row r="3908" spans="1:8" x14ac:dyDescent="0.3">
      <c r="A3908" t="s">
        <v>9678</v>
      </c>
      <c r="B3908" t="s">
        <v>26951</v>
      </c>
      <c r="C3908" t="s">
        <v>9909</v>
      </c>
      <c r="D3908" t="s">
        <v>9908</v>
      </c>
      <c r="E3908" s="2" t="s">
        <v>840</v>
      </c>
      <c r="F3908" t="s">
        <v>9907</v>
      </c>
      <c r="G3908" t="str">
        <f>HYPERLINK("https://m.entertain.naver.com/article/076/0001959965")</f>
        <v>https://m.entertain.naver.com/article/076/0001959965</v>
      </c>
      <c r="H3908">
        <v>0.26100000000000001</v>
      </c>
    </row>
    <row r="3909" spans="1:8" x14ac:dyDescent="0.3">
      <c r="A3909" t="s">
        <v>9678</v>
      </c>
      <c r="B3909" t="s">
        <v>26951</v>
      </c>
      <c r="C3909" t="s">
        <v>9911</v>
      </c>
      <c r="D3909" t="s">
        <v>9910</v>
      </c>
      <c r="E3909" s="2" t="s">
        <v>840</v>
      </c>
      <c r="F3909" t="s">
        <v>3204</v>
      </c>
      <c r="G3909" t="str">
        <f>HYPERLINK("https://n.news.naver.com/mnews/article/057/0001677974?sid=100")</f>
        <v>https://n.news.naver.com/mnews/article/057/0001677974?sid=100</v>
      </c>
      <c r="H3909">
        <v>0.19</v>
      </c>
    </row>
    <row r="3910" spans="1:8" x14ac:dyDescent="0.3">
      <c r="A3910" t="s">
        <v>9678</v>
      </c>
      <c r="B3910" t="s">
        <v>26951</v>
      </c>
      <c r="C3910" t="s">
        <v>9915</v>
      </c>
      <c r="D3910" t="s">
        <v>9914</v>
      </c>
      <c r="E3910" s="2" t="s">
        <v>840</v>
      </c>
      <c r="F3910" t="s">
        <v>9913</v>
      </c>
      <c r="G3910" t="str">
        <f>HYPERLINK("http://www.dandinews.com/news/articleView.html?idxno=4338")</f>
        <v>http://www.dandinews.com/news/articleView.html?idxno=4338</v>
      </c>
      <c r="H3910">
        <v>0.69499999999999995</v>
      </c>
    </row>
    <row r="3911" spans="1:8" x14ac:dyDescent="0.3">
      <c r="A3911" t="s">
        <v>9678</v>
      </c>
      <c r="B3911" t="s">
        <v>26951</v>
      </c>
      <c r="C3911" t="s">
        <v>9917</v>
      </c>
      <c r="D3911" t="s">
        <v>9916</v>
      </c>
      <c r="E3911" s="2" t="s">
        <v>840</v>
      </c>
      <c r="F3911" t="s">
        <v>2109</v>
      </c>
      <c r="G3911" t="str">
        <f>HYPERLINK("http://kor.theasian.asia/archives/262505")</f>
        <v>http://kor.theasian.asia/archives/262505</v>
      </c>
      <c r="H3911">
        <v>0.67</v>
      </c>
    </row>
    <row r="3912" spans="1:8" x14ac:dyDescent="0.3">
      <c r="A3912" t="s">
        <v>9678</v>
      </c>
      <c r="B3912" t="s">
        <v>26951</v>
      </c>
      <c r="C3912" t="s">
        <v>9919</v>
      </c>
      <c r="D3912" t="s">
        <v>9918</v>
      </c>
      <c r="E3912" s="2" t="s">
        <v>840</v>
      </c>
      <c r="F3912" t="s">
        <v>9730</v>
      </c>
      <c r="G3912" t="str">
        <f>HYPERLINK("https://www.dkilbo.com/news/articleView.html?idxno=498652")</f>
        <v>https://www.dkilbo.com/news/articleView.html?idxno=498652</v>
      </c>
      <c r="H3912">
        <v>0.50900000000000001</v>
      </c>
    </row>
    <row r="3913" spans="1:8" x14ac:dyDescent="0.3">
      <c r="A3913" t="s">
        <v>9678</v>
      </c>
      <c r="B3913" t="s">
        <v>26951</v>
      </c>
      <c r="C3913" t="s">
        <v>9921</v>
      </c>
      <c r="D3913" t="s">
        <v>9920</v>
      </c>
      <c r="E3913" s="2" t="s">
        <v>840</v>
      </c>
      <c r="F3913" t="s">
        <v>3501</v>
      </c>
      <c r="G3913" t="str">
        <f>HYPERLINK("https://www.jemin.com/news/articleView.html?idxno=808560")</f>
        <v>https://www.jemin.com/news/articleView.html?idxno=808560</v>
      </c>
      <c r="H3913">
        <v>0.64800000000000002</v>
      </c>
    </row>
    <row r="3914" spans="1:8" x14ac:dyDescent="0.3">
      <c r="A3914" t="s">
        <v>9678</v>
      </c>
      <c r="B3914" t="s">
        <v>26951</v>
      </c>
      <c r="C3914" t="s">
        <v>9924</v>
      </c>
      <c r="D3914" t="s">
        <v>9923</v>
      </c>
      <c r="E3914" s="2" t="s">
        <v>840</v>
      </c>
      <c r="F3914" t="s">
        <v>2009</v>
      </c>
      <c r="G3914" t="str">
        <f>HYPERLINK("http://www.betanews.net:8080/article/851599.html")</f>
        <v>http://www.betanews.net:8080/article/851599.html</v>
      </c>
      <c r="H3914">
        <v>0.39900000000000002</v>
      </c>
    </row>
    <row r="3915" spans="1:8" x14ac:dyDescent="0.3">
      <c r="A3915" t="s">
        <v>9678</v>
      </c>
      <c r="B3915" t="s">
        <v>26951</v>
      </c>
      <c r="C3915" t="s">
        <v>9926</v>
      </c>
      <c r="D3915" t="s">
        <v>9925</v>
      </c>
      <c r="E3915" s="2" t="s">
        <v>840</v>
      </c>
      <c r="F3915" t="s">
        <v>2594</v>
      </c>
      <c r="G3915" t="str">
        <f>HYPERLINK("https://www.jemin.com/news/articleView.html?idxno=808480")</f>
        <v>https://www.jemin.com/news/articleView.html?idxno=808480</v>
      </c>
      <c r="H3915">
        <v>0.61</v>
      </c>
    </row>
    <row r="3916" spans="1:8" x14ac:dyDescent="0.3">
      <c r="A3916" t="s">
        <v>9678</v>
      </c>
      <c r="B3916" t="s">
        <v>26951</v>
      </c>
      <c r="C3916" t="s">
        <v>9928</v>
      </c>
      <c r="D3916" t="s">
        <v>9927</v>
      </c>
      <c r="E3916" s="2" t="s">
        <v>840</v>
      </c>
      <c r="F3916" t="s">
        <v>171</v>
      </c>
      <c r="G3916" t="str">
        <f>HYPERLINK("https://n.news.naver.com/mnews/article/008/0005202926?sid=154")</f>
        <v>https://n.news.naver.com/mnews/article/008/0005202926?sid=154</v>
      </c>
      <c r="H3916">
        <v>0.16800000000000001</v>
      </c>
    </row>
    <row r="3917" spans="1:8" x14ac:dyDescent="0.3">
      <c r="A3917" t="s">
        <v>9678</v>
      </c>
      <c r="B3917" t="s">
        <v>26951</v>
      </c>
      <c r="C3917" t="s">
        <v>9934</v>
      </c>
      <c r="D3917" t="s">
        <v>9933</v>
      </c>
      <c r="E3917" s="2" t="s">
        <v>840</v>
      </c>
      <c r="F3917" t="s">
        <v>9932</v>
      </c>
      <c r="G3917" t="str">
        <f>HYPERLINK("https://sports.hankooki.com/news/articleView.html?idxno=6899813")</f>
        <v>https://sports.hankooki.com/news/articleView.html?idxno=6899813</v>
      </c>
      <c r="H3917">
        <v>0.58199999999999996</v>
      </c>
    </row>
    <row r="3918" spans="1:8" x14ac:dyDescent="0.3">
      <c r="A3918" t="s">
        <v>9678</v>
      </c>
      <c r="B3918" t="s">
        <v>26951</v>
      </c>
      <c r="C3918" t="s">
        <v>9937</v>
      </c>
      <c r="D3918" t="s">
        <v>9936</v>
      </c>
      <c r="E3918" s="2" t="s">
        <v>840</v>
      </c>
      <c r="F3918" t="s">
        <v>9935</v>
      </c>
      <c r="G3918" t="str">
        <f>HYPERLINK("https://n.news.naver.com/mnews/article/011/0004365498?sid=100")</f>
        <v>https://n.news.naver.com/mnews/article/011/0004365498?sid=100</v>
      </c>
      <c r="H3918">
        <v>0.25600000000000001</v>
      </c>
    </row>
    <row r="3919" spans="1:8" x14ac:dyDescent="0.3">
      <c r="A3919" t="s">
        <v>9678</v>
      </c>
      <c r="B3919" t="s">
        <v>26951</v>
      </c>
      <c r="C3919" t="s">
        <v>9940</v>
      </c>
      <c r="D3919" t="s">
        <v>9939</v>
      </c>
      <c r="E3919" s="2" t="s">
        <v>840</v>
      </c>
      <c r="F3919" t="s">
        <v>9938</v>
      </c>
      <c r="G3919" t="str">
        <f>HYPERLINK("http://www.newsmp.com/news/articleView.html?idxno=243727")</f>
        <v>http://www.newsmp.com/news/articleView.html?idxno=243727</v>
      </c>
      <c r="H3919">
        <v>0.218</v>
      </c>
    </row>
    <row r="3920" spans="1:8" x14ac:dyDescent="0.3">
      <c r="A3920" t="s">
        <v>9678</v>
      </c>
      <c r="B3920" t="s">
        <v>26951</v>
      </c>
      <c r="C3920" t="s">
        <v>9943</v>
      </c>
      <c r="D3920" t="s">
        <v>9942</v>
      </c>
      <c r="E3920" s="2" t="s">
        <v>840</v>
      </c>
      <c r="F3920" t="s">
        <v>9941</v>
      </c>
      <c r="G3920" t="str">
        <f>HYPERLINK("https://www.lecturernews.com/news/articleView.html?idxno=177019")</f>
        <v>https://www.lecturernews.com/news/articleView.html?idxno=177019</v>
      </c>
      <c r="H3920">
        <v>0.49199999999999999</v>
      </c>
    </row>
    <row r="3921" spans="1:8" x14ac:dyDescent="0.3">
      <c r="A3921" t="s">
        <v>9678</v>
      </c>
      <c r="B3921" t="s">
        <v>26951</v>
      </c>
      <c r="C3921" t="s">
        <v>9946</v>
      </c>
      <c r="D3921" t="s">
        <v>9945</v>
      </c>
      <c r="E3921" s="2" t="s">
        <v>840</v>
      </c>
      <c r="F3921" t="s">
        <v>3420</v>
      </c>
      <c r="G3921" t="str">
        <f>HYPERLINK("https://www.mbceg.co.kr/post/126043")</f>
        <v>https://www.mbceg.co.kr/post/126043</v>
      </c>
      <c r="H3921">
        <v>0.23799999999999999</v>
      </c>
    </row>
    <row r="3922" spans="1:8" x14ac:dyDescent="0.3">
      <c r="A3922" t="s">
        <v>9678</v>
      </c>
      <c r="B3922" t="s">
        <v>26951</v>
      </c>
      <c r="C3922" t="s">
        <v>9948</v>
      </c>
      <c r="D3922" t="s">
        <v>9947</v>
      </c>
      <c r="E3922" s="2" t="s">
        <v>840</v>
      </c>
      <c r="F3922" t="s">
        <v>9712</v>
      </c>
      <c r="G3922" t="str">
        <f>HYPERLINK("http://www.bulkyo21.com/news/articleView.html?idxno=61662")</f>
        <v>http://www.bulkyo21.com/news/articleView.html?idxno=61662</v>
      </c>
      <c r="H3922">
        <v>0.63</v>
      </c>
    </row>
    <row r="3923" spans="1:8" x14ac:dyDescent="0.3">
      <c r="A3923" t="s">
        <v>9678</v>
      </c>
      <c r="B3923" t="s">
        <v>26951</v>
      </c>
      <c r="C3923" t="s">
        <v>9950</v>
      </c>
      <c r="D3923" t="s">
        <v>9949</v>
      </c>
      <c r="E3923" s="2" t="s">
        <v>840</v>
      </c>
      <c r="F3923" t="s">
        <v>171</v>
      </c>
      <c r="G3923" t="str">
        <f>HYPERLINK("https://www.jemin.com/news/articleView.html?idxno=808480")</f>
        <v>https://www.jemin.com/news/articleView.html?idxno=808480</v>
      </c>
      <c r="H3923">
        <v>0.66100000000000003</v>
      </c>
    </row>
    <row r="3924" spans="1:8" x14ac:dyDescent="0.3">
      <c r="A3924" t="s">
        <v>9678</v>
      </c>
      <c r="B3924" t="s">
        <v>26951</v>
      </c>
      <c r="C3924" t="s">
        <v>9953</v>
      </c>
      <c r="D3924" t="s">
        <v>9952</v>
      </c>
      <c r="E3924" s="2" t="s">
        <v>840</v>
      </c>
      <c r="F3924" t="s">
        <v>9951</v>
      </c>
      <c r="G3924" t="str">
        <f>HYPERLINK("https://n.news.naver.com/mnews/article/056/0011964115?sid=100")</f>
        <v>https://n.news.naver.com/mnews/article/056/0011964115?sid=100</v>
      </c>
      <c r="H3924">
        <v>0.16400000000000001</v>
      </c>
    </row>
    <row r="3925" spans="1:8" x14ac:dyDescent="0.3">
      <c r="A3925" t="s">
        <v>9678</v>
      </c>
      <c r="B3925" t="s">
        <v>26951</v>
      </c>
      <c r="C3925" t="s">
        <v>9956</v>
      </c>
      <c r="D3925" t="s">
        <v>9955</v>
      </c>
      <c r="E3925" s="2" t="s">
        <v>840</v>
      </c>
      <c r="F3925" t="s">
        <v>9954</v>
      </c>
      <c r="G3925" t="str">
        <f>HYPERLINK("https://www.newsclaim.co.kr/news/articleView.html?idxno=3038605")</f>
        <v>https://www.newsclaim.co.kr/news/articleView.html?idxno=3038605</v>
      </c>
      <c r="H3925">
        <v>0.25800000000000001</v>
      </c>
    </row>
    <row r="3926" spans="1:8" x14ac:dyDescent="0.3">
      <c r="A3926" t="s">
        <v>9678</v>
      </c>
      <c r="B3926" t="s">
        <v>26951</v>
      </c>
      <c r="C3926" t="s">
        <v>9959</v>
      </c>
      <c r="D3926" t="s">
        <v>9958</v>
      </c>
      <c r="E3926" s="2" t="s">
        <v>840</v>
      </c>
      <c r="F3926" t="s">
        <v>9957</v>
      </c>
      <c r="G3926" t="str">
        <f>HYPERLINK("https://n.news.naver.com/mnews/article/008/0005202760?sid=102")</f>
        <v>https://n.news.naver.com/mnews/article/008/0005202760?sid=102</v>
      </c>
      <c r="H3926">
        <v>0.26</v>
      </c>
    </row>
    <row r="3927" spans="1:8" x14ac:dyDescent="0.3">
      <c r="A3927" t="s">
        <v>9678</v>
      </c>
      <c r="B3927" t="s">
        <v>26951</v>
      </c>
      <c r="C3927" t="s">
        <v>9964</v>
      </c>
      <c r="D3927" t="s">
        <v>9963</v>
      </c>
      <c r="E3927" s="2" t="s">
        <v>840</v>
      </c>
      <c r="F3927" t="s">
        <v>8528</v>
      </c>
      <c r="G3927" t="str">
        <f>HYPERLINK("https://n.news.naver.com/mnews/article/469/0000867924?sid=154")</f>
        <v>https://n.news.naver.com/mnews/article/469/0000867924?sid=154</v>
      </c>
      <c r="H3927">
        <v>0.312</v>
      </c>
    </row>
    <row r="3928" spans="1:8" x14ac:dyDescent="0.3">
      <c r="A3928" t="s">
        <v>9678</v>
      </c>
      <c r="B3928" t="s">
        <v>26951</v>
      </c>
      <c r="C3928" t="s">
        <v>9967</v>
      </c>
      <c r="D3928" t="s">
        <v>9966</v>
      </c>
      <c r="E3928" s="2" t="s">
        <v>840</v>
      </c>
      <c r="F3928" t="s">
        <v>9965</v>
      </c>
      <c r="G3928" t="str">
        <f>HYPERLINK("https://n.news.naver.com/mnews/article/011/0004503181?sid=100")</f>
        <v>https://n.news.naver.com/mnews/article/011/0004503181?sid=100</v>
      </c>
      <c r="H3928">
        <v>0.159</v>
      </c>
    </row>
    <row r="3929" spans="1:8" x14ac:dyDescent="0.3">
      <c r="A3929" t="s">
        <v>9678</v>
      </c>
      <c r="B3929" t="s">
        <v>26951</v>
      </c>
      <c r="C3929" t="s">
        <v>9970</v>
      </c>
      <c r="D3929" t="s">
        <v>9969</v>
      </c>
      <c r="E3929" s="2" t="s">
        <v>840</v>
      </c>
      <c r="F3929" t="s">
        <v>9968</v>
      </c>
      <c r="G3929" t="str">
        <f>HYPERLINK("http://www.lecturernews.com/news/articleView.html?idxno=93770")</f>
        <v>http://www.lecturernews.com/news/articleView.html?idxno=93770</v>
      </c>
      <c r="H3929">
        <v>0.41299999999999998</v>
      </c>
    </row>
    <row r="3930" spans="1:8" x14ac:dyDescent="0.3">
      <c r="A3930" t="s">
        <v>9678</v>
      </c>
      <c r="B3930" t="s">
        <v>26951</v>
      </c>
      <c r="C3930" t="s">
        <v>9972</v>
      </c>
      <c r="D3930" t="s">
        <v>9971</v>
      </c>
      <c r="E3930" s="2" t="s">
        <v>840</v>
      </c>
      <c r="F3930" t="s">
        <v>6486</v>
      </c>
      <c r="G3930" t="str">
        <f>HYPERLINK("http://www.joongdo.co.kr/main/view.php?key=20190730001140533")</f>
        <v>http://www.joongdo.co.kr/main/view.php?key=20190730001140533</v>
      </c>
      <c r="H3930">
        <v>0.35</v>
      </c>
    </row>
    <row r="3931" spans="1:8" x14ac:dyDescent="0.3">
      <c r="A3931" t="s">
        <v>9678</v>
      </c>
      <c r="B3931" t="s">
        <v>26951</v>
      </c>
      <c r="C3931" t="s">
        <v>9975</v>
      </c>
      <c r="D3931" t="s">
        <v>9974</v>
      </c>
      <c r="E3931" s="2" t="s">
        <v>840</v>
      </c>
      <c r="F3931" t="s">
        <v>9973</v>
      </c>
      <c r="G3931" t="str">
        <f>HYPERLINK("https://radio.ytn.co.kr/program/?f=2&amp;id=103338&amp;s_mcd=0211&amp;s_hcd=09")</f>
        <v>https://radio.ytn.co.kr/program/?f=2&amp;id=103338&amp;s_mcd=0211&amp;s_hcd=09</v>
      </c>
      <c r="H3931">
        <v>0.505</v>
      </c>
    </row>
    <row r="3932" spans="1:8" x14ac:dyDescent="0.3">
      <c r="A3932" t="s">
        <v>9678</v>
      </c>
      <c r="B3932" t="s">
        <v>26951</v>
      </c>
      <c r="C3932" t="s">
        <v>9977</v>
      </c>
      <c r="D3932" t="s">
        <v>9976</v>
      </c>
      <c r="E3932" s="2" t="s">
        <v>840</v>
      </c>
      <c r="F3932" t="s">
        <v>817</v>
      </c>
      <c r="G3932" t="str">
        <f>HYPERLINK("https://www.allurekorea.com/2021/12/13/%ec%96%b4%eb%96%bb%ea%b2%8c-%ec%a7%80%eb%83%88%ec%96%b4%ec%9a%94-21%eb%aa%85%ec%9d%98-%ec%82%ac%eb%9e%8c%eb%93%a4%ec%9d%98-2021%eb%85%84-%ec%9d%b4%ec%95%bc%ea%b8%b0/?utm_source=naver&amp;utm_medium=partnership")</f>
        <v>https://www.allurekorea.com/2021/12/13/%ec%96%b4%eb%96%bb%ea%b2%8c-%ec%a7%80%eb%83%88%ec%96%b4%ec%9a%94-21%eb%aa%85%ec%9d%98-%ec%82%ac%eb%9e%8c%eb%93%a4%ec%9d%98-2021%eb%85%84-%ec%9d%b4%ec%95%bc%ea%b8%b0/?utm_source=naver&amp;utm_medium=partnership</v>
      </c>
      <c r="H3932">
        <v>0.42599999999999999</v>
      </c>
    </row>
    <row r="3933" spans="1:8" x14ac:dyDescent="0.3">
      <c r="A3933" t="s">
        <v>9678</v>
      </c>
      <c r="B3933" t="s">
        <v>26951</v>
      </c>
      <c r="C3933" t="s">
        <v>9980</v>
      </c>
      <c r="D3933" t="s">
        <v>9979</v>
      </c>
      <c r="E3933" s="2" t="s">
        <v>840</v>
      </c>
      <c r="F3933" t="s">
        <v>9978</v>
      </c>
      <c r="G3933" t="str">
        <f>HYPERLINK("https://www.kgnews.co.kr/news/article.html?no=848119")</f>
        <v>https://www.kgnews.co.kr/news/article.html?no=848119</v>
      </c>
      <c r="H3933">
        <v>0.501</v>
      </c>
    </row>
    <row r="3934" spans="1:8" x14ac:dyDescent="0.3">
      <c r="A3934" t="s">
        <v>9678</v>
      </c>
      <c r="B3934" t="s">
        <v>26951</v>
      </c>
      <c r="C3934" t="s">
        <v>9983</v>
      </c>
      <c r="D3934" t="s">
        <v>9982</v>
      </c>
      <c r="E3934" s="2" t="s">
        <v>840</v>
      </c>
      <c r="F3934" t="s">
        <v>9981</v>
      </c>
      <c r="G3934" t="str">
        <f>HYPERLINK("http://www.munhwanews.com/news/articleView.html?idxno=44797")</f>
        <v>http://www.munhwanews.com/news/articleView.html?idxno=44797</v>
      </c>
      <c r="H3934">
        <v>0.31</v>
      </c>
    </row>
    <row r="3935" spans="1:8" x14ac:dyDescent="0.3">
      <c r="A3935" t="s">
        <v>9678</v>
      </c>
      <c r="B3935" t="s">
        <v>26951</v>
      </c>
      <c r="C3935" t="s">
        <v>9986</v>
      </c>
      <c r="D3935" t="s">
        <v>9985</v>
      </c>
      <c r="E3935" s="2" t="s">
        <v>840</v>
      </c>
      <c r="F3935" t="s">
        <v>9984</v>
      </c>
      <c r="G3935" t="str">
        <f>HYPERLINK("http://www.gjdream.com/news/articleView.html?idxno=657878")</f>
        <v>http://www.gjdream.com/news/articleView.html?idxno=657878</v>
      </c>
      <c r="H3935">
        <v>0.19900000000000001</v>
      </c>
    </row>
    <row r="3936" spans="1:8" x14ac:dyDescent="0.3">
      <c r="A3936" t="s">
        <v>9678</v>
      </c>
      <c r="B3936" t="s">
        <v>26951</v>
      </c>
      <c r="C3936" t="s">
        <v>9989</v>
      </c>
      <c r="D3936" t="s">
        <v>9988</v>
      </c>
      <c r="E3936" s="2" t="s">
        <v>840</v>
      </c>
      <c r="F3936" t="s">
        <v>9987</v>
      </c>
      <c r="G3936" t="str">
        <f>HYPERLINK("https://www.ltn.kr/news/articleView.html?idxno=48716")</f>
        <v>https://www.ltn.kr/news/articleView.html?idxno=48716</v>
      </c>
      <c r="H3936">
        <v>0.63300000000000001</v>
      </c>
    </row>
    <row r="3937" spans="1:8" x14ac:dyDescent="0.3">
      <c r="A3937" t="s">
        <v>9678</v>
      </c>
      <c r="B3937" t="s">
        <v>26951</v>
      </c>
      <c r="C3937" t="s">
        <v>9993</v>
      </c>
      <c r="D3937" t="s">
        <v>9992</v>
      </c>
      <c r="E3937" s="2" t="s">
        <v>840</v>
      </c>
      <c r="F3937" t="s">
        <v>9991</v>
      </c>
      <c r="G3937" t="str">
        <f>HYPERLINK("https://n.news.naver.com/mnews/article/081/0003554041?sid=102")</f>
        <v>https://n.news.naver.com/mnews/article/081/0003554041?sid=102</v>
      </c>
      <c r="H3937">
        <v>0.36699999999999999</v>
      </c>
    </row>
    <row r="3938" spans="1:8" x14ac:dyDescent="0.3">
      <c r="A3938" t="s">
        <v>9678</v>
      </c>
      <c r="B3938" t="s">
        <v>26951</v>
      </c>
      <c r="C3938" t="s">
        <v>9997</v>
      </c>
      <c r="D3938" t="s">
        <v>9996</v>
      </c>
      <c r="E3938" s="2" t="s">
        <v>840</v>
      </c>
      <c r="F3938" t="s">
        <v>9995</v>
      </c>
      <c r="G3938" t="str">
        <f>HYPERLINK("https://n.news.naver.com/mnews/article/008/0005202760?sid=102")</f>
        <v>https://n.news.naver.com/mnews/article/008/0005202760?sid=102</v>
      </c>
      <c r="H3938">
        <v>0.29599999999999999</v>
      </c>
    </row>
    <row r="3939" spans="1:8" x14ac:dyDescent="0.3">
      <c r="A3939" t="s">
        <v>9678</v>
      </c>
      <c r="B3939" t="s">
        <v>26951</v>
      </c>
      <c r="C3939" t="s">
        <v>9999</v>
      </c>
      <c r="D3939" t="s">
        <v>9998</v>
      </c>
      <c r="E3939" s="2" t="s">
        <v>840</v>
      </c>
      <c r="F3939" t="s">
        <v>3181</v>
      </c>
      <c r="G3939" t="str">
        <f>HYPERLINK("https://n.news.naver.com/mnews/article/214/0001433558?sid=100")</f>
        <v>https://n.news.naver.com/mnews/article/214/0001433558?sid=100</v>
      </c>
      <c r="H3939">
        <v>0.17299999999999999</v>
      </c>
    </row>
    <row r="3940" spans="1:8" x14ac:dyDescent="0.3">
      <c r="A3940" t="s">
        <v>9678</v>
      </c>
      <c r="B3940" t="s">
        <v>26951</v>
      </c>
      <c r="C3940" t="s">
        <v>10002</v>
      </c>
      <c r="D3940" t="s">
        <v>10001</v>
      </c>
      <c r="E3940" s="2" t="s">
        <v>840</v>
      </c>
      <c r="F3940" t="s">
        <v>10000</v>
      </c>
      <c r="G3940" t="str">
        <f>HYPERLINK("https://n.news.naver.com/mnews/article/079/0004012524?sid=100")</f>
        <v>https://n.news.naver.com/mnews/article/079/0004012524?sid=100</v>
      </c>
      <c r="H3940">
        <v>0.22</v>
      </c>
    </row>
    <row r="3941" spans="1:8" x14ac:dyDescent="0.3">
      <c r="A3941" t="s">
        <v>9678</v>
      </c>
      <c r="B3941" t="s">
        <v>26951</v>
      </c>
      <c r="C3941" t="s">
        <v>10004</v>
      </c>
      <c r="D3941" t="s">
        <v>10003</v>
      </c>
      <c r="E3941" s="2" t="s">
        <v>840</v>
      </c>
      <c r="F3941" t="s">
        <v>2517</v>
      </c>
      <c r="G3941" t="str">
        <f>HYPERLINK("https://www.dkilbo.com/news/articleView.html?idxno=502942")</f>
        <v>https://www.dkilbo.com/news/articleView.html?idxno=502942</v>
      </c>
      <c r="H3941">
        <v>0.3</v>
      </c>
    </row>
    <row r="3942" spans="1:8" x14ac:dyDescent="0.3">
      <c r="A3942" t="s">
        <v>9678</v>
      </c>
      <c r="B3942" t="s">
        <v>26951</v>
      </c>
      <c r="C3942" t="s">
        <v>10006</v>
      </c>
      <c r="D3942" t="s">
        <v>10005</v>
      </c>
      <c r="E3942" s="2" t="s">
        <v>840</v>
      </c>
      <c r="F3942" t="s">
        <v>119</v>
      </c>
      <c r="G3942" t="str">
        <f>HYPERLINK("https://www.lecturernews.com/news/articleView.html?idxno=179883")</f>
        <v>https://www.lecturernews.com/news/articleView.html?idxno=179883</v>
      </c>
      <c r="H3942">
        <v>0.54700000000000004</v>
      </c>
    </row>
    <row r="3943" spans="1:8" x14ac:dyDescent="0.3">
      <c r="A3943" t="s">
        <v>9678</v>
      </c>
      <c r="B3943" t="s">
        <v>26951</v>
      </c>
      <c r="C3943" t="s">
        <v>10009</v>
      </c>
      <c r="D3943" t="s">
        <v>10008</v>
      </c>
      <c r="E3943" s="2" t="s">
        <v>840</v>
      </c>
      <c r="F3943" t="s">
        <v>10007</v>
      </c>
      <c r="G3943" t="str">
        <f>HYPERLINK("https://n.news.naver.com/mnews/article/006/0000126192?sid=100")</f>
        <v>https://n.news.naver.com/mnews/article/006/0000126192?sid=100</v>
      </c>
      <c r="H3943">
        <v>4.9000000000000002E-2</v>
      </c>
    </row>
    <row r="3944" spans="1:8" x14ac:dyDescent="0.3">
      <c r="A3944" t="s">
        <v>9678</v>
      </c>
      <c r="B3944" t="s">
        <v>26951</v>
      </c>
      <c r="C3944" t="s">
        <v>10012</v>
      </c>
      <c r="D3944" t="s">
        <v>10011</v>
      </c>
      <c r="E3944" s="2" t="s">
        <v>840</v>
      </c>
      <c r="F3944" t="s">
        <v>10010</v>
      </c>
      <c r="G3944" t="str">
        <f>HYPERLINK("http://www.munhwanews.com/news/articleView.html?idxno=40940")</f>
        <v>http://www.munhwanews.com/news/articleView.html?idxno=40940</v>
      </c>
      <c r="H3944">
        <v>0.56000000000000005</v>
      </c>
    </row>
    <row r="3945" spans="1:8" x14ac:dyDescent="0.3">
      <c r="A3945" t="s">
        <v>9678</v>
      </c>
      <c r="B3945" t="s">
        <v>26951</v>
      </c>
      <c r="C3945" t="s">
        <v>10016</v>
      </c>
      <c r="D3945" t="s">
        <v>10015</v>
      </c>
      <c r="E3945" s="2" t="s">
        <v>840</v>
      </c>
      <c r="F3945" t="s">
        <v>10014</v>
      </c>
      <c r="G3945" t="str">
        <f>HYPERLINK("https://www.usmbc.co.kr/article/O6uoxiT1FGjje40")</f>
        <v>https://www.usmbc.co.kr/article/O6uoxiT1FGjje40</v>
      </c>
      <c r="H3945">
        <v>0.23</v>
      </c>
    </row>
    <row r="3946" spans="1:8" x14ac:dyDescent="0.3">
      <c r="A3946" t="s">
        <v>9678</v>
      </c>
      <c r="B3946" t="s">
        <v>26951</v>
      </c>
      <c r="C3946" t="s">
        <v>10018</v>
      </c>
      <c r="D3946" t="s">
        <v>10017</v>
      </c>
      <c r="E3946" s="2" t="s">
        <v>840</v>
      </c>
      <c r="F3946" t="s">
        <v>2517</v>
      </c>
      <c r="G3946" t="str">
        <f>HYPERLINK("http://www.marketnews.co.kr/news/articleView.html?idxno=72218")</f>
        <v>http://www.marketnews.co.kr/news/articleView.html?idxno=72218</v>
      </c>
      <c r="H3946">
        <v>0.25900000000000001</v>
      </c>
    </row>
    <row r="3947" spans="1:8" x14ac:dyDescent="0.3">
      <c r="A3947" t="s">
        <v>9678</v>
      </c>
      <c r="B3947" t="s">
        <v>26951</v>
      </c>
      <c r="C3947" t="s">
        <v>10020</v>
      </c>
      <c r="D3947" t="s">
        <v>10019</v>
      </c>
      <c r="E3947" s="2" t="s">
        <v>840</v>
      </c>
      <c r="F3947" t="s">
        <v>2517</v>
      </c>
      <c r="G3947" t="str">
        <f>HYPERLINK("http://www.knnews.co.kr/news/articleView.php?idxno=1450433")</f>
        <v>http://www.knnews.co.kr/news/articleView.php?idxno=1450433</v>
      </c>
      <c r="H3947">
        <v>0.17699999999999999</v>
      </c>
    </row>
    <row r="3948" spans="1:8" x14ac:dyDescent="0.3">
      <c r="A3948" t="s">
        <v>9678</v>
      </c>
      <c r="B3948" t="s">
        <v>26951</v>
      </c>
      <c r="C3948" t="s">
        <v>10023</v>
      </c>
      <c r="D3948" t="s">
        <v>10022</v>
      </c>
      <c r="E3948" s="2" t="s">
        <v>840</v>
      </c>
      <c r="F3948" t="s">
        <v>10021</v>
      </c>
      <c r="G3948" t="str">
        <f>HYPERLINK("https://www.jemin.com/news/articleView.html?idxno=793151")</f>
        <v>https://www.jemin.com/news/articleView.html?idxno=793151</v>
      </c>
      <c r="H3948">
        <v>0.36399999999999999</v>
      </c>
    </row>
    <row r="3949" spans="1:8" x14ac:dyDescent="0.3">
      <c r="A3949" t="s">
        <v>9678</v>
      </c>
      <c r="B3949" t="s">
        <v>26951</v>
      </c>
      <c r="C3949" t="s">
        <v>10025</v>
      </c>
      <c r="D3949" t="s">
        <v>10024</v>
      </c>
      <c r="E3949" s="2" t="s">
        <v>840</v>
      </c>
      <c r="F3949" t="s">
        <v>8619</v>
      </c>
      <c r="G3949" t="str">
        <f>HYPERLINK("https://www.bbc.com/korean/articles/c5ye52vdyvyo?xtor=AL-73-%5Bpartner%5D-%5Bnaver%5D-%5Bheadline%5D-%5Bkorean%5D-%5Bbizdev%5D-%5Bisapi%5D")</f>
        <v>https://www.bbc.com/korean/articles/c5ye52vdyvyo?xtor=AL-73-%5Bpartner%5D-%5Bnaver%5D-%5Bheadline%5D-%5Bkorean%5D-%5Bbizdev%5D-%5Bisapi%5D</v>
      </c>
      <c r="H3949">
        <v>0.248</v>
      </c>
    </row>
    <row r="3950" spans="1:8" x14ac:dyDescent="0.3">
      <c r="A3950" t="s">
        <v>9678</v>
      </c>
      <c r="B3950" t="s">
        <v>26951</v>
      </c>
      <c r="C3950" t="s">
        <v>10028</v>
      </c>
      <c r="D3950" t="s">
        <v>10027</v>
      </c>
      <c r="E3950" s="2" t="s">
        <v>840</v>
      </c>
      <c r="F3950" t="s">
        <v>10026</v>
      </c>
      <c r="G3950" t="str">
        <f>HYPERLINK("https://n.news.naver.com/mnews/article/022/0004040382?sid=154")</f>
        <v>https://n.news.naver.com/mnews/article/022/0004040382?sid=154</v>
      </c>
      <c r="H3950">
        <v>0.11600000000000001</v>
      </c>
    </row>
    <row r="3951" spans="1:8" x14ac:dyDescent="0.3">
      <c r="A3951" t="s">
        <v>9678</v>
      </c>
      <c r="B3951" t="s">
        <v>26951</v>
      </c>
      <c r="C3951" t="s">
        <v>10031</v>
      </c>
      <c r="D3951" t="s">
        <v>10030</v>
      </c>
      <c r="E3951" s="2" t="s">
        <v>840</v>
      </c>
      <c r="F3951" t="s">
        <v>4733</v>
      </c>
      <c r="G3951" t="str">
        <f>HYPERLINK("https://n.news.naver.com/mnews/article/214/0001360137?sid=100")</f>
        <v>https://n.news.naver.com/mnews/article/214/0001360137?sid=100</v>
      </c>
      <c r="H3951">
        <v>0.316</v>
      </c>
    </row>
    <row r="3952" spans="1:8" x14ac:dyDescent="0.3">
      <c r="A3952" t="s">
        <v>9678</v>
      </c>
      <c r="B3952" t="s">
        <v>26951</v>
      </c>
      <c r="C3952" t="s">
        <v>10034</v>
      </c>
      <c r="D3952" t="s">
        <v>10033</v>
      </c>
      <c r="E3952" s="2" t="s">
        <v>840</v>
      </c>
      <c r="F3952" t="s">
        <v>10032</v>
      </c>
      <c r="G3952" t="str">
        <f>HYPERLINK("http://www.gndomin.com/news/articleView.html?idxno=163286")</f>
        <v>http://www.gndomin.com/news/articleView.html?idxno=163286</v>
      </c>
      <c r="H3952">
        <v>0.28699999999999998</v>
      </c>
    </row>
    <row r="3953" spans="1:8" x14ac:dyDescent="0.3">
      <c r="A3953" t="s">
        <v>9678</v>
      </c>
      <c r="B3953" t="s">
        <v>26951</v>
      </c>
      <c r="C3953" t="s">
        <v>4360</v>
      </c>
      <c r="D3953" t="s">
        <v>4359</v>
      </c>
      <c r="E3953" s="2" t="s">
        <v>840</v>
      </c>
      <c r="F3953" t="s">
        <v>898</v>
      </c>
      <c r="G3953" t="str">
        <f>HYPERLINK("https://www.danbinews.com/news/articleView.html?idxno=30758")</f>
        <v>https://www.danbinews.com/news/articleView.html?idxno=30758</v>
      </c>
      <c r="H3953">
        <v>0.55800000000000005</v>
      </c>
    </row>
    <row r="3954" spans="1:8" x14ac:dyDescent="0.3">
      <c r="A3954" t="s">
        <v>9678</v>
      </c>
      <c r="B3954" t="s">
        <v>26951</v>
      </c>
      <c r="C3954" t="s">
        <v>10036</v>
      </c>
      <c r="D3954" t="s">
        <v>10035</v>
      </c>
      <c r="E3954" s="2" t="s">
        <v>840</v>
      </c>
      <c r="F3954" t="s">
        <v>453</v>
      </c>
      <c r="G3954" t="str">
        <f>HYPERLINK("https://www.newspim.com/news/view/20250625000754")</f>
        <v>https://www.newspim.com/news/view/20250625000754</v>
      </c>
      <c r="H3954">
        <v>0.22700000000000001</v>
      </c>
    </row>
    <row r="3955" spans="1:8" x14ac:dyDescent="0.3">
      <c r="A3955" t="s">
        <v>9678</v>
      </c>
      <c r="B3955" t="s">
        <v>26951</v>
      </c>
      <c r="C3955" t="s">
        <v>10040</v>
      </c>
      <c r="D3955" t="s">
        <v>10039</v>
      </c>
      <c r="E3955" s="2" t="s">
        <v>840</v>
      </c>
      <c r="F3955" t="s">
        <v>10038</v>
      </c>
      <c r="G3955" t="str">
        <f>HYPERLINK("https://n.news.naver.com/mnews/article/469/0000873584?sid=100")</f>
        <v>https://n.news.naver.com/mnews/article/469/0000873584?sid=100</v>
      </c>
      <c r="H3955">
        <v>7.5999999999999998E-2</v>
      </c>
    </row>
    <row r="3956" spans="1:8" x14ac:dyDescent="0.3">
      <c r="A3956" t="s">
        <v>9678</v>
      </c>
      <c r="B3956" t="s">
        <v>26951</v>
      </c>
      <c r="C3956" t="s">
        <v>10043</v>
      </c>
      <c r="D3956" t="s">
        <v>10042</v>
      </c>
      <c r="E3956" s="2" t="s">
        <v>840</v>
      </c>
      <c r="F3956" t="s">
        <v>8074</v>
      </c>
      <c r="G3956" t="str">
        <f>HYPERLINK("https://n.news.naver.com/mnews/article/028/0002749816?sid=100")</f>
        <v>https://n.news.naver.com/mnews/article/028/0002749816?sid=100</v>
      </c>
      <c r="H3956">
        <v>0.318</v>
      </c>
    </row>
    <row r="3957" spans="1:8" x14ac:dyDescent="0.3">
      <c r="A3957" t="s">
        <v>9678</v>
      </c>
      <c r="B3957" t="s">
        <v>26951</v>
      </c>
      <c r="C3957" t="s">
        <v>10046</v>
      </c>
      <c r="D3957" t="s">
        <v>10045</v>
      </c>
      <c r="E3957" s="2" t="s">
        <v>840</v>
      </c>
      <c r="F3957" t="s">
        <v>10044</v>
      </c>
      <c r="G3957" t="str">
        <f>HYPERLINK("https://n.news.naver.com/mnews/article/028/0002752682?sid=104")</f>
        <v>https://n.news.naver.com/mnews/article/028/0002752682?sid=104</v>
      </c>
      <c r="H3957">
        <v>0.14299999999999999</v>
      </c>
    </row>
    <row r="3958" spans="1:8" x14ac:dyDescent="0.3">
      <c r="A3958" t="s">
        <v>9678</v>
      </c>
      <c r="B3958" t="s">
        <v>26951</v>
      </c>
      <c r="C3958" t="s">
        <v>10048</v>
      </c>
      <c r="D3958" t="s">
        <v>10047</v>
      </c>
      <c r="E3958" s="2" t="s">
        <v>840</v>
      </c>
      <c r="F3958" t="s">
        <v>171</v>
      </c>
      <c r="G3958" t="str">
        <f>HYPERLINK("https://www.jemin.com/news/articleView.html?idxno=808386")</f>
        <v>https://www.jemin.com/news/articleView.html?idxno=808386</v>
      </c>
      <c r="H3958">
        <v>0.57799999999999996</v>
      </c>
    </row>
    <row r="3959" spans="1:8" x14ac:dyDescent="0.3">
      <c r="A3959" t="s">
        <v>9678</v>
      </c>
      <c r="B3959" t="s">
        <v>26951</v>
      </c>
      <c r="C3959" t="s">
        <v>10050</v>
      </c>
      <c r="D3959" t="s">
        <v>10049</v>
      </c>
      <c r="E3959" s="2" t="s">
        <v>840</v>
      </c>
      <c r="F3959" t="s">
        <v>7962</v>
      </c>
      <c r="G3959" t="str">
        <f>HYPERLINK("http://www.worldkorean.net/news/articleView.html?idxno=52905")</f>
        <v>http://www.worldkorean.net/news/articleView.html?idxno=52905</v>
      </c>
      <c r="H3959">
        <v>0.218</v>
      </c>
    </row>
    <row r="3960" spans="1:8" x14ac:dyDescent="0.3">
      <c r="A3960" t="s">
        <v>9678</v>
      </c>
      <c r="B3960" t="s">
        <v>26951</v>
      </c>
      <c r="C3960" t="s">
        <v>10053</v>
      </c>
      <c r="D3960" t="s">
        <v>10052</v>
      </c>
      <c r="E3960" s="2" t="s">
        <v>840</v>
      </c>
      <c r="F3960" t="s">
        <v>10051</v>
      </c>
      <c r="G3960" t="str">
        <f>HYPERLINK("https://n.news.naver.com/mnews/article/028/0002753752?sid=103")</f>
        <v>https://n.news.naver.com/mnews/article/028/0002753752?sid=103</v>
      </c>
      <c r="H3960">
        <v>0.33400000000000002</v>
      </c>
    </row>
    <row r="3961" spans="1:8" x14ac:dyDescent="0.3">
      <c r="A3961" t="s">
        <v>9678</v>
      </c>
      <c r="B3961" t="s">
        <v>26951</v>
      </c>
      <c r="C3961" t="s">
        <v>10055</v>
      </c>
      <c r="D3961" t="s">
        <v>10054</v>
      </c>
      <c r="E3961" s="2" t="s">
        <v>840</v>
      </c>
      <c r="F3961" t="s">
        <v>9912</v>
      </c>
      <c r="G3961" t="str">
        <f>HYPERLINK("http://www.nspna.com/news/?mode=view&amp;newsid=51587")</f>
        <v>http://www.nspna.com/news/?mode=view&amp;newsid=51587</v>
      </c>
      <c r="H3961">
        <v>0.23300000000000001</v>
      </c>
    </row>
    <row r="3962" spans="1:8" x14ac:dyDescent="0.3">
      <c r="A3962" t="s">
        <v>9678</v>
      </c>
      <c r="B3962" t="s">
        <v>26951</v>
      </c>
      <c r="C3962" t="s">
        <v>10057</v>
      </c>
      <c r="D3962" t="s">
        <v>10056</v>
      </c>
      <c r="E3962" s="2" t="s">
        <v>840</v>
      </c>
      <c r="F3962" t="s">
        <v>3420</v>
      </c>
      <c r="G3962" t="str">
        <f>HYPERLINK("https://n.news.naver.com/mnews/article/214/0001420107?sid=100")</f>
        <v>https://n.news.naver.com/mnews/article/214/0001420107?sid=100</v>
      </c>
      <c r="H3962">
        <v>0.45400000000000001</v>
      </c>
    </row>
    <row r="3963" spans="1:8" x14ac:dyDescent="0.3">
      <c r="A3963" t="s">
        <v>9678</v>
      </c>
      <c r="B3963" t="s">
        <v>26951</v>
      </c>
      <c r="C3963" t="s">
        <v>10061</v>
      </c>
      <c r="D3963" t="s">
        <v>10060</v>
      </c>
      <c r="E3963" s="2" t="s">
        <v>840</v>
      </c>
      <c r="F3963" t="s">
        <v>10059</v>
      </c>
      <c r="G3963" t="str">
        <f>HYPERLINK("https://kjmbc.co.kr/article/31J8GJDA64riYWYoKmQ")</f>
        <v>https://kjmbc.co.kr/article/31J8GJDA64riYWYoKmQ</v>
      </c>
      <c r="H3963">
        <v>0.38800000000000001</v>
      </c>
    </row>
    <row r="3964" spans="1:8" x14ac:dyDescent="0.3">
      <c r="A3964" t="s">
        <v>9678</v>
      </c>
      <c r="B3964" t="s">
        <v>26951</v>
      </c>
      <c r="C3964" t="s">
        <v>10063</v>
      </c>
      <c r="D3964" t="s">
        <v>10062</v>
      </c>
      <c r="E3964" s="2" t="s">
        <v>860</v>
      </c>
      <c r="F3964" t="s">
        <v>9794</v>
      </c>
      <c r="G3964" t="str">
        <f>HYPERLINK("http://www.segyebiz.com/newsView/20250603513219?OutUrl=naver")</f>
        <v>http://www.segyebiz.com/newsView/20250603513219?OutUrl=naver</v>
      </c>
      <c r="H3964">
        <v>0.34200000000000003</v>
      </c>
    </row>
    <row r="3965" spans="1:8" x14ac:dyDescent="0.3">
      <c r="A3965" t="s">
        <v>9678</v>
      </c>
      <c r="B3965" t="s">
        <v>26951</v>
      </c>
      <c r="C3965" t="s">
        <v>10066</v>
      </c>
      <c r="D3965" t="s">
        <v>10065</v>
      </c>
      <c r="E3965" s="2" t="s">
        <v>860</v>
      </c>
      <c r="F3965" t="s">
        <v>10064</v>
      </c>
      <c r="G3965" t="str">
        <f>HYPERLINK("https://news.bbsi.co.kr/news/articleView.html?idxno=3167139")</f>
        <v>https://news.bbsi.co.kr/news/articleView.html?idxno=3167139</v>
      </c>
      <c r="H3965">
        <v>0.60599999999999998</v>
      </c>
    </row>
    <row r="3966" spans="1:8" x14ac:dyDescent="0.3">
      <c r="A3966" t="s">
        <v>9678</v>
      </c>
      <c r="B3966" t="s">
        <v>26951</v>
      </c>
      <c r="C3966" t="s">
        <v>10068</v>
      </c>
      <c r="D3966" t="s">
        <v>10067</v>
      </c>
      <c r="E3966" s="2" t="s">
        <v>860</v>
      </c>
      <c r="F3966" t="s">
        <v>3204</v>
      </c>
      <c r="G3966" t="str">
        <f>HYPERLINK("http://www.pdjournal.com/news/articleView.html?idxno=61033")</f>
        <v>http://www.pdjournal.com/news/articleView.html?idxno=61033</v>
      </c>
      <c r="H3966">
        <v>0.19800000000000001</v>
      </c>
    </row>
    <row r="3967" spans="1:8" x14ac:dyDescent="0.3">
      <c r="A3967" t="s">
        <v>9678</v>
      </c>
      <c r="B3967" t="s">
        <v>26951</v>
      </c>
      <c r="C3967" t="s">
        <v>10071</v>
      </c>
      <c r="D3967" t="s">
        <v>10070</v>
      </c>
      <c r="E3967" s="2" t="s">
        <v>860</v>
      </c>
      <c r="F3967" t="s">
        <v>10069</v>
      </c>
      <c r="G3967" t="str">
        <f>HYPERLINK("https://n.news.naver.com/mnews/article/028/0002753752?sid=103")</f>
        <v>https://n.news.naver.com/mnews/article/028/0002753752?sid=103</v>
      </c>
      <c r="H3967">
        <v>0.28199999999999997</v>
      </c>
    </row>
    <row r="3968" spans="1:8" x14ac:dyDescent="0.3">
      <c r="A3968" t="s">
        <v>9678</v>
      </c>
      <c r="B3968" t="s">
        <v>26951</v>
      </c>
      <c r="C3968" t="s">
        <v>10073</v>
      </c>
      <c r="D3968" t="s">
        <v>10072</v>
      </c>
      <c r="E3968" s="2" t="s">
        <v>860</v>
      </c>
      <c r="F3968" t="s">
        <v>9990</v>
      </c>
      <c r="G3968" t="str">
        <f>HYPERLINK("https://www.vogue.co.kr/2024/10/23/%ec%9d%b4%ed%86%a0%eb%a1%9d-%ec%b9%9c%eb%b0%80%ed%95%9c-%eb%b0%b0%ec%8b%a0%ec%9e%90-%ec%9d%b4%ed%86%a0%eb%a1%9d-%ec%b9%98%eb%b0%80%ed%95%9c-%ec%8a%a4%eb%a6%b4%eb%9f%ac/?utm_source=naver&amp;utm_medium=partnership")</f>
        <v>https://www.vogue.co.kr/2024/10/23/%ec%9d%b4%ed%86%a0%eb%a1%9d-%ec%b9%9c%eb%b0%80%ed%95%9c-%eb%b0%b0%ec%8b%a0%ec%9e%90-%ec%9d%b4%ed%86%a0%eb%a1%9d-%ec%b9%98%eb%b0%80%ed%95%9c-%ec%8a%a4%eb%a6%b4%eb%9f%ac/?utm_source=naver&amp;utm_medium=partnership</v>
      </c>
      <c r="H3968">
        <v>0.28000000000000003</v>
      </c>
    </row>
    <row r="3969" spans="1:8" x14ac:dyDescent="0.3">
      <c r="A3969" t="s">
        <v>9678</v>
      </c>
      <c r="B3969" t="s">
        <v>26951</v>
      </c>
      <c r="C3969" t="s">
        <v>10075</v>
      </c>
      <c r="D3969" t="s">
        <v>10074</v>
      </c>
      <c r="E3969" s="2" t="s">
        <v>860</v>
      </c>
      <c r="F3969" t="s">
        <v>6930</v>
      </c>
      <c r="G3969" t="str">
        <f>HYPERLINK("https://www.greened.kr/news/articleView.html?idxno=327973")</f>
        <v>https://www.greened.kr/news/articleView.html?idxno=327973</v>
      </c>
      <c r="H3969">
        <v>0.52800000000000002</v>
      </c>
    </row>
    <row r="3970" spans="1:8" x14ac:dyDescent="0.3">
      <c r="A3970" t="s">
        <v>9678</v>
      </c>
      <c r="B3970" t="s">
        <v>26951</v>
      </c>
      <c r="C3970" t="s">
        <v>10078</v>
      </c>
      <c r="D3970" t="s">
        <v>10077</v>
      </c>
      <c r="E3970" s="2" t="s">
        <v>860</v>
      </c>
      <c r="F3970" t="s">
        <v>10076</v>
      </c>
      <c r="G3970" t="str">
        <f>HYPERLINK("http://www.lecturernews.com/news/articleView.html?idxno=97425")</f>
        <v>http://www.lecturernews.com/news/articleView.html?idxno=97425</v>
      </c>
      <c r="H3970">
        <v>0.26500000000000001</v>
      </c>
    </row>
    <row r="3971" spans="1:8" x14ac:dyDescent="0.3">
      <c r="A3971" t="s">
        <v>9678</v>
      </c>
      <c r="B3971" t="s">
        <v>26951</v>
      </c>
      <c r="C3971" t="s">
        <v>10080</v>
      </c>
      <c r="D3971" t="s">
        <v>10079</v>
      </c>
      <c r="E3971" s="2" t="s">
        <v>860</v>
      </c>
      <c r="F3971" t="s">
        <v>9990</v>
      </c>
      <c r="G3971" t="str">
        <f>HYPERLINK("https://sports.hankooki.com/news/articleView.html?idxno=6883204")</f>
        <v>https://sports.hankooki.com/news/articleView.html?idxno=6883204</v>
      </c>
      <c r="H3971">
        <v>0.38700000000000001</v>
      </c>
    </row>
    <row r="3972" spans="1:8" x14ac:dyDescent="0.3">
      <c r="A3972" t="s">
        <v>9678</v>
      </c>
      <c r="B3972" t="s">
        <v>26951</v>
      </c>
      <c r="C3972" t="s">
        <v>10083</v>
      </c>
      <c r="D3972" t="s">
        <v>10082</v>
      </c>
      <c r="E3972" s="2" t="s">
        <v>860</v>
      </c>
      <c r="F3972" t="s">
        <v>10081</v>
      </c>
      <c r="G3972" t="str">
        <f>HYPERLINK("https://www.jemin.com/news/articleView.html?idxno=808641")</f>
        <v>https://www.jemin.com/news/articleView.html?idxno=808641</v>
      </c>
      <c r="H3972">
        <v>0.48799999999999999</v>
      </c>
    </row>
    <row r="3973" spans="1:8" x14ac:dyDescent="0.3">
      <c r="A3973" t="s">
        <v>9678</v>
      </c>
      <c r="B3973" t="s">
        <v>26951</v>
      </c>
      <c r="C3973" t="s">
        <v>10086</v>
      </c>
      <c r="D3973" t="s">
        <v>10085</v>
      </c>
      <c r="E3973" s="2" t="s">
        <v>860</v>
      </c>
      <c r="F3973" t="s">
        <v>10084</v>
      </c>
      <c r="G3973" t="str">
        <f>HYPERLINK("http://www.apsk.co.kr/news/articleView.html?idxno=41354")</f>
        <v>http://www.apsk.co.kr/news/articleView.html?idxno=41354</v>
      </c>
      <c r="H3973">
        <v>0.374</v>
      </c>
    </row>
    <row r="3974" spans="1:8" x14ac:dyDescent="0.3">
      <c r="A3974" t="s">
        <v>9678</v>
      </c>
      <c r="B3974" t="s">
        <v>26951</v>
      </c>
      <c r="C3974" t="s">
        <v>10089</v>
      </c>
      <c r="D3974" t="s">
        <v>10088</v>
      </c>
      <c r="E3974" s="2" t="s">
        <v>860</v>
      </c>
      <c r="F3974" t="s">
        <v>10087</v>
      </c>
      <c r="G3974" t="str">
        <f>HYPERLINK("http://journal.kobeta.com/?post_type=post&amp;p=59495")</f>
        <v>http://journal.kobeta.com/?post_type=post&amp;p=59495</v>
      </c>
      <c r="H3974">
        <v>0.57299999999999995</v>
      </c>
    </row>
    <row r="3975" spans="1:8" x14ac:dyDescent="0.3">
      <c r="A3975" t="s">
        <v>9678</v>
      </c>
      <c r="B3975" t="s">
        <v>26951</v>
      </c>
      <c r="C3975" t="s">
        <v>10092</v>
      </c>
      <c r="D3975" t="s">
        <v>10091</v>
      </c>
      <c r="E3975" s="2" t="s">
        <v>860</v>
      </c>
      <c r="F3975" t="s">
        <v>10090</v>
      </c>
      <c r="G3975" t="str">
        <f>HYPERLINK("https://www.allurekorea.com/2025/06/23/the-last-frontier-%eb%aa%ac%ec%8a%a4%ed%83%80%ec%97%91%ec%8a%a4/?utm_source=naver&amp;utm_medium=partnership")</f>
        <v>https://www.allurekorea.com/2025/06/23/the-last-frontier-%eb%aa%ac%ec%8a%a4%ed%83%80%ec%97%91%ec%8a%a4/?utm_source=naver&amp;utm_medium=partnership</v>
      </c>
      <c r="H3975">
        <v>0.44800000000000001</v>
      </c>
    </row>
    <row r="3976" spans="1:8" x14ac:dyDescent="0.3">
      <c r="A3976" t="s">
        <v>9678</v>
      </c>
      <c r="B3976" t="s">
        <v>26951</v>
      </c>
      <c r="C3976" t="s">
        <v>10094</v>
      </c>
      <c r="D3976" t="s">
        <v>10093</v>
      </c>
      <c r="E3976" s="2" t="s">
        <v>860</v>
      </c>
      <c r="F3976" t="s">
        <v>3204</v>
      </c>
      <c r="G3976" t="str">
        <f>HYPERLINK("http://www.sisaon.co.kr/news/articleView.html?idxno=168721")</f>
        <v>http://www.sisaon.co.kr/news/articleView.html?idxno=168721</v>
      </c>
      <c r="H3976">
        <v>0.372</v>
      </c>
    </row>
    <row r="3977" spans="1:8" x14ac:dyDescent="0.3">
      <c r="A3977" t="s">
        <v>9678</v>
      </c>
      <c r="B3977" t="s">
        <v>26951</v>
      </c>
      <c r="C3977" t="s">
        <v>10097</v>
      </c>
      <c r="D3977" t="s">
        <v>10096</v>
      </c>
      <c r="E3977" s="2" t="s">
        <v>860</v>
      </c>
      <c r="F3977" t="s">
        <v>10095</v>
      </c>
      <c r="G3977" t="str">
        <f>HYPERLINK("https://www.ggilbo.com/news/articleView.html?idxno=1094334")</f>
        <v>https://www.ggilbo.com/news/articleView.html?idxno=1094334</v>
      </c>
      <c r="H3977">
        <v>0.45100000000000001</v>
      </c>
    </row>
    <row r="3978" spans="1:8" x14ac:dyDescent="0.3">
      <c r="A3978" t="s">
        <v>9678</v>
      </c>
      <c r="B3978" t="s">
        <v>26951</v>
      </c>
      <c r="C3978" t="s">
        <v>10100</v>
      </c>
      <c r="D3978" t="s">
        <v>10099</v>
      </c>
      <c r="E3978" s="2" t="s">
        <v>860</v>
      </c>
      <c r="F3978" t="s">
        <v>10098</v>
      </c>
      <c r="G3978" t="str">
        <f>HYPERLINK("https://www.kpinews.kr/newsView/1065575917472959")</f>
        <v>https://www.kpinews.kr/newsView/1065575917472959</v>
      </c>
      <c r="H3978">
        <v>0.26100000000000001</v>
      </c>
    </row>
    <row r="3979" spans="1:8" x14ac:dyDescent="0.3">
      <c r="A3979" t="s">
        <v>9678</v>
      </c>
      <c r="B3979" t="s">
        <v>26951</v>
      </c>
      <c r="C3979" t="s">
        <v>10103</v>
      </c>
      <c r="D3979" t="s">
        <v>10102</v>
      </c>
      <c r="E3979" s="2" t="s">
        <v>860</v>
      </c>
      <c r="F3979" t="s">
        <v>171</v>
      </c>
      <c r="G3979" t="str">
        <f>HYPERLINK("https://www.nc.press/news/articleView.html?idxno=568748")</f>
        <v>https://www.nc.press/news/articleView.html?idxno=568748</v>
      </c>
      <c r="H3979">
        <v>0.64300000000000002</v>
      </c>
    </row>
    <row r="3980" spans="1:8" x14ac:dyDescent="0.3">
      <c r="A3980" t="s">
        <v>9678</v>
      </c>
      <c r="B3980" t="s">
        <v>26951</v>
      </c>
      <c r="C3980" t="s">
        <v>10105</v>
      </c>
      <c r="D3980" t="s">
        <v>10104</v>
      </c>
      <c r="E3980" s="2" t="s">
        <v>860</v>
      </c>
      <c r="F3980" t="s">
        <v>7606</v>
      </c>
      <c r="G3980" t="str">
        <f>HYPERLINK("http://www.pdjournal.com/news/articleView.html?idxno=60988")</f>
        <v>http://www.pdjournal.com/news/articleView.html?idxno=60988</v>
      </c>
      <c r="H3980">
        <v>0.36799999999999999</v>
      </c>
    </row>
    <row r="3981" spans="1:8" x14ac:dyDescent="0.3">
      <c r="A3981" t="s">
        <v>9678</v>
      </c>
      <c r="B3981" t="s">
        <v>26951</v>
      </c>
      <c r="C3981" t="s">
        <v>10108</v>
      </c>
      <c r="D3981" t="s">
        <v>10107</v>
      </c>
      <c r="E3981" s="2" t="s">
        <v>860</v>
      </c>
      <c r="F3981" t="s">
        <v>10106</v>
      </c>
      <c r="G3981" t="str">
        <f>HYPERLINK("https://n.news.naver.com/mnews/article/214/0001432448?sid=100")</f>
        <v>https://n.news.naver.com/mnews/article/214/0001432448?sid=100</v>
      </c>
      <c r="H3981">
        <v>0.26500000000000001</v>
      </c>
    </row>
    <row r="3982" spans="1:8" x14ac:dyDescent="0.3">
      <c r="A3982" t="s">
        <v>9678</v>
      </c>
      <c r="B3982" t="s">
        <v>26951</v>
      </c>
      <c r="C3982" t="s">
        <v>10110</v>
      </c>
      <c r="D3982" t="s">
        <v>10109</v>
      </c>
      <c r="E3982" s="2" t="s">
        <v>860</v>
      </c>
      <c r="F3982" t="s">
        <v>6871</v>
      </c>
      <c r="G3982" t="str">
        <f>HYPERLINK("http://www.enewstoday.co.kr/news/articleView.html?idxno=1468483")</f>
        <v>http://www.enewstoday.co.kr/news/articleView.html?idxno=1468483</v>
      </c>
      <c r="H3982">
        <v>0.43</v>
      </c>
    </row>
    <row r="3983" spans="1:8" x14ac:dyDescent="0.3">
      <c r="A3983" t="s">
        <v>9678</v>
      </c>
      <c r="B3983" t="s">
        <v>26951</v>
      </c>
      <c r="C3983" t="s">
        <v>10113</v>
      </c>
      <c r="D3983" t="s">
        <v>10112</v>
      </c>
      <c r="E3983" s="2" t="s">
        <v>860</v>
      </c>
      <c r="F3983" t="s">
        <v>10111</v>
      </c>
      <c r="G3983" t="str">
        <f>HYPERLINK("https://n.news.naver.com/mnews/article/008/0005214940?sid=102")</f>
        <v>https://n.news.naver.com/mnews/article/008/0005214940?sid=102</v>
      </c>
      <c r="H3983">
        <v>0.22</v>
      </c>
    </row>
    <row r="3984" spans="1:8" x14ac:dyDescent="0.3">
      <c r="A3984" t="s">
        <v>9678</v>
      </c>
      <c r="B3984" t="s">
        <v>26951</v>
      </c>
      <c r="C3984" t="s">
        <v>10115</v>
      </c>
      <c r="D3984" t="s">
        <v>10114</v>
      </c>
      <c r="E3984" s="2" t="s">
        <v>860</v>
      </c>
      <c r="F3984" t="s">
        <v>5342</v>
      </c>
      <c r="H3984">
        <v>0.44700000000000001</v>
      </c>
    </row>
    <row r="3985" spans="1:8" x14ac:dyDescent="0.3">
      <c r="A3985" t="s">
        <v>9678</v>
      </c>
      <c r="B3985" t="s">
        <v>26951</v>
      </c>
      <c r="C3985" t="s">
        <v>10117</v>
      </c>
      <c r="D3985" t="s">
        <v>10116</v>
      </c>
      <c r="E3985" s="2" t="s">
        <v>860</v>
      </c>
      <c r="F3985" t="s">
        <v>7580</v>
      </c>
      <c r="G3985" t="str">
        <f>HYPERLINK("http://www.rcast.co.kr/sub02.php?BRD_ID=1560818430485")</f>
        <v>http://www.rcast.co.kr/sub02.php?BRD_ID=1560818430485</v>
      </c>
      <c r="H3985">
        <v>0.41499999999999998</v>
      </c>
    </row>
    <row r="3986" spans="1:8" x14ac:dyDescent="0.3">
      <c r="A3986" t="s">
        <v>9678</v>
      </c>
      <c r="B3986" t="s">
        <v>26951</v>
      </c>
      <c r="C3986" t="s">
        <v>10119</v>
      </c>
      <c r="D3986" t="s">
        <v>10118</v>
      </c>
      <c r="E3986" s="2" t="s">
        <v>860</v>
      </c>
      <c r="F3986" t="s">
        <v>2799</v>
      </c>
      <c r="G3986" t="str">
        <f>HYPERLINK("https://www.asiaa.co.kr/news/articleView.html?idxno=214065")</f>
        <v>https://www.asiaa.co.kr/news/articleView.html?idxno=214065</v>
      </c>
      <c r="H3986">
        <v>0.442</v>
      </c>
    </row>
    <row r="3987" spans="1:8" x14ac:dyDescent="0.3">
      <c r="A3987" t="s">
        <v>9678</v>
      </c>
      <c r="B3987" t="s">
        <v>26951</v>
      </c>
      <c r="C3987" t="s">
        <v>10122</v>
      </c>
      <c r="D3987" t="s">
        <v>10121</v>
      </c>
      <c r="E3987" s="2" t="s">
        <v>860</v>
      </c>
      <c r="F3987" t="s">
        <v>10120</v>
      </c>
      <c r="G3987" t="str">
        <f>HYPERLINK("http://www.srtimes.kr/news/articleView.html?idxno=178400")</f>
        <v>http://www.srtimes.kr/news/articleView.html?idxno=178400</v>
      </c>
      <c r="H3987">
        <v>0.32300000000000001</v>
      </c>
    </row>
    <row r="3988" spans="1:8" x14ac:dyDescent="0.3">
      <c r="A3988" t="s">
        <v>9678</v>
      </c>
      <c r="B3988" t="s">
        <v>26951</v>
      </c>
      <c r="C3988" t="s">
        <v>10125</v>
      </c>
      <c r="D3988" t="s">
        <v>10124</v>
      </c>
      <c r="E3988" s="2" t="s">
        <v>860</v>
      </c>
      <c r="F3988" t="s">
        <v>10123</v>
      </c>
      <c r="G3988" t="str">
        <f>HYPERLINK("https://n.news.naver.com/mnews/article/214/0000934692?sid=102")</f>
        <v>https://n.news.naver.com/mnews/article/214/0000934692?sid=102</v>
      </c>
      <c r="H3988">
        <v>0.45100000000000001</v>
      </c>
    </row>
    <row r="3989" spans="1:8" x14ac:dyDescent="0.3">
      <c r="A3989" t="s">
        <v>9678</v>
      </c>
      <c r="B3989" t="s">
        <v>26951</v>
      </c>
      <c r="C3989" t="s">
        <v>10127</v>
      </c>
      <c r="D3989" t="s">
        <v>10126</v>
      </c>
      <c r="E3989" s="2" t="s">
        <v>860</v>
      </c>
      <c r="F3989" t="s">
        <v>5342</v>
      </c>
      <c r="H3989">
        <v>0.38</v>
      </c>
    </row>
    <row r="3990" spans="1:8" x14ac:dyDescent="0.3">
      <c r="A3990" t="s">
        <v>9678</v>
      </c>
      <c r="B3990" t="s">
        <v>26951</v>
      </c>
      <c r="C3990" t="s">
        <v>10129</v>
      </c>
      <c r="D3990" t="s">
        <v>10128</v>
      </c>
      <c r="E3990" s="2" t="s">
        <v>860</v>
      </c>
      <c r="F3990" t="s">
        <v>3235</v>
      </c>
      <c r="G3990" t="str">
        <f>HYPERLINK("https://www.joongangenews.com/news/articleView.html?idxno=430209")</f>
        <v>https://www.joongangenews.com/news/articleView.html?idxno=430209</v>
      </c>
      <c r="H3990">
        <v>0.32700000000000001</v>
      </c>
    </row>
    <row r="3991" spans="1:8" x14ac:dyDescent="0.3">
      <c r="A3991" t="s">
        <v>9678</v>
      </c>
      <c r="B3991" t="s">
        <v>26951</v>
      </c>
      <c r="C3991" t="s">
        <v>10131</v>
      </c>
      <c r="D3991" t="s">
        <v>10130</v>
      </c>
      <c r="E3991" s="2" t="s">
        <v>860</v>
      </c>
      <c r="F3991" t="s">
        <v>779</v>
      </c>
      <c r="G3991" t="str">
        <f>HYPERLINK("https://n.news.naver.com/mnews/article/057/0001892608?sid=102")</f>
        <v>https://n.news.naver.com/mnews/article/057/0001892608?sid=102</v>
      </c>
      <c r="H3991">
        <v>0.28499999999999998</v>
      </c>
    </row>
    <row r="3992" spans="1:8" x14ac:dyDescent="0.3">
      <c r="A3992" t="s">
        <v>9678</v>
      </c>
      <c r="B3992" t="s">
        <v>26951</v>
      </c>
      <c r="C3992" t="s">
        <v>10134</v>
      </c>
      <c r="D3992" t="s">
        <v>10133</v>
      </c>
      <c r="E3992" s="2" t="s">
        <v>860</v>
      </c>
      <c r="F3992" t="s">
        <v>10132</v>
      </c>
      <c r="G3992" t="str">
        <f>HYPERLINK("http://www.etoday.co.kr/news/section/newsview.php?idxno=1053023")</f>
        <v>http://www.etoday.co.kr/news/section/newsview.php?idxno=1053023</v>
      </c>
      <c r="H3992">
        <v>0.45</v>
      </c>
    </row>
    <row r="3993" spans="1:8" x14ac:dyDescent="0.3">
      <c r="A3993" t="s">
        <v>9678</v>
      </c>
      <c r="B3993" t="s">
        <v>26951</v>
      </c>
      <c r="C3993" t="s">
        <v>10137</v>
      </c>
      <c r="D3993" t="s">
        <v>10136</v>
      </c>
      <c r="E3993" s="2" t="s">
        <v>860</v>
      </c>
      <c r="F3993" t="s">
        <v>10132</v>
      </c>
      <c r="G3993" t="str">
        <f>HYPERLINK("http://www.ajunews.com/view/20170929140845000")</f>
        <v>http://www.ajunews.com/view/20170929140845000</v>
      </c>
      <c r="H3993">
        <v>8.7999999999999995E-2</v>
      </c>
    </row>
    <row r="3994" spans="1:8" x14ac:dyDescent="0.3">
      <c r="A3994" t="s">
        <v>9678</v>
      </c>
      <c r="B3994" t="s">
        <v>26951</v>
      </c>
      <c r="C3994" t="s">
        <v>10139</v>
      </c>
      <c r="D3994" t="s">
        <v>10138</v>
      </c>
      <c r="E3994" s="2" t="s">
        <v>860</v>
      </c>
      <c r="F3994" t="s">
        <v>10021</v>
      </c>
      <c r="G3994" t="str">
        <f>HYPERLINK("https://www.jemin.com/news/articleView.html?idxno=792521")</f>
        <v>https://www.jemin.com/news/articleView.html?idxno=792521</v>
      </c>
      <c r="H3994">
        <v>0.39100000000000001</v>
      </c>
    </row>
    <row r="3995" spans="1:8" x14ac:dyDescent="0.3">
      <c r="A3995" t="s">
        <v>9678</v>
      </c>
      <c r="B3995" t="s">
        <v>26951</v>
      </c>
      <c r="C3995" t="s">
        <v>10142</v>
      </c>
      <c r="D3995" t="s">
        <v>10141</v>
      </c>
      <c r="E3995" s="2" t="s">
        <v>860</v>
      </c>
      <c r="F3995" t="s">
        <v>5001</v>
      </c>
      <c r="G3995" t="str">
        <f>HYPERLINK("http://www.ilyoseoul.co.kr/news/articleView.html?idxno=483304")</f>
        <v>http://www.ilyoseoul.co.kr/news/articleView.html?idxno=483304</v>
      </c>
      <c r="H3995">
        <v>0.54800000000000004</v>
      </c>
    </row>
    <row r="3996" spans="1:8" x14ac:dyDescent="0.3">
      <c r="A3996" t="s">
        <v>9678</v>
      </c>
      <c r="B3996" t="s">
        <v>26951</v>
      </c>
      <c r="C3996" t="s">
        <v>10145</v>
      </c>
      <c r="D3996" t="s">
        <v>10144</v>
      </c>
      <c r="E3996" s="2" t="s">
        <v>860</v>
      </c>
      <c r="F3996" t="s">
        <v>10143</v>
      </c>
      <c r="G3996" t="str">
        <f>HYPERLINK("http://www.dhnews.co.kr/news/articleView.html?idxno=142512")</f>
        <v>http://www.dhnews.co.kr/news/articleView.html?idxno=142512</v>
      </c>
      <c r="H3996">
        <v>0.32800000000000001</v>
      </c>
    </row>
    <row r="3997" spans="1:8" x14ac:dyDescent="0.3">
      <c r="A3997" t="s">
        <v>9678</v>
      </c>
      <c r="B3997" t="s">
        <v>26951</v>
      </c>
      <c r="C3997" t="s">
        <v>10148</v>
      </c>
      <c r="D3997" t="s">
        <v>10147</v>
      </c>
      <c r="E3997" s="2" t="s">
        <v>860</v>
      </c>
      <c r="F3997" t="s">
        <v>10146</v>
      </c>
      <c r="G3997" t="str">
        <f>HYPERLINK("https://n.news.naver.com/mnews/article/127/0000037765?sid=102")</f>
        <v>https://n.news.naver.com/mnews/article/127/0000037765?sid=102</v>
      </c>
      <c r="H3997">
        <v>0.111</v>
      </c>
    </row>
    <row r="3998" spans="1:8" x14ac:dyDescent="0.3">
      <c r="A3998" t="s">
        <v>9678</v>
      </c>
      <c r="B3998" t="s">
        <v>26951</v>
      </c>
      <c r="C3998" t="s">
        <v>10151</v>
      </c>
      <c r="D3998" t="s">
        <v>10150</v>
      </c>
      <c r="E3998" s="2" t="s">
        <v>860</v>
      </c>
      <c r="F3998" t="s">
        <v>6930</v>
      </c>
      <c r="G3998" t="str">
        <f>HYPERLINK("https://www.jejusori.net/news/articleView.html?idxno=436855")</f>
        <v>https://www.jejusori.net/news/articleView.html?idxno=436855</v>
      </c>
      <c r="H3998">
        <v>0.55000000000000004</v>
      </c>
    </row>
    <row r="3999" spans="1:8" x14ac:dyDescent="0.3">
      <c r="A3999" t="s">
        <v>9678</v>
      </c>
      <c r="B3999" t="s">
        <v>26951</v>
      </c>
      <c r="C3999" t="s">
        <v>10155</v>
      </c>
      <c r="D3999" t="s">
        <v>10154</v>
      </c>
      <c r="E3999" s="2" t="s">
        <v>860</v>
      </c>
      <c r="F3999" t="s">
        <v>10153</v>
      </c>
      <c r="G3999" t="str">
        <f>HYPERLINK("https://www.greened.kr/news/articleView.html?idxno=325789")</f>
        <v>https://www.greened.kr/news/articleView.html?idxno=325789</v>
      </c>
      <c r="H3999">
        <v>0.437</v>
      </c>
    </row>
    <row r="4000" spans="1:8" x14ac:dyDescent="0.3">
      <c r="A4000" t="s">
        <v>9678</v>
      </c>
      <c r="B4000" t="s">
        <v>26951</v>
      </c>
      <c r="C4000" t="s">
        <v>10158</v>
      </c>
      <c r="D4000" t="s">
        <v>10157</v>
      </c>
      <c r="E4000" s="2" t="s">
        <v>860</v>
      </c>
      <c r="F4000" t="s">
        <v>10156</v>
      </c>
      <c r="G4000" t="str">
        <f>HYPERLINK("https://www.dailysportshankook.co.kr/news/articleView.html?idxno=406537")</f>
        <v>https://www.dailysportshankook.co.kr/news/articleView.html?idxno=406537</v>
      </c>
      <c r="H4000">
        <v>0.67600000000000005</v>
      </c>
    </row>
    <row r="4001" spans="1:8" x14ac:dyDescent="0.3">
      <c r="A4001" t="s">
        <v>9678</v>
      </c>
      <c r="B4001" t="s">
        <v>26951</v>
      </c>
      <c r="C4001" t="s">
        <v>10160</v>
      </c>
      <c r="D4001" t="s">
        <v>10159</v>
      </c>
      <c r="E4001" s="2" t="s">
        <v>860</v>
      </c>
      <c r="F4001" t="s">
        <v>9978</v>
      </c>
      <c r="G4001" t="str">
        <f>HYPERLINK("https://sports.hankooki.com/news/articleView.html?idxno=6899988")</f>
        <v>https://sports.hankooki.com/news/articleView.html?idxno=6899988</v>
      </c>
      <c r="H4001">
        <v>0.442</v>
      </c>
    </row>
    <row r="4002" spans="1:8" x14ac:dyDescent="0.3">
      <c r="A4002" t="s">
        <v>9678</v>
      </c>
      <c r="B4002" t="s">
        <v>26951</v>
      </c>
      <c r="C4002" t="s">
        <v>10163</v>
      </c>
      <c r="D4002" t="s">
        <v>10162</v>
      </c>
      <c r="E4002" s="2" t="s">
        <v>860</v>
      </c>
      <c r="F4002" t="s">
        <v>2046</v>
      </c>
      <c r="G4002" t="str">
        <f>HYPERLINK("https://www.idaegu.com/news/articleView.html?idxno=639047")</f>
        <v>https://www.idaegu.com/news/articleView.html?idxno=639047</v>
      </c>
      <c r="H4002">
        <v>0.999</v>
      </c>
    </row>
    <row r="4003" spans="1:8" x14ac:dyDescent="0.3">
      <c r="A4003" t="s">
        <v>9678</v>
      </c>
      <c r="B4003" t="s">
        <v>26951</v>
      </c>
      <c r="C4003" t="s">
        <v>10166</v>
      </c>
      <c r="D4003" t="s">
        <v>10165</v>
      </c>
      <c r="E4003" s="2" t="s">
        <v>860</v>
      </c>
      <c r="F4003" t="s">
        <v>10164</v>
      </c>
      <c r="G4003" t="str">
        <f>HYPERLINK("https://n.news.naver.com/mnews/article/008/0005209870?sid=103")</f>
        <v>https://n.news.naver.com/mnews/article/008/0005209870?sid=103</v>
      </c>
      <c r="H4003">
        <v>0.32400000000000001</v>
      </c>
    </row>
    <row r="4004" spans="1:8" x14ac:dyDescent="0.3">
      <c r="A4004" t="s">
        <v>9678</v>
      </c>
      <c r="B4004" t="s">
        <v>26951</v>
      </c>
      <c r="C4004" t="s">
        <v>10169</v>
      </c>
      <c r="D4004" t="s">
        <v>10168</v>
      </c>
      <c r="E4004" s="2" t="s">
        <v>860</v>
      </c>
      <c r="F4004" t="s">
        <v>10167</v>
      </c>
      <c r="G4004" t="str">
        <f>HYPERLINK("http://www.sisaon.co.kr/news/articleView.html?idxno=113705")</f>
        <v>http://www.sisaon.co.kr/news/articleView.html?idxno=113705</v>
      </c>
      <c r="H4004">
        <v>0.56599999999999995</v>
      </c>
    </row>
    <row r="4005" spans="1:8" x14ac:dyDescent="0.3">
      <c r="A4005" t="s">
        <v>9678</v>
      </c>
      <c r="B4005" t="s">
        <v>26951</v>
      </c>
      <c r="C4005" t="s">
        <v>10171</v>
      </c>
      <c r="D4005" t="s">
        <v>10170</v>
      </c>
      <c r="E4005" s="2" t="s">
        <v>860</v>
      </c>
      <c r="F4005" t="s">
        <v>1101</v>
      </c>
      <c r="G4005" t="str">
        <f>HYPERLINK("https://www.greened.kr/news/articleView.html?idxno=317335")</f>
        <v>https://www.greened.kr/news/articleView.html?idxno=317335</v>
      </c>
      <c r="H4005">
        <v>0.59899999999999998</v>
      </c>
    </row>
    <row r="4006" spans="1:8" x14ac:dyDescent="0.3">
      <c r="A4006" t="s">
        <v>9678</v>
      </c>
      <c r="B4006" t="s">
        <v>26951</v>
      </c>
      <c r="C4006" t="s">
        <v>10174</v>
      </c>
      <c r="D4006" t="s">
        <v>10173</v>
      </c>
      <c r="E4006" s="2" t="s">
        <v>860</v>
      </c>
      <c r="F4006" t="s">
        <v>10172</v>
      </c>
      <c r="G4006" t="str">
        <f>HYPERLINK("https://www.jemin.com/news/articleView.html?idxno=815012")</f>
        <v>https://www.jemin.com/news/articleView.html?idxno=815012</v>
      </c>
      <c r="H4006">
        <v>0.47</v>
      </c>
    </row>
    <row r="4007" spans="1:8" x14ac:dyDescent="0.3">
      <c r="A4007" t="s">
        <v>9678</v>
      </c>
      <c r="B4007" t="s">
        <v>26951</v>
      </c>
      <c r="C4007" t="s">
        <v>10177</v>
      </c>
      <c r="D4007" t="s">
        <v>10176</v>
      </c>
      <c r="E4007" s="2" t="s">
        <v>860</v>
      </c>
      <c r="F4007" t="s">
        <v>10175</v>
      </c>
      <c r="G4007" t="str">
        <f>HYPERLINK("http://www.epj.co.kr/news/articleView.html?idxno=36324")</f>
        <v>http://www.epj.co.kr/news/articleView.html?idxno=36324</v>
      </c>
      <c r="H4007">
        <v>0.45700000000000002</v>
      </c>
    </row>
    <row r="4008" spans="1:8" x14ac:dyDescent="0.3">
      <c r="A4008" t="s">
        <v>9678</v>
      </c>
      <c r="B4008" t="s">
        <v>26951</v>
      </c>
      <c r="C4008" t="s">
        <v>10180</v>
      </c>
      <c r="D4008" t="s">
        <v>10179</v>
      </c>
      <c r="E4008" s="2" t="s">
        <v>860</v>
      </c>
      <c r="F4008" t="s">
        <v>9962</v>
      </c>
      <c r="G4008" t="str">
        <f>HYPERLINK("https://sports.hankooki.com/news/articleView.html?idxno=6901494")</f>
        <v>https://sports.hankooki.com/news/articleView.html?idxno=6901494</v>
      </c>
      <c r="H4008">
        <v>0.60099999999999998</v>
      </c>
    </row>
    <row r="4009" spans="1:8" x14ac:dyDescent="0.3">
      <c r="A4009" t="s">
        <v>9678</v>
      </c>
      <c r="B4009" t="s">
        <v>26951</v>
      </c>
      <c r="C4009" t="s">
        <v>10183</v>
      </c>
      <c r="D4009" t="s">
        <v>10182</v>
      </c>
      <c r="E4009" s="2" t="s">
        <v>860</v>
      </c>
      <c r="F4009" t="s">
        <v>10181</v>
      </c>
      <c r="G4009" t="str">
        <f>HYPERLINK("https://www.etoday.co.kr/news/view/2475620")</f>
        <v>https://www.etoday.co.kr/news/view/2475620</v>
      </c>
      <c r="H4009">
        <v>0.51500000000000001</v>
      </c>
    </row>
    <row r="4010" spans="1:8" x14ac:dyDescent="0.3">
      <c r="A4010" t="s">
        <v>9678</v>
      </c>
      <c r="B4010" t="s">
        <v>26951</v>
      </c>
      <c r="C4010" t="s">
        <v>10187</v>
      </c>
      <c r="D4010" t="s">
        <v>10186</v>
      </c>
      <c r="E4010" s="2" t="s">
        <v>860</v>
      </c>
      <c r="F4010" t="s">
        <v>10185</v>
      </c>
      <c r="G4010" t="str">
        <f>HYPERLINK("https://n.news.naver.com/mnews/article/214/0001427856?sid=154")</f>
        <v>https://n.news.naver.com/mnews/article/214/0001427856?sid=154</v>
      </c>
      <c r="H4010">
        <v>0.20599999999999999</v>
      </c>
    </row>
    <row r="4011" spans="1:8" x14ac:dyDescent="0.3">
      <c r="A4011" t="s">
        <v>9678</v>
      </c>
      <c r="B4011" t="s">
        <v>26951</v>
      </c>
      <c r="C4011" t="s">
        <v>10190</v>
      </c>
      <c r="D4011" t="s">
        <v>10189</v>
      </c>
      <c r="E4011" s="2" t="s">
        <v>860</v>
      </c>
      <c r="F4011" t="s">
        <v>10188</v>
      </c>
      <c r="G4011" t="str">
        <f>HYPERLINK("https://n.news.naver.com/mnews/article/028/0002753752?sid=103")</f>
        <v>https://n.news.naver.com/mnews/article/028/0002753752?sid=103</v>
      </c>
      <c r="H4011">
        <v>0.28299999999999997</v>
      </c>
    </row>
    <row r="4012" spans="1:8" x14ac:dyDescent="0.3">
      <c r="A4012" t="s">
        <v>9678</v>
      </c>
      <c r="B4012" t="s">
        <v>26951</v>
      </c>
      <c r="C4012" t="s">
        <v>10194</v>
      </c>
      <c r="D4012" t="s">
        <v>10193</v>
      </c>
      <c r="E4012" s="2" t="s">
        <v>860</v>
      </c>
      <c r="F4012" t="s">
        <v>10192</v>
      </c>
      <c r="G4012" t="str">
        <f>HYPERLINK("http://www.ktsketch.co.kr/news/articleView.html?idxno=7954")</f>
        <v>http://www.ktsketch.co.kr/news/articleView.html?idxno=7954</v>
      </c>
      <c r="H4012">
        <v>0.40600000000000003</v>
      </c>
    </row>
    <row r="4013" spans="1:8" x14ac:dyDescent="0.3">
      <c r="A4013" t="s">
        <v>9678</v>
      </c>
      <c r="B4013" t="s">
        <v>26951</v>
      </c>
      <c r="C4013" t="s">
        <v>10197</v>
      </c>
      <c r="D4013" t="s">
        <v>10196</v>
      </c>
      <c r="E4013" s="2" t="s">
        <v>860</v>
      </c>
      <c r="F4013" t="s">
        <v>10195</v>
      </c>
      <c r="G4013" t="str">
        <f>HYPERLINK("https://n.news.naver.com/mnews/article/052/0002200066?sid=100")</f>
        <v>https://n.news.naver.com/mnews/article/052/0002200066?sid=100</v>
      </c>
      <c r="H4013">
        <v>0.36</v>
      </c>
    </row>
    <row r="4014" spans="1:8" x14ac:dyDescent="0.3">
      <c r="A4014" t="s">
        <v>9678</v>
      </c>
      <c r="B4014" t="s">
        <v>26951</v>
      </c>
      <c r="C4014" t="s">
        <v>10200</v>
      </c>
      <c r="D4014" t="s">
        <v>10199</v>
      </c>
      <c r="E4014" s="2" t="s">
        <v>860</v>
      </c>
      <c r="F4014" t="s">
        <v>10198</v>
      </c>
      <c r="G4014" t="str">
        <f>HYPERLINK("http://www.fntoday.co.kr/news/articleView.html?idxno=344424")</f>
        <v>http://www.fntoday.co.kr/news/articleView.html?idxno=344424</v>
      </c>
      <c r="H4014">
        <v>0.20499999999999999</v>
      </c>
    </row>
    <row r="4015" spans="1:8" x14ac:dyDescent="0.3">
      <c r="A4015" t="s">
        <v>9678</v>
      </c>
      <c r="B4015" t="s">
        <v>26951</v>
      </c>
      <c r="C4015" t="s">
        <v>10202</v>
      </c>
      <c r="D4015" t="s">
        <v>10201</v>
      </c>
      <c r="E4015" s="2" t="s">
        <v>860</v>
      </c>
      <c r="F4015" t="s">
        <v>1378</v>
      </c>
      <c r="G4015" t="str">
        <f>HYPERLINK("https://n.news.naver.com/mnews/article/008/0004004560?sid=103")</f>
        <v>https://n.news.naver.com/mnews/article/008/0004004560?sid=103</v>
      </c>
      <c r="H4015">
        <v>0.30199999999999999</v>
      </c>
    </row>
    <row r="4016" spans="1:8" x14ac:dyDescent="0.3">
      <c r="A4016" t="s">
        <v>9678</v>
      </c>
      <c r="B4016" t="s">
        <v>26951</v>
      </c>
      <c r="C4016" t="s">
        <v>10205</v>
      </c>
      <c r="D4016" t="s">
        <v>10204</v>
      </c>
      <c r="E4016" s="2" t="s">
        <v>860</v>
      </c>
      <c r="F4016" t="s">
        <v>10203</v>
      </c>
      <c r="G4016" t="str">
        <f>HYPERLINK("https://www.ggilbo.com/news/articleView.html?idxno=1097979")</f>
        <v>https://www.ggilbo.com/news/articleView.html?idxno=1097979</v>
      </c>
      <c r="H4016">
        <v>0.376</v>
      </c>
    </row>
    <row r="4017" spans="1:8" x14ac:dyDescent="0.3">
      <c r="A4017" t="s">
        <v>9678</v>
      </c>
      <c r="B4017" t="s">
        <v>26951</v>
      </c>
      <c r="C4017" t="s">
        <v>10209</v>
      </c>
      <c r="D4017" t="s">
        <v>10208</v>
      </c>
      <c r="E4017" s="2" t="s">
        <v>860</v>
      </c>
      <c r="F4017" t="s">
        <v>10207</v>
      </c>
      <c r="G4017" t="str">
        <f>HYPERLINK("https://bravo.etoday.co.kr/view/atc_view/16364")</f>
        <v>https://bravo.etoday.co.kr/view/atc_view/16364</v>
      </c>
      <c r="H4017">
        <v>0.48899999999999999</v>
      </c>
    </row>
    <row r="4018" spans="1:8" x14ac:dyDescent="0.3">
      <c r="A4018" t="s">
        <v>9678</v>
      </c>
      <c r="B4018" t="s">
        <v>26951</v>
      </c>
      <c r="C4018" t="s">
        <v>10211</v>
      </c>
      <c r="D4018" t="s">
        <v>10210</v>
      </c>
      <c r="E4018" s="2" t="s">
        <v>860</v>
      </c>
      <c r="F4018" t="s">
        <v>5342</v>
      </c>
      <c r="G4018" t="str">
        <f>HYPERLINK("https://n.news.naver.com/mnews/article/028/0002753752?sid=103")</f>
        <v>https://n.news.naver.com/mnews/article/028/0002753752?sid=103</v>
      </c>
      <c r="H4018">
        <v>0.315</v>
      </c>
    </row>
    <row r="4019" spans="1:8" x14ac:dyDescent="0.3">
      <c r="A4019" t="s">
        <v>9678</v>
      </c>
      <c r="B4019" t="s">
        <v>26951</v>
      </c>
      <c r="C4019" t="s">
        <v>10213</v>
      </c>
      <c r="D4019" t="s">
        <v>10212</v>
      </c>
      <c r="E4019" s="2" t="s">
        <v>860</v>
      </c>
      <c r="F4019" t="s">
        <v>5342</v>
      </c>
      <c r="H4019">
        <v>0.51300000000000001</v>
      </c>
    </row>
    <row r="4020" spans="1:8" x14ac:dyDescent="0.3">
      <c r="A4020" t="s">
        <v>9678</v>
      </c>
      <c r="B4020" t="s">
        <v>26951</v>
      </c>
      <c r="C4020" t="s">
        <v>10216</v>
      </c>
      <c r="D4020" t="s">
        <v>10215</v>
      </c>
      <c r="E4020" s="2" t="s">
        <v>860</v>
      </c>
      <c r="F4020" t="s">
        <v>10214</v>
      </c>
      <c r="G4020" t="str">
        <f>HYPERLINK("http://www.econonews.co.kr/news/articleView.html?idxno=46808")</f>
        <v>http://www.econonews.co.kr/news/articleView.html?idxno=46808</v>
      </c>
      <c r="H4020">
        <v>0.61699999999999999</v>
      </c>
    </row>
    <row r="4021" spans="1:8" x14ac:dyDescent="0.3">
      <c r="A4021" t="s">
        <v>9678</v>
      </c>
      <c r="B4021" t="s">
        <v>26951</v>
      </c>
      <c r="C4021" t="s">
        <v>10218</v>
      </c>
      <c r="D4021" t="s">
        <v>10217</v>
      </c>
      <c r="E4021" s="2" t="s">
        <v>860</v>
      </c>
      <c r="F4021" t="s">
        <v>9698</v>
      </c>
      <c r="G4021" t="str">
        <f>HYPERLINK("https://www.ibabynews.com/news/articleView.html?idxno=124283")</f>
        <v>https://www.ibabynews.com/news/articleView.html?idxno=124283</v>
      </c>
      <c r="H4021">
        <v>0.27200000000000002</v>
      </c>
    </row>
    <row r="4022" spans="1:8" x14ac:dyDescent="0.3">
      <c r="A4022" t="s">
        <v>9678</v>
      </c>
      <c r="B4022" t="s">
        <v>26951</v>
      </c>
      <c r="C4022" t="s">
        <v>10221</v>
      </c>
      <c r="D4022" t="s">
        <v>10220</v>
      </c>
      <c r="E4022" s="2" t="s">
        <v>860</v>
      </c>
      <c r="F4022" t="s">
        <v>10219</v>
      </c>
      <c r="G4022" t="str">
        <f>HYPERLINK("http://www.wsobi.com/news/articleView.html?idxno=113824")</f>
        <v>http://www.wsobi.com/news/articleView.html?idxno=113824</v>
      </c>
      <c r="H4022">
        <v>3.3000000000000002E-2</v>
      </c>
    </row>
    <row r="4023" spans="1:8" x14ac:dyDescent="0.3">
      <c r="A4023" t="s">
        <v>9678</v>
      </c>
      <c r="B4023" t="s">
        <v>26951</v>
      </c>
      <c r="C4023" t="s">
        <v>10224</v>
      </c>
      <c r="D4023" t="s">
        <v>10223</v>
      </c>
      <c r="E4023" s="2" t="s">
        <v>860</v>
      </c>
      <c r="F4023" t="s">
        <v>10222</v>
      </c>
      <c r="G4023" t="str">
        <f>HYPERLINK("https://radio.ytn.co.kr/program/?f=2&amp;id=103427&amp;s_mcd=0214&amp;s_hcd=01")</f>
        <v>https://radio.ytn.co.kr/program/?f=2&amp;id=103427&amp;s_mcd=0214&amp;s_hcd=01</v>
      </c>
      <c r="H4023">
        <v>0.22600000000000001</v>
      </c>
    </row>
    <row r="4024" spans="1:8" x14ac:dyDescent="0.3">
      <c r="A4024" t="s">
        <v>9678</v>
      </c>
      <c r="B4024" t="s">
        <v>26951</v>
      </c>
      <c r="C4024" t="s">
        <v>10226</v>
      </c>
      <c r="D4024" t="s">
        <v>10225</v>
      </c>
      <c r="E4024" s="2" t="s">
        <v>860</v>
      </c>
      <c r="F4024" t="s">
        <v>10132</v>
      </c>
      <c r="G4024" t="str">
        <f>HYPERLINK("https://n.news.naver.com/mnews/article/277/0005352582?sid=104")</f>
        <v>https://n.news.naver.com/mnews/article/277/0005352582?sid=104</v>
      </c>
      <c r="H4024">
        <v>0.30299999999999999</v>
      </c>
    </row>
    <row r="4025" spans="1:8" x14ac:dyDescent="0.3">
      <c r="A4025" t="s">
        <v>9678</v>
      </c>
      <c r="B4025" t="s">
        <v>26951</v>
      </c>
      <c r="C4025" t="s">
        <v>10232</v>
      </c>
      <c r="D4025" t="s">
        <v>10231</v>
      </c>
      <c r="E4025" s="2" t="s">
        <v>860</v>
      </c>
      <c r="F4025" t="s">
        <v>10230</v>
      </c>
      <c r="G4025" t="str">
        <f>HYPERLINK("http://www.ggilbo.com/news/articleView.html?idxno=784965")</f>
        <v>http://www.ggilbo.com/news/articleView.html?idxno=784965</v>
      </c>
      <c r="H4025">
        <v>0.755</v>
      </c>
    </row>
    <row r="4026" spans="1:8" x14ac:dyDescent="0.3">
      <c r="A4026" t="s">
        <v>9678</v>
      </c>
      <c r="B4026" t="s">
        <v>26951</v>
      </c>
      <c r="C4026" t="s">
        <v>10234</v>
      </c>
      <c r="D4026" t="s">
        <v>10233</v>
      </c>
      <c r="E4026" s="2" t="s">
        <v>860</v>
      </c>
      <c r="F4026" t="s">
        <v>1233</v>
      </c>
      <c r="G4026" t="str">
        <f>HYPERLINK("http://www.fntoday.co.kr/news/articleView.html?idxno=351762")</f>
        <v>http://www.fntoday.co.kr/news/articleView.html?idxno=351762</v>
      </c>
      <c r="H4026">
        <v>0.38600000000000001</v>
      </c>
    </row>
    <row r="4027" spans="1:8" x14ac:dyDescent="0.3">
      <c r="A4027" t="s">
        <v>9678</v>
      </c>
      <c r="B4027" t="s">
        <v>26951</v>
      </c>
      <c r="C4027" t="s">
        <v>10239</v>
      </c>
      <c r="D4027" t="s">
        <v>10238</v>
      </c>
      <c r="E4027" s="2" t="s">
        <v>860</v>
      </c>
      <c r="F4027" t="s">
        <v>10237</v>
      </c>
      <c r="G4027" t="str">
        <f>HYPERLINK("https://n.news.naver.com/mnews/article/081/0003552870?sid=100")</f>
        <v>https://n.news.naver.com/mnews/article/081/0003552870?sid=100</v>
      </c>
      <c r="H4027">
        <v>0.23799999999999999</v>
      </c>
    </row>
    <row r="4028" spans="1:8" x14ac:dyDescent="0.3">
      <c r="A4028" t="s">
        <v>9678</v>
      </c>
      <c r="B4028" t="s">
        <v>26951</v>
      </c>
      <c r="C4028" t="s">
        <v>10242</v>
      </c>
      <c r="D4028" t="s">
        <v>10241</v>
      </c>
      <c r="E4028" s="2" t="s">
        <v>860</v>
      </c>
      <c r="F4028" t="s">
        <v>10240</v>
      </c>
      <c r="G4028" t="str">
        <f>HYPERLINK("https://n.news.naver.com/mnews/article/214/0001429075?sid=154")</f>
        <v>https://n.news.naver.com/mnews/article/214/0001429075?sid=154</v>
      </c>
      <c r="H4028">
        <v>0.28000000000000003</v>
      </c>
    </row>
    <row r="4029" spans="1:8" x14ac:dyDescent="0.3">
      <c r="A4029" t="s">
        <v>9678</v>
      </c>
      <c r="B4029" t="s">
        <v>26951</v>
      </c>
      <c r="C4029" t="s">
        <v>10245</v>
      </c>
      <c r="D4029" t="s">
        <v>10244</v>
      </c>
      <c r="E4029" s="2" t="s">
        <v>860</v>
      </c>
      <c r="F4029" t="s">
        <v>10243</v>
      </c>
      <c r="G4029" t="str">
        <f>HYPERLINK("http://www.insightkorea.co.kr//news/articleView.html?idxno=20400")</f>
        <v>http://www.insightkorea.co.kr//news/articleView.html?idxno=20400</v>
      </c>
      <c r="H4029">
        <v>0.45300000000000001</v>
      </c>
    </row>
    <row r="4030" spans="1:8" x14ac:dyDescent="0.3">
      <c r="A4030" t="s">
        <v>9678</v>
      </c>
      <c r="B4030" t="s">
        <v>26951</v>
      </c>
      <c r="C4030" t="s">
        <v>10248</v>
      </c>
      <c r="D4030" t="s">
        <v>10247</v>
      </c>
      <c r="E4030" s="2" t="s">
        <v>860</v>
      </c>
      <c r="F4030" t="s">
        <v>10246</v>
      </c>
      <c r="G4030" t="str">
        <f>HYPERLINK("http://www.namdonews.com/news/articleView.html?idxno=737663")</f>
        <v>http://www.namdonews.com/news/articleView.html?idxno=737663</v>
      </c>
      <c r="H4030">
        <v>0.58499999999999996</v>
      </c>
    </row>
    <row r="4031" spans="1:8" x14ac:dyDescent="0.3">
      <c r="A4031" t="s">
        <v>9678</v>
      </c>
      <c r="B4031" t="s">
        <v>26951</v>
      </c>
      <c r="C4031" t="s">
        <v>10251</v>
      </c>
      <c r="D4031" t="s">
        <v>10250</v>
      </c>
      <c r="E4031" s="2" t="s">
        <v>860</v>
      </c>
      <c r="F4031" t="s">
        <v>10249</v>
      </c>
      <c r="G4031" t="str">
        <f>HYPERLINK("https://n.news.naver.com/mnews/article/277/0005601574?sid=103")</f>
        <v>https://n.news.naver.com/mnews/article/277/0005601574?sid=103</v>
      </c>
      <c r="H4031">
        <v>0.16300000000000001</v>
      </c>
    </row>
    <row r="4032" spans="1:8" x14ac:dyDescent="0.3">
      <c r="A4032" t="s">
        <v>9678</v>
      </c>
      <c r="B4032" t="s">
        <v>26951</v>
      </c>
      <c r="C4032" t="s">
        <v>10254</v>
      </c>
      <c r="D4032" t="s">
        <v>10253</v>
      </c>
      <c r="E4032" s="2" t="s">
        <v>860</v>
      </c>
      <c r="F4032" t="s">
        <v>10252</v>
      </c>
      <c r="G4032" t="str">
        <f>HYPERLINK("http://www.srtimes.kr/news/articleView.html?idxno=171769")</f>
        <v>http://www.srtimes.kr/news/articleView.html?idxno=171769</v>
      </c>
      <c r="H4032">
        <v>0.43</v>
      </c>
    </row>
    <row r="4033" spans="1:8" x14ac:dyDescent="0.3">
      <c r="A4033" t="s">
        <v>9678</v>
      </c>
      <c r="B4033" t="s">
        <v>26951</v>
      </c>
      <c r="C4033" t="s">
        <v>10257</v>
      </c>
      <c r="D4033" t="s">
        <v>10256</v>
      </c>
      <c r="E4033" s="2" t="s">
        <v>860</v>
      </c>
      <c r="F4033" t="s">
        <v>10255</v>
      </c>
      <c r="G4033" t="str">
        <f>HYPERLINK("http://www.4th.kr/news/articleView.html?idxno=2089246")</f>
        <v>http://www.4th.kr/news/articleView.html?idxno=2089246</v>
      </c>
      <c r="H4033">
        <v>0.108</v>
      </c>
    </row>
    <row r="4034" spans="1:8" x14ac:dyDescent="0.3">
      <c r="A4034" t="s">
        <v>9678</v>
      </c>
      <c r="B4034" t="s">
        <v>26951</v>
      </c>
      <c r="C4034" t="s">
        <v>10259</v>
      </c>
      <c r="D4034" t="s">
        <v>10258</v>
      </c>
      <c r="E4034" s="2" t="s">
        <v>903</v>
      </c>
      <c r="F4034" t="s">
        <v>453</v>
      </c>
      <c r="G4034" t="str">
        <f>HYPERLINK("https://n.news.naver.com/mnews/article/016/0002493216?sid=103")</f>
        <v>https://n.news.naver.com/mnews/article/016/0002493216?sid=103</v>
      </c>
      <c r="H4034">
        <v>0.223</v>
      </c>
    </row>
    <row r="4035" spans="1:8" x14ac:dyDescent="0.3">
      <c r="A4035" t="s">
        <v>9678</v>
      </c>
      <c r="B4035" t="s">
        <v>26951</v>
      </c>
      <c r="C4035" t="s">
        <v>10262</v>
      </c>
      <c r="D4035" t="s">
        <v>10261</v>
      </c>
      <c r="E4035" s="2" t="s">
        <v>903</v>
      </c>
      <c r="F4035" t="s">
        <v>9994</v>
      </c>
      <c r="G4035" t="str">
        <f>HYPERLINK("https://www.iusm.co.kr/news/articleView.html?idxno=1051734")</f>
        <v>https://www.iusm.co.kr/news/articleView.html?idxno=1051734</v>
      </c>
      <c r="H4035">
        <v>0.57199999999999995</v>
      </c>
    </row>
    <row r="4036" spans="1:8" x14ac:dyDescent="0.3">
      <c r="A4036" t="s">
        <v>9678</v>
      </c>
      <c r="B4036" t="s">
        <v>26951</v>
      </c>
      <c r="C4036" t="s">
        <v>10265</v>
      </c>
      <c r="D4036" t="s">
        <v>10264</v>
      </c>
      <c r="E4036" s="2" t="s">
        <v>903</v>
      </c>
      <c r="F4036" t="s">
        <v>10263</v>
      </c>
      <c r="G4036" t="str">
        <f>HYPERLINK("http://www.wolyo.co.kr/news/articleView.html?idxno=78172")</f>
        <v>http://www.wolyo.co.kr/news/articleView.html?idxno=78172</v>
      </c>
      <c r="H4036">
        <v>0.29199999999999998</v>
      </c>
    </row>
    <row r="4037" spans="1:8" x14ac:dyDescent="0.3">
      <c r="A4037" t="s">
        <v>9678</v>
      </c>
      <c r="B4037" t="s">
        <v>26951</v>
      </c>
      <c r="C4037" t="s">
        <v>10268</v>
      </c>
      <c r="D4037" t="s">
        <v>10267</v>
      </c>
      <c r="E4037" s="2" t="s">
        <v>903</v>
      </c>
      <c r="F4037" t="s">
        <v>10266</v>
      </c>
      <c r="G4037" t="str">
        <f>HYPERLINK("https://n.news.naver.com/mnews/article/214/0001083407?sid=100")</f>
        <v>https://n.news.naver.com/mnews/article/214/0001083407?sid=100</v>
      </c>
      <c r="H4037">
        <v>0.39600000000000002</v>
      </c>
    </row>
    <row r="4038" spans="1:8" x14ac:dyDescent="0.3">
      <c r="A4038" t="s">
        <v>9678</v>
      </c>
      <c r="B4038" t="s">
        <v>26951</v>
      </c>
      <c r="C4038" t="s">
        <v>10271</v>
      </c>
      <c r="D4038" t="s">
        <v>10270</v>
      </c>
      <c r="E4038" s="2" t="s">
        <v>903</v>
      </c>
      <c r="F4038" t="s">
        <v>10269</v>
      </c>
      <c r="G4038" t="str">
        <f>HYPERLINK("http://www.enewstoday.co.kr/news/articleView.html?idxno=1620315")</f>
        <v>http://www.enewstoday.co.kr/news/articleView.html?idxno=1620315</v>
      </c>
      <c r="H4038">
        <v>0.34499999999999997</v>
      </c>
    </row>
    <row r="4039" spans="1:8" x14ac:dyDescent="0.3">
      <c r="A4039" t="s">
        <v>9678</v>
      </c>
      <c r="B4039" t="s">
        <v>26951</v>
      </c>
      <c r="C4039" t="s">
        <v>10273</v>
      </c>
      <c r="D4039" t="s">
        <v>10272</v>
      </c>
      <c r="E4039" s="2" t="s">
        <v>903</v>
      </c>
      <c r="F4039" t="s">
        <v>5548</v>
      </c>
      <c r="G4039" t="str">
        <f>HYPERLINK("https://www.pennmike.com/news/articleView.html?idxno=102520")</f>
        <v>https://www.pennmike.com/news/articleView.html?idxno=102520</v>
      </c>
      <c r="H4039">
        <v>0.66400000000000003</v>
      </c>
    </row>
    <row r="4040" spans="1:8" x14ac:dyDescent="0.3">
      <c r="A4040" t="s">
        <v>9678</v>
      </c>
      <c r="B4040" t="s">
        <v>26951</v>
      </c>
      <c r="C4040" t="s">
        <v>10276</v>
      </c>
      <c r="D4040" t="s">
        <v>10275</v>
      </c>
      <c r="E4040" s="2" t="s">
        <v>903</v>
      </c>
      <c r="F4040" t="s">
        <v>10274</v>
      </c>
      <c r="G4040" t="str">
        <f>HYPERLINK("https://n.news.naver.com/mnews/article/036/0000020767?sid=102")</f>
        <v>https://n.news.naver.com/mnews/article/036/0000020767?sid=102</v>
      </c>
      <c r="H4040">
        <v>0.219</v>
      </c>
    </row>
    <row r="4041" spans="1:8" x14ac:dyDescent="0.3">
      <c r="A4041" t="s">
        <v>9678</v>
      </c>
      <c r="B4041" t="s">
        <v>26951</v>
      </c>
      <c r="C4041" t="s">
        <v>10278</v>
      </c>
      <c r="D4041" t="s">
        <v>10277</v>
      </c>
      <c r="E4041" s="2" t="s">
        <v>903</v>
      </c>
      <c r="F4041" t="s">
        <v>5132</v>
      </c>
      <c r="G4041" t="str">
        <f>HYPERLINK("https://n.news.naver.com/mnews/article/214/0001093583?sid=102")</f>
        <v>https://n.news.naver.com/mnews/article/214/0001093583?sid=102</v>
      </c>
      <c r="H4041">
        <v>0.216</v>
      </c>
    </row>
    <row r="4042" spans="1:8" x14ac:dyDescent="0.3">
      <c r="A4042" t="s">
        <v>9678</v>
      </c>
      <c r="B4042" t="s">
        <v>26951</v>
      </c>
      <c r="C4042" t="s">
        <v>10281</v>
      </c>
      <c r="D4042" t="s">
        <v>10280</v>
      </c>
      <c r="E4042" s="2" t="s">
        <v>903</v>
      </c>
      <c r="F4042" t="s">
        <v>10279</v>
      </c>
      <c r="G4042" t="str">
        <f>HYPERLINK("https://n.news.naver.com/mnews/article/469/0000869530?sid=100")</f>
        <v>https://n.news.naver.com/mnews/article/469/0000869530?sid=100</v>
      </c>
      <c r="H4042">
        <v>0.14699999999999999</v>
      </c>
    </row>
    <row r="4043" spans="1:8" x14ac:dyDescent="0.3">
      <c r="A4043" t="s">
        <v>9678</v>
      </c>
      <c r="B4043" t="s">
        <v>26951</v>
      </c>
      <c r="C4043" t="s">
        <v>10283</v>
      </c>
      <c r="D4043" t="s">
        <v>10282</v>
      </c>
      <c r="E4043" s="2" t="s">
        <v>903</v>
      </c>
      <c r="F4043" t="s">
        <v>10064</v>
      </c>
      <c r="G4043" t="str">
        <f>HYPERLINK("http://www.dtnews24.com/news/article.html?no=387548")</f>
        <v>http://www.dtnews24.com/news/article.html?no=387548</v>
      </c>
      <c r="H4043">
        <v>0.61199999999999999</v>
      </c>
    </row>
    <row r="4044" spans="1:8" x14ac:dyDescent="0.3">
      <c r="A4044" t="s">
        <v>9678</v>
      </c>
      <c r="B4044" t="s">
        <v>26951</v>
      </c>
      <c r="C4044" t="s">
        <v>10286</v>
      </c>
      <c r="D4044" t="s">
        <v>10285</v>
      </c>
      <c r="E4044" s="2" t="s">
        <v>903</v>
      </c>
      <c r="F4044" t="s">
        <v>10284</v>
      </c>
      <c r="G4044" t="str">
        <f>HYPERLINK("https://www.pdjournal.com/news/articleView.html?idxno=80784")</f>
        <v>https://www.pdjournal.com/news/articleView.html?idxno=80784</v>
      </c>
      <c r="H4044">
        <v>0.376</v>
      </c>
    </row>
    <row r="4045" spans="1:8" x14ac:dyDescent="0.3">
      <c r="A4045" t="s">
        <v>9678</v>
      </c>
      <c r="B4045" t="s">
        <v>26951</v>
      </c>
      <c r="C4045" t="s">
        <v>10289</v>
      </c>
      <c r="D4045" t="s">
        <v>10288</v>
      </c>
      <c r="E4045" s="2" t="s">
        <v>903</v>
      </c>
      <c r="F4045" t="s">
        <v>10287</v>
      </c>
      <c r="G4045" t="str">
        <f>HYPERLINK("https://n.news.naver.com/mnews/article/018/0005952822?sid=102")</f>
        <v>https://n.news.naver.com/mnews/article/018/0005952822?sid=102</v>
      </c>
      <c r="H4045">
        <v>0.26400000000000001</v>
      </c>
    </row>
    <row r="4046" spans="1:8" x14ac:dyDescent="0.3">
      <c r="A4046" t="s">
        <v>9678</v>
      </c>
      <c r="B4046" t="s">
        <v>26951</v>
      </c>
      <c r="C4046" t="s">
        <v>10292</v>
      </c>
      <c r="D4046" t="s">
        <v>10291</v>
      </c>
      <c r="E4046" s="2" t="s">
        <v>903</v>
      </c>
      <c r="F4046" t="s">
        <v>10290</v>
      </c>
      <c r="G4046" t="str">
        <f>HYPERLINK("http://www.newspost.kr/news/articleView.html?idxno=57008")</f>
        <v>http://www.newspost.kr/news/articleView.html?idxno=57008</v>
      </c>
      <c r="H4046">
        <v>0.29899999999999999</v>
      </c>
    </row>
    <row r="4047" spans="1:8" x14ac:dyDescent="0.3">
      <c r="A4047" t="s">
        <v>9678</v>
      </c>
      <c r="B4047" t="s">
        <v>26951</v>
      </c>
      <c r="C4047" t="s">
        <v>10295</v>
      </c>
      <c r="D4047" t="s">
        <v>10294</v>
      </c>
      <c r="E4047" s="2" t="s">
        <v>903</v>
      </c>
      <c r="F4047" t="s">
        <v>10293</v>
      </c>
      <c r="G4047" t="str">
        <f>HYPERLINK("http://www.econonews.co.kr/news/articleView.html?idxno=207702")</f>
        <v>http://www.econonews.co.kr/news/articleView.html?idxno=207702</v>
      </c>
      <c r="H4047">
        <v>0.40799999999999997</v>
      </c>
    </row>
    <row r="4048" spans="1:8" x14ac:dyDescent="0.3">
      <c r="A4048" t="s">
        <v>9678</v>
      </c>
      <c r="B4048" t="s">
        <v>26951</v>
      </c>
      <c r="C4048" t="s">
        <v>10300</v>
      </c>
      <c r="D4048" t="s">
        <v>10299</v>
      </c>
      <c r="E4048" s="2" t="s">
        <v>903</v>
      </c>
      <c r="F4048" t="s">
        <v>10298</v>
      </c>
      <c r="G4048" t="str">
        <f>HYPERLINK("http://www.segyebiz.com/newsView/20250701511033?OutUrl=naver")</f>
        <v>http://www.segyebiz.com/newsView/20250701511033?OutUrl=naver</v>
      </c>
      <c r="H4048">
        <v>0.311</v>
      </c>
    </row>
    <row r="4049" spans="1:8" x14ac:dyDescent="0.3">
      <c r="A4049" t="s">
        <v>9678</v>
      </c>
      <c r="B4049" t="s">
        <v>26951</v>
      </c>
      <c r="C4049" t="s">
        <v>10304</v>
      </c>
      <c r="D4049" t="s">
        <v>10303</v>
      </c>
      <c r="E4049" s="2" t="s">
        <v>903</v>
      </c>
      <c r="F4049" t="s">
        <v>10302</v>
      </c>
      <c r="G4049" t="str">
        <f>HYPERLINK("https://n.news.naver.com/mnews/article/052/0002182782?sid=103")</f>
        <v>https://n.news.naver.com/mnews/article/052/0002182782?sid=103</v>
      </c>
      <c r="H4049">
        <v>0.224</v>
      </c>
    </row>
    <row r="4050" spans="1:8" x14ac:dyDescent="0.3">
      <c r="A4050" t="s">
        <v>9678</v>
      </c>
      <c r="B4050" t="s">
        <v>26951</v>
      </c>
      <c r="C4050" t="s">
        <v>10306</v>
      </c>
      <c r="D4050" t="s">
        <v>10305</v>
      </c>
      <c r="E4050" s="2" t="s">
        <v>903</v>
      </c>
      <c r="F4050" t="s">
        <v>5548</v>
      </c>
      <c r="G4050" t="str">
        <f>HYPERLINK("http://www.samdailbo.com/news/articleView.html?idxno=199941")</f>
        <v>http://www.samdailbo.com/news/articleView.html?idxno=199941</v>
      </c>
      <c r="H4050">
        <v>0.35899999999999999</v>
      </c>
    </row>
    <row r="4051" spans="1:8" x14ac:dyDescent="0.3">
      <c r="A4051" t="s">
        <v>9678</v>
      </c>
      <c r="B4051" t="s">
        <v>26951</v>
      </c>
      <c r="C4051" t="s">
        <v>10308</v>
      </c>
      <c r="D4051" t="s">
        <v>10307</v>
      </c>
      <c r="E4051" s="2" t="s">
        <v>903</v>
      </c>
      <c r="F4051" t="s">
        <v>1277</v>
      </c>
      <c r="G4051" t="str">
        <f>HYPERLINK("http://www.greened.kr/news/articleView.html?idxno=297700")</f>
        <v>http://www.greened.kr/news/articleView.html?idxno=297700</v>
      </c>
      <c r="H4051">
        <v>0.58499999999999996</v>
      </c>
    </row>
    <row r="4052" spans="1:8" x14ac:dyDescent="0.3">
      <c r="A4052" t="s">
        <v>9678</v>
      </c>
      <c r="B4052" t="s">
        <v>26951</v>
      </c>
      <c r="C4052" t="s">
        <v>10311</v>
      </c>
      <c r="D4052" t="s">
        <v>10310</v>
      </c>
      <c r="E4052" s="2" t="s">
        <v>903</v>
      </c>
      <c r="F4052" t="s">
        <v>10309</v>
      </c>
      <c r="G4052" t="str">
        <f>HYPERLINK("http://www.idomin.com/news/articleView.html?idxno=790458")</f>
        <v>http://www.idomin.com/news/articleView.html?idxno=790458</v>
      </c>
      <c r="H4052">
        <v>0.49299999999999999</v>
      </c>
    </row>
    <row r="4053" spans="1:8" x14ac:dyDescent="0.3">
      <c r="A4053" t="s">
        <v>9678</v>
      </c>
      <c r="B4053" t="s">
        <v>26951</v>
      </c>
      <c r="C4053" t="s">
        <v>10314</v>
      </c>
      <c r="D4053" t="s">
        <v>10313</v>
      </c>
      <c r="E4053" s="2" t="s">
        <v>903</v>
      </c>
      <c r="F4053" t="s">
        <v>10312</v>
      </c>
      <c r="G4053" t="str">
        <f>HYPERLINK("https://www.etoday.co.kr/news/view/2477313")</f>
        <v>https://www.etoday.co.kr/news/view/2477313</v>
      </c>
      <c r="H4053">
        <v>0.29299999999999998</v>
      </c>
    </row>
    <row r="4054" spans="1:8" x14ac:dyDescent="0.3">
      <c r="A4054" t="s">
        <v>9678</v>
      </c>
      <c r="B4054" t="s">
        <v>26951</v>
      </c>
      <c r="C4054" t="s">
        <v>10316</v>
      </c>
      <c r="D4054" t="s">
        <v>10315</v>
      </c>
      <c r="E4054" s="2" t="s">
        <v>903</v>
      </c>
      <c r="F4054" t="s">
        <v>5548</v>
      </c>
      <c r="G4054" t="str">
        <f>HYPERLINK("https://sports.hankooki.com/news/articleView.html?idxno=6887022")</f>
        <v>https://sports.hankooki.com/news/articleView.html?idxno=6887022</v>
      </c>
      <c r="H4054">
        <v>0.432</v>
      </c>
    </row>
    <row r="4055" spans="1:8" x14ac:dyDescent="0.3">
      <c r="A4055" t="s">
        <v>9678</v>
      </c>
      <c r="B4055" t="s">
        <v>26951</v>
      </c>
      <c r="C4055" t="s">
        <v>10319</v>
      </c>
      <c r="D4055" t="s">
        <v>10318</v>
      </c>
      <c r="E4055" s="2" t="s">
        <v>903</v>
      </c>
      <c r="F4055" t="s">
        <v>6731</v>
      </c>
      <c r="G4055" t="str">
        <f>HYPERLINK("https://www.christiantoday.co.kr/news/368980")</f>
        <v>https://www.christiantoday.co.kr/news/368980</v>
      </c>
      <c r="H4055">
        <v>0.54400000000000004</v>
      </c>
    </row>
    <row r="4056" spans="1:8" x14ac:dyDescent="0.3">
      <c r="A4056" t="s">
        <v>9678</v>
      </c>
      <c r="B4056" t="s">
        <v>26951</v>
      </c>
      <c r="C4056" t="s">
        <v>10321</v>
      </c>
      <c r="D4056" t="s">
        <v>10320</v>
      </c>
      <c r="E4056" s="2" t="s">
        <v>903</v>
      </c>
      <c r="F4056" t="s">
        <v>1579</v>
      </c>
      <c r="G4056" t="str">
        <f>HYPERLINK("https://n.news.naver.com/mnews/article/006/0000126446?sid=102")</f>
        <v>https://n.news.naver.com/mnews/article/006/0000126446?sid=102</v>
      </c>
      <c r="H4056">
        <v>0.31900000000000001</v>
      </c>
    </row>
    <row r="4057" spans="1:8" x14ac:dyDescent="0.3">
      <c r="A4057" t="s">
        <v>9678</v>
      </c>
      <c r="B4057" t="s">
        <v>26951</v>
      </c>
      <c r="C4057" t="s">
        <v>10324</v>
      </c>
      <c r="D4057" t="s">
        <v>10323</v>
      </c>
      <c r="E4057" s="2" t="s">
        <v>903</v>
      </c>
      <c r="F4057" t="s">
        <v>10322</v>
      </c>
      <c r="G4057" t="str">
        <f>HYPERLINK("https://www.kukinews.com/article/view/kuk202506010021")</f>
        <v>https://www.kukinews.com/article/view/kuk202506010021</v>
      </c>
      <c r="H4057">
        <v>0.46899999999999997</v>
      </c>
    </row>
    <row r="4058" spans="1:8" x14ac:dyDescent="0.3">
      <c r="A4058" t="s">
        <v>9678</v>
      </c>
      <c r="B4058" t="s">
        <v>26951</v>
      </c>
      <c r="C4058" t="s">
        <v>10327</v>
      </c>
      <c r="D4058" t="s">
        <v>10326</v>
      </c>
      <c r="E4058" s="2" t="s">
        <v>903</v>
      </c>
      <c r="F4058" t="s">
        <v>10325</v>
      </c>
      <c r="G4058" t="str">
        <f>HYPERLINK("https://n.news.naver.com/mnews/article/052/0000494876?sid=103")</f>
        <v>https://n.news.naver.com/mnews/article/052/0000494876?sid=103</v>
      </c>
      <c r="H4058">
        <v>0.22800000000000001</v>
      </c>
    </row>
    <row r="4059" spans="1:8" x14ac:dyDescent="0.3">
      <c r="A4059" t="s">
        <v>9678</v>
      </c>
      <c r="B4059" t="s">
        <v>26951</v>
      </c>
      <c r="C4059" t="s">
        <v>10329</v>
      </c>
      <c r="D4059" t="s">
        <v>10328</v>
      </c>
      <c r="E4059" s="2" t="s">
        <v>903</v>
      </c>
      <c r="F4059" t="s">
        <v>9749</v>
      </c>
      <c r="G4059" t="str">
        <f>HYPERLINK("https://n.news.naver.com/mnews/article/119/0002963645?sid=103")</f>
        <v>https://n.news.naver.com/mnews/article/119/0002963645?sid=103</v>
      </c>
      <c r="H4059">
        <v>0.27300000000000002</v>
      </c>
    </row>
    <row r="4060" spans="1:8" x14ac:dyDescent="0.3">
      <c r="A4060" t="s">
        <v>9678</v>
      </c>
      <c r="B4060" t="s">
        <v>26951</v>
      </c>
      <c r="C4060" t="s">
        <v>10332</v>
      </c>
      <c r="D4060" t="s">
        <v>10331</v>
      </c>
      <c r="E4060" s="2" t="s">
        <v>903</v>
      </c>
      <c r="F4060" t="s">
        <v>9944</v>
      </c>
      <c r="G4060" t="str">
        <f>HYPERLINK("https://n.news.naver.com/mnews/article/214/0001432219?sid=100")</f>
        <v>https://n.news.naver.com/mnews/article/214/0001432219?sid=100</v>
      </c>
      <c r="H4060">
        <v>0.52100000000000002</v>
      </c>
    </row>
    <row r="4061" spans="1:8" x14ac:dyDescent="0.3">
      <c r="A4061" t="s">
        <v>9678</v>
      </c>
      <c r="B4061" t="s">
        <v>26951</v>
      </c>
      <c r="C4061" t="s">
        <v>10335</v>
      </c>
      <c r="D4061" t="s">
        <v>10334</v>
      </c>
      <c r="E4061" s="2" t="s">
        <v>903</v>
      </c>
      <c r="F4061" t="s">
        <v>10333</v>
      </c>
      <c r="G4061" t="str">
        <f>HYPERLINK("https://n.news.naver.com/mnews/article/032/0003377184?sid=103")</f>
        <v>https://n.news.naver.com/mnews/article/032/0003377184?sid=103</v>
      </c>
      <c r="H4061">
        <v>0.122</v>
      </c>
    </row>
    <row r="4062" spans="1:8" x14ac:dyDescent="0.3">
      <c r="A4062" t="s">
        <v>9678</v>
      </c>
      <c r="B4062" t="s">
        <v>26951</v>
      </c>
      <c r="C4062" t="s">
        <v>10337</v>
      </c>
      <c r="D4062" t="s">
        <v>10336</v>
      </c>
      <c r="E4062" s="2" t="s">
        <v>903</v>
      </c>
      <c r="F4062" t="s">
        <v>2670</v>
      </c>
      <c r="G4062" t="str">
        <f>HYPERLINK("https://n.news.naver.com/mnews/article/214/0001262088?sid=102")</f>
        <v>https://n.news.naver.com/mnews/article/214/0001262088?sid=102</v>
      </c>
      <c r="H4062">
        <v>0.24099999999999999</v>
      </c>
    </row>
    <row r="4063" spans="1:8" x14ac:dyDescent="0.3">
      <c r="A4063" t="s">
        <v>9678</v>
      </c>
      <c r="B4063" t="s">
        <v>26951</v>
      </c>
      <c r="C4063" t="s">
        <v>10340</v>
      </c>
      <c r="D4063" t="s">
        <v>10339</v>
      </c>
      <c r="E4063" s="2" t="s">
        <v>903</v>
      </c>
      <c r="F4063" t="s">
        <v>10338</v>
      </c>
      <c r="G4063" t="str">
        <f>HYPERLINK("http://www.ilemonde.com/news/articleView.html?idxno=19321")</f>
        <v>http://www.ilemonde.com/news/articleView.html?idxno=19321</v>
      </c>
      <c r="H4063">
        <v>0.71899999999999997</v>
      </c>
    </row>
    <row r="4064" spans="1:8" x14ac:dyDescent="0.3">
      <c r="A4064" t="s">
        <v>9678</v>
      </c>
      <c r="B4064" t="s">
        <v>26951</v>
      </c>
      <c r="C4064" t="s">
        <v>10344</v>
      </c>
      <c r="D4064" t="s">
        <v>10343</v>
      </c>
      <c r="E4064" s="2" t="s">
        <v>903</v>
      </c>
      <c r="F4064" t="s">
        <v>10342</v>
      </c>
      <c r="G4064" t="str">
        <f>HYPERLINK("https://www.etoday.co.kr/news/view/2427555")</f>
        <v>https://www.etoday.co.kr/news/view/2427555</v>
      </c>
      <c r="H4064">
        <v>0.42099999999999999</v>
      </c>
    </row>
    <row r="4065" spans="1:8" x14ac:dyDescent="0.3">
      <c r="A4065" t="s">
        <v>9678</v>
      </c>
      <c r="B4065" t="s">
        <v>26951</v>
      </c>
      <c r="C4065" t="s">
        <v>10347</v>
      </c>
      <c r="D4065" t="s">
        <v>10346</v>
      </c>
      <c r="E4065" s="2" t="s">
        <v>903</v>
      </c>
      <c r="F4065" t="s">
        <v>10345</v>
      </c>
      <c r="G4065" t="str">
        <f>HYPERLINK("https://www.etoday.co.kr/news/view/2026139")</f>
        <v>https://www.etoday.co.kr/news/view/2026139</v>
      </c>
      <c r="H4065">
        <v>0.23300000000000001</v>
      </c>
    </row>
    <row r="4066" spans="1:8" x14ac:dyDescent="0.3">
      <c r="A4066" t="s">
        <v>9678</v>
      </c>
      <c r="B4066" t="s">
        <v>26951</v>
      </c>
      <c r="C4066" t="s">
        <v>10349</v>
      </c>
      <c r="D4066" t="s">
        <v>10348</v>
      </c>
      <c r="E4066" s="2" t="s">
        <v>903</v>
      </c>
      <c r="F4066" t="s">
        <v>1978</v>
      </c>
      <c r="G4066" t="str">
        <f>HYPERLINK("https://www.danbinews.com/news/articleView.html?idxno=30751")</f>
        <v>https://www.danbinews.com/news/articleView.html?idxno=30751</v>
      </c>
      <c r="H4066">
        <v>0.42699999999999999</v>
      </c>
    </row>
    <row r="4067" spans="1:8" x14ac:dyDescent="0.3">
      <c r="A4067" t="s">
        <v>9678</v>
      </c>
      <c r="B4067" t="s">
        <v>26951</v>
      </c>
      <c r="C4067" t="s">
        <v>10351</v>
      </c>
      <c r="D4067" t="s">
        <v>10350</v>
      </c>
      <c r="E4067" s="2" t="s">
        <v>903</v>
      </c>
      <c r="F4067" t="s">
        <v>6043</v>
      </c>
      <c r="G4067" t="str">
        <f>HYPERLINK("http://www.newstnt.com/news/articleView.html?idxno=455529")</f>
        <v>http://www.newstnt.com/news/articleView.html?idxno=455529</v>
      </c>
      <c r="H4067">
        <v>0.112</v>
      </c>
    </row>
    <row r="4068" spans="1:8" x14ac:dyDescent="0.3">
      <c r="A4068" t="s">
        <v>9678</v>
      </c>
      <c r="B4068" t="s">
        <v>26951</v>
      </c>
      <c r="C4068" t="s">
        <v>10354</v>
      </c>
      <c r="D4068" t="s">
        <v>10353</v>
      </c>
      <c r="E4068" s="2" t="s">
        <v>903</v>
      </c>
      <c r="F4068" t="s">
        <v>10352</v>
      </c>
      <c r="G4068" t="str">
        <f>HYPERLINK("https://www.ccdn.co.kr/news/articleView.html?idxno=1026811")</f>
        <v>https://www.ccdn.co.kr/news/articleView.html?idxno=1026811</v>
      </c>
      <c r="H4068">
        <v>0.34200000000000003</v>
      </c>
    </row>
    <row r="4069" spans="1:8" x14ac:dyDescent="0.3">
      <c r="A4069" t="s">
        <v>9678</v>
      </c>
      <c r="B4069" t="s">
        <v>26951</v>
      </c>
      <c r="C4069" t="s">
        <v>10357</v>
      </c>
      <c r="D4069" t="s">
        <v>10356</v>
      </c>
      <c r="E4069" s="2" t="s">
        <v>903</v>
      </c>
      <c r="F4069" t="s">
        <v>10355</v>
      </c>
      <c r="G4069" t="str">
        <f>HYPERLINK("https://n.news.naver.com/mnews/article/214/0001262088?sid=102")</f>
        <v>https://n.news.naver.com/mnews/article/214/0001262088?sid=102</v>
      </c>
      <c r="H4069">
        <v>0.27300000000000002</v>
      </c>
    </row>
    <row r="4070" spans="1:8" x14ac:dyDescent="0.3">
      <c r="A4070" t="s">
        <v>9678</v>
      </c>
      <c r="B4070" t="s">
        <v>26951</v>
      </c>
      <c r="C4070" t="s">
        <v>10360</v>
      </c>
      <c r="D4070" t="s">
        <v>10359</v>
      </c>
      <c r="E4070" s="2" t="s">
        <v>903</v>
      </c>
      <c r="F4070" t="s">
        <v>10358</v>
      </c>
      <c r="G4070" t="str">
        <f>HYPERLINK("http://www.biztribune.co.kr/news/articleView.html?idxno=336156")</f>
        <v>http://www.biztribune.co.kr/news/articleView.html?idxno=336156</v>
      </c>
      <c r="H4070">
        <v>0.59599999999999997</v>
      </c>
    </row>
    <row r="4071" spans="1:8" x14ac:dyDescent="0.3">
      <c r="A4071" t="s">
        <v>9678</v>
      </c>
      <c r="B4071" t="s">
        <v>26951</v>
      </c>
      <c r="C4071" t="s">
        <v>10363</v>
      </c>
      <c r="D4071" t="s">
        <v>10362</v>
      </c>
      <c r="E4071" s="2" t="s">
        <v>903</v>
      </c>
      <c r="F4071" t="s">
        <v>10361</v>
      </c>
      <c r="G4071" t="str">
        <f>HYPERLINK("https://www.lecturernews.com/news/articleView.html?idxno=178339")</f>
        <v>https://www.lecturernews.com/news/articleView.html?idxno=178339</v>
      </c>
      <c r="H4071">
        <v>0.49199999999999999</v>
      </c>
    </row>
    <row r="4072" spans="1:8" x14ac:dyDescent="0.3">
      <c r="A4072" t="s">
        <v>9678</v>
      </c>
      <c r="B4072" t="s">
        <v>26951</v>
      </c>
      <c r="C4072" t="s">
        <v>10366</v>
      </c>
      <c r="D4072" t="s">
        <v>10365</v>
      </c>
      <c r="E4072" s="2" t="s">
        <v>903</v>
      </c>
      <c r="F4072" t="s">
        <v>10364</v>
      </c>
      <c r="G4072" t="str">
        <f>HYPERLINK("http://www.newsmp.com/news/articleView.html?idxno=241024")</f>
        <v>http://www.newsmp.com/news/articleView.html?idxno=241024</v>
      </c>
      <c r="H4072">
        <v>0.47299999999999998</v>
      </c>
    </row>
    <row r="4073" spans="1:8" x14ac:dyDescent="0.3">
      <c r="A4073" t="s">
        <v>9678</v>
      </c>
      <c r="B4073" t="s">
        <v>26951</v>
      </c>
      <c r="C4073" t="s">
        <v>10369</v>
      </c>
      <c r="D4073" t="s">
        <v>10368</v>
      </c>
      <c r="E4073" s="2" t="s">
        <v>903</v>
      </c>
      <c r="F4073" t="s">
        <v>10367</v>
      </c>
      <c r="G4073" t="str">
        <f>HYPERLINK("https://n.news.naver.com/mnews/article/057/0001631535?sid=102")</f>
        <v>https://n.news.naver.com/mnews/article/057/0001631535?sid=102</v>
      </c>
      <c r="H4073">
        <v>0.27600000000000002</v>
      </c>
    </row>
    <row r="4074" spans="1:8" x14ac:dyDescent="0.3">
      <c r="A4074" t="s">
        <v>9678</v>
      </c>
      <c r="B4074" t="s">
        <v>26951</v>
      </c>
      <c r="C4074" t="s">
        <v>10371</v>
      </c>
      <c r="D4074" t="s">
        <v>10370</v>
      </c>
      <c r="E4074" s="2" t="s">
        <v>903</v>
      </c>
      <c r="F4074" t="s">
        <v>9929</v>
      </c>
      <c r="G4074" t="str">
        <f>HYPERLINK("http://www.kukinews.com/news/article.html?no=738755")</f>
        <v>http://www.kukinews.com/news/article.html?no=738755</v>
      </c>
      <c r="H4074">
        <v>0.61199999999999999</v>
      </c>
    </row>
    <row r="4075" spans="1:8" x14ac:dyDescent="0.3">
      <c r="A4075" t="s">
        <v>9678</v>
      </c>
      <c r="B4075" t="s">
        <v>26951</v>
      </c>
      <c r="C4075" t="s">
        <v>10373</v>
      </c>
      <c r="D4075" t="s">
        <v>10372</v>
      </c>
      <c r="E4075" s="2" t="s">
        <v>903</v>
      </c>
      <c r="F4075" t="s">
        <v>3349</v>
      </c>
      <c r="G4075" t="str">
        <f>HYPERLINK("https://www.kpinews.kr/newsView/1065610865411401")</f>
        <v>https://www.kpinews.kr/newsView/1065610865411401</v>
      </c>
      <c r="H4075">
        <v>0.49299999999999999</v>
      </c>
    </row>
    <row r="4076" spans="1:8" x14ac:dyDescent="0.3">
      <c r="A4076" t="s">
        <v>9678</v>
      </c>
      <c r="B4076" t="s">
        <v>26951</v>
      </c>
      <c r="C4076" t="s">
        <v>10376</v>
      </c>
      <c r="D4076" t="s">
        <v>10375</v>
      </c>
      <c r="E4076" s="2" t="s">
        <v>903</v>
      </c>
      <c r="F4076" t="s">
        <v>10374</v>
      </c>
      <c r="G4076" t="str">
        <f>HYPERLINK("https://www.pennmike.com/news/articleView.html?idxno=101943")</f>
        <v>https://www.pennmike.com/news/articleView.html?idxno=101943</v>
      </c>
      <c r="H4076">
        <v>0.438</v>
      </c>
    </row>
    <row r="4077" spans="1:8" x14ac:dyDescent="0.3">
      <c r="A4077" t="s">
        <v>9678</v>
      </c>
      <c r="B4077" t="s">
        <v>26951</v>
      </c>
      <c r="C4077" t="s">
        <v>10378</v>
      </c>
      <c r="D4077" t="s">
        <v>10377</v>
      </c>
      <c r="E4077" s="2" t="s">
        <v>903</v>
      </c>
      <c r="F4077" t="s">
        <v>373</v>
      </c>
      <c r="G4077" t="str">
        <f>HYPERLINK("https://www.tournews21.com/news/articleView.html?idxno=103902")</f>
        <v>https://www.tournews21.com/news/articleView.html?idxno=103902</v>
      </c>
      <c r="H4077">
        <v>0.872</v>
      </c>
    </row>
    <row r="4078" spans="1:8" x14ac:dyDescent="0.3">
      <c r="A4078" t="s">
        <v>9678</v>
      </c>
      <c r="B4078" t="s">
        <v>26951</v>
      </c>
      <c r="C4078" t="s">
        <v>10381</v>
      </c>
      <c r="D4078" t="s">
        <v>10380</v>
      </c>
      <c r="E4078" s="2" t="s">
        <v>903</v>
      </c>
      <c r="F4078" t="s">
        <v>10379</v>
      </c>
      <c r="G4078" t="str">
        <f>HYPERLINK("http://www.travelitoday.com/read/contentsView/15586/41")</f>
        <v>http://www.travelitoday.com/read/contentsView/15586/41</v>
      </c>
      <c r="H4078">
        <v>0.24</v>
      </c>
    </row>
    <row r="4079" spans="1:8" x14ac:dyDescent="0.3">
      <c r="A4079" t="s">
        <v>9678</v>
      </c>
      <c r="B4079" t="s">
        <v>26951</v>
      </c>
      <c r="C4079" t="s">
        <v>10383</v>
      </c>
      <c r="D4079" t="s">
        <v>10382</v>
      </c>
      <c r="E4079" s="2" t="s">
        <v>903</v>
      </c>
      <c r="F4079" t="s">
        <v>1378</v>
      </c>
      <c r="G4079" t="str">
        <f>HYPERLINK("https://n.news.naver.com/mnews/article/008/0004004560?sid=103")</f>
        <v>https://n.news.naver.com/mnews/article/008/0004004560?sid=103</v>
      </c>
      <c r="H4079">
        <v>0.28199999999999997</v>
      </c>
    </row>
    <row r="4080" spans="1:8" x14ac:dyDescent="0.3">
      <c r="A4080" t="s">
        <v>9678</v>
      </c>
      <c r="B4080" t="s">
        <v>26951</v>
      </c>
      <c r="C4080" t="s">
        <v>10388</v>
      </c>
      <c r="D4080" t="s">
        <v>10387</v>
      </c>
      <c r="E4080" s="2" t="s">
        <v>903</v>
      </c>
      <c r="F4080" t="s">
        <v>10386</v>
      </c>
      <c r="G4080" t="str">
        <f>HYPERLINK("https://www.allurekorea.com/2020/07/16/%eb%b0%80%eb%a0%88%eb%8b%88%ec%96%bc%ec%9d%b4%ec%a7%80%eb%a7%8c-%eb%b6%80%ec%9e%90%ea%b0%80-%eb%90%98%ea%b2%a0%ec%96%b4%ec%9a%94/?utm_source=naver&amp;utm_medium=partnership")</f>
        <v>https://www.allurekorea.com/2020/07/16/%eb%b0%80%eb%a0%88%eb%8b%88%ec%96%bc%ec%9d%b4%ec%a7%80%eb%a7%8c-%eb%b6%80%ec%9e%90%ea%b0%80-%eb%90%98%ea%b2%a0%ec%96%b4%ec%9a%94/?utm_source=naver&amp;utm_medium=partnership</v>
      </c>
      <c r="H4080">
        <v>0.42199999999999999</v>
      </c>
    </row>
    <row r="4081" spans="1:8" x14ac:dyDescent="0.3">
      <c r="A4081" t="s">
        <v>9678</v>
      </c>
      <c r="B4081" t="s">
        <v>26951</v>
      </c>
      <c r="C4081" t="s">
        <v>10391</v>
      </c>
      <c r="D4081" t="s">
        <v>10390</v>
      </c>
      <c r="E4081" s="2" t="s">
        <v>903</v>
      </c>
      <c r="F4081" t="s">
        <v>10389</v>
      </c>
      <c r="G4081" t="str">
        <f>HYPERLINK("http://www.jjn.co.kr/news/articleView.html?idxno=938758")</f>
        <v>http://www.jjn.co.kr/news/articleView.html?idxno=938758</v>
      </c>
      <c r="H4081">
        <v>0.38600000000000001</v>
      </c>
    </row>
    <row r="4082" spans="1:8" x14ac:dyDescent="0.3">
      <c r="A4082" t="s">
        <v>9678</v>
      </c>
      <c r="B4082" t="s">
        <v>26951</v>
      </c>
      <c r="C4082" t="s">
        <v>10393</v>
      </c>
      <c r="D4082" t="s">
        <v>10392</v>
      </c>
      <c r="E4082" s="2" t="s">
        <v>903</v>
      </c>
      <c r="F4082" t="s">
        <v>1378</v>
      </c>
      <c r="G4082" t="str">
        <f>HYPERLINK("https://n.news.naver.com/mnews/article/008/0004004560?sid=103")</f>
        <v>https://n.news.naver.com/mnews/article/008/0004004560?sid=103</v>
      </c>
      <c r="H4082">
        <v>0.31900000000000001</v>
      </c>
    </row>
    <row r="4083" spans="1:8" x14ac:dyDescent="0.3">
      <c r="A4083" t="s">
        <v>9678</v>
      </c>
      <c r="B4083" t="s">
        <v>26951</v>
      </c>
      <c r="C4083" t="s">
        <v>10396</v>
      </c>
      <c r="D4083" t="s">
        <v>10395</v>
      </c>
      <c r="E4083" s="2" t="s">
        <v>903</v>
      </c>
      <c r="F4083" t="s">
        <v>10394</v>
      </c>
      <c r="G4083" t="str">
        <f>HYPERLINK("https://n.news.naver.com/mnews/article/022/0004046680?sid=100")</f>
        <v>https://n.news.naver.com/mnews/article/022/0004046680?sid=100</v>
      </c>
      <c r="H4083">
        <v>0.23100000000000001</v>
      </c>
    </row>
    <row r="4084" spans="1:8" x14ac:dyDescent="0.3">
      <c r="A4084" t="s">
        <v>9678</v>
      </c>
      <c r="B4084" t="s">
        <v>26951</v>
      </c>
      <c r="C4084" t="s">
        <v>10400</v>
      </c>
      <c r="D4084" t="s">
        <v>10399</v>
      </c>
      <c r="E4084" s="2" t="s">
        <v>903</v>
      </c>
      <c r="F4084" t="s">
        <v>1378</v>
      </c>
      <c r="G4084" t="str">
        <f>HYPERLINK("https://n.news.naver.com/mnews/article/008/0004004560?sid=103")</f>
        <v>https://n.news.naver.com/mnews/article/008/0004004560?sid=103</v>
      </c>
      <c r="H4084">
        <v>0.247</v>
      </c>
    </row>
    <row r="4085" spans="1:8" x14ac:dyDescent="0.3">
      <c r="A4085" t="s">
        <v>9678</v>
      </c>
      <c r="B4085" t="s">
        <v>26951</v>
      </c>
      <c r="C4085" t="s">
        <v>10403</v>
      </c>
      <c r="D4085" t="s">
        <v>10402</v>
      </c>
      <c r="E4085" s="2" t="s">
        <v>903</v>
      </c>
      <c r="F4085" t="s">
        <v>10401</v>
      </c>
      <c r="G4085" t="str">
        <f>HYPERLINK("https://www.tournews21.com/news/articleView.html?idxno=103902")</f>
        <v>https://www.tournews21.com/news/articleView.html?idxno=103902</v>
      </c>
      <c r="H4085">
        <v>0.85399999999999998</v>
      </c>
    </row>
    <row r="4086" spans="1:8" x14ac:dyDescent="0.3">
      <c r="A4086" t="s">
        <v>9678</v>
      </c>
      <c r="B4086" t="s">
        <v>26951</v>
      </c>
      <c r="C4086" t="s">
        <v>10406</v>
      </c>
      <c r="D4086" t="s">
        <v>10405</v>
      </c>
      <c r="E4086" s="2" t="s">
        <v>903</v>
      </c>
      <c r="F4086" t="s">
        <v>10404</v>
      </c>
      <c r="G4086" t="str">
        <f>HYPERLINK("https://n.news.naver.com/mnews/article/214/0001179178?sid=100")</f>
        <v>https://n.news.naver.com/mnews/article/214/0001179178?sid=100</v>
      </c>
      <c r="H4086">
        <v>0.41</v>
      </c>
    </row>
    <row r="4087" spans="1:8" x14ac:dyDescent="0.3">
      <c r="A4087" t="s">
        <v>9678</v>
      </c>
      <c r="B4087" t="s">
        <v>26951</v>
      </c>
      <c r="C4087" t="s">
        <v>10409</v>
      </c>
      <c r="D4087" t="s">
        <v>10408</v>
      </c>
      <c r="E4087" s="2" t="s">
        <v>903</v>
      </c>
      <c r="F4087" t="s">
        <v>10407</v>
      </c>
      <c r="G4087" t="str">
        <f>HYPERLINK("https://n.news.naver.com/mnews/article/002/0002128161?sid=103")</f>
        <v>https://n.news.naver.com/mnews/article/002/0002128161?sid=103</v>
      </c>
      <c r="H4087">
        <v>0.313</v>
      </c>
    </row>
    <row r="4088" spans="1:8" x14ac:dyDescent="0.3">
      <c r="A4088" t="s">
        <v>9678</v>
      </c>
      <c r="B4088" t="s">
        <v>26951</v>
      </c>
      <c r="C4088" t="s">
        <v>10411</v>
      </c>
      <c r="D4088" t="s">
        <v>10410</v>
      </c>
      <c r="E4088" s="2" t="s">
        <v>903</v>
      </c>
      <c r="F4088" t="s">
        <v>1327</v>
      </c>
      <c r="G4088" t="str">
        <f>HYPERLINK("https://radio.ytn.co.kr/program/?f=2&amp;id=93628&amp;s_mcd=0452&amp;s_hcd=01")</f>
        <v>https://radio.ytn.co.kr/program/?f=2&amp;id=93628&amp;s_mcd=0452&amp;s_hcd=01</v>
      </c>
      <c r="H4088">
        <v>0.41</v>
      </c>
    </row>
    <row r="4089" spans="1:8" x14ac:dyDescent="0.3">
      <c r="A4089" t="s">
        <v>9678</v>
      </c>
      <c r="B4089" t="s">
        <v>26951</v>
      </c>
      <c r="C4089" t="s">
        <v>10414</v>
      </c>
      <c r="D4089" t="s">
        <v>10413</v>
      </c>
      <c r="E4089" s="2" t="s">
        <v>903</v>
      </c>
      <c r="F4089" t="s">
        <v>10412</v>
      </c>
      <c r="G4089" t="str">
        <f>HYPERLINK("http://www.kbench.com/?q=node/184495")</f>
        <v>http://www.kbench.com/?q=node/184495</v>
      </c>
      <c r="H4089">
        <v>0.35599999999999998</v>
      </c>
    </row>
    <row r="4090" spans="1:8" x14ac:dyDescent="0.3">
      <c r="A4090" t="s">
        <v>9678</v>
      </c>
      <c r="B4090" t="s">
        <v>26951</v>
      </c>
      <c r="C4090" t="s">
        <v>10417</v>
      </c>
      <c r="D4090" t="s">
        <v>10416</v>
      </c>
      <c r="E4090" s="2" t="s">
        <v>903</v>
      </c>
      <c r="F4090" t="s">
        <v>10415</v>
      </c>
      <c r="G4090" t="str">
        <f>HYPERLINK("https://www.fortunekorea.co.kr/news/articleView.html?idxno=48776")</f>
        <v>https://www.fortunekorea.co.kr/news/articleView.html?idxno=48776</v>
      </c>
      <c r="H4090">
        <v>0.376</v>
      </c>
    </row>
    <row r="4091" spans="1:8" x14ac:dyDescent="0.3">
      <c r="A4091" t="s">
        <v>9678</v>
      </c>
      <c r="B4091" t="s">
        <v>26951</v>
      </c>
      <c r="C4091" t="s">
        <v>10420</v>
      </c>
      <c r="D4091" t="s">
        <v>10419</v>
      </c>
      <c r="E4091" s="2" t="s">
        <v>903</v>
      </c>
      <c r="F4091" t="s">
        <v>9912</v>
      </c>
      <c r="G4091" t="str">
        <f>HYPERLINK("http://www.newspim.com/common/redirect.jsp?newsId=20120824000106")</f>
        <v>http://www.newspim.com/common/redirect.jsp?newsId=20120824000106</v>
      </c>
      <c r="H4091">
        <v>8.3000000000000004E-2</v>
      </c>
    </row>
    <row r="4092" spans="1:8" x14ac:dyDescent="0.3">
      <c r="A4092" t="s">
        <v>9678</v>
      </c>
      <c r="B4092" t="s">
        <v>26951</v>
      </c>
      <c r="C4092" t="s">
        <v>10424</v>
      </c>
      <c r="D4092" t="s">
        <v>10423</v>
      </c>
      <c r="E4092" s="2" t="s">
        <v>903</v>
      </c>
      <c r="F4092" t="s">
        <v>10422</v>
      </c>
      <c r="G4092" t="str">
        <f>HYPERLINK("https://n.news.naver.com/mnews/article/079/0003831267?sid=100")</f>
        <v>https://n.news.naver.com/mnews/article/079/0003831267?sid=100</v>
      </c>
      <c r="H4092">
        <v>0.28699999999999998</v>
      </c>
    </row>
    <row r="4093" spans="1:8" x14ac:dyDescent="0.3">
      <c r="A4093" t="s">
        <v>9678</v>
      </c>
      <c r="B4093" t="s">
        <v>26951</v>
      </c>
      <c r="C4093" t="s">
        <v>10426</v>
      </c>
      <c r="D4093" t="s">
        <v>10425</v>
      </c>
      <c r="E4093" s="2" t="s">
        <v>903</v>
      </c>
      <c r="F4093" t="s">
        <v>9912</v>
      </c>
      <c r="G4093" t="str">
        <f>HYPERLINK("https://sports.hankooki.com/news/articleView.html?idxno=6875028")</f>
        <v>https://sports.hankooki.com/news/articleView.html?idxno=6875028</v>
      </c>
      <c r="H4093">
        <v>0.48399999999999999</v>
      </c>
    </row>
    <row r="4094" spans="1:8" x14ac:dyDescent="0.3">
      <c r="A4094" t="s">
        <v>9678</v>
      </c>
      <c r="B4094" t="s">
        <v>26951</v>
      </c>
      <c r="C4094" t="s">
        <v>10429</v>
      </c>
      <c r="D4094" t="s">
        <v>10428</v>
      </c>
      <c r="E4094" s="2" t="s">
        <v>903</v>
      </c>
      <c r="F4094" t="s">
        <v>10427</v>
      </c>
      <c r="G4094" t="str">
        <f>HYPERLINK("https://byline.network/?p=9004111222568964")</f>
        <v>https://byline.network/?p=9004111222568964</v>
      </c>
      <c r="H4094">
        <v>0.72299999999999998</v>
      </c>
    </row>
    <row r="4095" spans="1:8" x14ac:dyDescent="0.3">
      <c r="A4095" t="s">
        <v>9678</v>
      </c>
      <c r="B4095" t="s">
        <v>26951</v>
      </c>
      <c r="C4095" t="s">
        <v>10432</v>
      </c>
      <c r="D4095" t="s">
        <v>10431</v>
      </c>
      <c r="E4095" s="2" t="s">
        <v>903</v>
      </c>
      <c r="F4095" t="s">
        <v>10430</v>
      </c>
      <c r="G4095" t="str">
        <f>HYPERLINK("http://www.ntoday.co.kr/news/articleView.html?idxno=96673")</f>
        <v>http://www.ntoday.co.kr/news/articleView.html?idxno=96673</v>
      </c>
      <c r="H4095">
        <v>0.251</v>
      </c>
    </row>
    <row r="4096" spans="1:8" x14ac:dyDescent="0.3">
      <c r="A4096" t="s">
        <v>9678</v>
      </c>
      <c r="B4096" t="s">
        <v>26951</v>
      </c>
      <c r="C4096" t="s">
        <v>10436</v>
      </c>
      <c r="D4096" t="s">
        <v>10435</v>
      </c>
      <c r="E4096" s="2" t="s">
        <v>903</v>
      </c>
      <c r="F4096" t="s">
        <v>10434</v>
      </c>
      <c r="G4096" t="str">
        <f>HYPERLINK("https://www.newspim.com/news/view/20250611000884")</f>
        <v>https://www.newspim.com/news/view/20250611000884</v>
      </c>
      <c r="H4096">
        <v>0.40500000000000003</v>
      </c>
    </row>
    <row r="4097" spans="1:8" x14ac:dyDescent="0.3">
      <c r="A4097" t="s">
        <v>9678</v>
      </c>
      <c r="B4097" t="s">
        <v>26951</v>
      </c>
      <c r="C4097" t="s">
        <v>10438</v>
      </c>
      <c r="D4097" t="s">
        <v>10437</v>
      </c>
      <c r="E4097" s="2" t="s">
        <v>903</v>
      </c>
      <c r="F4097" t="s">
        <v>9929</v>
      </c>
      <c r="G4097" t="str">
        <f>HYPERLINK("https://n.news.naver.com/mnews/article/214/0000865447?sid=102")</f>
        <v>https://n.news.naver.com/mnews/article/214/0000865447?sid=102</v>
      </c>
      <c r="H4097">
        <v>0.32300000000000001</v>
      </c>
    </row>
    <row r="4098" spans="1:8" x14ac:dyDescent="0.3">
      <c r="A4098" t="s">
        <v>9678</v>
      </c>
      <c r="B4098" t="s">
        <v>26951</v>
      </c>
      <c r="C4098" t="s">
        <v>10440</v>
      </c>
      <c r="D4098" t="s">
        <v>10439</v>
      </c>
      <c r="E4098" s="2" t="s">
        <v>903</v>
      </c>
      <c r="F4098" t="s">
        <v>7719</v>
      </c>
      <c r="G4098" t="str">
        <f>HYPERLINK("https://www.koreaittimes.com/news/articleView.html?idxno=142570")</f>
        <v>https://www.koreaittimes.com/news/articleView.html?idxno=142570</v>
      </c>
      <c r="H4098">
        <v>0.38900000000000001</v>
      </c>
    </row>
    <row r="4099" spans="1:8" x14ac:dyDescent="0.3">
      <c r="A4099" t="s">
        <v>9678</v>
      </c>
      <c r="B4099" t="s">
        <v>26951</v>
      </c>
      <c r="C4099" t="s">
        <v>10443</v>
      </c>
      <c r="D4099" t="s">
        <v>10442</v>
      </c>
      <c r="E4099" s="2" t="s">
        <v>903</v>
      </c>
      <c r="F4099" t="s">
        <v>10441</v>
      </c>
      <c r="G4099" t="str">
        <f>HYPERLINK("https://www.greened.kr/news/articleView.html?idxno=328188")</f>
        <v>https://www.greened.kr/news/articleView.html?idxno=328188</v>
      </c>
      <c r="H4099">
        <v>0.39800000000000002</v>
      </c>
    </row>
    <row r="4100" spans="1:8" x14ac:dyDescent="0.3">
      <c r="A4100" t="s">
        <v>9678</v>
      </c>
      <c r="B4100" t="s">
        <v>26951</v>
      </c>
      <c r="C4100" t="s">
        <v>10446</v>
      </c>
      <c r="D4100" t="s">
        <v>10445</v>
      </c>
      <c r="E4100" s="2" t="s">
        <v>903</v>
      </c>
      <c r="F4100" t="s">
        <v>10444</v>
      </c>
      <c r="G4100" t="str">
        <f>HYPERLINK("https://n.news.naver.com/mnews/article/028/0002753752?sid=103")</f>
        <v>https://n.news.naver.com/mnews/article/028/0002753752?sid=103</v>
      </c>
      <c r="H4100">
        <v>0.26800000000000002</v>
      </c>
    </row>
    <row r="4101" spans="1:8" x14ac:dyDescent="0.3">
      <c r="A4101" t="s">
        <v>9678</v>
      </c>
      <c r="B4101" t="s">
        <v>26951</v>
      </c>
      <c r="C4101" t="s">
        <v>10449</v>
      </c>
      <c r="D4101" t="s">
        <v>10448</v>
      </c>
      <c r="E4101" s="2" t="s">
        <v>903</v>
      </c>
      <c r="F4101" t="s">
        <v>10447</v>
      </c>
      <c r="G4101" t="str">
        <f>HYPERLINK("https://n.news.naver.com/mnews/article/002/0002012782?sid=100")</f>
        <v>https://n.news.naver.com/mnews/article/002/0002012782?sid=100</v>
      </c>
      <c r="H4101">
        <v>0.54</v>
      </c>
    </row>
    <row r="4102" spans="1:8" x14ac:dyDescent="0.3">
      <c r="A4102" t="s">
        <v>9678</v>
      </c>
      <c r="B4102" t="s">
        <v>26951</v>
      </c>
      <c r="C4102" t="s">
        <v>10452</v>
      </c>
      <c r="D4102" t="s">
        <v>10451</v>
      </c>
      <c r="E4102" s="2" t="s">
        <v>903</v>
      </c>
      <c r="F4102" t="s">
        <v>10450</v>
      </c>
      <c r="G4102" t="str">
        <f>HYPERLINK("http://www.interview365.com/news/articleView.html?idxno=109288")</f>
        <v>http://www.interview365.com/news/articleView.html?idxno=109288</v>
      </c>
      <c r="H4102">
        <v>0.625</v>
      </c>
    </row>
    <row r="4103" spans="1:8" x14ac:dyDescent="0.3">
      <c r="A4103" t="s">
        <v>9678</v>
      </c>
      <c r="B4103" t="s">
        <v>26951</v>
      </c>
      <c r="C4103" t="s">
        <v>10454</v>
      </c>
      <c r="D4103" t="s">
        <v>10453</v>
      </c>
      <c r="E4103" s="2" t="s">
        <v>903</v>
      </c>
      <c r="F4103" t="s">
        <v>9929</v>
      </c>
      <c r="G4103" t="str">
        <f>HYPERLINK("http://www.enewstoday.co.kr/news/articleView.html?idxno=2053110")</f>
        <v>http://www.enewstoday.co.kr/news/articleView.html?idxno=2053110</v>
      </c>
      <c r="H4103">
        <v>0.52900000000000003</v>
      </c>
    </row>
    <row r="4104" spans="1:8" x14ac:dyDescent="0.3">
      <c r="A4104" t="s">
        <v>9678</v>
      </c>
      <c r="B4104" t="s">
        <v>26951</v>
      </c>
      <c r="C4104" t="s">
        <v>10457</v>
      </c>
      <c r="D4104" t="s">
        <v>10456</v>
      </c>
      <c r="E4104" s="2" t="s">
        <v>711</v>
      </c>
      <c r="F4104" t="s">
        <v>10455</v>
      </c>
      <c r="G4104" t="str">
        <f>HYPERLINK("https://weekly.hankooki.com/news/articleView.html?idxno=7113709")</f>
        <v>https://weekly.hankooki.com/news/articleView.html?idxno=7113709</v>
      </c>
      <c r="H4104">
        <v>0.308</v>
      </c>
    </row>
    <row r="4105" spans="1:8" x14ac:dyDescent="0.3">
      <c r="A4105" t="s">
        <v>9678</v>
      </c>
      <c r="B4105" t="s">
        <v>26951</v>
      </c>
      <c r="C4105" t="s">
        <v>10460</v>
      </c>
      <c r="D4105" t="s">
        <v>10459</v>
      </c>
      <c r="E4105" s="2" t="s">
        <v>711</v>
      </c>
      <c r="F4105" t="s">
        <v>10458</v>
      </c>
      <c r="G4105" t="str">
        <f>HYPERLINK("https://www.itworld.co.kr/article/4014463/ai-증강-개발의-성공과-실패를-가르는-8가지-변수.html")</f>
        <v>https://www.itworld.co.kr/article/4014463/ai-증강-개발의-성공과-실패를-가르는-8가지-변수.html</v>
      </c>
      <c r="H4105">
        <v>0.45400000000000001</v>
      </c>
    </row>
    <row r="4106" spans="1:8" x14ac:dyDescent="0.3">
      <c r="A4106" t="s">
        <v>9678</v>
      </c>
      <c r="B4106" t="s">
        <v>26951</v>
      </c>
      <c r="C4106" t="s">
        <v>10462</v>
      </c>
      <c r="D4106" t="s">
        <v>10461</v>
      </c>
      <c r="E4106" s="2" t="s">
        <v>711</v>
      </c>
      <c r="F4106" t="s">
        <v>9863</v>
      </c>
      <c r="G4106" t="str">
        <f>HYPERLINK("https://www.korea.kr/news/policyNewsView.do?newsId=148941000&amp;call_from=naver_news")</f>
        <v>https://www.korea.kr/news/policyNewsView.do?newsId=148941000&amp;call_from=naver_news</v>
      </c>
      <c r="H4106">
        <v>0.33200000000000002</v>
      </c>
    </row>
    <row r="4107" spans="1:8" x14ac:dyDescent="0.3">
      <c r="A4107" t="s">
        <v>9678</v>
      </c>
      <c r="B4107" t="s">
        <v>26951</v>
      </c>
      <c r="C4107" t="s">
        <v>10466</v>
      </c>
      <c r="D4107" t="s">
        <v>10465</v>
      </c>
      <c r="E4107" s="2" t="s">
        <v>711</v>
      </c>
      <c r="F4107" t="s">
        <v>10464</v>
      </c>
      <c r="G4107" t="str">
        <f>HYPERLINK("https://www.dailysportshankook.co.kr/news/articleView.html?idxno=406787")</f>
        <v>https://www.dailysportshankook.co.kr/news/articleView.html?idxno=406787</v>
      </c>
      <c r="H4107">
        <v>0.46300000000000002</v>
      </c>
    </row>
    <row r="4108" spans="1:8" x14ac:dyDescent="0.3">
      <c r="A4108" t="s">
        <v>9678</v>
      </c>
      <c r="B4108" t="s">
        <v>26951</v>
      </c>
      <c r="C4108" t="s">
        <v>10469</v>
      </c>
      <c r="D4108" t="s">
        <v>10468</v>
      </c>
      <c r="E4108" s="2" t="s">
        <v>711</v>
      </c>
      <c r="F4108" t="s">
        <v>10467</v>
      </c>
      <c r="G4108" t="str">
        <f>HYPERLINK("http://www.mediapen.com/news/articleView.html?idxno=83711")</f>
        <v>http://www.mediapen.com/news/articleView.html?idxno=83711</v>
      </c>
      <c r="H4108">
        <v>0.621</v>
      </c>
    </row>
    <row r="4109" spans="1:8" x14ac:dyDescent="0.3">
      <c r="A4109" t="s">
        <v>9678</v>
      </c>
      <c r="B4109" t="s">
        <v>26951</v>
      </c>
      <c r="C4109" t="s">
        <v>10473</v>
      </c>
      <c r="D4109" t="s">
        <v>10472</v>
      </c>
      <c r="E4109" s="2" t="s">
        <v>711</v>
      </c>
      <c r="F4109" t="s">
        <v>10471</v>
      </c>
      <c r="G4109" t="str">
        <f>HYPERLINK("http://www.breaknews.com/944047")</f>
        <v>http://www.breaknews.com/944047</v>
      </c>
      <c r="H4109">
        <v>0.27400000000000002</v>
      </c>
    </row>
    <row r="4110" spans="1:8" x14ac:dyDescent="0.3">
      <c r="A4110" t="s">
        <v>9678</v>
      </c>
      <c r="B4110" t="s">
        <v>26951</v>
      </c>
      <c r="C4110" t="s">
        <v>10475</v>
      </c>
      <c r="D4110" t="s">
        <v>10474</v>
      </c>
      <c r="E4110" s="2" t="s">
        <v>711</v>
      </c>
      <c r="F4110" t="s">
        <v>3420</v>
      </c>
      <c r="G4110" t="str">
        <f>HYPERLINK("https://n.news.naver.com/mnews/article/088/0000952032?sid=100")</f>
        <v>https://n.news.naver.com/mnews/article/088/0000952032?sid=100</v>
      </c>
      <c r="H4110">
        <v>0.26900000000000002</v>
      </c>
    </row>
    <row r="4111" spans="1:8" x14ac:dyDescent="0.3">
      <c r="A4111" t="s">
        <v>9678</v>
      </c>
      <c r="B4111" t="s">
        <v>26951</v>
      </c>
      <c r="C4111" t="s">
        <v>10478</v>
      </c>
      <c r="D4111" t="s">
        <v>10477</v>
      </c>
      <c r="E4111" s="2" t="s">
        <v>711</v>
      </c>
      <c r="F4111" t="s">
        <v>197</v>
      </c>
      <c r="G4111" t="str">
        <f>HYPERLINK("https://n.news.naver.com/mnews/article/214/0001393866?sid=100")</f>
        <v>https://n.news.naver.com/mnews/article/214/0001393866?sid=100</v>
      </c>
      <c r="H4111">
        <v>0.64400000000000002</v>
      </c>
    </row>
    <row r="4112" spans="1:8" x14ac:dyDescent="0.3">
      <c r="A4112" t="s">
        <v>9678</v>
      </c>
      <c r="B4112" t="s">
        <v>26951</v>
      </c>
      <c r="C4112" t="s">
        <v>10480</v>
      </c>
      <c r="D4112" t="s">
        <v>10479</v>
      </c>
      <c r="E4112" s="2" t="s">
        <v>711</v>
      </c>
      <c r="F4112" t="s">
        <v>7640</v>
      </c>
      <c r="G4112" t="str">
        <f>HYPERLINK("http://www.kyeongin.com/news/articleView.html?idxno=559550")</f>
        <v>http://www.kyeongin.com/news/articleView.html?idxno=559550</v>
      </c>
      <c r="H4112">
        <v>0.192</v>
      </c>
    </row>
    <row r="4113" spans="1:8" x14ac:dyDescent="0.3">
      <c r="A4113" t="s">
        <v>9678</v>
      </c>
      <c r="B4113" t="s">
        <v>26951</v>
      </c>
      <c r="C4113" t="s">
        <v>10483</v>
      </c>
      <c r="D4113" t="s">
        <v>10482</v>
      </c>
      <c r="E4113" s="2" t="s">
        <v>711</v>
      </c>
      <c r="F4113" t="s">
        <v>10481</v>
      </c>
      <c r="G4113" t="str">
        <f>HYPERLINK("https://www.sisamagazine.co.kr/news/articleView.html?idxno=514980")</f>
        <v>https://www.sisamagazine.co.kr/news/articleView.html?idxno=514980</v>
      </c>
      <c r="H4113">
        <v>0.47599999999999998</v>
      </c>
    </row>
    <row r="4114" spans="1:8" x14ac:dyDescent="0.3">
      <c r="A4114" t="s">
        <v>9678</v>
      </c>
      <c r="B4114" t="s">
        <v>26951</v>
      </c>
      <c r="C4114" t="s">
        <v>10486</v>
      </c>
      <c r="D4114" t="s">
        <v>10485</v>
      </c>
      <c r="E4114" s="2" t="s">
        <v>711</v>
      </c>
      <c r="F4114" t="s">
        <v>10484</v>
      </c>
      <c r="G4114" t="str">
        <f>HYPERLINK("http://jmagazine.joins.com/forbes/view/338313")</f>
        <v>http://jmagazine.joins.com/forbes/view/338313</v>
      </c>
      <c r="H4114">
        <v>0.48899999999999999</v>
      </c>
    </row>
    <row r="4115" spans="1:8" x14ac:dyDescent="0.3">
      <c r="A4115" t="s">
        <v>9678</v>
      </c>
      <c r="B4115" t="s">
        <v>26951</v>
      </c>
      <c r="C4115" t="s">
        <v>10492</v>
      </c>
      <c r="D4115" t="s">
        <v>10491</v>
      </c>
      <c r="E4115" s="2" t="s">
        <v>711</v>
      </c>
      <c r="F4115" t="s">
        <v>10490</v>
      </c>
      <c r="G4115" t="str">
        <f>HYPERLINK("http://www.dynews.co.kr/news/articleView.html?idxno=344912")</f>
        <v>http://www.dynews.co.kr/news/articleView.html?idxno=344912</v>
      </c>
      <c r="H4115">
        <v>0.64700000000000002</v>
      </c>
    </row>
    <row r="4116" spans="1:8" x14ac:dyDescent="0.3">
      <c r="A4116" t="s">
        <v>9678</v>
      </c>
      <c r="B4116" t="s">
        <v>26951</v>
      </c>
      <c r="C4116" t="s">
        <v>10495</v>
      </c>
      <c r="D4116" t="s">
        <v>10494</v>
      </c>
      <c r="E4116" s="2" t="s">
        <v>711</v>
      </c>
      <c r="F4116" t="s">
        <v>10493</v>
      </c>
      <c r="G4116" t="str">
        <f>HYPERLINK("http://www.ktsketch.co.kr/news/articleView.html?idxno=5596")</f>
        <v>http://www.ktsketch.co.kr/news/articleView.html?idxno=5596</v>
      </c>
      <c r="H4116">
        <v>0.53200000000000003</v>
      </c>
    </row>
    <row r="4117" spans="1:8" x14ac:dyDescent="0.3">
      <c r="A4117" t="s">
        <v>9678</v>
      </c>
      <c r="B4117" t="s">
        <v>26951</v>
      </c>
      <c r="C4117" t="s">
        <v>10498</v>
      </c>
      <c r="D4117" t="s">
        <v>10497</v>
      </c>
      <c r="E4117" s="2" t="s">
        <v>711</v>
      </c>
      <c r="F4117" t="s">
        <v>10496</v>
      </c>
      <c r="G4117" t="str">
        <f>HYPERLINK("http://www.incheonin.com/news/articleView.html?idxno=110131")</f>
        <v>http://www.incheonin.com/news/articleView.html?idxno=110131</v>
      </c>
      <c r="H4117">
        <v>0.66400000000000003</v>
      </c>
    </row>
    <row r="4118" spans="1:8" x14ac:dyDescent="0.3">
      <c r="A4118" t="s">
        <v>9678</v>
      </c>
      <c r="B4118" t="s">
        <v>26951</v>
      </c>
      <c r="C4118" t="s">
        <v>10501</v>
      </c>
      <c r="D4118" t="s">
        <v>10500</v>
      </c>
      <c r="E4118" s="2" t="s">
        <v>711</v>
      </c>
      <c r="F4118" t="s">
        <v>10499</v>
      </c>
      <c r="G4118" t="str">
        <f>HYPERLINK("https://www.pdjournal.com/news/articleView.html?idxno=80819")</f>
        <v>https://www.pdjournal.com/news/articleView.html?idxno=80819</v>
      </c>
      <c r="H4118">
        <v>0.26200000000000001</v>
      </c>
    </row>
    <row r="4119" spans="1:8" x14ac:dyDescent="0.3">
      <c r="A4119" t="s">
        <v>9678</v>
      </c>
      <c r="B4119" t="s">
        <v>26951</v>
      </c>
      <c r="C4119" t="s">
        <v>10503</v>
      </c>
      <c r="D4119" t="s">
        <v>10502</v>
      </c>
      <c r="E4119" s="2" t="s">
        <v>711</v>
      </c>
      <c r="F4119" t="s">
        <v>5548</v>
      </c>
      <c r="G4119" t="str">
        <f>HYPERLINK("https://www.jemin.com/news/articleView.html?idxno=790722")</f>
        <v>https://www.jemin.com/news/articleView.html?idxno=790722</v>
      </c>
      <c r="H4119">
        <v>0.34599999999999997</v>
      </c>
    </row>
    <row r="4120" spans="1:8" x14ac:dyDescent="0.3">
      <c r="A4120" t="s">
        <v>9678</v>
      </c>
      <c r="B4120" t="s">
        <v>26951</v>
      </c>
      <c r="C4120" t="s">
        <v>10505</v>
      </c>
      <c r="D4120" t="s">
        <v>10504</v>
      </c>
      <c r="E4120" s="2" t="s">
        <v>711</v>
      </c>
      <c r="F4120" t="s">
        <v>10471</v>
      </c>
      <c r="G4120" t="str">
        <f>HYPERLINK("http://www.ggilbo.com/news/articleView.html?idxno=767549")</f>
        <v>http://www.ggilbo.com/news/articleView.html?idxno=767549</v>
      </c>
      <c r="H4120">
        <v>0.65100000000000002</v>
      </c>
    </row>
    <row r="4121" spans="1:8" x14ac:dyDescent="0.3">
      <c r="A4121" t="s">
        <v>9678</v>
      </c>
      <c r="B4121" t="s">
        <v>26951</v>
      </c>
      <c r="C4121" t="s">
        <v>10508</v>
      </c>
      <c r="D4121" t="s">
        <v>10507</v>
      </c>
      <c r="E4121" s="2" t="s">
        <v>711</v>
      </c>
      <c r="F4121" t="s">
        <v>10341</v>
      </c>
      <c r="G4121" t="str">
        <f>HYPERLINK("https://www.kukinews.com/article/view/kuk202506230134")</f>
        <v>https://www.kukinews.com/article/view/kuk202506230134</v>
      </c>
      <c r="H4121">
        <v>0.34499999999999997</v>
      </c>
    </row>
    <row r="4122" spans="1:8" x14ac:dyDescent="0.3">
      <c r="A4122" t="s">
        <v>9678</v>
      </c>
      <c r="B4122" t="s">
        <v>26951</v>
      </c>
      <c r="C4122" t="s">
        <v>10511</v>
      </c>
      <c r="D4122" t="s">
        <v>10510</v>
      </c>
      <c r="E4122" s="2" t="s">
        <v>711</v>
      </c>
      <c r="F4122" t="s">
        <v>10509</v>
      </c>
      <c r="G4122" t="str">
        <f>HYPERLINK("http://journal.kobeta.com/?post_type=post&amp;p=57624")</f>
        <v>http://journal.kobeta.com/?post_type=post&amp;p=57624</v>
      </c>
      <c r="H4122">
        <v>0.249</v>
      </c>
    </row>
    <row r="4123" spans="1:8" x14ac:dyDescent="0.3">
      <c r="A4123" t="s">
        <v>9678</v>
      </c>
      <c r="B4123" t="s">
        <v>26951</v>
      </c>
      <c r="C4123" t="s">
        <v>10514</v>
      </c>
      <c r="D4123" t="s">
        <v>10513</v>
      </c>
      <c r="E4123" s="2" t="s">
        <v>711</v>
      </c>
      <c r="F4123" t="s">
        <v>10512</v>
      </c>
      <c r="G4123" t="str">
        <f>HYPERLINK("http://www.pdjournal.com/news/articleView.html?idxno=60699")</f>
        <v>http://www.pdjournal.com/news/articleView.html?idxno=60699</v>
      </c>
      <c r="H4123">
        <v>0.40500000000000003</v>
      </c>
    </row>
    <row r="4124" spans="1:8" x14ac:dyDescent="0.3">
      <c r="A4124" t="s">
        <v>9678</v>
      </c>
      <c r="B4124" t="s">
        <v>26951</v>
      </c>
      <c r="C4124" t="s">
        <v>10517</v>
      </c>
      <c r="D4124" t="s">
        <v>10516</v>
      </c>
      <c r="E4124" s="2" t="s">
        <v>711</v>
      </c>
      <c r="F4124" t="s">
        <v>10515</v>
      </c>
      <c r="G4124" t="str">
        <f>HYPERLINK("https://news.bbsi.co.kr/news/articleView.html?idxno=4000951")</f>
        <v>https://news.bbsi.co.kr/news/articleView.html?idxno=4000951</v>
      </c>
      <c r="H4124">
        <v>0.49099999999999999</v>
      </c>
    </row>
    <row r="4125" spans="1:8" x14ac:dyDescent="0.3">
      <c r="A4125" t="s">
        <v>9678</v>
      </c>
      <c r="B4125" t="s">
        <v>26951</v>
      </c>
      <c r="C4125" t="s">
        <v>10520</v>
      </c>
      <c r="D4125" t="s">
        <v>10519</v>
      </c>
      <c r="E4125" s="2" t="s">
        <v>711</v>
      </c>
      <c r="F4125" t="s">
        <v>10518</v>
      </c>
      <c r="G4125" t="str">
        <f>HYPERLINK("http://news.bbsi.co.kr/news/articleView.html?idxno=696038")</f>
        <v>http://news.bbsi.co.kr/news/articleView.html?idxno=696038</v>
      </c>
      <c r="H4125">
        <v>0.25800000000000001</v>
      </c>
    </row>
    <row r="4126" spans="1:8" x14ac:dyDescent="0.3">
      <c r="A4126" t="s">
        <v>9678</v>
      </c>
      <c r="B4126" t="s">
        <v>26951</v>
      </c>
      <c r="C4126" t="s">
        <v>10522</v>
      </c>
      <c r="D4126" t="s">
        <v>10521</v>
      </c>
      <c r="E4126" s="2" t="s">
        <v>711</v>
      </c>
      <c r="F4126" t="s">
        <v>171</v>
      </c>
      <c r="G4126" t="str">
        <f>HYPERLINK("https://n.news.naver.com/mnews/article/032/0003377184?sid=103")</f>
        <v>https://n.news.naver.com/mnews/article/032/0003377184?sid=103</v>
      </c>
      <c r="H4126">
        <v>0.28499999999999998</v>
      </c>
    </row>
    <row r="4127" spans="1:8" x14ac:dyDescent="0.3">
      <c r="A4127" t="s">
        <v>9678</v>
      </c>
      <c r="B4127" t="s">
        <v>26951</v>
      </c>
      <c r="C4127" t="s">
        <v>10524</v>
      </c>
      <c r="D4127" t="s">
        <v>10523</v>
      </c>
      <c r="E4127" s="2" t="s">
        <v>711</v>
      </c>
      <c r="F4127" t="s">
        <v>10471</v>
      </c>
      <c r="G4127" t="str">
        <f>HYPERLINK("https://www.jemin.com/news/articleView.html?idxno=809803")</f>
        <v>https://www.jemin.com/news/articleView.html?idxno=809803</v>
      </c>
      <c r="H4127">
        <v>0.56200000000000006</v>
      </c>
    </row>
    <row r="4128" spans="1:8" x14ac:dyDescent="0.3">
      <c r="A4128" t="s">
        <v>9678</v>
      </c>
      <c r="B4128" t="s">
        <v>26951</v>
      </c>
      <c r="C4128" t="s">
        <v>10526</v>
      </c>
      <c r="D4128" t="s">
        <v>10525</v>
      </c>
      <c r="E4128" s="2" t="s">
        <v>711</v>
      </c>
      <c r="F4128" t="s">
        <v>5548</v>
      </c>
      <c r="G4128" t="str">
        <f>HYPERLINK("https://www.jemin.com/news/articleView.html?idxno=790722")</f>
        <v>https://www.jemin.com/news/articleView.html?idxno=790722</v>
      </c>
      <c r="H4128">
        <v>0.41</v>
      </c>
    </row>
    <row r="4129" spans="1:8" x14ac:dyDescent="0.3">
      <c r="A4129" t="s">
        <v>9678</v>
      </c>
      <c r="B4129" t="s">
        <v>26951</v>
      </c>
      <c r="C4129" t="s">
        <v>10530</v>
      </c>
      <c r="D4129" t="s">
        <v>10529</v>
      </c>
      <c r="E4129" s="2" t="s">
        <v>711</v>
      </c>
      <c r="F4129" t="s">
        <v>10528</v>
      </c>
      <c r="G4129" t="str">
        <f>HYPERLINK("https://sports.hankooki.com/news/articleView.html?idxno=6899813")</f>
        <v>https://sports.hankooki.com/news/articleView.html?idxno=6899813</v>
      </c>
      <c r="H4129">
        <v>0.60499999999999998</v>
      </c>
    </row>
    <row r="4130" spans="1:8" x14ac:dyDescent="0.3">
      <c r="A4130" t="s">
        <v>9678</v>
      </c>
      <c r="B4130" t="s">
        <v>26951</v>
      </c>
      <c r="C4130" t="s">
        <v>7802</v>
      </c>
      <c r="D4130" t="s">
        <v>7801</v>
      </c>
      <c r="E4130" s="2" t="s">
        <v>711</v>
      </c>
      <c r="F4130" t="s">
        <v>4508</v>
      </c>
      <c r="G4130" t="str">
        <f>HYPERLINK("https://n.news.naver.com/mnews/article/214/0001181819?sid=100")</f>
        <v>https://n.news.naver.com/mnews/article/214/0001181819?sid=100</v>
      </c>
      <c r="H4130">
        <v>0.45600000000000002</v>
      </c>
    </row>
    <row r="4131" spans="1:8" x14ac:dyDescent="0.3">
      <c r="A4131" t="s">
        <v>9678</v>
      </c>
      <c r="B4131" t="s">
        <v>26951</v>
      </c>
      <c r="C4131" t="s">
        <v>10532</v>
      </c>
      <c r="D4131" t="s">
        <v>10531</v>
      </c>
      <c r="E4131" s="2" t="s">
        <v>711</v>
      </c>
      <c r="F4131" t="s">
        <v>1963</v>
      </c>
      <c r="G4131" t="str">
        <f>HYPERLINK("https://n.news.naver.com/mnews/article/214/0001430075?sid=104")</f>
        <v>https://n.news.naver.com/mnews/article/214/0001430075?sid=104</v>
      </c>
      <c r="H4131">
        <v>0.17</v>
      </c>
    </row>
    <row r="4132" spans="1:8" x14ac:dyDescent="0.3">
      <c r="A4132" t="s">
        <v>9678</v>
      </c>
      <c r="B4132" t="s">
        <v>26951</v>
      </c>
      <c r="C4132" t="s">
        <v>10535</v>
      </c>
      <c r="D4132" t="s">
        <v>10534</v>
      </c>
      <c r="E4132" s="2" t="s">
        <v>711</v>
      </c>
      <c r="F4132" t="s">
        <v>10533</v>
      </c>
      <c r="G4132" t="str">
        <f>HYPERLINK("https://n.news.naver.com/mnews/article/079/0003178252?sid=102")</f>
        <v>https://n.news.naver.com/mnews/article/079/0003178252?sid=102</v>
      </c>
      <c r="H4132">
        <v>0.25800000000000001</v>
      </c>
    </row>
    <row r="4133" spans="1:8" x14ac:dyDescent="0.3">
      <c r="A4133" t="s">
        <v>9678</v>
      </c>
      <c r="B4133" t="s">
        <v>26951</v>
      </c>
      <c r="C4133" t="s">
        <v>10537</v>
      </c>
      <c r="D4133" t="s">
        <v>10536</v>
      </c>
      <c r="E4133" s="2" t="s">
        <v>711</v>
      </c>
      <c r="F4133" t="s">
        <v>3264</v>
      </c>
      <c r="G4133" t="str">
        <f>HYPERLINK("https://www.newspim.com/news/view/20250615000152")</f>
        <v>https://www.newspim.com/news/view/20250615000152</v>
      </c>
      <c r="H4133">
        <v>0.622</v>
      </c>
    </row>
    <row r="4134" spans="1:8" x14ac:dyDescent="0.3">
      <c r="A4134" t="s">
        <v>9678</v>
      </c>
      <c r="B4134" t="s">
        <v>26951</v>
      </c>
      <c r="C4134" t="s">
        <v>10542</v>
      </c>
      <c r="D4134" t="s">
        <v>10541</v>
      </c>
      <c r="E4134" s="2" t="s">
        <v>711</v>
      </c>
      <c r="F4134" t="s">
        <v>10540</v>
      </c>
      <c r="G4134" t="str">
        <f>HYPERLINK("http://www.doctorstimes.com/news/articleView.html?idxno=233007")</f>
        <v>http://www.doctorstimes.com/news/articleView.html?idxno=233007</v>
      </c>
      <c r="H4134">
        <v>0.20399999999999999</v>
      </c>
    </row>
    <row r="4135" spans="1:8" x14ac:dyDescent="0.3">
      <c r="A4135" t="s">
        <v>9678</v>
      </c>
      <c r="B4135" t="s">
        <v>26951</v>
      </c>
      <c r="C4135" t="s">
        <v>10545</v>
      </c>
      <c r="D4135" t="s">
        <v>10544</v>
      </c>
      <c r="E4135" s="2" t="s">
        <v>711</v>
      </c>
      <c r="F4135" t="s">
        <v>9957</v>
      </c>
      <c r="G4135" t="str">
        <f>HYPERLINK("https://n.news.naver.com/mnews/article/016/0002491959?sid=103")</f>
        <v>https://n.news.naver.com/mnews/article/016/0002491959?sid=103</v>
      </c>
      <c r="H4135">
        <v>0.26900000000000002</v>
      </c>
    </row>
    <row r="4136" spans="1:8" x14ac:dyDescent="0.3">
      <c r="A4136" t="s">
        <v>9678</v>
      </c>
      <c r="B4136" t="s">
        <v>26951</v>
      </c>
      <c r="C4136" t="s">
        <v>10547</v>
      </c>
      <c r="D4136" t="s">
        <v>10546</v>
      </c>
      <c r="E4136" s="2" t="s">
        <v>711</v>
      </c>
      <c r="F4136" t="s">
        <v>1975</v>
      </c>
      <c r="G4136" t="str">
        <f>HYPERLINK("https://n.news.naver.com/mnews/article/052/0002210559?sid=101")</f>
        <v>https://n.news.naver.com/mnews/article/052/0002210559?sid=101</v>
      </c>
      <c r="H4136">
        <v>0.29599999999999999</v>
      </c>
    </row>
    <row r="4137" spans="1:8" x14ac:dyDescent="0.3">
      <c r="A4137" t="s">
        <v>9678</v>
      </c>
      <c r="B4137" t="s">
        <v>26951</v>
      </c>
      <c r="C4137" t="s">
        <v>10549</v>
      </c>
      <c r="D4137" t="s">
        <v>10548</v>
      </c>
      <c r="E4137" s="2" t="s">
        <v>711</v>
      </c>
      <c r="F4137" t="s">
        <v>5724</v>
      </c>
      <c r="G4137" t="str">
        <f>HYPERLINK("https://news.bbsi.co.kr/news/articleView.html?idxno=4031980")</f>
        <v>https://news.bbsi.co.kr/news/articleView.html?idxno=4031980</v>
      </c>
      <c r="H4137">
        <v>0.17</v>
      </c>
    </row>
    <row r="4138" spans="1:8" x14ac:dyDescent="0.3">
      <c r="A4138" t="s">
        <v>9678</v>
      </c>
      <c r="B4138" t="s">
        <v>26951</v>
      </c>
      <c r="C4138" t="s">
        <v>10554</v>
      </c>
      <c r="D4138" t="s">
        <v>10553</v>
      </c>
      <c r="E4138" s="2" t="s">
        <v>711</v>
      </c>
      <c r="F4138" t="s">
        <v>10552</v>
      </c>
      <c r="G4138" t="str">
        <f>HYPERLINK("http://www.bulkwang.co.kr/news/articleView.html?idxno=38076")</f>
        <v>http://www.bulkwang.co.kr/news/articleView.html?idxno=38076</v>
      </c>
      <c r="H4138">
        <v>0.69799999999999995</v>
      </c>
    </row>
    <row r="4139" spans="1:8" x14ac:dyDescent="0.3">
      <c r="A4139" t="s">
        <v>9678</v>
      </c>
      <c r="B4139" t="s">
        <v>26951</v>
      </c>
      <c r="C4139" t="s">
        <v>10557</v>
      </c>
      <c r="D4139" t="s">
        <v>10556</v>
      </c>
      <c r="E4139" s="2" t="s">
        <v>711</v>
      </c>
      <c r="F4139" t="s">
        <v>10555</v>
      </c>
      <c r="G4139" t="str">
        <f>HYPERLINK("http://www.breaknews.com/1122864")</f>
        <v>http://www.breaknews.com/1122864</v>
      </c>
      <c r="H4139">
        <v>0.378</v>
      </c>
    </row>
    <row r="4140" spans="1:8" x14ac:dyDescent="0.3">
      <c r="A4140" t="s">
        <v>9678</v>
      </c>
      <c r="B4140" t="s">
        <v>26951</v>
      </c>
      <c r="C4140" t="s">
        <v>10560</v>
      </c>
      <c r="D4140" t="s">
        <v>10559</v>
      </c>
      <c r="E4140" s="2" t="s">
        <v>711</v>
      </c>
      <c r="F4140" t="s">
        <v>10558</v>
      </c>
      <c r="G4140" t="str">
        <f>HYPERLINK("http://www.gokorea.kr/news/articleView.html?idxno=7025")</f>
        <v>http://www.gokorea.kr/news/articleView.html?idxno=7025</v>
      </c>
      <c r="H4140">
        <v>0.32</v>
      </c>
    </row>
    <row r="4141" spans="1:8" x14ac:dyDescent="0.3">
      <c r="A4141" t="s">
        <v>9678</v>
      </c>
      <c r="B4141" t="s">
        <v>26951</v>
      </c>
      <c r="C4141" t="s">
        <v>10562</v>
      </c>
      <c r="D4141" t="s">
        <v>10561</v>
      </c>
      <c r="E4141" s="2" t="s">
        <v>711</v>
      </c>
      <c r="F4141" t="s">
        <v>10422</v>
      </c>
      <c r="G4141" t="str">
        <f>HYPERLINK("https://n.news.naver.com/mnews/article/079/0003831267?sid=100")</f>
        <v>https://n.news.naver.com/mnews/article/079/0003831267?sid=100</v>
      </c>
      <c r="H4141">
        <v>0.29499999999999998</v>
      </c>
    </row>
    <row r="4142" spans="1:8" x14ac:dyDescent="0.3">
      <c r="A4142" t="s">
        <v>9678</v>
      </c>
      <c r="B4142" t="s">
        <v>26951</v>
      </c>
      <c r="C4142" t="s">
        <v>10564</v>
      </c>
      <c r="D4142" t="s">
        <v>10563</v>
      </c>
      <c r="E4142" s="2" t="s">
        <v>711</v>
      </c>
      <c r="F4142" t="s">
        <v>6206</v>
      </c>
      <c r="G4142" t="str">
        <f>HYPERLINK("https://news.einfomax.co.kr/news/articleView.html?idxno=4359923")</f>
        <v>https://news.einfomax.co.kr/news/articleView.html?idxno=4359923</v>
      </c>
      <c r="H4142">
        <v>0.39600000000000002</v>
      </c>
    </row>
    <row r="4143" spans="1:8" x14ac:dyDescent="0.3">
      <c r="A4143" t="s">
        <v>9678</v>
      </c>
      <c r="B4143" t="s">
        <v>26951</v>
      </c>
      <c r="C4143" t="s">
        <v>10568</v>
      </c>
      <c r="D4143" t="s">
        <v>10567</v>
      </c>
      <c r="E4143" s="2" t="s">
        <v>725</v>
      </c>
      <c r="F4143" t="s">
        <v>6651</v>
      </c>
      <c r="G4143" t="str">
        <f>HYPERLINK("https://n.news.naver.com/mnews/article/214/0000774401?sid=100")</f>
        <v>https://n.news.naver.com/mnews/article/214/0000774401?sid=100</v>
      </c>
      <c r="H4143">
        <v>0.71299999999999997</v>
      </c>
    </row>
    <row r="4144" spans="1:8" x14ac:dyDescent="0.3">
      <c r="A4144" t="s">
        <v>9678</v>
      </c>
      <c r="B4144" t="s">
        <v>26951</v>
      </c>
      <c r="C4144" t="s">
        <v>10570</v>
      </c>
      <c r="D4144" t="s">
        <v>10569</v>
      </c>
      <c r="E4144" s="2" t="s">
        <v>725</v>
      </c>
      <c r="F4144" t="s">
        <v>3420</v>
      </c>
      <c r="G4144" t="str">
        <f>HYPERLINK("http://www.sisafocus.co.kr/news/articleView.html?idxno=340386")</f>
        <v>http://www.sisafocus.co.kr/news/articleView.html?idxno=340386</v>
      </c>
      <c r="H4144">
        <v>0.59</v>
      </c>
    </row>
    <row r="4145" spans="1:8" x14ac:dyDescent="0.3">
      <c r="A4145" t="s">
        <v>9678</v>
      </c>
      <c r="B4145" t="s">
        <v>26951</v>
      </c>
      <c r="C4145" t="s">
        <v>10573</v>
      </c>
      <c r="D4145" t="s">
        <v>10572</v>
      </c>
      <c r="E4145" s="2" t="s">
        <v>725</v>
      </c>
      <c r="F4145" t="s">
        <v>10571</v>
      </c>
      <c r="G4145" t="str">
        <f>HYPERLINK("https://www.hyunbulnews.com/news/articleView.html?idxno=419965")</f>
        <v>https://www.hyunbulnews.com/news/articleView.html?idxno=419965</v>
      </c>
      <c r="H4145">
        <v>0.35299999999999998</v>
      </c>
    </row>
    <row r="4146" spans="1:8" x14ac:dyDescent="0.3">
      <c r="A4146" t="s">
        <v>9678</v>
      </c>
      <c r="B4146" t="s">
        <v>26951</v>
      </c>
      <c r="C4146" t="s">
        <v>10576</v>
      </c>
      <c r="D4146" t="s">
        <v>10575</v>
      </c>
      <c r="E4146" s="2" t="s">
        <v>725</v>
      </c>
      <c r="F4146" t="s">
        <v>10574</v>
      </c>
      <c r="G4146" t="str">
        <f>HYPERLINK("https://www.ltn.kr/news/articleView.html?idxno=48891")</f>
        <v>https://www.ltn.kr/news/articleView.html?idxno=48891</v>
      </c>
      <c r="H4146">
        <v>0.39400000000000002</v>
      </c>
    </row>
    <row r="4147" spans="1:8" x14ac:dyDescent="0.3">
      <c r="A4147" t="s">
        <v>9678</v>
      </c>
      <c r="B4147" t="s">
        <v>26951</v>
      </c>
      <c r="C4147" t="s">
        <v>10580</v>
      </c>
      <c r="D4147" t="s">
        <v>10579</v>
      </c>
      <c r="E4147" s="2" t="s">
        <v>725</v>
      </c>
      <c r="F4147" t="s">
        <v>10578</v>
      </c>
      <c r="G4147" t="str">
        <f>HYPERLINK("https://www.m-joongang.com/news/articleView.html?idxno=400792")</f>
        <v>https://www.m-joongang.com/news/articleView.html?idxno=400792</v>
      </c>
      <c r="H4147">
        <v>0.622</v>
      </c>
    </row>
    <row r="4148" spans="1:8" x14ac:dyDescent="0.3">
      <c r="A4148" t="s">
        <v>9678</v>
      </c>
      <c r="B4148" t="s">
        <v>26951</v>
      </c>
      <c r="C4148" t="s">
        <v>10584</v>
      </c>
      <c r="D4148" t="s">
        <v>10583</v>
      </c>
      <c r="E4148" s="2" t="s">
        <v>725</v>
      </c>
      <c r="F4148" t="s">
        <v>10582</v>
      </c>
      <c r="G4148" t="str">
        <f>HYPERLINK("https://n.news.naver.com/mnews/article/022/0004041534?sid=102")</f>
        <v>https://n.news.naver.com/mnews/article/022/0004041534?sid=102</v>
      </c>
      <c r="H4148">
        <v>0.22900000000000001</v>
      </c>
    </row>
    <row r="4149" spans="1:8" x14ac:dyDescent="0.3">
      <c r="A4149" t="s">
        <v>9678</v>
      </c>
      <c r="B4149" t="s">
        <v>26951</v>
      </c>
      <c r="C4149" t="s">
        <v>10587</v>
      </c>
      <c r="D4149" t="s">
        <v>10586</v>
      </c>
      <c r="E4149" s="2" t="s">
        <v>725</v>
      </c>
      <c r="F4149" t="s">
        <v>10585</v>
      </c>
      <c r="G4149" t="str">
        <f>HYPERLINK("https://www.ntoday.co.kr/news/articleView.html?idxno=116541")</f>
        <v>https://www.ntoday.co.kr/news/articleView.html?idxno=116541</v>
      </c>
      <c r="H4149">
        <v>0.60399999999999998</v>
      </c>
    </row>
    <row r="4150" spans="1:8" x14ac:dyDescent="0.3">
      <c r="A4150" t="s">
        <v>9678</v>
      </c>
      <c r="B4150" t="s">
        <v>26951</v>
      </c>
      <c r="C4150" t="s">
        <v>10590</v>
      </c>
      <c r="D4150" t="s">
        <v>10589</v>
      </c>
      <c r="E4150" s="2" t="s">
        <v>725</v>
      </c>
      <c r="F4150" t="s">
        <v>10588</v>
      </c>
      <c r="G4150" t="str">
        <f>HYPERLINK("https://www.m-joongang.com/news/articleView.html?idxno=401044")</f>
        <v>https://www.m-joongang.com/news/articleView.html?idxno=401044</v>
      </c>
      <c r="H4150">
        <v>0.52800000000000002</v>
      </c>
    </row>
    <row r="4151" spans="1:8" x14ac:dyDescent="0.3">
      <c r="A4151" t="s">
        <v>9678</v>
      </c>
      <c r="B4151" t="s">
        <v>26951</v>
      </c>
      <c r="C4151" t="s">
        <v>10592</v>
      </c>
      <c r="D4151" t="s">
        <v>10591</v>
      </c>
      <c r="E4151" s="2" t="s">
        <v>725</v>
      </c>
      <c r="F4151" t="s">
        <v>10333</v>
      </c>
      <c r="G4151" t="str">
        <f>HYPERLINK("https://news.einfomax.co.kr/news/articleView.html?idxno=4359449")</f>
        <v>https://news.einfomax.co.kr/news/articleView.html?idxno=4359449</v>
      </c>
      <c r="H4151">
        <v>0.56599999999999995</v>
      </c>
    </row>
    <row r="4152" spans="1:8" x14ac:dyDescent="0.3">
      <c r="A4152" t="s">
        <v>9678</v>
      </c>
      <c r="B4152" t="s">
        <v>26951</v>
      </c>
      <c r="C4152" t="s">
        <v>10595</v>
      </c>
      <c r="D4152" t="s">
        <v>10594</v>
      </c>
      <c r="E4152" s="2" t="s">
        <v>725</v>
      </c>
      <c r="F4152" t="s">
        <v>10593</v>
      </c>
      <c r="G4152" t="str">
        <f>HYPERLINK("https://www.foodneconomy.com/news/articleView.html?idxno=226965")</f>
        <v>https://www.foodneconomy.com/news/articleView.html?idxno=226965</v>
      </c>
      <c r="H4152">
        <v>0.29699999999999999</v>
      </c>
    </row>
    <row r="4153" spans="1:8" x14ac:dyDescent="0.3">
      <c r="A4153" t="s">
        <v>9678</v>
      </c>
      <c r="B4153" t="s">
        <v>26951</v>
      </c>
      <c r="C4153" t="s">
        <v>10597</v>
      </c>
      <c r="D4153" t="s">
        <v>10596</v>
      </c>
      <c r="E4153" s="2" t="s">
        <v>725</v>
      </c>
      <c r="F4153" t="s">
        <v>9786</v>
      </c>
      <c r="G4153" t="str">
        <f>HYPERLINK("http://ch.yes24.com/Article/View/21574")</f>
        <v>http://ch.yes24.com/Article/View/21574</v>
      </c>
      <c r="H4153">
        <v>5.0999999999999997E-2</v>
      </c>
    </row>
    <row r="4154" spans="1:8" x14ac:dyDescent="0.3">
      <c r="A4154" t="s">
        <v>9678</v>
      </c>
      <c r="B4154" t="s">
        <v>26951</v>
      </c>
      <c r="C4154" t="s">
        <v>10599</v>
      </c>
      <c r="D4154" t="s">
        <v>10598</v>
      </c>
      <c r="E4154" s="2" t="s">
        <v>725</v>
      </c>
      <c r="F4154" t="s">
        <v>10476</v>
      </c>
      <c r="G4154" t="str">
        <f>HYPERLINK("http://www.sisafocus.co.kr/news/articleView.html?idxno=252786")</f>
        <v>http://www.sisafocus.co.kr/news/articleView.html?idxno=252786</v>
      </c>
      <c r="H4154">
        <v>0.40300000000000002</v>
      </c>
    </row>
    <row r="4155" spans="1:8" x14ac:dyDescent="0.3">
      <c r="A4155" t="s">
        <v>9678</v>
      </c>
      <c r="B4155" t="s">
        <v>26951</v>
      </c>
      <c r="C4155" t="s">
        <v>10601</v>
      </c>
      <c r="D4155" t="s">
        <v>10600</v>
      </c>
      <c r="E4155" s="2" t="s">
        <v>725</v>
      </c>
      <c r="F4155" t="s">
        <v>9786</v>
      </c>
      <c r="G4155" t="str">
        <f>HYPERLINK("https://www.newspim.com/news/view/20241025000633")</f>
        <v>https://www.newspim.com/news/view/20241025000633</v>
      </c>
      <c r="H4155">
        <v>6.8000000000000005E-2</v>
      </c>
    </row>
    <row r="4156" spans="1:8" x14ac:dyDescent="0.3">
      <c r="A4156" t="s">
        <v>9678</v>
      </c>
      <c r="B4156" t="s">
        <v>26951</v>
      </c>
      <c r="C4156" t="s">
        <v>10604</v>
      </c>
      <c r="D4156" t="s">
        <v>10603</v>
      </c>
      <c r="E4156" s="2" t="s">
        <v>725</v>
      </c>
      <c r="F4156" t="s">
        <v>10602</v>
      </c>
      <c r="G4156" t="str">
        <f>HYPERLINK("https://ilyo.co.kr/?ac=article_view&amp;entry_id=494959")</f>
        <v>https://ilyo.co.kr/?ac=article_view&amp;entry_id=494959</v>
      </c>
      <c r="H4156">
        <v>0.127</v>
      </c>
    </row>
    <row r="4157" spans="1:8" x14ac:dyDescent="0.3">
      <c r="A4157" t="s">
        <v>9678</v>
      </c>
      <c r="B4157" t="s">
        <v>26951</v>
      </c>
      <c r="C4157" t="s">
        <v>10607</v>
      </c>
      <c r="D4157" t="s">
        <v>10606</v>
      </c>
      <c r="E4157" s="2" t="s">
        <v>725</v>
      </c>
      <c r="F4157" t="s">
        <v>10605</v>
      </c>
      <c r="G4157" t="str">
        <f>HYPERLINK("https://www.jemin.com/news/articleView.html?idxno=809472")</f>
        <v>https://www.jemin.com/news/articleView.html?idxno=809472</v>
      </c>
      <c r="H4157">
        <v>0.61399999999999999</v>
      </c>
    </row>
    <row r="4158" spans="1:8" x14ac:dyDescent="0.3">
      <c r="A4158" t="s">
        <v>9678</v>
      </c>
      <c r="B4158" t="s">
        <v>26951</v>
      </c>
      <c r="C4158" t="s">
        <v>10610</v>
      </c>
      <c r="D4158" t="s">
        <v>10609</v>
      </c>
      <c r="E4158" s="2" t="s">
        <v>725</v>
      </c>
      <c r="F4158" t="s">
        <v>10608</v>
      </c>
      <c r="G4158" t="str">
        <f>HYPERLINK("https://www.newscj.com/news/articleView.html?idxno=3278392")</f>
        <v>https://www.newscj.com/news/articleView.html?idxno=3278392</v>
      </c>
      <c r="H4158">
        <v>0.56200000000000006</v>
      </c>
    </row>
    <row r="4159" spans="1:8" x14ac:dyDescent="0.3">
      <c r="A4159" t="s">
        <v>9678</v>
      </c>
      <c r="B4159" t="s">
        <v>26951</v>
      </c>
      <c r="C4159" t="s">
        <v>10613</v>
      </c>
      <c r="D4159" t="s">
        <v>10612</v>
      </c>
      <c r="E4159" s="2" t="s">
        <v>725</v>
      </c>
      <c r="F4159" t="s">
        <v>10611</v>
      </c>
      <c r="G4159" t="str">
        <f>HYPERLINK("http://www.jejunews.com/news/articleView.html?idxno=2218717")</f>
        <v>http://www.jejunews.com/news/articleView.html?idxno=2218717</v>
      </c>
      <c r="H4159">
        <v>0.39</v>
      </c>
    </row>
    <row r="4160" spans="1:8" x14ac:dyDescent="0.3">
      <c r="A4160" t="s">
        <v>9678</v>
      </c>
      <c r="B4160" t="s">
        <v>26951</v>
      </c>
      <c r="C4160" t="s">
        <v>10615</v>
      </c>
      <c r="D4160" t="s">
        <v>10614</v>
      </c>
      <c r="E4160" s="2" t="s">
        <v>725</v>
      </c>
      <c r="F4160" t="s">
        <v>171</v>
      </c>
      <c r="G4160" t="str">
        <f>HYPERLINK("https://www.jemin.com/news/articleView.html?idxno=809164")</f>
        <v>https://www.jemin.com/news/articleView.html?idxno=809164</v>
      </c>
      <c r="H4160">
        <v>0.72299999999999998</v>
      </c>
    </row>
    <row r="4161" spans="1:8" x14ac:dyDescent="0.3">
      <c r="A4161" t="s">
        <v>9678</v>
      </c>
      <c r="B4161" t="s">
        <v>26951</v>
      </c>
      <c r="C4161" t="s">
        <v>10617</v>
      </c>
      <c r="D4161" t="s">
        <v>10616</v>
      </c>
      <c r="E4161" s="2" t="s">
        <v>725</v>
      </c>
      <c r="F4161" t="s">
        <v>1710</v>
      </c>
      <c r="G4161" t="str">
        <f>HYPERLINK("http://ch.yes24.com/Article/View/21546")</f>
        <v>http://ch.yes24.com/Article/View/21546</v>
      </c>
      <c r="H4161">
        <v>0.182</v>
      </c>
    </row>
    <row r="4162" spans="1:8" x14ac:dyDescent="0.3">
      <c r="A4162" t="s">
        <v>9678</v>
      </c>
      <c r="B4162" t="s">
        <v>26951</v>
      </c>
      <c r="C4162" t="s">
        <v>10621</v>
      </c>
      <c r="D4162" t="s">
        <v>10620</v>
      </c>
      <c r="E4162" s="2" t="s">
        <v>725</v>
      </c>
      <c r="F4162" t="s">
        <v>10619</v>
      </c>
      <c r="G4162" t="str">
        <f>HYPERLINK("http://www.siminsori.com/news/articleView.html?idxno=208509")</f>
        <v>http://www.siminsori.com/news/articleView.html?idxno=208509</v>
      </c>
      <c r="H4162">
        <v>0.28799999999999998</v>
      </c>
    </row>
    <row r="4163" spans="1:8" x14ac:dyDescent="0.3">
      <c r="A4163" t="s">
        <v>9678</v>
      </c>
      <c r="B4163" t="s">
        <v>26951</v>
      </c>
      <c r="C4163" t="s">
        <v>10623</v>
      </c>
      <c r="D4163" t="s">
        <v>10622</v>
      </c>
      <c r="E4163" s="2" t="s">
        <v>725</v>
      </c>
      <c r="F4163" t="s">
        <v>10135</v>
      </c>
      <c r="G4163" t="str">
        <f>HYPERLINK("http://www.pinpointnews.co.kr/news/articleView.html?idxno=120758")</f>
        <v>http://www.pinpointnews.co.kr/news/articleView.html?idxno=120758</v>
      </c>
      <c r="H4163">
        <v>0.52700000000000002</v>
      </c>
    </row>
    <row r="4164" spans="1:8" x14ac:dyDescent="0.3">
      <c r="A4164" t="s">
        <v>9678</v>
      </c>
      <c r="B4164" t="s">
        <v>26951</v>
      </c>
      <c r="C4164" t="s">
        <v>10625</v>
      </c>
      <c r="D4164" t="s">
        <v>10624</v>
      </c>
      <c r="E4164" s="2" t="s">
        <v>725</v>
      </c>
      <c r="F4164" t="s">
        <v>10191</v>
      </c>
      <c r="G4164" t="str">
        <f>HYPERLINK("https://n.news.naver.com/mnews/article/018/0006030163?sid=103")</f>
        <v>https://n.news.naver.com/mnews/article/018/0006030163?sid=103</v>
      </c>
      <c r="H4164">
        <v>0.23200000000000001</v>
      </c>
    </row>
    <row r="4165" spans="1:8" x14ac:dyDescent="0.3">
      <c r="A4165" t="s">
        <v>9678</v>
      </c>
      <c r="B4165" t="s">
        <v>26951</v>
      </c>
      <c r="C4165" t="s">
        <v>10628</v>
      </c>
      <c r="D4165" t="s">
        <v>10627</v>
      </c>
      <c r="E4165" s="2" t="s">
        <v>725</v>
      </c>
      <c r="F4165" t="s">
        <v>10626</v>
      </c>
      <c r="G4165" t="str">
        <f>HYPERLINK("http://www.domin.co.kr/news/articleView.html?idxno=1511406")</f>
        <v>http://www.domin.co.kr/news/articleView.html?idxno=1511406</v>
      </c>
      <c r="H4165">
        <v>0.315</v>
      </c>
    </row>
    <row r="4166" spans="1:8" x14ac:dyDescent="0.3">
      <c r="A4166" t="s">
        <v>9678</v>
      </c>
      <c r="B4166" t="s">
        <v>26951</v>
      </c>
      <c r="C4166" t="s">
        <v>10630</v>
      </c>
      <c r="D4166" t="s">
        <v>10629</v>
      </c>
      <c r="E4166" s="2" t="s">
        <v>725</v>
      </c>
      <c r="F4166" t="s">
        <v>10533</v>
      </c>
      <c r="G4166" t="str">
        <f>HYPERLINK("http://www.namdonews.com/news/articleView.html?idxno=824967")</f>
        <v>http://www.namdonews.com/news/articleView.html?idxno=824967</v>
      </c>
      <c r="H4166">
        <v>0.23599999999999999</v>
      </c>
    </row>
    <row r="4167" spans="1:8" x14ac:dyDescent="0.3">
      <c r="A4167" t="s">
        <v>9678</v>
      </c>
      <c r="B4167" t="s">
        <v>26951</v>
      </c>
      <c r="C4167" t="s">
        <v>10632</v>
      </c>
      <c r="D4167" t="s">
        <v>10631</v>
      </c>
      <c r="E4167" s="2" t="s">
        <v>725</v>
      </c>
      <c r="F4167" t="s">
        <v>10619</v>
      </c>
      <c r="G4167" t="str">
        <f>HYPERLINK("https://n.news.naver.com/mnews/article/030/0002033224?sid=105")</f>
        <v>https://n.news.naver.com/mnews/article/030/0002033224?sid=105</v>
      </c>
      <c r="H4167">
        <v>0.14499999999999999</v>
      </c>
    </row>
    <row r="4168" spans="1:8" x14ac:dyDescent="0.3">
      <c r="A4168" t="s">
        <v>9678</v>
      </c>
      <c r="B4168" t="s">
        <v>26951</v>
      </c>
      <c r="C4168" t="s">
        <v>10635</v>
      </c>
      <c r="D4168" t="s">
        <v>10634</v>
      </c>
      <c r="E4168" s="2" t="s">
        <v>725</v>
      </c>
      <c r="F4168" t="s">
        <v>10633</v>
      </c>
      <c r="G4168" t="str">
        <f>HYPERLINK("https://www.techm.kr/news/articleView.html?idxno=140523")</f>
        <v>https://www.techm.kr/news/articleView.html?idxno=140523</v>
      </c>
      <c r="H4168">
        <v>0.36499999999999999</v>
      </c>
    </row>
    <row r="4169" spans="1:8" x14ac:dyDescent="0.3">
      <c r="A4169" t="s">
        <v>9678</v>
      </c>
      <c r="B4169" t="s">
        <v>26951</v>
      </c>
      <c r="C4169" t="s">
        <v>10637</v>
      </c>
      <c r="D4169" t="s">
        <v>10636</v>
      </c>
      <c r="E4169" s="2" t="s">
        <v>725</v>
      </c>
      <c r="F4169" t="s">
        <v>4315</v>
      </c>
      <c r="G4169" t="str">
        <f>HYPERLINK("https://www.lecturernews.com/news/articleView.html?idxno=145937")</f>
        <v>https://www.lecturernews.com/news/articleView.html?idxno=145937</v>
      </c>
      <c r="H4169">
        <v>0.47499999999999998</v>
      </c>
    </row>
    <row r="4170" spans="1:8" x14ac:dyDescent="0.3">
      <c r="A4170" t="s">
        <v>9678</v>
      </c>
      <c r="B4170" t="s">
        <v>26951</v>
      </c>
      <c r="C4170" t="s">
        <v>10640</v>
      </c>
      <c r="D4170" t="s">
        <v>10639</v>
      </c>
      <c r="E4170" s="2" t="s">
        <v>725</v>
      </c>
      <c r="F4170" t="s">
        <v>10638</v>
      </c>
      <c r="G4170" t="str">
        <f>HYPERLINK("http://www.newstnt.com/news/articleView.html?idxno=496126")</f>
        <v>http://www.newstnt.com/news/articleView.html?idxno=496126</v>
      </c>
      <c r="H4170">
        <v>0.91500000000000004</v>
      </c>
    </row>
    <row r="4171" spans="1:8" x14ac:dyDescent="0.3">
      <c r="A4171" t="s">
        <v>9678</v>
      </c>
      <c r="B4171" t="s">
        <v>26951</v>
      </c>
      <c r="C4171" t="s">
        <v>10642</v>
      </c>
      <c r="D4171" t="s">
        <v>10641</v>
      </c>
      <c r="E4171" s="2" t="s">
        <v>725</v>
      </c>
      <c r="F4171" t="s">
        <v>171</v>
      </c>
      <c r="G4171" t="str">
        <f>HYPERLINK("https://www.forbeskorea.co.kr/news/articleView.html?idxno=400031")</f>
        <v>https://www.forbeskorea.co.kr/news/articleView.html?idxno=400031</v>
      </c>
      <c r="H4171">
        <v>0.44600000000000001</v>
      </c>
    </row>
    <row r="4172" spans="1:8" x14ac:dyDescent="0.3">
      <c r="A4172" t="s">
        <v>9678</v>
      </c>
      <c r="B4172" t="s">
        <v>26951</v>
      </c>
      <c r="C4172" t="s">
        <v>10644</v>
      </c>
      <c r="D4172" t="s">
        <v>10643</v>
      </c>
      <c r="E4172" s="2" t="s">
        <v>725</v>
      </c>
      <c r="F4172" t="s">
        <v>9978</v>
      </c>
      <c r="G4172" t="str">
        <f>HYPERLINK("https://www.newspim.com/news/view/20250630000602")</f>
        <v>https://www.newspim.com/news/view/20250630000602</v>
      </c>
      <c r="H4172">
        <v>0.192</v>
      </c>
    </row>
    <row r="4173" spans="1:8" x14ac:dyDescent="0.3">
      <c r="A4173" t="s">
        <v>9678</v>
      </c>
      <c r="B4173" t="s">
        <v>26951</v>
      </c>
      <c r="C4173" t="s">
        <v>10647</v>
      </c>
      <c r="D4173" t="s">
        <v>10646</v>
      </c>
      <c r="E4173" s="2" t="s">
        <v>725</v>
      </c>
      <c r="F4173" t="s">
        <v>10645</v>
      </c>
      <c r="G4173" t="str">
        <f>HYPERLINK("http://www.starnewsk.com/news/articleView.html?idxno=41449")</f>
        <v>http://www.starnewsk.com/news/articleView.html?idxno=41449</v>
      </c>
      <c r="H4173">
        <v>0.21199999999999999</v>
      </c>
    </row>
    <row r="4174" spans="1:8" x14ac:dyDescent="0.3">
      <c r="A4174" t="s">
        <v>9678</v>
      </c>
      <c r="B4174" t="s">
        <v>26951</v>
      </c>
      <c r="C4174" t="s">
        <v>10650</v>
      </c>
      <c r="D4174" t="s">
        <v>10649</v>
      </c>
      <c r="E4174" s="2" t="s">
        <v>725</v>
      </c>
      <c r="F4174" t="s">
        <v>10648</v>
      </c>
      <c r="G4174" t="str">
        <f>HYPERLINK("https://n.news.naver.com/mnews/article/214/0001433403?sid=100")</f>
        <v>https://n.news.naver.com/mnews/article/214/0001433403?sid=100</v>
      </c>
      <c r="H4174">
        <v>0.47399999999999998</v>
      </c>
    </row>
    <row r="4175" spans="1:8" x14ac:dyDescent="0.3">
      <c r="A4175" t="s">
        <v>9678</v>
      </c>
      <c r="B4175" t="s">
        <v>26951</v>
      </c>
      <c r="C4175" t="s">
        <v>10653</v>
      </c>
      <c r="D4175" t="s">
        <v>10652</v>
      </c>
      <c r="E4175" s="2" t="s">
        <v>725</v>
      </c>
      <c r="F4175" t="s">
        <v>10651</v>
      </c>
      <c r="G4175" t="str">
        <f>HYPERLINK("http://www.dtnews24.com/news/articleView.html?idxno=792173")</f>
        <v>http://www.dtnews24.com/news/articleView.html?idxno=792173</v>
      </c>
      <c r="H4175">
        <v>0.48199999999999998</v>
      </c>
    </row>
    <row r="4176" spans="1:8" x14ac:dyDescent="0.3">
      <c r="A4176" t="s">
        <v>9678</v>
      </c>
      <c r="B4176" t="s">
        <v>26951</v>
      </c>
      <c r="C4176" t="s">
        <v>10656</v>
      </c>
      <c r="D4176" t="s">
        <v>10655</v>
      </c>
      <c r="E4176" s="2" t="s">
        <v>725</v>
      </c>
      <c r="F4176" t="s">
        <v>10654</v>
      </c>
      <c r="G4176" t="str">
        <f>HYPERLINK("http://www.netongs.com/news/articleView.html?idxno=326171")</f>
        <v>http://www.netongs.com/news/articleView.html?idxno=326171</v>
      </c>
      <c r="H4176">
        <v>0.35299999999999998</v>
      </c>
    </row>
    <row r="4177" spans="1:8" x14ac:dyDescent="0.3">
      <c r="A4177" t="s">
        <v>9678</v>
      </c>
      <c r="B4177" t="s">
        <v>26951</v>
      </c>
      <c r="C4177" t="s">
        <v>10658</v>
      </c>
      <c r="D4177" t="s">
        <v>10657</v>
      </c>
      <c r="E4177" s="2" t="s">
        <v>725</v>
      </c>
      <c r="F4177" t="s">
        <v>9978</v>
      </c>
      <c r="G4177" t="str">
        <f>HYPERLINK("https://www.dailysportshankook.co.kr/news/articleView.html?idxno=406801")</f>
        <v>https://www.dailysportshankook.co.kr/news/articleView.html?idxno=406801</v>
      </c>
      <c r="H4177">
        <v>0.54500000000000004</v>
      </c>
    </row>
    <row r="4178" spans="1:8" x14ac:dyDescent="0.3">
      <c r="A4178" t="s">
        <v>9678</v>
      </c>
      <c r="B4178" t="s">
        <v>26951</v>
      </c>
      <c r="C4178" t="s">
        <v>10661</v>
      </c>
      <c r="D4178" t="s">
        <v>10660</v>
      </c>
      <c r="E4178" s="2" t="s">
        <v>725</v>
      </c>
      <c r="F4178" t="s">
        <v>10659</v>
      </c>
      <c r="G4178" t="str">
        <f>HYPERLINK("https://www.newsfreezone.co.kr/news/articleView.html?idxno=633948")</f>
        <v>https://www.newsfreezone.co.kr/news/articleView.html?idxno=633948</v>
      </c>
      <c r="H4178">
        <v>0.45500000000000002</v>
      </c>
    </row>
    <row r="4179" spans="1:8" x14ac:dyDescent="0.3">
      <c r="A4179" t="s">
        <v>9678</v>
      </c>
      <c r="B4179" t="s">
        <v>26951</v>
      </c>
      <c r="C4179" t="s">
        <v>10663</v>
      </c>
      <c r="D4179" t="s">
        <v>10662</v>
      </c>
      <c r="E4179" s="2" t="s">
        <v>725</v>
      </c>
      <c r="F4179" t="s">
        <v>8549</v>
      </c>
      <c r="G4179" t="str">
        <f>HYPERLINK("https://www.newsmin.co.kr/news/95893/")</f>
        <v>https://www.newsmin.co.kr/news/95893/</v>
      </c>
      <c r="H4179">
        <v>0.50600000000000001</v>
      </c>
    </row>
    <row r="4180" spans="1:8" x14ac:dyDescent="0.3">
      <c r="A4180" t="s">
        <v>9678</v>
      </c>
      <c r="B4180" t="s">
        <v>26951</v>
      </c>
      <c r="C4180" t="s">
        <v>10665</v>
      </c>
      <c r="D4180" t="s">
        <v>10664</v>
      </c>
      <c r="E4180" s="2" t="s">
        <v>725</v>
      </c>
      <c r="F4180" t="s">
        <v>3230</v>
      </c>
      <c r="G4180" t="str">
        <f>HYPERLINK("https://www.newscj.com/news/articleView.html?idxno=3283015")</f>
        <v>https://www.newscj.com/news/articleView.html?idxno=3283015</v>
      </c>
      <c r="H4180">
        <v>0.69099999999999995</v>
      </c>
    </row>
    <row r="4181" spans="1:8" x14ac:dyDescent="0.3">
      <c r="A4181" t="s">
        <v>9678</v>
      </c>
      <c r="B4181" t="s">
        <v>26951</v>
      </c>
      <c r="C4181" t="s">
        <v>10667</v>
      </c>
      <c r="D4181" t="s">
        <v>9992</v>
      </c>
      <c r="E4181" s="2" t="s">
        <v>725</v>
      </c>
      <c r="F4181" t="s">
        <v>10666</v>
      </c>
      <c r="G4181" t="str">
        <f>HYPERLINK("https://n.news.naver.com/mnews/article/081/0003554041?sid=102")</f>
        <v>https://n.news.naver.com/mnews/article/081/0003554041?sid=102</v>
      </c>
      <c r="H4181">
        <v>0.36699999999999999</v>
      </c>
    </row>
    <row r="4182" spans="1:8" x14ac:dyDescent="0.3">
      <c r="A4182" t="s">
        <v>9678</v>
      </c>
      <c r="B4182" t="s">
        <v>26951</v>
      </c>
      <c r="C4182" t="s">
        <v>10670</v>
      </c>
      <c r="D4182" t="s">
        <v>10669</v>
      </c>
      <c r="E4182" s="2" t="s">
        <v>725</v>
      </c>
      <c r="F4182" t="s">
        <v>10668</v>
      </c>
      <c r="G4182" t="str">
        <f>HYPERLINK("http://www.newsway.co.kr/view.php?tp=1&amp;ud=2014070108443597743")</f>
        <v>http://www.newsway.co.kr/view.php?tp=1&amp;ud=2014070108443597743</v>
      </c>
      <c r="H4182">
        <v>0.43</v>
      </c>
    </row>
    <row r="4183" spans="1:8" x14ac:dyDescent="0.3">
      <c r="A4183" t="s">
        <v>9678</v>
      </c>
      <c r="B4183" t="s">
        <v>26951</v>
      </c>
      <c r="C4183" t="s">
        <v>10672</v>
      </c>
      <c r="D4183" t="s">
        <v>10671</v>
      </c>
      <c r="E4183" s="2" t="s">
        <v>725</v>
      </c>
      <c r="F4183" t="s">
        <v>111</v>
      </c>
      <c r="G4183" t="str">
        <f>HYPERLINK("https://n.news.naver.com/mnews/article/214/0001428895?sid=154")</f>
        <v>https://n.news.naver.com/mnews/article/214/0001428895?sid=154</v>
      </c>
      <c r="H4183">
        <v>0.14000000000000001</v>
      </c>
    </row>
    <row r="4184" spans="1:8" x14ac:dyDescent="0.3">
      <c r="A4184" t="s">
        <v>9678</v>
      </c>
      <c r="B4184" t="s">
        <v>26951</v>
      </c>
      <c r="C4184" t="s">
        <v>10677</v>
      </c>
      <c r="D4184" t="s">
        <v>10676</v>
      </c>
      <c r="E4184" s="2" t="s">
        <v>725</v>
      </c>
      <c r="F4184" t="s">
        <v>10675</v>
      </c>
      <c r="G4184" t="str">
        <f>HYPERLINK("https://www.greened.kr/news/articleView.html?idxno=325989")</f>
        <v>https://www.greened.kr/news/articleView.html?idxno=325989</v>
      </c>
      <c r="H4184">
        <v>0.66800000000000004</v>
      </c>
    </row>
    <row r="4185" spans="1:8" x14ac:dyDescent="0.3">
      <c r="A4185" t="s">
        <v>9678</v>
      </c>
      <c r="B4185" t="s">
        <v>26951</v>
      </c>
      <c r="C4185" t="s">
        <v>10681</v>
      </c>
      <c r="D4185" t="s">
        <v>10680</v>
      </c>
      <c r="E4185" s="2" t="s">
        <v>725</v>
      </c>
      <c r="F4185" t="s">
        <v>10679</v>
      </c>
      <c r="G4185" t="str">
        <f>HYPERLINK("https://n.news.naver.com/mnews/article/036/0000049356?sid=102")</f>
        <v>https://n.news.naver.com/mnews/article/036/0000049356?sid=102</v>
      </c>
      <c r="H4185">
        <v>0.26300000000000001</v>
      </c>
    </row>
    <row r="4186" spans="1:8" x14ac:dyDescent="0.3">
      <c r="A4186" t="s">
        <v>9678</v>
      </c>
      <c r="B4186" t="s">
        <v>26951</v>
      </c>
      <c r="C4186" t="s">
        <v>10684</v>
      </c>
      <c r="D4186" t="s">
        <v>10683</v>
      </c>
      <c r="E4186" s="2" t="s">
        <v>725</v>
      </c>
      <c r="F4186" t="s">
        <v>10682</v>
      </c>
      <c r="G4186" t="str">
        <f>HYPERLINK("http://www.ibulgyo.com/news/articleView.html?idxno=427728")</f>
        <v>http://www.ibulgyo.com/news/articleView.html?idxno=427728</v>
      </c>
      <c r="H4186">
        <v>0.28100000000000003</v>
      </c>
    </row>
    <row r="4187" spans="1:8" x14ac:dyDescent="0.3">
      <c r="A4187" t="s">
        <v>9678</v>
      </c>
      <c r="B4187" t="s">
        <v>26951</v>
      </c>
      <c r="C4187" t="s">
        <v>10686</v>
      </c>
      <c r="D4187" t="s">
        <v>10685</v>
      </c>
      <c r="E4187" s="2" t="s">
        <v>725</v>
      </c>
      <c r="F4187" t="s">
        <v>7465</v>
      </c>
      <c r="G4187" t="str">
        <f>HYPERLINK("https://n.news.naver.com/mnews/article/088/0000787046?sid=004")</f>
        <v>https://n.news.naver.com/mnews/article/088/0000787046?sid=004</v>
      </c>
      <c r="H4187">
        <v>0.189</v>
      </c>
    </row>
    <row r="4188" spans="1:8" x14ac:dyDescent="0.3">
      <c r="A4188" t="s">
        <v>9678</v>
      </c>
      <c r="B4188" t="s">
        <v>26951</v>
      </c>
      <c r="C4188" t="s">
        <v>10689</v>
      </c>
      <c r="D4188" t="s">
        <v>10688</v>
      </c>
      <c r="E4188" s="2" t="s">
        <v>725</v>
      </c>
      <c r="F4188" t="s">
        <v>10687</v>
      </c>
      <c r="G4188" t="str">
        <f>HYPERLINK("https://www.aitimes.kr/news/articleView.html?idxno=35147")</f>
        <v>https://www.aitimes.kr/news/articleView.html?idxno=35147</v>
      </c>
      <c r="H4188">
        <v>0.55600000000000005</v>
      </c>
    </row>
    <row r="4189" spans="1:8" x14ac:dyDescent="0.3">
      <c r="A4189" t="s">
        <v>9678</v>
      </c>
      <c r="B4189" t="s">
        <v>26951</v>
      </c>
      <c r="C4189" t="s">
        <v>10691</v>
      </c>
      <c r="D4189" t="s">
        <v>10690</v>
      </c>
      <c r="E4189" s="2" t="s">
        <v>725</v>
      </c>
      <c r="F4189" t="s">
        <v>8713</v>
      </c>
      <c r="G4189" t="str">
        <f>HYPERLINK("https://n.news.naver.com/mnews/article/056/0011549357?sid=100")</f>
        <v>https://n.news.naver.com/mnews/article/056/0011549357?sid=100</v>
      </c>
      <c r="H4189">
        <v>0.216</v>
      </c>
    </row>
    <row r="4190" spans="1:8" x14ac:dyDescent="0.3">
      <c r="A4190" t="s">
        <v>9678</v>
      </c>
      <c r="B4190" t="s">
        <v>26951</v>
      </c>
      <c r="C4190" t="s">
        <v>10694</v>
      </c>
      <c r="D4190" t="s">
        <v>10693</v>
      </c>
      <c r="E4190" s="2" t="s">
        <v>725</v>
      </c>
      <c r="F4190" t="s">
        <v>10692</v>
      </c>
      <c r="G4190" t="str">
        <f>HYPERLINK("http://www.ttlnews.com/news/articleView.html?idxno=3007027")</f>
        <v>http://www.ttlnews.com/news/articleView.html?idxno=3007027</v>
      </c>
      <c r="H4190">
        <v>0.19700000000000001</v>
      </c>
    </row>
    <row r="4191" spans="1:8" x14ac:dyDescent="0.3">
      <c r="A4191" t="s">
        <v>9678</v>
      </c>
      <c r="B4191" t="s">
        <v>26951</v>
      </c>
      <c r="C4191" t="s">
        <v>10697</v>
      </c>
      <c r="D4191" t="s">
        <v>10696</v>
      </c>
      <c r="E4191" s="2" t="s">
        <v>725</v>
      </c>
      <c r="F4191" t="s">
        <v>10695</v>
      </c>
      <c r="G4191" t="str">
        <f>HYPERLINK("https://n.news.naver.com/mnews/article/028/0002159097?sid=103")</f>
        <v>https://n.news.naver.com/mnews/article/028/0002159097?sid=103</v>
      </c>
      <c r="H4191">
        <v>0.20799999999999999</v>
      </c>
    </row>
    <row r="4192" spans="1:8" x14ac:dyDescent="0.3">
      <c r="A4192" t="s">
        <v>9678</v>
      </c>
      <c r="B4192" t="s">
        <v>26951</v>
      </c>
      <c r="C4192" t="s">
        <v>10699</v>
      </c>
      <c r="D4192" t="s">
        <v>10698</v>
      </c>
      <c r="E4192" s="2" t="s">
        <v>725</v>
      </c>
      <c r="F4192" t="s">
        <v>7893</v>
      </c>
      <c r="G4192" t="str">
        <f>HYPERLINK("https://n.news.naver.com/mnews/article/214/0001391476?sid=100")</f>
        <v>https://n.news.naver.com/mnews/article/214/0001391476?sid=100</v>
      </c>
      <c r="H4192">
        <v>0.216</v>
      </c>
    </row>
    <row r="4193" spans="1:8" x14ac:dyDescent="0.3">
      <c r="A4193" t="s">
        <v>9678</v>
      </c>
      <c r="B4193" t="s">
        <v>26951</v>
      </c>
      <c r="C4193" t="s">
        <v>10702</v>
      </c>
      <c r="D4193" t="s">
        <v>10701</v>
      </c>
      <c r="E4193" s="2" t="s">
        <v>725</v>
      </c>
      <c r="F4193" t="s">
        <v>10700</v>
      </c>
      <c r="G4193" t="str">
        <f>HYPERLINK("https://www.pdjournal.com/news/articleView.html?idxno=80492")</f>
        <v>https://www.pdjournal.com/news/articleView.html?idxno=80492</v>
      </c>
      <c r="H4193">
        <v>0.505</v>
      </c>
    </row>
    <row r="4194" spans="1:8" x14ac:dyDescent="0.3">
      <c r="A4194" t="s">
        <v>9678</v>
      </c>
      <c r="B4194" t="s">
        <v>26951</v>
      </c>
      <c r="C4194" t="s">
        <v>10705</v>
      </c>
      <c r="D4194" t="s">
        <v>10704</v>
      </c>
      <c r="E4194" s="2" t="s">
        <v>742</v>
      </c>
      <c r="F4194" t="s">
        <v>10703</v>
      </c>
      <c r="G4194" t="str">
        <f>HYPERLINK("http://gamefocus.co.kr/detail.php?number=65009")</f>
        <v>http://gamefocus.co.kr/detail.php?number=65009</v>
      </c>
      <c r="H4194">
        <v>0.46800000000000003</v>
      </c>
    </row>
    <row r="4195" spans="1:8" x14ac:dyDescent="0.3">
      <c r="A4195" t="s">
        <v>9678</v>
      </c>
      <c r="B4195" t="s">
        <v>26951</v>
      </c>
      <c r="C4195" t="s">
        <v>10707</v>
      </c>
      <c r="D4195" t="s">
        <v>10706</v>
      </c>
      <c r="E4195" s="2" t="s">
        <v>742</v>
      </c>
      <c r="F4195" t="s">
        <v>9786</v>
      </c>
      <c r="G4195" t="str">
        <f>HYPERLINK("https://n.news.naver.com/mnews/article/277/0003264694?sid=100")</f>
        <v>https://n.news.naver.com/mnews/article/277/0003264694?sid=100</v>
      </c>
      <c r="H4195">
        <v>1.7999999999999999E-2</v>
      </c>
    </row>
    <row r="4196" spans="1:8" x14ac:dyDescent="0.3">
      <c r="A4196" t="s">
        <v>9678</v>
      </c>
      <c r="B4196" t="s">
        <v>26951</v>
      </c>
      <c r="C4196" t="s">
        <v>10708</v>
      </c>
      <c r="D4196" t="s">
        <v>10600</v>
      </c>
      <c r="E4196" s="2" t="s">
        <v>742</v>
      </c>
      <c r="F4196" t="s">
        <v>9786</v>
      </c>
      <c r="G4196" t="str">
        <f>HYPERLINK("https://www.newspim.com/news/view/20241025000633")</f>
        <v>https://www.newspim.com/news/view/20241025000633</v>
      </c>
      <c r="H4196">
        <v>0.126</v>
      </c>
    </row>
    <row r="4197" spans="1:8" x14ac:dyDescent="0.3">
      <c r="A4197" t="s">
        <v>9678</v>
      </c>
      <c r="B4197" t="s">
        <v>26951</v>
      </c>
      <c r="C4197" t="s">
        <v>10711</v>
      </c>
      <c r="D4197" t="s">
        <v>10710</v>
      </c>
      <c r="E4197" s="2" t="s">
        <v>742</v>
      </c>
      <c r="F4197" t="s">
        <v>10709</v>
      </c>
      <c r="G4197" t="str">
        <f>HYPERLINK("https://n.news.naver.com/mnews/article/014/0005357570?sid=102")</f>
        <v>https://n.news.naver.com/mnews/article/014/0005357570?sid=102</v>
      </c>
      <c r="H4197">
        <v>0.28599999999999998</v>
      </c>
    </row>
    <row r="4198" spans="1:8" x14ac:dyDescent="0.3">
      <c r="A4198" t="s">
        <v>9678</v>
      </c>
      <c r="B4198" t="s">
        <v>26951</v>
      </c>
      <c r="C4198" t="s">
        <v>10715</v>
      </c>
      <c r="D4198" t="s">
        <v>10714</v>
      </c>
      <c r="E4198" s="2" t="s">
        <v>742</v>
      </c>
      <c r="F4198" t="s">
        <v>10713</v>
      </c>
      <c r="G4198" t="str">
        <f>HYPERLINK("http://www.dailian.co.kr/news/news_view.htm?id=178171&amp;sc=naver&amp;kind=menu_code&amp;keys=3")</f>
        <v>http://www.dailian.co.kr/news/news_view.htm?id=178171&amp;sc=naver&amp;kind=menu_code&amp;keys=3</v>
      </c>
      <c r="H4198">
        <v>0.53400000000000003</v>
      </c>
    </row>
    <row r="4199" spans="1:8" x14ac:dyDescent="0.3">
      <c r="A4199" t="s">
        <v>9678</v>
      </c>
      <c r="B4199" t="s">
        <v>26951</v>
      </c>
      <c r="C4199" t="s">
        <v>10721</v>
      </c>
      <c r="D4199" t="s">
        <v>10720</v>
      </c>
      <c r="E4199" s="2" t="s">
        <v>742</v>
      </c>
      <c r="F4199" t="s">
        <v>5776</v>
      </c>
      <c r="G4199" t="str">
        <f>HYPERLINK("http://www.pdjournal.com/news/articleView.html?idxno=22707")</f>
        <v>http://www.pdjournal.com/news/articleView.html?idxno=22707</v>
      </c>
      <c r="H4199">
        <v>0.30299999999999999</v>
      </c>
    </row>
    <row r="4200" spans="1:8" x14ac:dyDescent="0.3">
      <c r="A4200" t="s">
        <v>9678</v>
      </c>
      <c r="B4200" t="s">
        <v>26951</v>
      </c>
      <c r="C4200" t="s">
        <v>10724</v>
      </c>
      <c r="D4200" t="s">
        <v>10723</v>
      </c>
      <c r="E4200" s="2" t="s">
        <v>742</v>
      </c>
      <c r="F4200" t="s">
        <v>10722</v>
      </c>
      <c r="G4200" t="str">
        <f>HYPERLINK("https://n.news.naver.com/mnews/article/469/0000831224?sid=103")</f>
        <v>https://n.news.naver.com/mnews/article/469/0000831224?sid=103</v>
      </c>
      <c r="H4200">
        <v>0.316</v>
      </c>
    </row>
    <row r="4201" spans="1:8" x14ac:dyDescent="0.3">
      <c r="A4201" t="s">
        <v>9678</v>
      </c>
      <c r="B4201" t="s">
        <v>26951</v>
      </c>
      <c r="C4201" t="s">
        <v>10727</v>
      </c>
      <c r="D4201" t="s">
        <v>10726</v>
      </c>
      <c r="E4201" s="2" t="s">
        <v>742</v>
      </c>
      <c r="F4201" t="s">
        <v>10725</v>
      </c>
      <c r="G4201" t="str">
        <f>HYPERLINK("https://daily.hankooki.com/news/articleView.html?idxno=964445")</f>
        <v>https://daily.hankooki.com/news/articleView.html?idxno=964445</v>
      </c>
      <c r="H4201">
        <v>0.58499999999999996</v>
      </c>
    </row>
    <row r="4202" spans="1:8" x14ac:dyDescent="0.3">
      <c r="A4202" t="s">
        <v>9678</v>
      </c>
      <c r="B4202" t="s">
        <v>26951</v>
      </c>
      <c r="C4202" t="s">
        <v>10730</v>
      </c>
      <c r="D4202" t="s">
        <v>10729</v>
      </c>
      <c r="E4202" s="2" t="s">
        <v>742</v>
      </c>
      <c r="F4202" t="s">
        <v>10728</v>
      </c>
      <c r="G4202" t="str">
        <f>HYPERLINK("https://www.gqkorea.co.kr/2014/06/24/%ec%88%98%ed%83%89-%ea%b0%99%ec%9d%80-%ec%82%ac%eb%82%98%ec%9d%b4-%ec%b1%84%eb%8b%9d-%ed%85%8c%ec%9d%b4%ed%85%80/?utm_source=naver&amp;utm_medium=partnership")</f>
        <v>https://www.gqkorea.co.kr/2014/06/24/%ec%88%98%ed%83%89-%ea%b0%99%ec%9d%80-%ec%82%ac%eb%82%98%ec%9d%b4-%ec%b1%84%eb%8b%9d-%ed%85%8c%ec%9d%b4%ed%85%80/?utm_source=naver&amp;utm_medium=partnership</v>
      </c>
      <c r="H4202">
        <v>0.33</v>
      </c>
    </row>
    <row r="4203" spans="1:8" x14ac:dyDescent="0.3">
      <c r="A4203" t="s">
        <v>9678</v>
      </c>
      <c r="B4203" t="s">
        <v>26951</v>
      </c>
      <c r="C4203" t="s">
        <v>10732</v>
      </c>
      <c r="D4203" t="s">
        <v>10731</v>
      </c>
      <c r="E4203" s="2" t="s">
        <v>742</v>
      </c>
      <c r="F4203" t="s">
        <v>1543</v>
      </c>
      <c r="G4203" t="str">
        <f>HYPERLINK("http://www.sisafocus.co.kr/news/articleView.html?idxno=277176")</f>
        <v>http://www.sisafocus.co.kr/news/articleView.html?idxno=277176</v>
      </c>
      <c r="H4203">
        <v>0.41399999999999998</v>
      </c>
    </row>
    <row r="4204" spans="1:8" x14ac:dyDescent="0.3">
      <c r="A4204" t="s">
        <v>9678</v>
      </c>
      <c r="B4204" t="s">
        <v>26951</v>
      </c>
      <c r="C4204" t="s">
        <v>10734</v>
      </c>
      <c r="D4204" t="s">
        <v>10733</v>
      </c>
      <c r="E4204" s="2" t="s">
        <v>742</v>
      </c>
      <c r="F4204" t="s">
        <v>3349</v>
      </c>
      <c r="G4204" t="str">
        <f>HYPERLINK("http://www.sisafocus.co.kr/news/articleView.html?idxno=274470")</f>
        <v>http://www.sisafocus.co.kr/news/articleView.html?idxno=274470</v>
      </c>
      <c r="H4204">
        <v>0.46300000000000002</v>
      </c>
    </row>
    <row r="4205" spans="1:8" x14ac:dyDescent="0.3">
      <c r="A4205" t="s">
        <v>9678</v>
      </c>
      <c r="B4205" t="s">
        <v>26951</v>
      </c>
      <c r="C4205" t="s">
        <v>10736</v>
      </c>
      <c r="D4205" t="s">
        <v>10735</v>
      </c>
      <c r="E4205" s="2" t="s">
        <v>742</v>
      </c>
      <c r="F4205" t="s">
        <v>10515</v>
      </c>
      <c r="G4205" t="str">
        <f>HYPERLINK("https://www.mediajeju.com/news/articleView.html?idxno=358721")</f>
        <v>https://www.mediajeju.com/news/articleView.html?idxno=358721</v>
      </c>
      <c r="H4205">
        <v>0.27700000000000002</v>
      </c>
    </row>
    <row r="4206" spans="1:8" x14ac:dyDescent="0.3">
      <c r="A4206" t="s">
        <v>9678</v>
      </c>
      <c r="B4206" t="s">
        <v>26951</v>
      </c>
      <c r="C4206" t="s">
        <v>10739</v>
      </c>
      <c r="D4206" t="s">
        <v>10738</v>
      </c>
      <c r="E4206" s="2" t="s">
        <v>742</v>
      </c>
      <c r="F4206" t="s">
        <v>10737</v>
      </c>
      <c r="G4206" t="str">
        <f>HYPERLINK("https://n.news.naver.com/mnews/article/081/0002326372?sid=102")</f>
        <v>https://n.news.naver.com/mnews/article/081/0002326372?sid=102</v>
      </c>
      <c r="H4206">
        <v>0.35</v>
      </c>
    </row>
    <row r="4207" spans="1:8" x14ac:dyDescent="0.3">
      <c r="A4207" t="s">
        <v>9678</v>
      </c>
      <c r="B4207" t="s">
        <v>26951</v>
      </c>
      <c r="C4207" t="s">
        <v>10741</v>
      </c>
      <c r="D4207" t="s">
        <v>10740</v>
      </c>
      <c r="E4207" s="2" t="s">
        <v>742</v>
      </c>
      <c r="F4207" t="s">
        <v>7822</v>
      </c>
      <c r="G4207" t="str">
        <f>HYPERLINK("https://www.lecturernews.com/news/articleView.html?idxno=179736")</f>
        <v>https://www.lecturernews.com/news/articleView.html?idxno=179736</v>
      </c>
      <c r="H4207">
        <v>0.59799999999999998</v>
      </c>
    </row>
    <row r="4208" spans="1:8" x14ac:dyDescent="0.3">
      <c r="A4208" t="s">
        <v>9678</v>
      </c>
      <c r="B4208" t="s">
        <v>26951</v>
      </c>
      <c r="C4208" t="s">
        <v>10743</v>
      </c>
      <c r="D4208" t="s">
        <v>10742</v>
      </c>
      <c r="E4208" s="2" t="s">
        <v>742</v>
      </c>
      <c r="F4208" t="s">
        <v>6930</v>
      </c>
      <c r="G4208" t="str">
        <f>HYPERLINK("https://n.news.naver.com/mnews/article/214/0001428600?sid=102")</f>
        <v>https://n.news.naver.com/mnews/article/214/0001428600?sid=102</v>
      </c>
      <c r="H4208">
        <v>4.7E-2</v>
      </c>
    </row>
    <row r="4209" spans="1:8" x14ac:dyDescent="0.3">
      <c r="A4209" t="s">
        <v>9678</v>
      </c>
      <c r="B4209" t="s">
        <v>26951</v>
      </c>
      <c r="C4209" t="s">
        <v>10745</v>
      </c>
      <c r="D4209" t="s">
        <v>10744</v>
      </c>
      <c r="E4209" s="2" t="s">
        <v>742</v>
      </c>
      <c r="F4209" t="s">
        <v>137</v>
      </c>
      <c r="G4209" t="str">
        <f>HYPERLINK("http://www.readersnews.com/news/articleView.html?idxno=93176")</f>
        <v>http://www.readersnews.com/news/articleView.html?idxno=93176</v>
      </c>
      <c r="H4209">
        <v>0.36</v>
      </c>
    </row>
    <row r="4210" spans="1:8" x14ac:dyDescent="0.3">
      <c r="A4210" t="s">
        <v>9678</v>
      </c>
      <c r="B4210" t="s">
        <v>26951</v>
      </c>
      <c r="C4210" t="s">
        <v>10747</v>
      </c>
      <c r="D4210" t="s">
        <v>10746</v>
      </c>
      <c r="E4210" s="2" t="s">
        <v>742</v>
      </c>
      <c r="F4210" t="s">
        <v>5548</v>
      </c>
      <c r="G4210" t="str">
        <f>HYPERLINK("https://sports.hankooki.com/news/articleView.html?idxno=6871083")</f>
        <v>https://sports.hankooki.com/news/articleView.html?idxno=6871083</v>
      </c>
      <c r="H4210">
        <v>0.47599999999999998</v>
      </c>
    </row>
    <row r="4211" spans="1:8" x14ac:dyDescent="0.3">
      <c r="A4211" t="s">
        <v>9678</v>
      </c>
      <c r="B4211" t="s">
        <v>26951</v>
      </c>
      <c r="C4211" t="s">
        <v>10749</v>
      </c>
      <c r="D4211" t="s">
        <v>10748</v>
      </c>
      <c r="E4211" s="2" t="s">
        <v>742</v>
      </c>
      <c r="F4211" t="s">
        <v>10140</v>
      </c>
      <c r="G4211" t="str">
        <f>HYPERLINK("https://n.news.naver.com/mnews/article/014/0003800280?sid=102")</f>
        <v>https://n.news.naver.com/mnews/article/014/0003800280?sid=102</v>
      </c>
      <c r="H4211">
        <v>0.27600000000000002</v>
      </c>
    </row>
    <row r="4212" spans="1:8" x14ac:dyDescent="0.3">
      <c r="A4212" t="s">
        <v>9678</v>
      </c>
      <c r="B4212" t="s">
        <v>26951</v>
      </c>
      <c r="C4212" t="s">
        <v>10752</v>
      </c>
      <c r="D4212" t="s">
        <v>10751</v>
      </c>
      <c r="E4212" s="2" t="s">
        <v>742</v>
      </c>
      <c r="F4212" t="s">
        <v>10750</v>
      </c>
      <c r="G4212" t="str">
        <f>HYPERLINK("http://www.doctorstimes.com/news/articleView.html?idxno=226604")</f>
        <v>http://www.doctorstimes.com/news/articleView.html?idxno=226604</v>
      </c>
      <c r="H4212">
        <v>0.30099999999999999</v>
      </c>
    </row>
    <row r="4213" spans="1:8" x14ac:dyDescent="0.3">
      <c r="A4213" t="s">
        <v>9678</v>
      </c>
      <c r="B4213" t="s">
        <v>26951</v>
      </c>
      <c r="C4213" t="s">
        <v>10755</v>
      </c>
      <c r="D4213" t="s">
        <v>10754</v>
      </c>
      <c r="E4213" s="2" t="s">
        <v>742</v>
      </c>
      <c r="F4213" t="s">
        <v>10753</v>
      </c>
      <c r="G4213" t="str">
        <f>HYPERLINK("http://www.apparelnews.co.kr/news/news_view/?idx=212888")</f>
        <v>http://www.apparelnews.co.kr/news/news_view/?idx=212888</v>
      </c>
      <c r="H4213">
        <v>0.49399999999999999</v>
      </c>
    </row>
    <row r="4214" spans="1:8" x14ac:dyDescent="0.3">
      <c r="A4214" t="s">
        <v>9678</v>
      </c>
      <c r="B4214" t="s">
        <v>26951</v>
      </c>
      <c r="C4214" t="s">
        <v>10758</v>
      </c>
      <c r="D4214" t="s">
        <v>10757</v>
      </c>
      <c r="E4214" s="2" t="s">
        <v>742</v>
      </c>
      <c r="F4214" t="s">
        <v>10756</v>
      </c>
      <c r="G4214" t="str">
        <f>HYPERLINK("https://n.news.naver.com/mnews/article/214/0000594939?sid=100")</f>
        <v>https://n.news.naver.com/mnews/article/214/0000594939?sid=100</v>
      </c>
      <c r="H4214">
        <v>0.245</v>
      </c>
    </row>
    <row r="4215" spans="1:8" x14ac:dyDescent="0.3">
      <c r="A4215" t="s">
        <v>9678</v>
      </c>
      <c r="B4215" t="s">
        <v>26951</v>
      </c>
      <c r="C4215" t="s">
        <v>10761</v>
      </c>
      <c r="D4215" t="s">
        <v>10760</v>
      </c>
      <c r="E4215" s="2" t="s">
        <v>742</v>
      </c>
      <c r="F4215" t="s">
        <v>10759</v>
      </c>
      <c r="G4215" t="str">
        <f>HYPERLINK("http://www.jbnews.com/news/articleView.html?idxno=795169")</f>
        <v>http://www.jbnews.com/news/articleView.html?idxno=795169</v>
      </c>
      <c r="H4215">
        <v>0.61899999999999999</v>
      </c>
    </row>
    <row r="4216" spans="1:8" x14ac:dyDescent="0.3">
      <c r="A4216" t="s">
        <v>9678</v>
      </c>
      <c r="B4216" t="s">
        <v>26951</v>
      </c>
      <c r="C4216" t="s">
        <v>10763</v>
      </c>
      <c r="D4216" t="s">
        <v>10762</v>
      </c>
      <c r="E4216" s="2" t="s">
        <v>742</v>
      </c>
      <c r="F4216" t="s">
        <v>408</v>
      </c>
      <c r="H4216">
        <v>0.36299999999999999</v>
      </c>
    </row>
    <row r="4217" spans="1:8" x14ac:dyDescent="0.3">
      <c r="A4217" t="s">
        <v>9678</v>
      </c>
      <c r="B4217" t="s">
        <v>26951</v>
      </c>
      <c r="C4217" t="s">
        <v>10767</v>
      </c>
      <c r="D4217" t="s">
        <v>10766</v>
      </c>
      <c r="E4217" s="2" t="s">
        <v>742</v>
      </c>
      <c r="F4217" t="s">
        <v>10765</v>
      </c>
      <c r="G4217" t="str">
        <f>HYPERLINK("https://www.kukinews.com/article/view/kuk202506020064")</f>
        <v>https://www.kukinews.com/article/view/kuk202506020064</v>
      </c>
      <c r="H4217">
        <v>0.435</v>
      </c>
    </row>
    <row r="4218" spans="1:8" x14ac:dyDescent="0.3">
      <c r="A4218" t="s">
        <v>9678</v>
      </c>
      <c r="B4218" t="s">
        <v>26951</v>
      </c>
      <c r="C4218" t="s">
        <v>10770</v>
      </c>
      <c r="D4218" t="s">
        <v>10769</v>
      </c>
      <c r="E4218" s="2" t="s">
        <v>742</v>
      </c>
      <c r="F4218" t="s">
        <v>10768</v>
      </c>
      <c r="G4218" t="str">
        <f>HYPERLINK("http://www.pdjournal.com/news/articleView.html?idxno=74132")</f>
        <v>http://www.pdjournal.com/news/articleView.html?idxno=74132</v>
      </c>
      <c r="H4218">
        <v>0.28999999999999998</v>
      </c>
    </row>
    <row r="4219" spans="1:8" x14ac:dyDescent="0.3">
      <c r="A4219" t="s">
        <v>9678</v>
      </c>
      <c r="B4219" t="s">
        <v>26951</v>
      </c>
      <c r="C4219" t="s">
        <v>10772</v>
      </c>
      <c r="D4219" t="s">
        <v>10771</v>
      </c>
      <c r="E4219" s="2" t="s">
        <v>742</v>
      </c>
      <c r="F4219" t="s">
        <v>197</v>
      </c>
      <c r="G4219" t="str">
        <f>HYPERLINK("https://n.news.naver.com/mnews/article/656/0000135128?sid=100")</f>
        <v>https://n.news.naver.com/mnews/article/656/0000135128?sid=100</v>
      </c>
      <c r="H4219">
        <v>0.248</v>
      </c>
    </row>
    <row r="4220" spans="1:8" x14ac:dyDescent="0.3">
      <c r="A4220" t="s">
        <v>9678</v>
      </c>
      <c r="B4220" t="s">
        <v>26951</v>
      </c>
      <c r="C4220" t="s">
        <v>10774</v>
      </c>
      <c r="D4220" t="s">
        <v>10773</v>
      </c>
      <c r="E4220" s="2" t="s">
        <v>742</v>
      </c>
      <c r="F4220" t="s">
        <v>5840</v>
      </c>
      <c r="G4220" t="str">
        <f>HYPERLINK("https://n.news.naver.com/mnews/article/214/0000632868?sid=100")</f>
        <v>https://n.news.naver.com/mnews/article/214/0000632868?sid=100</v>
      </c>
      <c r="H4220">
        <v>0.32500000000000001</v>
      </c>
    </row>
    <row r="4221" spans="1:8" x14ac:dyDescent="0.3">
      <c r="A4221" t="s">
        <v>9678</v>
      </c>
      <c r="B4221" t="s">
        <v>26951</v>
      </c>
      <c r="C4221" t="s">
        <v>10777</v>
      </c>
      <c r="D4221" t="s">
        <v>10776</v>
      </c>
      <c r="E4221" s="2" t="s">
        <v>742</v>
      </c>
      <c r="F4221" t="s">
        <v>10775</v>
      </c>
      <c r="G4221" t="str">
        <f>HYPERLINK("http://www.efnews.co.kr/news/articleView.html?idxno=120204")</f>
        <v>http://www.efnews.co.kr/news/articleView.html?idxno=120204</v>
      </c>
      <c r="H4221">
        <v>0.45</v>
      </c>
    </row>
    <row r="4222" spans="1:8" x14ac:dyDescent="0.3">
      <c r="A4222" t="s">
        <v>9678</v>
      </c>
      <c r="B4222" t="s">
        <v>26951</v>
      </c>
      <c r="C4222" t="s">
        <v>10779</v>
      </c>
      <c r="D4222" t="s">
        <v>10778</v>
      </c>
      <c r="E4222" s="2" t="s">
        <v>742</v>
      </c>
      <c r="F4222" t="s">
        <v>2336</v>
      </c>
      <c r="G4222" t="str">
        <f>HYPERLINK("https://n.news.naver.com/mnews/article/214/0001429423?sid=154")</f>
        <v>https://n.news.naver.com/mnews/article/214/0001429423?sid=154</v>
      </c>
      <c r="H4222">
        <v>0.186</v>
      </c>
    </row>
    <row r="4223" spans="1:8" x14ac:dyDescent="0.3">
      <c r="A4223" t="s">
        <v>9678</v>
      </c>
      <c r="B4223" t="s">
        <v>26951</v>
      </c>
      <c r="C4223" t="s">
        <v>10782</v>
      </c>
      <c r="D4223" t="s">
        <v>10781</v>
      </c>
      <c r="E4223" s="2" t="s">
        <v>742</v>
      </c>
      <c r="F4223" t="s">
        <v>10780</v>
      </c>
      <c r="G4223" t="str">
        <f>HYPERLINK("http://www.fntoday.co.kr/news/articleView.html?idxno=355973")</f>
        <v>http://www.fntoday.co.kr/news/articleView.html?idxno=355973</v>
      </c>
      <c r="H4223">
        <v>0.21199999999999999</v>
      </c>
    </row>
    <row r="4224" spans="1:8" x14ac:dyDescent="0.3">
      <c r="A4224" t="s">
        <v>9678</v>
      </c>
      <c r="B4224" t="s">
        <v>26951</v>
      </c>
      <c r="C4224" t="s">
        <v>10785</v>
      </c>
      <c r="D4224" t="s">
        <v>10784</v>
      </c>
      <c r="E4224" s="2" t="s">
        <v>742</v>
      </c>
      <c r="F4224" t="s">
        <v>10783</v>
      </c>
      <c r="G4224" t="str">
        <f>HYPERLINK("http://kor.theasian.asia/archives/386664")</f>
        <v>http://kor.theasian.asia/archives/386664</v>
      </c>
      <c r="H4224">
        <v>0.219</v>
      </c>
    </row>
    <row r="4225" spans="1:8" x14ac:dyDescent="0.3">
      <c r="A4225" t="s">
        <v>9678</v>
      </c>
      <c r="B4225" t="s">
        <v>26951</v>
      </c>
      <c r="C4225" t="s">
        <v>10787</v>
      </c>
      <c r="D4225" t="s">
        <v>10786</v>
      </c>
      <c r="E4225" s="2" t="s">
        <v>742</v>
      </c>
      <c r="F4225" t="s">
        <v>10284</v>
      </c>
      <c r="G4225" t="str">
        <f>HYPERLINK("https://n.news.naver.com/mnews/article/006/0000117300?sid=110")</f>
        <v>https://n.news.naver.com/mnews/article/006/0000117300?sid=110</v>
      </c>
      <c r="H4225">
        <v>0.246</v>
      </c>
    </row>
    <row r="4226" spans="1:8" x14ac:dyDescent="0.3">
      <c r="A4226" t="s">
        <v>9678</v>
      </c>
      <c r="B4226" t="s">
        <v>26951</v>
      </c>
      <c r="C4226" t="s">
        <v>10790</v>
      </c>
      <c r="D4226" t="s">
        <v>10789</v>
      </c>
      <c r="E4226" s="2" t="s">
        <v>742</v>
      </c>
      <c r="F4226" t="s">
        <v>10788</v>
      </c>
      <c r="G4226" t="str">
        <f>HYPERLINK("https://www.lecturernews.com/news/articleView.html?idxno=127308")</f>
        <v>https://www.lecturernews.com/news/articleView.html?idxno=127308</v>
      </c>
      <c r="H4226">
        <v>8.5000000000000006E-2</v>
      </c>
    </row>
    <row r="4227" spans="1:8" x14ac:dyDescent="0.3">
      <c r="A4227" t="s">
        <v>9678</v>
      </c>
      <c r="B4227" t="s">
        <v>26951</v>
      </c>
      <c r="C4227" t="s">
        <v>10793</v>
      </c>
      <c r="D4227" t="s">
        <v>10792</v>
      </c>
      <c r="E4227" s="2" t="s">
        <v>742</v>
      </c>
      <c r="F4227" t="s">
        <v>10791</v>
      </c>
      <c r="G4227" t="str">
        <f>HYPERLINK("https://sports.hankooki.com/news/articleView.html?idxno=6885119")</f>
        <v>https://sports.hankooki.com/news/articleView.html?idxno=6885119</v>
      </c>
      <c r="H4227">
        <v>0.373</v>
      </c>
    </row>
    <row r="4228" spans="1:8" x14ac:dyDescent="0.3">
      <c r="A4228" t="s">
        <v>9678</v>
      </c>
      <c r="B4228" t="s">
        <v>26951</v>
      </c>
      <c r="C4228" t="s">
        <v>10795</v>
      </c>
      <c r="D4228" t="s">
        <v>10794</v>
      </c>
      <c r="E4228" s="2" t="s">
        <v>742</v>
      </c>
      <c r="F4228" t="s">
        <v>6930</v>
      </c>
      <c r="G4228" t="str">
        <f>HYPERLINK("https://www.ekn.kr/web/view.php?key=20250609023224610")</f>
        <v>https://www.ekn.kr/web/view.php?key=20250609023224610</v>
      </c>
      <c r="H4228">
        <v>0.49299999999999999</v>
      </c>
    </row>
    <row r="4229" spans="1:8" x14ac:dyDescent="0.3">
      <c r="A4229" t="s">
        <v>9678</v>
      </c>
      <c r="B4229" t="s">
        <v>26951</v>
      </c>
      <c r="C4229" t="s">
        <v>10798</v>
      </c>
      <c r="D4229" t="s">
        <v>10797</v>
      </c>
      <c r="E4229" s="2" t="s">
        <v>742</v>
      </c>
      <c r="F4229" t="s">
        <v>10796</v>
      </c>
      <c r="G4229" t="str">
        <f>HYPERLINK("https://www.safetynews.co.kr/news/articleView.html?idxno=239142")</f>
        <v>https://www.safetynews.co.kr/news/articleView.html?idxno=239142</v>
      </c>
      <c r="H4229">
        <v>0.83199999999999996</v>
      </c>
    </row>
    <row r="4230" spans="1:8" x14ac:dyDescent="0.3">
      <c r="A4230" t="s">
        <v>9678</v>
      </c>
      <c r="B4230" t="s">
        <v>26951</v>
      </c>
      <c r="C4230" t="s">
        <v>10800</v>
      </c>
      <c r="D4230" t="s">
        <v>10799</v>
      </c>
      <c r="E4230" s="2" t="s">
        <v>742</v>
      </c>
      <c r="F4230" t="s">
        <v>10021</v>
      </c>
      <c r="G4230" t="str">
        <f>HYPERLINK("https://www.joongangenews.com/news/articleView.html?idxno=428847")</f>
        <v>https://www.joongangenews.com/news/articleView.html?idxno=428847</v>
      </c>
      <c r="H4230">
        <v>0.7</v>
      </c>
    </row>
    <row r="4231" spans="1:8" x14ac:dyDescent="0.3">
      <c r="A4231" t="s">
        <v>9678</v>
      </c>
      <c r="B4231" t="s">
        <v>26951</v>
      </c>
      <c r="C4231" t="s">
        <v>10803</v>
      </c>
      <c r="D4231" t="s">
        <v>10802</v>
      </c>
      <c r="E4231" s="2" t="s">
        <v>742</v>
      </c>
      <c r="F4231" t="s">
        <v>10801</v>
      </c>
      <c r="G4231" t="str">
        <f>HYPERLINK("http://www.namdonews.com/news/articleView.html?idxno=777426")</f>
        <v>http://www.namdonews.com/news/articleView.html?idxno=777426</v>
      </c>
      <c r="H4231">
        <v>0.192</v>
      </c>
    </row>
    <row r="4232" spans="1:8" x14ac:dyDescent="0.3">
      <c r="A4232" t="s">
        <v>9678</v>
      </c>
      <c r="B4232" t="s">
        <v>26951</v>
      </c>
      <c r="C4232" t="s">
        <v>10806</v>
      </c>
      <c r="D4232" t="s">
        <v>10805</v>
      </c>
      <c r="E4232" s="2" t="s">
        <v>742</v>
      </c>
      <c r="F4232" t="s">
        <v>10804</v>
      </c>
      <c r="G4232" t="str">
        <f>HYPERLINK("http://www.sisaon.co.kr/news/articleView.html?idxno=100964")</f>
        <v>http://www.sisaon.co.kr/news/articleView.html?idxno=100964</v>
      </c>
      <c r="H4232">
        <v>0.35699999999999998</v>
      </c>
    </row>
    <row r="4233" spans="1:8" x14ac:dyDescent="0.3">
      <c r="A4233" t="s">
        <v>9678</v>
      </c>
      <c r="B4233" t="s">
        <v>26951</v>
      </c>
      <c r="C4233" t="s">
        <v>10809</v>
      </c>
      <c r="D4233" t="s">
        <v>10808</v>
      </c>
      <c r="E4233" s="2" t="s">
        <v>742</v>
      </c>
      <c r="F4233" t="s">
        <v>10807</v>
      </c>
      <c r="G4233" t="str">
        <f>HYPERLINK("https://www.pinpointnews.co.kr/news/articleView.html?idxno=280133")</f>
        <v>https://www.pinpointnews.co.kr/news/articleView.html?idxno=280133</v>
      </c>
      <c r="H4233">
        <v>0.40699999999999997</v>
      </c>
    </row>
    <row r="4234" spans="1:8" x14ac:dyDescent="0.3">
      <c r="A4234" t="s">
        <v>9678</v>
      </c>
      <c r="B4234" t="s">
        <v>26951</v>
      </c>
      <c r="C4234" t="s">
        <v>10812</v>
      </c>
      <c r="D4234" t="s">
        <v>10811</v>
      </c>
      <c r="E4234" s="2" t="s">
        <v>742</v>
      </c>
      <c r="F4234" t="s">
        <v>10810</v>
      </c>
      <c r="G4234" t="str">
        <f>HYPERLINK("http://www.ilemonde.com/news/articleView.html?idxno=20716")</f>
        <v>http://www.ilemonde.com/news/articleView.html?idxno=20716</v>
      </c>
      <c r="H4234">
        <v>0.60299999999999998</v>
      </c>
    </row>
    <row r="4235" spans="1:8" x14ac:dyDescent="0.3">
      <c r="A4235" t="s">
        <v>9678</v>
      </c>
      <c r="B4235" t="s">
        <v>26951</v>
      </c>
      <c r="C4235" t="s">
        <v>10815</v>
      </c>
      <c r="D4235" t="s">
        <v>10814</v>
      </c>
      <c r="E4235" s="2" t="s">
        <v>742</v>
      </c>
      <c r="F4235" t="s">
        <v>10813</v>
      </c>
      <c r="G4235" t="str">
        <f>HYPERLINK("http://sports.hankooki.com/lpage/entv/201906/sp20190618220353136660.htm")</f>
        <v>http://sports.hankooki.com/lpage/entv/201906/sp20190618220353136660.htm</v>
      </c>
      <c r="H4235">
        <v>0.37</v>
      </c>
    </row>
    <row r="4236" spans="1:8" x14ac:dyDescent="0.3">
      <c r="A4236" t="s">
        <v>9678</v>
      </c>
      <c r="B4236" t="s">
        <v>26951</v>
      </c>
      <c r="C4236" t="s">
        <v>10817</v>
      </c>
      <c r="D4236" t="s">
        <v>10816</v>
      </c>
      <c r="E4236" s="2" t="s">
        <v>742</v>
      </c>
      <c r="F4236" t="s">
        <v>8560</v>
      </c>
      <c r="G4236" t="str">
        <f>HYPERLINK("https://n.news.naver.com/mnews/article/018/0006053702?sid=101")</f>
        <v>https://n.news.naver.com/mnews/article/018/0006053702?sid=101</v>
      </c>
      <c r="H4236">
        <v>0.22800000000000001</v>
      </c>
    </row>
    <row r="4237" spans="1:8" x14ac:dyDescent="0.3">
      <c r="A4237" t="s">
        <v>9678</v>
      </c>
      <c r="B4237" t="s">
        <v>26951</v>
      </c>
      <c r="C4237" t="s">
        <v>10819</v>
      </c>
      <c r="D4237" t="s">
        <v>10818</v>
      </c>
      <c r="E4237" s="2" t="s">
        <v>742</v>
      </c>
      <c r="F4237" t="s">
        <v>9978</v>
      </c>
      <c r="G4237" t="str">
        <f>HYPERLINK("https://www.newscj.com/news/articleView.html?idxno=3153343")</f>
        <v>https://www.newscj.com/news/articleView.html?idxno=3153343</v>
      </c>
      <c r="H4237">
        <v>0.42</v>
      </c>
    </row>
    <row r="4238" spans="1:8" x14ac:dyDescent="0.3">
      <c r="A4238" t="s">
        <v>9678</v>
      </c>
      <c r="B4238" t="s">
        <v>26951</v>
      </c>
      <c r="C4238" t="s">
        <v>10821</v>
      </c>
      <c r="D4238" t="s">
        <v>10820</v>
      </c>
      <c r="E4238" s="2" t="s">
        <v>742</v>
      </c>
      <c r="F4238" t="s">
        <v>8713</v>
      </c>
      <c r="G4238" t="str">
        <f>HYPERLINK("https://www.ibabynews.com/news/articleView.html?idxno=124283")</f>
        <v>https://www.ibabynews.com/news/articleView.html?idxno=124283</v>
      </c>
      <c r="H4238">
        <v>0.53</v>
      </c>
    </row>
    <row r="4239" spans="1:8" x14ac:dyDescent="0.3">
      <c r="A4239" t="s">
        <v>9678</v>
      </c>
      <c r="B4239" t="s">
        <v>26951</v>
      </c>
      <c r="C4239" t="s">
        <v>10824</v>
      </c>
      <c r="D4239" t="s">
        <v>10823</v>
      </c>
      <c r="E4239" s="2" t="s">
        <v>742</v>
      </c>
      <c r="F4239" t="s">
        <v>10822</v>
      </c>
      <c r="G4239" t="str">
        <f>HYPERLINK("https://www.m-joongang.com/news/articleView.html?idxno=401265")</f>
        <v>https://www.m-joongang.com/news/articleView.html?idxno=401265</v>
      </c>
      <c r="H4239">
        <v>0.622</v>
      </c>
    </row>
    <row r="4240" spans="1:8" x14ac:dyDescent="0.3">
      <c r="A4240" t="s">
        <v>9678</v>
      </c>
      <c r="B4240" t="s">
        <v>26951</v>
      </c>
      <c r="C4240" t="s">
        <v>10826</v>
      </c>
      <c r="D4240" t="s">
        <v>10825</v>
      </c>
      <c r="E4240" s="2" t="s">
        <v>742</v>
      </c>
      <c r="F4240" t="s">
        <v>10713</v>
      </c>
      <c r="G4240" t="str">
        <f>HYPERLINK("https://n.news.naver.com/mnews/article/028/0002753589?sid=100")</f>
        <v>https://n.news.naver.com/mnews/article/028/0002753589?sid=100</v>
      </c>
      <c r="H4240">
        <v>0.28999999999999998</v>
      </c>
    </row>
    <row r="4241" spans="1:8" x14ac:dyDescent="0.3">
      <c r="A4241" t="s">
        <v>9678</v>
      </c>
      <c r="B4241" t="s">
        <v>26951</v>
      </c>
      <c r="C4241" t="s">
        <v>10829</v>
      </c>
      <c r="D4241" t="s">
        <v>10828</v>
      </c>
      <c r="E4241" s="2" t="s">
        <v>742</v>
      </c>
      <c r="F4241" t="s">
        <v>10827</v>
      </c>
      <c r="G4241" t="str">
        <f>HYPERLINK("https://n.news.naver.com/mnews/article/079/0003906645?sid=100")</f>
        <v>https://n.news.naver.com/mnews/article/079/0003906645?sid=100</v>
      </c>
      <c r="H4241">
        <v>0.26200000000000001</v>
      </c>
    </row>
    <row r="4242" spans="1:8" x14ac:dyDescent="0.3">
      <c r="A4242" t="s">
        <v>9678</v>
      </c>
      <c r="B4242" t="s">
        <v>26951</v>
      </c>
      <c r="C4242" t="s">
        <v>10832</v>
      </c>
      <c r="D4242" t="s">
        <v>10831</v>
      </c>
      <c r="E4242" s="2" t="s">
        <v>742</v>
      </c>
      <c r="F4242" t="s">
        <v>10830</v>
      </c>
      <c r="G4242" t="str">
        <f>HYPERLINK("https://www.beopbo.com/news/articleView.html?idxno=329466")</f>
        <v>https://www.beopbo.com/news/articleView.html?idxno=329466</v>
      </c>
      <c r="H4242">
        <v>0.28299999999999997</v>
      </c>
    </row>
    <row r="4243" spans="1:8" x14ac:dyDescent="0.3">
      <c r="A4243" t="s">
        <v>9678</v>
      </c>
      <c r="B4243" t="s">
        <v>26951</v>
      </c>
      <c r="C4243" t="s">
        <v>10834</v>
      </c>
      <c r="D4243" t="s">
        <v>10833</v>
      </c>
      <c r="E4243" s="2" t="s">
        <v>742</v>
      </c>
      <c r="F4243" t="s">
        <v>7910</v>
      </c>
      <c r="G4243" t="str">
        <f>HYPERLINK("https://n.news.naver.com/mnews/article/008/0005095838?sid=102")</f>
        <v>https://n.news.naver.com/mnews/article/008/0005095838?sid=102</v>
      </c>
      <c r="H4243">
        <v>0.26</v>
      </c>
    </row>
    <row r="4244" spans="1:8" x14ac:dyDescent="0.3">
      <c r="A4244" t="s">
        <v>9678</v>
      </c>
      <c r="B4244" t="s">
        <v>26951</v>
      </c>
      <c r="C4244" t="s">
        <v>10836</v>
      </c>
      <c r="D4244" t="s">
        <v>10835</v>
      </c>
      <c r="E4244" s="2" t="s">
        <v>742</v>
      </c>
      <c r="F4244" t="s">
        <v>8101</v>
      </c>
      <c r="G4244" t="str">
        <f>HYPERLINK("https://n.news.naver.com/mnews/article/028/0002749230?sid=154")</f>
        <v>https://n.news.naver.com/mnews/article/028/0002749230?sid=154</v>
      </c>
      <c r="H4244">
        <v>0.21299999999999999</v>
      </c>
    </row>
    <row r="4245" spans="1:8" x14ac:dyDescent="0.3">
      <c r="A4245" t="s">
        <v>9678</v>
      </c>
      <c r="B4245" t="s">
        <v>26951</v>
      </c>
      <c r="C4245" t="s">
        <v>10838</v>
      </c>
      <c r="D4245" t="s">
        <v>10837</v>
      </c>
      <c r="E4245" s="2" t="s">
        <v>742</v>
      </c>
      <c r="F4245" t="s">
        <v>3829</v>
      </c>
      <c r="G4245" t="str">
        <f>HYPERLINK("https://www.ilyoseoul.co.kr/news/articleView.html?idxno=503397")</f>
        <v>https://www.ilyoseoul.co.kr/news/articleView.html?idxno=503397</v>
      </c>
      <c r="H4245">
        <v>0.95699999999999996</v>
      </c>
    </row>
    <row r="4246" spans="1:8" x14ac:dyDescent="0.3">
      <c r="A4246" t="s">
        <v>9678</v>
      </c>
      <c r="B4246" t="s">
        <v>26951</v>
      </c>
      <c r="C4246" t="s">
        <v>10843</v>
      </c>
      <c r="D4246" t="s">
        <v>10842</v>
      </c>
      <c r="E4246" s="2" t="s">
        <v>742</v>
      </c>
      <c r="F4246" t="s">
        <v>10841</v>
      </c>
      <c r="G4246" t="str">
        <f>HYPERLINK("https://www.etoday.co.kr/news/view/2476696")</f>
        <v>https://www.etoday.co.kr/news/view/2476696</v>
      </c>
      <c r="H4246">
        <v>0.41799999999999998</v>
      </c>
    </row>
    <row r="4247" spans="1:8" x14ac:dyDescent="0.3">
      <c r="A4247" t="s">
        <v>9678</v>
      </c>
      <c r="B4247" t="s">
        <v>26951</v>
      </c>
      <c r="C4247" t="s">
        <v>10844</v>
      </c>
      <c r="D4247" t="s">
        <v>10797</v>
      </c>
      <c r="E4247" s="2" t="s">
        <v>742</v>
      </c>
      <c r="F4247" t="s">
        <v>5466</v>
      </c>
      <c r="G4247" t="str">
        <f>HYPERLINK("https://www.safetynews.co.kr/news/articleView.html?idxno=239142")</f>
        <v>https://www.safetynews.co.kr/news/articleView.html?idxno=239142</v>
      </c>
      <c r="H4247">
        <v>0.50900000000000001</v>
      </c>
    </row>
    <row r="4248" spans="1:8" x14ac:dyDescent="0.3">
      <c r="A4248" t="s">
        <v>9678</v>
      </c>
      <c r="B4248" t="s">
        <v>26951</v>
      </c>
      <c r="C4248" t="s">
        <v>10847</v>
      </c>
      <c r="D4248" t="s">
        <v>10846</v>
      </c>
      <c r="E4248" s="2" t="s">
        <v>742</v>
      </c>
      <c r="F4248" t="s">
        <v>10845</v>
      </c>
      <c r="G4248" t="str">
        <f>HYPERLINK("http://www.wolyo.co.kr/news/articleView.html?idxno=247477")</f>
        <v>http://www.wolyo.co.kr/news/articleView.html?idxno=247477</v>
      </c>
      <c r="H4248">
        <v>0.26100000000000001</v>
      </c>
    </row>
    <row r="4249" spans="1:8" x14ac:dyDescent="0.3">
      <c r="A4249" t="s">
        <v>9678</v>
      </c>
      <c r="B4249" t="s">
        <v>26951</v>
      </c>
      <c r="C4249" t="s">
        <v>10850</v>
      </c>
      <c r="D4249" t="s">
        <v>10849</v>
      </c>
      <c r="E4249" s="2" t="s">
        <v>742</v>
      </c>
      <c r="F4249" t="s">
        <v>10021</v>
      </c>
      <c r="G4249" t="str">
        <f>HYPERLINK("http://www.ttlnews.com/news/articleView.html?idxno=3002357")</f>
        <v>http://www.ttlnews.com/news/articleView.html?idxno=3002357</v>
      </c>
      <c r="H4249">
        <v>0.309</v>
      </c>
    </row>
    <row r="4250" spans="1:8" x14ac:dyDescent="0.3">
      <c r="A4250" t="s">
        <v>9678</v>
      </c>
      <c r="B4250" t="s">
        <v>26951</v>
      </c>
      <c r="C4250" t="s">
        <v>10853</v>
      </c>
      <c r="D4250" t="s">
        <v>10852</v>
      </c>
      <c r="E4250" s="2" t="s">
        <v>742</v>
      </c>
      <c r="F4250" t="s">
        <v>10851</v>
      </c>
      <c r="G4250" t="str">
        <f>HYPERLINK("https://www.autodaily.co.kr/news/articleView.html?idxno=531881")</f>
        <v>https://www.autodaily.co.kr/news/articleView.html?idxno=531881</v>
      </c>
      <c r="H4250">
        <v>0.997</v>
      </c>
    </row>
    <row r="4251" spans="1:8" x14ac:dyDescent="0.3">
      <c r="A4251" t="s">
        <v>9678</v>
      </c>
      <c r="B4251" t="s">
        <v>26951</v>
      </c>
      <c r="C4251" t="s">
        <v>10855</v>
      </c>
      <c r="D4251" t="s">
        <v>10854</v>
      </c>
      <c r="E4251" s="2" t="s">
        <v>742</v>
      </c>
      <c r="F4251" t="s">
        <v>10021</v>
      </c>
      <c r="G4251" t="str">
        <f>HYPERLINK("https://www.joongangenews.com/news/articleView.html?idxno=430855")</f>
        <v>https://www.joongangenews.com/news/articleView.html?idxno=430855</v>
      </c>
      <c r="H4251">
        <v>0.54600000000000004</v>
      </c>
    </row>
    <row r="4252" spans="1:8" x14ac:dyDescent="0.3">
      <c r="A4252" t="s">
        <v>9678</v>
      </c>
      <c r="B4252" t="s">
        <v>26951</v>
      </c>
      <c r="C4252" t="s">
        <v>10858</v>
      </c>
      <c r="D4252" t="s">
        <v>10857</v>
      </c>
      <c r="E4252" s="2" t="s">
        <v>742</v>
      </c>
      <c r="F4252" t="s">
        <v>10856</v>
      </c>
      <c r="G4252" t="str">
        <f>HYPERLINK("https://n.news.naver.com/mnews/article/214/0001146153?sid=104")</f>
        <v>https://n.news.naver.com/mnews/article/214/0001146153?sid=104</v>
      </c>
      <c r="H4252">
        <v>0.108</v>
      </c>
    </row>
    <row r="4253" spans="1:8" x14ac:dyDescent="0.3">
      <c r="A4253" t="s">
        <v>9678</v>
      </c>
      <c r="B4253" t="s">
        <v>26951</v>
      </c>
      <c r="C4253" t="s">
        <v>10860</v>
      </c>
      <c r="D4253" t="s">
        <v>10639</v>
      </c>
      <c r="E4253" s="2" t="s">
        <v>742</v>
      </c>
      <c r="F4253" t="s">
        <v>10859</v>
      </c>
      <c r="G4253" t="str">
        <f>HYPERLINK("http://www.bzeronews.com/news/articleView.html?idxno=713693")</f>
        <v>http://www.bzeronews.com/news/articleView.html?idxno=713693</v>
      </c>
      <c r="H4253">
        <v>0.97399999999999998</v>
      </c>
    </row>
    <row r="4254" spans="1:8" x14ac:dyDescent="0.3">
      <c r="A4254" t="s">
        <v>9678</v>
      </c>
      <c r="B4254" t="s">
        <v>26951</v>
      </c>
      <c r="C4254" t="s">
        <v>10863</v>
      </c>
      <c r="D4254" t="s">
        <v>10862</v>
      </c>
      <c r="E4254" s="2" t="s">
        <v>742</v>
      </c>
      <c r="F4254" t="s">
        <v>10861</v>
      </c>
      <c r="G4254" t="str">
        <f>HYPERLINK("https://www.catholicnews.co.kr/news/articleView.html?idxno=34253")</f>
        <v>https://www.catholicnews.co.kr/news/articleView.html?idxno=34253</v>
      </c>
      <c r="H4254">
        <v>0.36699999999999999</v>
      </c>
    </row>
    <row r="4255" spans="1:8" x14ac:dyDescent="0.3">
      <c r="A4255" t="s">
        <v>9678</v>
      </c>
      <c r="B4255" t="s">
        <v>26951</v>
      </c>
      <c r="C4255" t="s">
        <v>10866</v>
      </c>
      <c r="D4255" t="s">
        <v>10865</v>
      </c>
      <c r="E4255" s="2" t="s">
        <v>742</v>
      </c>
      <c r="F4255" t="s">
        <v>10864</v>
      </c>
      <c r="G4255" t="str">
        <f>HYPERLINK("https://ditoday.com/%ec%a0%9c%eb%a1%9c%ed%81%b4%eb%a6%ad-%ea%b2%80%ec%83%89-%ec%8b%9c%eb%8c%80-%eb%a7%88%ec%bc%80%ed%84%b0%eb%93%a4%ec%97%90%ea%b2%8c-%ec%b0%be%ec%95%84%ec%98%a8-%eb%b3%80%ed%99%94%ec%99%80-%eb%8c%80/")</f>
        <v>https://ditoday.com/%ec%a0%9c%eb%a1%9c%ed%81%b4%eb%a6%ad-%ea%b2%80%ec%83%89-%ec%8b%9c%eb%8c%80-%eb%a7%88%ec%bc%80%ed%84%b0%eb%93%a4%ec%97%90%ea%b2%8c-%ec%b0%be%ec%95%84%ec%98%a8-%eb%b3%80%ed%99%94%ec%99%80-%eb%8c%80/</v>
      </c>
      <c r="H4255">
        <v>0.30099999999999999</v>
      </c>
    </row>
    <row r="4256" spans="1:8" x14ac:dyDescent="0.3">
      <c r="A4256" t="s">
        <v>9678</v>
      </c>
      <c r="B4256" t="s">
        <v>26951</v>
      </c>
      <c r="C4256" t="s">
        <v>10868</v>
      </c>
      <c r="D4256" t="s">
        <v>10867</v>
      </c>
      <c r="E4256" s="2" t="s">
        <v>742</v>
      </c>
      <c r="F4256" t="s">
        <v>111</v>
      </c>
      <c r="G4256" t="str">
        <f>HYPERLINK("https://n.news.naver.com/mnews/article/214/0001432382?sid=100")</f>
        <v>https://n.news.naver.com/mnews/article/214/0001432382?sid=100</v>
      </c>
      <c r="H4256">
        <v>0.14699999999999999</v>
      </c>
    </row>
    <row r="4257" spans="1:8" x14ac:dyDescent="0.3">
      <c r="A4257" t="s">
        <v>9678</v>
      </c>
      <c r="B4257" t="s">
        <v>26951</v>
      </c>
      <c r="C4257" t="s">
        <v>10871</v>
      </c>
      <c r="D4257" t="s">
        <v>10870</v>
      </c>
      <c r="E4257" s="2" t="s">
        <v>742</v>
      </c>
      <c r="F4257" t="s">
        <v>10869</v>
      </c>
      <c r="G4257" t="str">
        <f>HYPERLINK("http://ch.yes24.com/Article/View/30766")</f>
        <v>http://ch.yes24.com/Article/View/30766</v>
      </c>
      <c r="H4257">
        <v>0.59499999999999997</v>
      </c>
    </row>
    <row r="4258" spans="1:8" x14ac:dyDescent="0.3">
      <c r="A4258" t="s">
        <v>9678</v>
      </c>
      <c r="B4258" t="s">
        <v>26951</v>
      </c>
      <c r="C4258" t="s">
        <v>10874</v>
      </c>
      <c r="D4258" t="s">
        <v>10873</v>
      </c>
      <c r="E4258" s="2" t="s">
        <v>742</v>
      </c>
      <c r="F4258" t="s">
        <v>10872</v>
      </c>
      <c r="G4258" t="str">
        <f>HYPERLINK("http://apnews.kr/View.aspx?No=1582941")</f>
        <v>http://apnews.kr/View.aspx?No=1582941</v>
      </c>
      <c r="H4258">
        <v>0.22900000000000001</v>
      </c>
    </row>
    <row r="4259" spans="1:8" x14ac:dyDescent="0.3">
      <c r="A4259" t="s">
        <v>9678</v>
      </c>
      <c r="B4259" t="s">
        <v>26951</v>
      </c>
      <c r="C4259" t="s">
        <v>10876</v>
      </c>
      <c r="D4259" t="s">
        <v>10875</v>
      </c>
      <c r="E4259" s="2" t="s">
        <v>742</v>
      </c>
      <c r="F4259" t="s">
        <v>9912</v>
      </c>
      <c r="G4259" t="str">
        <f>HYPERLINK("http://www.lecturernews.com/news/articleView.html?idxno=100277")</f>
        <v>http://www.lecturernews.com/news/articleView.html?idxno=100277</v>
      </c>
      <c r="H4259">
        <v>0.53300000000000003</v>
      </c>
    </row>
    <row r="4260" spans="1:8" x14ac:dyDescent="0.3">
      <c r="A4260" t="s">
        <v>9678</v>
      </c>
      <c r="B4260" t="s">
        <v>26951</v>
      </c>
      <c r="C4260" t="s">
        <v>10879</v>
      </c>
      <c r="D4260" t="s">
        <v>10878</v>
      </c>
      <c r="E4260" s="2" t="s">
        <v>742</v>
      </c>
      <c r="F4260" t="s">
        <v>10877</v>
      </c>
      <c r="G4260" t="str">
        <f>HYPERLINK("https://www.foodneconomy.com/news/articleView.html?idxno=232226")</f>
        <v>https://www.foodneconomy.com/news/articleView.html?idxno=232226</v>
      </c>
      <c r="H4260">
        <v>0.45500000000000002</v>
      </c>
    </row>
    <row r="4261" spans="1:8" x14ac:dyDescent="0.3">
      <c r="A4261" t="s">
        <v>9678</v>
      </c>
      <c r="B4261" t="s">
        <v>26951</v>
      </c>
      <c r="C4261" t="s">
        <v>10882</v>
      </c>
      <c r="D4261" t="s">
        <v>10881</v>
      </c>
      <c r="E4261" s="2" t="s">
        <v>742</v>
      </c>
      <c r="F4261" t="s">
        <v>10880</v>
      </c>
      <c r="G4261" t="str">
        <f>HYPERLINK("https://www.bbc.com/korean/articles/c1j5776g1r0o?xtor=AL-73-%5Bpartner%5D-%5Bnaver%5D-%5Bheadline%5D-%5Bkorean%5D-%5Bbizdev%5D-%5Bisapi%5D")</f>
        <v>https://www.bbc.com/korean/articles/c1j5776g1r0o?xtor=AL-73-%5Bpartner%5D-%5Bnaver%5D-%5Bheadline%5D-%5Bkorean%5D-%5Bbizdev%5D-%5Bisapi%5D</v>
      </c>
      <c r="H4261">
        <v>0.58799999999999997</v>
      </c>
    </row>
    <row r="4262" spans="1:8" x14ac:dyDescent="0.3">
      <c r="A4262" t="s">
        <v>9678</v>
      </c>
      <c r="B4262" t="s">
        <v>26951</v>
      </c>
      <c r="C4262" t="s">
        <v>10885</v>
      </c>
      <c r="D4262" t="s">
        <v>10884</v>
      </c>
      <c r="E4262" s="2" t="s">
        <v>742</v>
      </c>
      <c r="F4262" t="s">
        <v>10883</v>
      </c>
      <c r="G4262" t="str">
        <f>HYPERLINK("https://kr.aving.net/news/articleView.html?idxno=1801630")</f>
        <v>https://kr.aving.net/news/articleView.html?idxno=1801630</v>
      </c>
      <c r="H4262">
        <v>0.33400000000000002</v>
      </c>
    </row>
    <row r="4263" spans="1:8" x14ac:dyDescent="0.3">
      <c r="A4263" t="s">
        <v>9678</v>
      </c>
      <c r="B4263" t="s">
        <v>26951</v>
      </c>
      <c r="C4263" t="s">
        <v>10887</v>
      </c>
      <c r="D4263" t="s">
        <v>10886</v>
      </c>
      <c r="E4263" s="2" t="s">
        <v>742</v>
      </c>
      <c r="F4263" t="s">
        <v>5724</v>
      </c>
      <c r="G4263" t="str">
        <f>HYPERLINK("https://n.news.naver.com/mnews/article/079/0003952013?sid=100")</f>
        <v>https://n.news.naver.com/mnews/article/079/0003952013?sid=100</v>
      </c>
      <c r="H4263">
        <v>0.122</v>
      </c>
    </row>
    <row r="4264" spans="1:8" x14ac:dyDescent="0.3">
      <c r="A4264" t="s">
        <v>9678</v>
      </c>
      <c r="B4264" t="s">
        <v>26951</v>
      </c>
      <c r="C4264" t="s">
        <v>10888</v>
      </c>
      <c r="D4264" t="s">
        <v>1490</v>
      </c>
      <c r="E4264" s="2" t="s">
        <v>742</v>
      </c>
      <c r="F4264" t="s">
        <v>453</v>
      </c>
      <c r="G4264" t="str">
        <f>HYPERLINK("https://n.news.naver.com/mnews/article/016/0002493216?sid=103")</f>
        <v>https://n.news.naver.com/mnews/article/016/0002493216?sid=103</v>
      </c>
      <c r="H4264">
        <v>0.16800000000000001</v>
      </c>
    </row>
    <row r="4265" spans="1:8" x14ac:dyDescent="0.3">
      <c r="A4265" t="s">
        <v>9678</v>
      </c>
      <c r="B4265" t="s">
        <v>26951</v>
      </c>
      <c r="C4265" t="s">
        <v>10891</v>
      </c>
      <c r="D4265" t="s">
        <v>10890</v>
      </c>
      <c r="E4265" s="2" t="s">
        <v>742</v>
      </c>
      <c r="F4265" t="s">
        <v>10889</v>
      </c>
      <c r="G4265" t="str">
        <f>HYPERLINK("https://n.news.naver.com/mnews/article/214/0001423126?sid=100")</f>
        <v>https://n.news.naver.com/mnews/article/214/0001423126?sid=100</v>
      </c>
      <c r="H4265">
        <v>8.3000000000000004E-2</v>
      </c>
    </row>
    <row r="4266" spans="1:8" x14ac:dyDescent="0.3">
      <c r="A4266" t="s">
        <v>9678</v>
      </c>
      <c r="B4266" t="s">
        <v>26951</v>
      </c>
      <c r="C4266" t="s">
        <v>10894</v>
      </c>
      <c r="D4266" t="s">
        <v>10893</v>
      </c>
      <c r="E4266" s="2" t="s">
        <v>742</v>
      </c>
      <c r="F4266" t="s">
        <v>10892</v>
      </c>
      <c r="G4266" t="str">
        <f>HYPERLINK("https://www.medipana.com/article/view.php?news_idx=343400&amp;sch_cate=A")</f>
        <v>https://www.medipana.com/article/view.php?news_idx=343400&amp;sch_cate=A</v>
      </c>
      <c r="H4266">
        <v>0.25</v>
      </c>
    </row>
    <row r="4267" spans="1:8" x14ac:dyDescent="0.3">
      <c r="A4267" t="s">
        <v>9678</v>
      </c>
      <c r="B4267" t="s">
        <v>26951</v>
      </c>
      <c r="C4267" t="s">
        <v>10897</v>
      </c>
      <c r="D4267" t="s">
        <v>10896</v>
      </c>
      <c r="E4267" s="2" t="s">
        <v>742</v>
      </c>
      <c r="F4267" t="s">
        <v>10895</v>
      </c>
      <c r="G4267" t="str">
        <f>HYPERLINK("https://n.news.naver.com/mnews/article/032/0003311093?sid=103")</f>
        <v>https://n.news.naver.com/mnews/article/032/0003311093?sid=103</v>
      </c>
      <c r="H4267">
        <v>0.28499999999999998</v>
      </c>
    </row>
    <row r="4268" spans="1:8" x14ac:dyDescent="0.3">
      <c r="A4268" t="s">
        <v>9678</v>
      </c>
      <c r="B4268" t="s">
        <v>26951</v>
      </c>
      <c r="C4268" t="s">
        <v>10900</v>
      </c>
      <c r="D4268" t="s">
        <v>10899</v>
      </c>
      <c r="E4268" s="2" t="s">
        <v>742</v>
      </c>
      <c r="F4268" t="s">
        <v>10206</v>
      </c>
      <c r="G4268" t="str">
        <f>HYPERLINK("http://www.getnews.co.kr/news/articleView.html?idxno=577199")</f>
        <v>http://www.getnews.co.kr/news/articleView.html?idxno=577199</v>
      </c>
      <c r="H4268">
        <v>0.505</v>
      </c>
    </row>
    <row r="4269" spans="1:8" x14ac:dyDescent="0.3">
      <c r="A4269" t="s">
        <v>9678</v>
      </c>
      <c r="B4269" t="s">
        <v>26951</v>
      </c>
      <c r="C4269" t="s">
        <v>10903</v>
      </c>
      <c r="D4269" t="s">
        <v>10902</v>
      </c>
      <c r="E4269" s="2" t="s">
        <v>742</v>
      </c>
      <c r="F4269" t="s">
        <v>10901</v>
      </c>
      <c r="G4269" t="str">
        <f>HYPERLINK("https://www.topdaily.kr/articles/96622")</f>
        <v>https://www.topdaily.kr/articles/96622</v>
      </c>
      <c r="H4269">
        <v>0.30399999999999999</v>
      </c>
    </row>
    <row r="4270" spans="1:8" x14ac:dyDescent="0.3">
      <c r="A4270" t="s">
        <v>9678</v>
      </c>
      <c r="B4270" t="s">
        <v>26951</v>
      </c>
      <c r="C4270" t="s">
        <v>10906</v>
      </c>
      <c r="D4270" t="s">
        <v>10905</v>
      </c>
      <c r="E4270" s="2" t="s">
        <v>799</v>
      </c>
      <c r="F4270" t="s">
        <v>10904</v>
      </c>
      <c r="G4270" t="str">
        <f>HYPERLINK("https://n.news.naver.com/mnews/article/008/0003814490?sid=100")</f>
        <v>https://n.news.naver.com/mnews/article/008/0003814490?sid=100</v>
      </c>
      <c r="H4270">
        <v>0.34899999999999998</v>
      </c>
    </row>
    <row r="4271" spans="1:8" x14ac:dyDescent="0.3">
      <c r="A4271" t="s">
        <v>9678</v>
      </c>
      <c r="B4271" t="s">
        <v>26951</v>
      </c>
      <c r="C4271" t="s">
        <v>10909</v>
      </c>
      <c r="D4271" t="s">
        <v>10908</v>
      </c>
      <c r="E4271" s="2" t="s">
        <v>799</v>
      </c>
      <c r="F4271" t="s">
        <v>10907</v>
      </c>
      <c r="G4271" t="str">
        <f>HYPERLINK("http://www.veritas-a.com/news/articleView.html?idxno=100852")</f>
        <v>http://www.veritas-a.com/news/articleView.html?idxno=100852</v>
      </c>
      <c r="H4271">
        <v>0.313</v>
      </c>
    </row>
    <row r="4272" spans="1:8" x14ac:dyDescent="0.3">
      <c r="A4272" t="s">
        <v>9678</v>
      </c>
      <c r="B4272" t="s">
        <v>26951</v>
      </c>
      <c r="C4272" t="s">
        <v>10911</v>
      </c>
      <c r="D4272" t="s">
        <v>10910</v>
      </c>
      <c r="E4272" s="2" t="s">
        <v>799</v>
      </c>
      <c r="F4272" t="s">
        <v>6871</v>
      </c>
      <c r="G4272" t="str">
        <f>HYPERLINK("https://n.news.naver.com/mnews/article/006/0000130331?sid=102")</f>
        <v>https://n.news.naver.com/mnews/article/006/0000130331?sid=102</v>
      </c>
      <c r="H4272">
        <v>0.28899999999999998</v>
      </c>
    </row>
    <row r="4273" spans="1:8" x14ac:dyDescent="0.3">
      <c r="A4273" t="s">
        <v>9678</v>
      </c>
      <c r="B4273" t="s">
        <v>26951</v>
      </c>
      <c r="C4273" t="s">
        <v>10913</v>
      </c>
      <c r="D4273" t="s">
        <v>10912</v>
      </c>
      <c r="E4273" s="2" t="s">
        <v>799</v>
      </c>
      <c r="F4273" t="s">
        <v>1109</v>
      </c>
      <c r="G4273" t="str">
        <f>HYPERLINK("https://n.news.naver.com/mnews/article/214/0001428358?sid=154")</f>
        <v>https://n.news.naver.com/mnews/article/214/0001428358?sid=154</v>
      </c>
      <c r="H4273">
        <v>0.28799999999999998</v>
      </c>
    </row>
    <row r="4274" spans="1:8" x14ac:dyDescent="0.3">
      <c r="A4274" t="s">
        <v>9678</v>
      </c>
      <c r="B4274" t="s">
        <v>26951</v>
      </c>
      <c r="C4274" t="s">
        <v>10916</v>
      </c>
      <c r="D4274" t="s">
        <v>10915</v>
      </c>
      <c r="E4274" s="2" t="s">
        <v>799</v>
      </c>
      <c r="F4274" t="s">
        <v>10914</v>
      </c>
      <c r="G4274" t="str">
        <f>HYPERLINK("https://n.news.naver.com/mnews/article/214/0000953563?sid=100")</f>
        <v>https://n.news.naver.com/mnews/article/214/0000953563?sid=100</v>
      </c>
      <c r="H4274">
        <v>0.52800000000000002</v>
      </c>
    </row>
    <row r="4275" spans="1:8" x14ac:dyDescent="0.3">
      <c r="A4275" t="s">
        <v>9678</v>
      </c>
      <c r="B4275" t="s">
        <v>26951</v>
      </c>
      <c r="C4275" t="s">
        <v>10920</v>
      </c>
      <c r="D4275" t="s">
        <v>10919</v>
      </c>
      <c r="E4275" s="2" t="s">
        <v>799</v>
      </c>
      <c r="F4275" t="s">
        <v>10918</v>
      </c>
      <c r="H4275">
        <v>0.53800000000000003</v>
      </c>
    </row>
    <row r="4276" spans="1:8" x14ac:dyDescent="0.3">
      <c r="A4276" t="s">
        <v>9678</v>
      </c>
      <c r="B4276" t="s">
        <v>26951</v>
      </c>
      <c r="C4276" t="s">
        <v>10922</v>
      </c>
      <c r="D4276" t="s">
        <v>10921</v>
      </c>
      <c r="E4276" s="2" t="s">
        <v>799</v>
      </c>
      <c r="F4276" t="s">
        <v>5912</v>
      </c>
      <c r="G4276" t="str">
        <f>HYPERLINK("https://n.news.naver.com/mnews/article/006/0000130624?sid=102")</f>
        <v>https://n.news.naver.com/mnews/article/006/0000130624?sid=102</v>
      </c>
      <c r="H4276">
        <v>0.12</v>
      </c>
    </row>
    <row r="4277" spans="1:8" x14ac:dyDescent="0.3">
      <c r="A4277" t="s">
        <v>9678</v>
      </c>
      <c r="B4277" t="s">
        <v>26951</v>
      </c>
      <c r="C4277" t="s">
        <v>10925</v>
      </c>
      <c r="D4277" t="s">
        <v>10924</v>
      </c>
      <c r="E4277" s="2" t="s">
        <v>799</v>
      </c>
      <c r="F4277" t="s">
        <v>10923</v>
      </c>
      <c r="G4277" t="str">
        <f>HYPERLINK("https://n.news.naver.com/mnews/article/082/0000297677?sid=103")</f>
        <v>https://n.news.naver.com/mnews/article/082/0000297677?sid=103</v>
      </c>
      <c r="H4277">
        <v>0.125</v>
      </c>
    </row>
    <row r="4278" spans="1:8" x14ac:dyDescent="0.3">
      <c r="A4278" t="s">
        <v>9678</v>
      </c>
      <c r="B4278" t="s">
        <v>26951</v>
      </c>
      <c r="C4278" t="s">
        <v>10928</v>
      </c>
      <c r="D4278" t="s">
        <v>10927</v>
      </c>
      <c r="E4278" s="2" t="s">
        <v>799</v>
      </c>
      <c r="F4278" t="s">
        <v>10926</v>
      </c>
      <c r="G4278" t="str">
        <f>HYPERLINK("https://www.golfjournal.co.kr/news/articleView.html?idxno=3698")</f>
        <v>https://www.golfjournal.co.kr/news/articleView.html?idxno=3698</v>
      </c>
      <c r="H4278">
        <v>0.54900000000000004</v>
      </c>
    </row>
    <row r="4279" spans="1:8" x14ac:dyDescent="0.3">
      <c r="A4279" t="s">
        <v>9678</v>
      </c>
      <c r="B4279" t="s">
        <v>26951</v>
      </c>
      <c r="C4279" t="s">
        <v>10931</v>
      </c>
      <c r="D4279" t="s">
        <v>10930</v>
      </c>
      <c r="E4279" s="2" t="s">
        <v>799</v>
      </c>
      <c r="F4279" t="s">
        <v>10929</v>
      </c>
      <c r="G4279" t="str">
        <f>HYPERLINK("https://www.greened.kr/news/articleView.html?idxno=326786")</f>
        <v>https://www.greened.kr/news/articleView.html?idxno=326786</v>
      </c>
      <c r="H4279">
        <v>0.61599999999999999</v>
      </c>
    </row>
    <row r="4280" spans="1:8" x14ac:dyDescent="0.3">
      <c r="A4280" t="s">
        <v>9678</v>
      </c>
      <c r="B4280" t="s">
        <v>26951</v>
      </c>
      <c r="C4280" t="s">
        <v>10934</v>
      </c>
      <c r="D4280" t="s">
        <v>10933</v>
      </c>
      <c r="E4280" s="2" t="s">
        <v>799</v>
      </c>
      <c r="F4280" t="s">
        <v>10932</v>
      </c>
      <c r="G4280" t="str">
        <f>HYPERLINK("https://www.etoday.co.kr/news/view/2476151")</f>
        <v>https://www.etoday.co.kr/news/view/2476151</v>
      </c>
      <c r="H4280">
        <v>0.16300000000000001</v>
      </c>
    </row>
    <row r="4281" spans="1:8" x14ac:dyDescent="0.3">
      <c r="A4281" t="s">
        <v>9678</v>
      </c>
      <c r="B4281" t="s">
        <v>26951</v>
      </c>
      <c r="C4281" t="s">
        <v>10937</v>
      </c>
      <c r="D4281" t="s">
        <v>10936</v>
      </c>
      <c r="E4281" s="2" t="s">
        <v>799</v>
      </c>
      <c r="F4281" t="s">
        <v>10935</v>
      </c>
      <c r="G4281" t="str">
        <f>HYPERLINK("https://n.news.naver.com/mnews/article/002/0002395298?sid=102")</f>
        <v>https://n.news.naver.com/mnews/article/002/0002395298?sid=102</v>
      </c>
      <c r="H4281">
        <v>0.28499999999999998</v>
      </c>
    </row>
    <row r="4282" spans="1:8" x14ac:dyDescent="0.3">
      <c r="A4282" t="s">
        <v>9678</v>
      </c>
      <c r="B4282" t="s">
        <v>26951</v>
      </c>
      <c r="C4282" t="s">
        <v>10940</v>
      </c>
      <c r="D4282" t="s">
        <v>10939</v>
      </c>
      <c r="E4282" s="2" t="s">
        <v>799</v>
      </c>
      <c r="F4282" t="s">
        <v>10938</v>
      </c>
      <c r="G4282" t="str">
        <f>HYPERLINK("http://www.ikoreanspirit.com/news/articleView.html?idxno=79432")</f>
        <v>http://www.ikoreanspirit.com/news/articleView.html?idxno=79432</v>
      </c>
      <c r="H4282">
        <v>0.28299999999999997</v>
      </c>
    </row>
    <row r="4283" spans="1:8" x14ac:dyDescent="0.3">
      <c r="A4283" t="s">
        <v>9678</v>
      </c>
      <c r="B4283" t="s">
        <v>26951</v>
      </c>
      <c r="C4283" t="s">
        <v>4408</v>
      </c>
      <c r="D4283" t="s">
        <v>4407</v>
      </c>
      <c r="E4283" s="2" t="s">
        <v>799</v>
      </c>
      <c r="F4283" t="s">
        <v>973</v>
      </c>
      <c r="G4283" t="str">
        <f>HYPERLINK("http://www.worldkorean.net/news/articleView.html?idxno=52436")</f>
        <v>http://www.worldkorean.net/news/articleView.html?idxno=52436</v>
      </c>
      <c r="H4283">
        <v>0.57199999999999995</v>
      </c>
    </row>
    <row r="4284" spans="1:8" x14ac:dyDescent="0.3">
      <c r="A4284" t="s">
        <v>9678</v>
      </c>
      <c r="B4284" t="s">
        <v>26951</v>
      </c>
      <c r="C4284" t="s">
        <v>10942</v>
      </c>
      <c r="D4284" t="s">
        <v>10941</v>
      </c>
      <c r="E4284" s="2" t="s">
        <v>799</v>
      </c>
      <c r="F4284" t="s">
        <v>6871</v>
      </c>
      <c r="G4284" t="str">
        <f>HYPERLINK("https://n.news.naver.com/mnews/article/469/0000662635?sid=100")</f>
        <v>https://n.news.naver.com/mnews/article/469/0000662635?sid=100</v>
      </c>
      <c r="H4284">
        <v>0.252</v>
      </c>
    </row>
    <row r="4285" spans="1:8" x14ac:dyDescent="0.3">
      <c r="A4285" t="s">
        <v>9678</v>
      </c>
      <c r="B4285" t="s">
        <v>26951</v>
      </c>
      <c r="C4285" t="s">
        <v>10944</v>
      </c>
      <c r="D4285" t="s">
        <v>10943</v>
      </c>
      <c r="E4285" s="2" t="s">
        <v>799</v>
      </c>
      <c r="F4285" t="s">
        <v>171</v>
      </c>
      <c r="G4285" t="str">
        <f>HYPERLINK("http://www.biztribune.co.kr/news/articleView.html?idxno=336332")</f>
        <v>http://www.biztribune.co.kr/news/articleView.html?idxno=336332</v>
      </c>
      <c r="H4285">
        <v>0.56999999999999995</v>
      </c>
    </row>
    <row r="4286" spans="1:8" x14ac:dyDescent="0.3">
      <c r="A4286" t="s">
        <v>9678</v>
      </c>
      <c r="B4286" t="s">
        <v>26951</v>
      </c>
      <c r="C4286" t="s">
        <v>10947</v>
      </c>
      <c r="D4286" t="s">
        <v>10946</v>
      </c>
      <c r="E4286" s="2" t="s">
        <v>799</v>
      </c>
      <c r="F4286" t="s">
        <v>10945</v>
      </c>
      <c r="G4286" t="str">
        <f>HYPERLINK("https://n.news.naver.com/mnews/article/008/0005202947?sid=154")</f>
        <v>https://n.news.naver.com/mnews/article/008/0005202947?sid=154</v>
      </c>
      <c r="H4286">
        <v>0.33200000000000002</v>
      </c>
    </row>
    <row r="4287" spans="1:8" x14ac:dyDescent="0.3">
      <c r="A4287" t="s">
        <v>9678</v>
      </c>
      <c r="B4287" t="s">
        <v>26951</v>
      </c>
      <c r="C4287" t="s">
        <v>10950</v>
      </c>
      <c r="D4287" t="s">
        <v>10949</v>
      </c>
      <c r="E4287" s="2" t="s">
        <v>799</v>
      </c>
      <c r="F4287" t="s">
        <v>10948</v>
      </c>
      <c r="G4287" t="str">
        <f>HYPERLINK("https://n.news.naver.com/mnews/article/081/0003554041?sid=102")</f>
        <v>https://n.news.naver.com/mnews/article/081/0003554041?sid=102</v>
      </c>
      <c r="H4287">
        <v>0.217</v>
      </c>
    </row>
    <row r="4288" spans="1:8" x14ac:dyDescent="0.3">
      <c r="A4288" t="s">
        <v>9678</v>
      </c>
      <c r="B4288" t="s">
        <v>26951</v>
      </c>
      <c r="C4288" t="s">
        <v>10953</v>
      </c>
      <c r="D4288" t="s">
        <v>10952</v>
      </c>
      <c r="E4288" s="2" t="s">
        <v>799</v>
      </c>
      <c r="F4288" t="s">
        <v>10951</v>
      </c>
      <c r="G4288" t="str">
        <f>HYPERLINK("https://n.news.naver.com/mnews/article/022/0004004012?sid=102")</f>
        <v>https://n.news.naver.com/mnews/article/022/0004004012?sid=102</v>
      </c>
      <c r="H4288">
        <v>0.33200000000000002</v>
      </c>
    </row>
    <row r="4289" spans="1:8" x14ac:dyDescent="0.3">
      <c r="A4289" t="s">
        <v>9678</v>
      </c>
      <c r="B4289" t="s">
        <v>26951</v>
      </c>
      <c r="C4289" t="s">
        <v>10957</v>
      </c>
      <c r="D4289" t="s">
        <v>10956</v>
      </c>
      <c r="E4289" s="2" t="s">
        <v>799</v>
      </c>
      <c r="F4289" t="s">
        <v>10955</v>
      </c>
      <c r="G4289" t="str">
        <f>HYPERLINK("https://www.jemin.com/news/articleView.html?idxno=805206")</f>
        <v>https://www.jemin.com/news/articleView.html?idxno=805206</v>
      </c>
      <c r="H4289">
        <v>0.377</v>
      </c>
    </row>
    <row r="4290" spans="1:8" x14ac:dyDescent="0.3">
      <c r="A4290" t="s">
        <v>9678</v>
      </c>
      <c r="B4290" t="s">
        <v>26951</v>
      </c>
      <c r="C4290" t="s">
        <v>10959</v>
      </c>
      <c r="D4290" t="s">
        <v>10852</v>
      </c>
      <c r="E4290" s="2" t="s">
        <v>799</v>
      </c>
      <c r="F4290" t="s">
        <v>9152</v>
      </c>
      <c r="G4290" t="str">
        <f>HYPERLINK("https://www.autodaily.co.kr/news/articleView.html?idxno=531881")</f>
        <v>https://www.autodaily.co.kr/news/articleView.html?idxno=531881</v>
      </c>
      <c r="H4290">
        <v>0.96299999999999997</v>
      </c>
    </row>
    <row r="4291" spans="1:8" x14ac:dyDescent="0.3">
      <c r="A4291" t="s">
        <v>9678</v>
      </c>
      <c r="B4291" t="s">
        <v>26951</v>
      </c>
      <c r="C4291" t="s">
        <v>10961</v>
      </c>
      <c r="D4291" t="s">
        <v>10960</v>
      </c>
      <c r="E4291" s="2" t="s">
        <v>799</v>
      </c>
      <c r="F4291" t="s">
        <v>2336</v>
      </c>
      <c r="G4291" t="str">
        <f>HYPERLINK("https://n.news.naver.com/mnews/article/214/0000566455?sid=100")</f>
        <v>https://n.news.naver.com/mnews/article/214/0000566455?sid=100</v>
      </c>
      <c r="H4291">
        <v>0.312</v>
      </c>
    </row>
    <row r="4292" spans="1:8" x14ac:dyDescent="0.3">
      <c r="A4292" t="s">
        <v>9678</v>
      </c>
      <c r="B4292" t="s">
        <v>26951</v>
      </c>
      <c r="C4292" t="s">
        <v>10963</v>
      </c>
      <c r="D4292" t="s">
        <v>10962</v>
      </c>
      <c r="E4292" s="2" t="s">
        <v>799</v>
      </c>
      <c r="F4292" t="s">
        <v>5548</v>
      </c>
      <c r="G4292" t="str">
        <f>HYPERLINK("https://www.etoday.co.kr/news/view/2482588")</f>
        <v>https://www.etoday.co.kr/news/view/2482588</v>
      </c>
      <c r="H4292">
        <v>0.307</v>
      </c>
    </row>
    <row r="4293" spans="1:8" x14ac:dyDescent="0.3">
      <c r="A4293" t="s">
        <v>9678</v>
      </c>
      <c r="B4293" t="s">
        <v>26951</v>
      </c>
      <c r="C4293" t="s">
        <v>10965</v>
      </c>
      <c r="D4293" t="s">
        <v>10964</v>
      </c>
      <c r="E4293" s="2" t="s">
        <v>799</v>
      </c>
      <c r="F4293" t="s">
        <v>2336</v>
      </c>
      <c r="G4293" t="str">
        <f>HYPERLINK("https://news.einfomax.co.kr/news/articleView.html?idxno=4358616")</f>
        <v>https://news.einfomax.co.kr/news/articleView.html?idxno=4358616</v>
      </c>
      <c r="H4293">
        <v>0.59</v>
      </c>
    </row>
    <row r="4294" spans="1:8" x14ac:dyDescent="0.3">
      <c r="A4294" t="s">
        <v>9678</v>
      </c>
      <c r="B4294" t="s">
        <v>26951</v>
      </c>
      <c r="C4294" t="s">
        <v>10967</v>
      </c>
      <c r="D4294" t="s">
        <v>10966</v>
      </c>
      <c r="E4294" s="2" t="s">
        <v>799</v>
      </c>
      <c r="F4294" t="s">
        <v>5548</v>
      </c>
      <c r="G4294" t="str">
        <f>HYPERLINK("http://www.newscj.com/news/articleView.html?idxno=165490")</f>
        <v>http://www.newscj.com/news/articleView.html?idxno=165490</v>
      </c>
      <c r="H4294">
        <v>0.33200000000000002</v>
      </c>
    </row>
    <row r="4295" spans="1:8" x14ac:dyDescent="0.3">
      <c r="A4295" t="s">
        <v>9678</v>
      </c>
      <c r="B4295" t="s">
        <v>26951</v>
      </c>
      <c r="C4295" t="s">
        <v>10970</v>
      </c>
      <c r="D4295" t="s">
        <v>10969</v>
      </c>
      <c r="E4295" s="2" t="s">
        <v>799</v>
      </c>
      <c r="F4295" t="s">
        <v>10968</v>
      </c>
      <c r="G4295" t="str">
        <f>HYPERLINK("https://n.news.naver.com/mnews/article/079/0003621619?sid=102")</f>
        <v>https://n.news.naver.com/mnews/article/079/0003621619?sid=102</v>
      </c>
      <c r="H4295">
        <v>0.215</v>
      </c>
    </row>
    <row r="4296" spans="1:8" x14ac:dyDescent="0.3">
      <c r="A4296" t="s">
        <v>9678</v>
      </c>
      <c r="B4296" t="s">
        <v>26951</v>
      </c>
      <c r="C4296" t="s">
        <v>10972</v>
      </c>
      <c r="D4296" t="s">
        <v>10971</v>
      </c>
      <c r="E4296" s="2" t="s">
        <v>799</v>
      </c>
      <c r="F4296" t="s">
        <v>10788</v>
      </c>
      <c r="G4296" t="str">
        <f>HYPERLINK("https://www.ekn.kr/web/view.php?key=20250608029543906")</f>
        <v>https://www.ekn.kr/web/view.php?key=20250608029543906</v>
      </c>
      <c r="H4296">
        <v>0.435</v>
      </c>
    </row>
    <row r="4297" spans="1:8" x14ac:dyDescent="0.3">
      <c r="A4297" t="s">
        <v>9678</v>
      </c>
      <c r="B4297" t="s">
        <v>26951</v>
      </c>
      <c r="C4297" t="s">
        <v>10976</v>
      </c>
      <c r="D4297" t="s">
        <v>10975</v>
      </c>
      <c r="E4297" s="2" t="s">
        <v>799</v>
      </c>
      <c r="F4297" t="s">
        <v>10974</v>
      </c>
      <c r="G4297" t="str">
        <f>HYPERLINK("https://n.news.naver.com/mnews/article/006/0000130669?sid=102")</f>
        <v>https://n.news.naver.com/mnews/article/006/0000130669?sid=102</v>
      </c>
      <c r="H4297">
        <v>0.16200000000000001</v>
      </c>
    </row>
    <row r="4298" spans="1:8" x14ac:dyDescent="0.3">
      <c r="A4298" t="s">
        <v>9678</v>
      </c>
      <c r="B4298" t="s">
        <v>26951</v>
      </c>
      <c r="C4298" t="s">
        <v>10978</v>
      </c>
      <c r="D4298" t="s">
        <v>10977</v>
      </c>
      <c r="E4298" s="2" t="s">
        <v>799</v>
      </c>
      <c r="F4298" t="s">
        <v>5342</v>
      </c>
      <c r="G4298" t="str">
        <f>HYPERLINK("https://www.joongangenews.com/news/articleView.html?idxno=424743")</f>
        <v>https://www.joongangenews.com/news/articleView.html?idxno=424743</v>
      </c>
      <c r="H4298">
        <v>0.63600000000000001</v>
      </c>
    </row>
    <row r="4299" spans="1:8" x14ac:dyDescent="0.3">
      <c r="A4299" t="s">
        <v>9678</v>
      </c>
      <c r="B4299" t="s">
        <v>26951</v>
      </c>
      <c r="C4299" t="s">
        <v>10980</v>
      </c>
      <c r="D4299" t="s">
        <v>10979</v>
      </c>
      <c r="E4299" s="2" t="s">
        <v>799</v>
      </c>
      <c r="F4299" t="s">
        <v>5548</v>
      </c>
      <c r="G4299" t="str">
        <f>HYPERLINK("https://www.jemin.com/news/articleView.html?idxno=793159")</f>
        <v>https://www.jemin.com/news/articleView.html?idxno=793159</v>
      </c>
      <c r="H4299">
        <v>0.36699999999999999</v>
      </c>
    </row>
    <row r="4300" spans="1:8" x14ac:dyDescent="0.3">
      <c r="A4300" t="s">
        <v>9678</v>
      </c>
      <c r="B4300" t="s">
        <v>26951</v>
      </c>
      <c r="C4300" t="s">
        <v>10983</v>
      </c>
      <c r="D4300" t="s">
        <v>10982</v>
      </c>
      <c r="E4300" s="2" t="s">
        <v>799</v>
      </c>
      <c r="F4300" t="s">
        <v>10981</v>
      </c>
      <c r="G4300" t="str">
        <f>HYPERLINK("http://www.m-economynews.com/news/article.html?no=41348")</f>
        <v>http://www.m-economynews.com/news/article.html?no=41348</v>
      </c>
      <c r="H4300">
        <v>0.42199999999999999</v>
      </c>
    </row>
    <row r="4301" spans="1:8" x14ac:dyDescent="0.3">
      <c r="A4301" t="s">
        <v>9678</v>
      </c>
      <c r="B4301" t="s">
        <v>26951</v>
      </c>
      <c r="C4301" t="s">
        <v>10986</v>
      </c>
      <c r="D4301" t="s">
        <v>10985</v>
      </c>
      <c r="E4301" s="2" t="s">
        <v>799</v>
      </c>
      <c r="F4301" t="s">
        <v>10984</v>
      </c>
      <c r="G4301" t="str">
        <f>HYPERLINK("http://www.kukinews.com/news/article.html?no=735642")</f>
        <v>http://www.kukinews.com/news/article.html?no=735642</v>
      </c>
      <c r="H4301">
        <v>0.53800000000000003</v>
      </c>
    </row>
    <row r="4302" spans="1:8" x14ac:dyDescent="0.3">
      <c r="A4302" t="s">
        <v>9678</v>
      </c>
      <c r="B4302" t="s">
        <v>26951</v>
      </c>
      <c r="C4302" t="s">
        <v>10990</v>
      </c>
      <c r="D4302" t="s">
        <v>10989</v>
      </c>
      <c r="E4302" s="2" t="s">
        <v>799</v>
      </c>
      <c r="F4302" t="s">
        <v>10988</v>
      </c>
      <c r="G4302" t="str">
        <f>HYPERLINK("https://n.news.naver.com/mnews/article/082/0000372790?sid=103")</f>
        <v>https://n.news.naver.com/mnews/article/082/0000372790?sid=103</v>
      </c>
      <c r="H4302">
        <v>0.20399999999999999</v>
      </c>
    </row>
    <row r="4303" spans="1:8" x14ac:dyDescent="0.3">
      <c r="A4303" t="s">
        <v>9678</v>
      </c>
      <c r="B4303" t="s">
        <v>26951</v>
      </c>
      <c r="C4303" t="s">
        <v>10993</v>
      </c>
      <c r="D4303" t="s">
        <v>10992</v>
      </c>
      <c r="E4303" s="2" t="s">
        <v>799</v>
      </c>
      <c r="F4303" t="s">
        <v>10991</v>
      </c>
      <c r="G4303" t="str">
        <f>HYPERLINK("https://n.news.naver.com/mnews/article/011/0004503269?sid=104")</f>
        <v>https://n.news.naver.com/mnews/article/011/0004503269?sid=104</v>
      </c>
      <c r="H4303">
        <v>0.188</v>
      </c>
    </row>
    <row r="4304" spans="1:8" x14ac:dyDescent="0.3">
      <c r="A4304" t="s">
        <v>9678</v>
      </c>
      <c r="B4304" t="s">
        <v>26951</v>
      </c>
      <c r="C4304" t="s">
        <v>10996</v>
      </c>
      <c r="D4304" t="s">
        <v>10995</v>
      </c>
      <c r="E4304" s="2" t="s">
        <v>799</v>
      </c>
      <c r="F4304" t="s">
        <v>10994</v>
      </c>
      <c r="G4304" t="str">
        <f>HYPERLINK("https://www.foodneconomy.com/news/articleView.html?idxno=358578")</f>
        <v>https://www.foodneconomy.com/news/articleView.html?idxno=358578</v>
      </c>
      <c r="H4304">
        <v>0.28100000000000003</v>
      </c>
    </row>
    <row r="4305" spans="1:8" x14ac:dyDescent="0.3">
      <c r="A4305" t="s">
        <v>9678</v>
      </c>
      <c r="B4305" t="s">
        <v>26951</v>
      </c>
      <c r="C4305" t="s">
        <v>10999</v>
      </c>
      <c r="D4305" t="s">
        <v>10998</v>
      </c>
      <c r="E4305" s="2" t="s">
        <v>799</v>
      </c>
      <c r="F4305" t="s">
        <v>10302</v>
      </c>
      <c r="G4305" t="str">
        <f>HYPERLINK("https://www.kyongbuk.co.kr/news/articleView.html?idxno=4026095")</f>
        <v>https://www.kyongbuk.co.kr/news/articleView.html?idxno=4026095</v>
      </c>
      <c r="H4305">
        <v>0.496</v>
      </c>
    </row>
    <row r="4306" spans="1:8" x14ac:dyDescent="0.3">
      <c r="A4306" t="s">
        <v>9678</v>
      </c>
      <c r="B4306" t="s">
        <v>26951</v>
      </c>
      <c r="C4306" t="s">
        <v>11001</v>
      </c>
      <c r="D4306" t="s">
        <v>11000</v>
      </c>
      <c r="E4306" s="2" t="s">
        <v>799</v>
      </c>
      <c r="F4306" t="s">
        <v>6930</v>
      </c>
      <c r="G4306" t="str">
        <f>HYPERLINK("https://www.kyeongin.com/article/1741940")</f>
        <v>https://www.kyeongin.com/article/1741940</v>
      </c>
      <c r="H4306">
        <v>0.51700000000000002</v>
      </c>
    </row>
    <row r="4307" spans="1:8" x14ac:dyDescent="0.3">
      <c r="A4307" t="s">
        <v>9678</v>
      </c>
      <c r="B4307" t="s">
        <v>26951</v>
      </c>
      <c r="C4307" t="s">
        <v>11005</v>
      </c>
      <c r="D4307" t="s">
        <v>11004</v>
      </c>
      <c r="E4307" s="2" t="s">
        <v>799</v>
      </c>
      <c r="F4307" t="s">
        <v>11003</v>
      </c>
      <c r="G4307" t="str">
        <f>HYPERLINK("https://www.newsmin.co.kr/news/120261/")</f>
        <v>https://www.newsmin.co.kr/news/120261/</v>
      </c>
      <c r="H4307">
        <v>0.23899999999999999</v>
      </c>
    </row>
    <row r="4308" spans="1:8" x14ac:dyDescent="0.3">
      <c r="A4308" t="s">
        <v>9678</v>
      </c>
      <c r="B4308" t="s">
        <v>26951</v>
      </c>
      <c r="C4308" t="s">
        <v>11007</v>
      </c>
      <c r="D4308" t="s">
        <v>11006</v>
      </c>
      <c r="E4308" s="2" t="s">
        <v>799</v>
      </c>
      <c r="F4308" t="s">
        <v>7550</v>
      </c>
      <c r="G4308" t="str">
        <f>HYPERLINK("https://n.news.naver.com/mnews/article/052/0001714685?sid=100")</f>
        <v>https://n.news.naver.com/mnews/article/052/0001714685?sid=100</v>
      </c>
      <c r="H4308">
        <v>0.18099999999999999</v>
      </c>
    </row>
    <row r="4309" spans="1:8" x14ac:dyDescent="0.3">
      <c r="A4309" t="s">
        <v>9678</v>
      </c>
      <c r="B4309" t="s">
        <v>26951</v>
      </c>
      <c r="C4309" t="s">
        <v>11010</v>
      </c>
      <c r="D4309" t="s">
        <v>11009</v>
      </c>
      <c r="E4309" s="2" t="s">
        <v>799</v>
      </c>
      <c r="F4309" t="s">
        <v>11008</v>
      </c>
      <c r="G4309" t="str">
        <f>HYPERLINK("https://www.ggilbo.com/news/articleView.html?idxno=1093430")</f>
        <v>https://www.ggilbo.com/news/articleView.html?idxno=1093430</v>
      </c>
      <c r="H4309">
        <v>7.0000000000000007E-2</v>
      </c>
    </row>
    <row r="4310" spans="1:8" x14ac:dyDescent="0.3">
      <c r="A4310" t="s">
        <v>9678</v>
      </c>
      <c r="B4310" t="s">
        <v>26951</v>
      </c>
      <c r="C4310" t="s">
        <v>11013</v>
      </c>
      <c r="D4310" t="s">
        <v>11012</v>
      </c>
      <c r="E4310" s="2" t="s">
        <v>799</v>
      </c>
      <c r="F4310" t="s">
        <v>11011</v>
      </c>
      <c r="G4310" t="str">
        <f>HYPERLINK("http://www.enewstoday.co.kr/news/articleView.html?idxno=2278513")</f>
        <v>http://www.enewstoday.co.kr/news/articleView.html?idxno=2278513</v>
      </c>
      <c r="H4310">
        <v>0.255</v>
      </c>
    </row>
    <row r="4311" spans="1:8" x14ac:dyDescent="0.3">
      <c r="A4311" t="s">
        <v>9678</v>
      </c>
      <c r="B4311" t="s">
        <v>26951</v>
      </c>
      <c r="C4311" t="s">
        <v>11015</v>
      </c>
      <c r="D4311" t="s">
        <v>11014</v>
      </c>
      <c r="E4311" s="2" t="s">
        <v>799</v>
      </c>
      <c r="F4311" t="s">
        <v>7114</v>
      </c>
      <c r="G4311" t="str">
        <f>HYPERLINK("http://www.enewstoday.co.kr/news/articleView.html?idxno=2105027")</f>
        <v>http://www.enewstoday.co.kr/news/articleView.html?idxno=2105027</v>
      </c>
      <c r="H4311">
        <v>0.26600000000000001</v>
      </c>
    </row>
    <row r="4312" spans="1:8" x14ac:dyDescent="0.3">
      <c r="A4312" t="s">
        <v>9678</v>
      </c>
      <c r="B4312" t="s">
        <v>26951</v>
      </c>
      <c r="C4312" t="s">
        <v>11017</v>
      </c>
      <c r="D4312" t="s">
        <v>11016</v>
      </c>
      <c r="E4312" s="2" t="s">
        <v>799</v>
      </c>
      <c r="F4312" t="s">
        <v>5909</v>
      </c>
      <c r="G4312" t="str">
        <f>HYPERLINK("https://www.joongdo.co.kr/web/view.php?key=20250629010006208")</f>
        <v>https://www.joongdo.co.kr/web/view.php?key=20250629010006208</v>
      </c>
      <c r="H4312">
        <v>0.32400000000000001</v>
      </c>
    </row>
    <row r="4313" spans="1:8" x14ac:dyDescent="0.3">
      <c r="A4313" t="s">
        <v>9678</v>
      </c>
      <c r="B4313" t="s">
        <v>26951</v>
      </c>
      <c r="C4313" t="s">
        <v>11020</v>
      </c>
      <c r="D4313" t="s">
        <v>11019</v>
      </c>
      <c r="E4313" s="2" t="s">
        <v>799</v>
      </c>
      <c r="F4313" t="s">
        <v>11018</v>
      </c>
      <c r="G4313" t="str">
        <f>HYPERLINK("https://n.news.naver.com/mnews/article/214/0001313145?sid=100")</f>
        <v>https://n.news.naver.com/mnews/article/214/0001313145?sid=100</v>
      </c>
      <c r="H4313">
        <v>8.3000000000000004E-2</v>
      </c>
    </row>
    <row r="4314" spans="1:8" x14ac:dyDescent="0.3">
      <c r="A4314" t="s">
        <v>9678</v>
      </c>
      <c r="B4314" t="s">
        <v>26951</v>
      </c>
      <c r="C4314" t="s">
        <v>11023</v>
      </c>
      <c r="D4314" t="s">
        <v>11022</v>
      </c>
      <c r="E4314" s="2" t="s">
        <v>799</v>
      </c>
      <c r="F4314" t="s">
        <v>11021</v>
      </c>
      <c r="G4314" t="str">
        <f>HYPERLINK("https://www.kukinews.com/article/view/kuk202506300032")</f>
        <v>https://www.kukinews.com/article/view/kuk202506300032</v>
      </c>
      <c r="H4314">
        <v>0.27300000000000002</v>
      </c>
    </row>
    <row r="4315" spans="1:8" x14ac:dyDescent="0.3">
      <c r="A4315" t="s">
        <v>9678</v>
      </c>
      <c r="B4315" t="s">
        <v>26951</v>
      </c>
      <c r="C4315" t="s">
        <v>11025</v>
      </c>
      <c r="D4315" t="s">
        <v>11024</v>
      </c>
      <c r="E4315" s="2" t="s">
        <v>799</v>
      </c>
      <c r="F4315" t="s">
        <v>2799</v>
      </c>
      <c r="G4315" t="str">
        <f>HYPERLINK("https://n.news.naver.com/mnews/article/088/0000950180?sid=102")</f>
        <v>https://n.news.naver.com/mnews/article/088/0000950180?sid=102</v>
      </c>
      <c r="H4315">
        <v>0.17</v>
      </c>
    </row>
    <row r="4316" spans="1:8" x14ac:dyDescent="0.3">
      <c r="A4316" t="s">
        <v>9678</v>
      </c>
      <c r="B4316" t="s">
        <v>26951</v>
      </c>
      <c r="C4316" t="s">
        <v>11027</v>
      </c>
      <c r="D4316" t="s">
        <v>11026</v>
      </c>
      <c r="E4316" s="2" t="s">
        <v>799</v>
      </c>
      <c r="F4316" t="s">
        <v>8111</v>
      </c>
      <c r="G4316" t="str">
        <f>HYPERLINK("http://www.cnbnews.com/news/article.html?no=450495")</f>
        <v>http://www.cnbnews.com/news/article.html?no=450495</v>
      </c>
      <c r="H4316">
        <v>0.44700000000000001</v>
      </c>
    </row>
    <row r="4317" spans="1:8" x14ac:dyDescent="0.3">
      <c r="A4317" t="s">
        <v>9678</v>
      </c>
      <c r="B4317" t="s">
        <v>26951</v>
      </c>
      <c r="C4317" t="s">
        <v>11030</v>
      </c>
      <c r="D4317" t="s">
        <v>11029</v>
      </c>
      <c r="E4317" s="2" t="s">
        <v>799</v>
      </c>
      <c r="F4317" t="s">
        <v>11028</v>
      </c>
      <c r="G4317" t="str">
        <f>HYPERLINK("http://www.naeil.com/news_view/?id_art=362490")</f>
        <v>http://www.naeil.com/news_view/?id_art=362490</v>
      </c>
      <c r="H4317">
        <v>0.441</v>
      </c>
    </row>
    <row r="4318" spans="1:8" x14ac:dyDescent="0.3">
      <c r="A4318" t="s">
        <v>9678</v>
      </c>
      <c r="B4318" t="s">
        <v>26951</v>
      </c>
      <c r="C4318" t="s">
        <v>11033</v>
      </c>
      <c r="D4318" t="s">
        <v>11032</v>
      </c>
      <c r="E4318" s="2" t="s">
        <v>799</v>
      </c>
      <c r="F4318" t="s">
        <v>11031</v>
      </c>
      <c r="G4318" t="str">
        <f>HYPERLINK("https://n.news.naver.com/mnews/article/214/0001255641?sid=100")</f>
        <v>https://n.news.naver.com/mnews/article/214/0001255641?sid=100</v>
      </c>
      <c r="H4318">
        <v>0.39900000000000002</v>
      </c>
    </row>
    <row r="4319" spans="1:8" x14ac:dyDescent="0.3">
      <c r="A4319" t="s">
        <v>9678</v>
      </c>
      <c r="B4319" t="s">
        <v>26951</v>
      </c>
      <c r="C4319" t="s">
        <v>11039</v>
      </c>
      <c r="D4319" t="s">
        <v>11038</v>
      </c>
      <c r="E4319" s="2" t="s">
        <v>799</v>
      </c>
      <c r="F4319" t="s">
        <v>11037</v>
      </c>
      <c r="G4319" t="str">
        <f>HYPERLINK("https://n.news.naver.com/mnews/article/028/0002749155?sid=154")</f>
        <v>https://n.news.naver.com/mnews/article/028/0002749155?sid=154</v>
      </c>
      <c r="H4319">
        <v>0.152</v>
      </c>
    </row>
    <row r="4320" spans="1:8" x14ac:dyDescent="0.3">
      <c r="A4320" t="s">
        <v>9678</v>
      </c>
      <c r="B4320" t="s">
        <v>26951</v>
      </c>
      <c r="C4320" t="s">
        <v>11042</v>
      </c>
      <c r="D4320" t="s">
        <v>11041</v>
      </c>
      <c r="E4320" s="2" t="s">
        <v>799</v>
      </c>
      <c r="F4320" t="s">
        <v>11040</v>
      </c>
      <c r="G4320" t="str">
        <f>HYPERLINK("https://www.kpinews.kr/newsView/1065610865411401")</f>
        <v>https://www.kpinews.kr/newsView/1065610865411401</v>
      </c>
      <c r="H4320">
        <v>0.43099999999999999</v>
      </c>
    </row>
    <row r="4321" spans="1:8" x14ac:dyDescent="0.3">
      <c r="A4321" t="s">
        <v>9678</v>
      </c>
      <c r="B4321" t="s">
        <v>26951</v>
      </c>
      <c r="C4321" t="s">
        <v>11044</v>
      </c>
      <c r="D4321" t="s">
        <v>11043</v>
      </c>
      <c r="E4321" s="2" t="s">
        <v>799</v>
      </c>
      <c r="F4321" t="s">
        <v>2917</v>
      </c>
      <c r="G4321" t="str">
        <f>HYPERLINK("https://n.news.naver.com/mnews/article/214/0001318098?sid=100")</f>
        <v>https://n.news.naver.com/mnews/article/214/0001318098?sid=100</v>
      </c>
      <c r="H4321">
        <v>0.27100000000000002</v>
      </c>
    </row>
    <row r="4322" spans="1:8" x14ac:dyDescent="0.3">
      <c r="A4322" t="s">
        <v>9678</v>
      </c>
      <c r="B4322" t="s">
        <v>26951</v>
      </c>
      <c r="C4322" t="s">
        <v>11047</v>
      </c>
      <c r="D4322" t="s">
        <v>11046</v>
      </c>
      <c r="E4322" s="2" t="s">
        <v>799</v>
      </c>
      <c r="F4322" t="s">
        <v>11045</v>
      </c>
      <c r="G4322" t="str">
        <f>HYPERLINK("https://www.etoday.co.kr/news/view/2476388")</f>
        <v>https://www.etoday.co.kr/news/view/2476388</v>
      </c>
      <c r="H4322">
        <v>0.36</v>
      </c>
    </row>
    <row r="4323" spans="1:8" x14ac:dyDescent="0.3">
      <c r="A4323" t="s">
        <v>9678</v>
      </c>
      <c r="B4323" t="s">
        <v>26951</v>
      </c>
      <c r="C4323" t="s">
        <v>11050</v>
      </c>
      <c r="D4323" t="s">
        <v>11049</v>
      </c>
      <c r="E4323" s="2" t="s">
        <v>799</v>
      </c>
      <c r="F4323" t="s">
        <v>11048</v>
      </c>
      <c r="G4323" t="str">
        <f>HYPERLINK("https://n.news.naver.com/mnews/article/469/0000868494?sid=103")</f>
        <v>https://n.news.naver.com/mnews/article/469/0000868494?sid=103</v>
      </c>
      <c r="H4323">
        <v>0.16200000000000001</v>
      </c>
    </row>
    <row r="4324" spans="1:8" x14ac:dyDescent="0.3">
      <c r="A4324" t="s">
        <v>9678</v>
      </c>
      <c r="B4324" t="s">
        <v>26951</v>
      </c>
      <c r="C4324" t="s">
        <v>11052</v>
      </c>
      <c r="D4324" t="s">
        <v>11051</v>
      </c>
      <c r="E4324" s="2" t="s">
        <v>799</v>
      </c>
      <c r="F4324" t="s">
        <v>3012</v>
      </c>
      <c r="G4324" t="str">
        <f>HYPERLINK("https://www.ccdailynews.com/news/articleView.html?idxno=2219988")</f>
        <v>https://www.ccdailynews.com/news/articleView.html?idxno=2219988</v>
      </c>
      <c r="H4324">
        <v>0.60299999999999998</v>
      </c>
    </row>
    <row r="4325" spans="1:8" x14ac:dyDescent="0.3">
      <c r="A4325" t="s">
        <v>9678</v>
      </c>
      <c r="B4325" t="s">
        <v>26951</v>
      </c>
      <c r="C4325" t="s">
        <v>11055</v>
      </c>
      <c r="D4325" t="s">
        <v>11054</v>
      </c>
      <c r="E4325" s="2" t="s">
        <v>799</v>
      </c>
      <c r="F4325" t="s">
        <v>11053</v>
      </c>
      <c r="G4325" t="str">
        <f>HYPERLINK("https://n.news.naver.com/mnews/article/008/0005202736?sid=154")</f>
        <v>https://n.news.naver.com/mnews/article/008/0005202736?sid=154</v>
      </c>
      <c r="H4325">
        <v>0.217</v>
      </c>
    </row>
    <row r="4326" spans="1:8" x14ac:dyDescent="0.3">
      <c r="A4326" t="s">
        <v>9678</v>
      </c>
      <c r="B4326" t="s">
        <v>26951</v>
      </c>
      <c r="C4326" t="s">
        <v>11058</v>
      </c>
      <c r="D4326" t="s">
        <v>11057</v>
      </c>
      <c r="E4326" s="2" t="s">
        <v>799</v>
      </c>
      <c r="F4326" t="s">
        <v>10566</v>
      </c>
      <c r="G4326" t="str">
        <f>HYPERLINK("https://www.greened.kr/news/articleView.html?idxno=311550")</f>
        <v>https://www.greened.kr/news/articleView.html?idxno=311550</v>
      </c>
      <c r="H4326">
        <v>0.35699999999999998</v>
      </c>
    </row>
    <row r="4327" spans="1:8" x14ac:dyDescent="0.3">
      <c r="A4327" t="s">
        <v>9678</v>
      </c>
      <c r="B4327" t="s">
        <v>26951</v>
      </c>
      <c r="C4327" t="s">
        <v>11060</v>
      </c>
      <c r="D4327" t="s">
        <v>11059</v>
      </c>
      <c r="E4327" s="2" t="s">
        <v>799</v>
      </c>
      <c r="F4327" t="s">
        <v>817</v>
      </c>
      <c r="G4327" t="str">
        <f>HYPERLINK("https://www.newspim.com/news/view/20250604000308")</f>
        <v>https://www.newspim.com/news/view/20250604000308</v>
      </c>
      <c r="H4327">
        <v>0.73</v>
      </c>
    </row>
    <row r="4328" spans="1:8" x14ac:dyDescent="0.3">
      <c r="A4328" t="s">
        <v>9678</v>
      </c>
      <c r="B4328" t="s">
        <v>26951</v>
      </c>
      <c r="C4328" t="s">
        <v>11062</v>
      </c>
      <c r="D4328" t="s">
        <v>11061</v>
      </c>
      <c r="E4328" s="2" t="s">
        <v>799</v>
      </c>
      <c r="F4328" t="s">
        <v>3420</v>
      </c>
      <c r="G4328" t="str">
        <f>HYPERLINK("https://www.ngonews.kr/news/articleView.html?idxno=207796")</f>
        <v>https://www.ngonews.kr/news/articleView.html?idxno=207796</v>
      </c>
      <c r="H4328">
        <v>0.68100000000000005</v>
      </c>
    </row>
    <row r="4329" spans="1:8" x14ac:dyDescent="0.3">
      <c r="A4329" t="s">
        <v>9678</v>
      </c>
      <c r="B4329" t="s">
        <v>26951</v>
      </c>
      <c r="C4329" t="s">
        <v>11065</v>
      </c>
      <c r="D4329" t="s">
        <v>11064</v>
      </c>
      <c r="E4329" s="2" t="s">
        <v>799</v>
      </c>
      <c r="F4329" t="s">
        <v>11063</v>
      </c>
      <c r="G4329" t="str">
        <f>HYPERLINK("http://www.fintechpost.co.kr/news/articleView.html?idxno=99121")</f>
        <v>http://www.fintechpost.co.kr/news/articleView.html?idxno=99121</v>
      </c>
      <c r="H4329">
        <v>6.9000000000000006E-2</v>
      </c>
    </row>
    <row r="4330" spans="1:8" x14ac:dyDescent="0.3">
      <c r="A4330" t="s">
        <v>9678</v>
      </c>
      <c r="B4330" t="s">
        <v>26951</v>
      </c>
      <c r="C4330" t="s">
        <v>11067</v>
      </c>
      <c r="D4330" t="s">
        <v>11066</v>
      </c>
      <c r="E4330" s="2" t="s">
        <v>799</v>
      </c>
      <c r="F4330" t="s">
        <v>8713</v>
      </c>
      <c r="G4330" t="str">
        <f>HYPERLINK("https://www.straightnews.co.kr/news/articleView.html?idxno=272607")</f>
        <v>https://www.straightnews.co.kr/news/articleView.html?idxno=272607</v>
      </c>
      <c r="H4330">
        <v>0.377</v>
      </c>
    </row>
    <row r="4331" spans="1:8" x14ac:dyDescent="0.3">
      <c r="A4331" t="s">
        <v>9678</v>
      </c>
      <c r="B4331" t="s">
        <v>26951</v>
      </c>
      <c r="C4331" t="s">
        <v>11070</v>
      </c>
      <c r="D4331" t="s">
        <v>11069</v>
      </c>
      <c r="E4331" s="2" t="s">
        <v>799</v>
      </c>
      <c r="F4331" t="s">
        <v>11068</v>
      </c>
      <c r="G4331" t="str">
        <f>HYPERLINK("https://n.news.naver.com/mnews/article/079/0004020634?sid=100")</f>
        <v>https://n.news.naver.com/mnews/article/079/0004020634?sid=100</v>
      </c>
      <c r="H4331">
        <v>8.6999999999999994E-2</v>
      </c>
    </row>
    <row r="4332" spans="1:8" x14ac:dyDescent="0.3">
      <c r="A4332" t="s">
        <v>9678</v>
      </c>
      <c r="B4332" t="s">
        <v>26951</v>
      </c>
      <c r="C4332" t="s">
        <v>11074</v>
      </c>
      <c r="D4332" t="s">
        <v>11073</v>
      </c>
      <c r="E4332" s="2" t="s">
        <v>799</v>
      </c>
      <c r="F4332" t="s">
        <v>11072</v>
      </c>
      <c r="G4332" t="str">
        <f>HYPERLINK("http://www.jejusori.net/?mod=news&amp;act=articleView&amp;idxno=171548")</f>
        <v>http://www.jejusori.net/?mod=news&amp;act=articleView&amp;idxno=171548</v>
      </c>
      <c r="H4332">
        <v>0.152</v>
      </c>
    </row>
    <row r="4333" spans="1:8" x14ac:dyDescent="0.3">
      <c r="A4333" t="s">
        <v>9678</v>
      </c>
      <c r="B4333" t="s">
        <v>26951</v>
      </c>
      <c r="C4333" t="s">
        <v>11076</v>
      </c>
      <c r="D4333" t="s">
        <v>11075</v>
      </c>
      <c r="E4333" s="2" t="s">
        <v>799</v>
      </c>
      <c r="F4333" t="s">
        <v>6486</v>
      </c>
      <c r="G4333" t="str">
        <f>HYPERLINK("http://www.etoday.co.kr/news/section/newsview.php?TM=news&amp;SM=4102&amp;idxno=558861")</f>
        <v>http://www.etoday.co.kr/news/section/newsview.php?TM=news&amp;SM=4102&amp;idxno=558861</v>
      </c>
      <c r="H4333">
        <v>0.3</v>
      </c>
    </row>
    <row r="4334" spans="1:8" x14ac:dyDescent="0.3">
      <c r="A4334" t="s">
        <v>9678</v>
      </c>
      <c r="B4334" t="s">
        <v>26951</v>
      </c>
      <c r="C4334" t="s">
        <v>11078</v>
      </c>
      <c r="D4334" t="s">
        <v>11077</v>
      </c>
      <c r="E4334" s="2" t="s">
        <v>799</v>
      </c>
      <c r="F4334" t="s">
        <v>7787</v>
      </c>
      <c r="G4334" t="str">
        <f>HYPERLINK("https://www.getnews.co.kr/news/articleView.html?idxno=824168")</f>
        <v>https://www.getnews.co.kr/news/articleView.html?idxno=824168</v>
      </c>
      <c r="H4334">
        <v>0.628</v>
      </c>
    </row>
    <row r="4335" spans="1:8" x14ac:dyDescent="0.3">
      <c r="A4335" t="s">
        <v>9678</v>
      </c>
      <c r="B4335" t="s">
        <v>26951</v>
      </c>
      <c r="C4335" t="s">
        <v>11080</v>
      </c>
      <c r="D4335" t="s">
        <v>11079</v>
      </c>
      <c r="E4335" s="2" t="s">
        <v>799</v>
      </c>
      <c r="F4335" t="s">
        <v>3048</v>
      </c>
      <c r="G4335" t="str">
        <f>HYPERLINK("https://www.ilyoseoul.co.kr/news/articleView.html?idxno=503418")</f>
        <v>https://www.ilyoseoul.co.kr/news/articleView.html?idxno=503418</v>
      </c>
      <c r="H4335">
        <v>0.68500000000000005</v>
      </c>
    </row>
    <row r="4336" spans="1:8" x14ac:dyDescent="0.3">
      <c r="A4336" t="s">
        <v>9678</v>
      </c>
      <c r="B4336" t="s">
        <v>26951</v>
      </c>
      <c r="C4336" t="s">
        <v>11083</v>
      </c>
      <c r="D4336" t="s">
        <v>11082</v>
      </c>
      <c r="E4336" s="2" t="s">
        <v>799</v>
      </c>
      <c r="F4336" t="s">
        <v>11081</v>
      </c>
      <c r="G4336" t="str">
        <f>HYPERLINK("https://n.news.naver.com/mnews/article/277/0005614626?sid=103")</f>
        <v>https://n.news.naver.com/mnews/article/277/0005614626?sid=103</v>
      </c>
      <c r="H4336">
        <v>0.254</v>
      </c>
    </row>
    <row r="4337" spans="1:8" x14ac:dyDescent="0.3">
      <c r="A4337" t="s">
        <v>9678</v>
      </c>
      <c r="B4337" t="s">
        <v>26951</v>
      </c>
      <c r="C4337" t="s">
        <v>11086</v>
      </c>
      <c r="D4337" t="s">
        <v>11085</v>
      </c>
      <c r="E4337" s="2" t="s">
        <v>799</v>
      </c>
      <c r="F4337" t="s">
        <v>11084</v>
      </c>
      <c r="G4337" t="str">
        <f>HYPERLINK("https://www.rcast.co.kr/news/articleView.html?idxno=27696")</f>
        <v>https://www.rcast.co.kr/news/articleView.html?idxno=27696</v>
      </c>
      <c r="H4337">
        <v>0.98299999999999998</v>
      </c>
    </row>
    <row r="4338" spans="1:8" x14ac:dyDescent="0.3">
      <c r="A4338" t="s">
        <v>9678</v>
      </c>
      <c r="B4338" t="s">
        <v>26951</v>
      </c>
      <c r="C4338" t="s">
        <v>11088</v>
      </c>
      <c r="D4338" t="s">
        <v>11087</v>
      </c>
      <c r="E4338" s="2" t="s">
        <v>799</v>
      </c>
      <c r="F4338" t="s">
        <v>1242</v>
      </c>
      <c r="G4338" t="str">
        <f>HYPERLINK("http://www.worldkorean.net/news/articleView.html?idxno=54113")</f>
        <v>http://www.worldkorean.net/news/articleView.html?idxno=54113</v>
      </c>
      <c r="H4338">
        <v>0.56799999999999995</v>
      </c>
    </row>
    <row r="4339" spans="1:8" x14ac:dyDescent="0.3">
      <c r="A4339" t="s">
        <v>9678</v>
      </c>
      <c r="B4339" t="s">
        <v>26951</v>
      </c>
      <c r="C4339" t="s">
        <v>11092</v>
      </c>
      <c r="D4339" t="s">
        <v>11091</v>
      </c>
      <c r="E4339" s="2" t="s">
        <v>799</v>
      </c>
      <c r="F4339" t="s">
        <v>2686</v>
      </c>
      <c r="G4339" t="str">
        <f>HYPERLINK("https://n.news.naver.com/mnews/article/006/0000130669?sid=102")</f>
        <v>https://n.news.naver.com/mnews/article/006/0000130669?sid=102</v>
      </c>
      <c r="H4339">
        <v>0.249</v>
      </c>
    </row>
    <row r="4340" spans="1:8" x14ac:dyDescent="0.3">
      <c r="A4340" t="s">
        <v>9678</v>
      </c>
      <c r="B4340" t="s">
        <v>26951</v>
      </c>
      <c r="C4340" t="s">
        <v>11094</v>
      </c>
      <c r="D4340" t="s">
        <v>11093</v>
      </c>
      <c r="E4340" s="2" t="s">
        <v>799</v>
      </c>
      <c r="F4340" t="s">
        <v>10839</v>
      </c>
      <c r="G4340" t="str">
        <f>HYPERLINK("http://www.seoulwire.com/news/articleView.html?idxno=654274")</f>
        <v>http://www.seoulwire.com/news/articleView.html?idxno=654274</v>
      </c>
      <c r="H4340">
        <v>0.65500000000000003</v>
      </c>
    </row>
    <row r="4341" spans="1:8" x14ac:dyDescent="0.3">
      <c r="A4341" t="s">
        <v>9678</v>
      </c>
      <c r="B4341" t="s">
        <v>26951</v>
      </c>
      <c r="C4341" t="s">
        <v>11096</v>
      </c>
      <c r="D4341" t="s">
        <v>11095</v>
      </c>
      <c r="E4341" s="2" t="s">
        <v>799</v>
      </c>
      <c r="F4341" t="s">
        <v>9679</v>
      </c>
      <c r="G4341" t="str">
        <f>HYPERLINK("https://n.news.naver.com/mnews/article/087/0001120958?sid=154")</f>
        <v>https://n.news.naver.com/mnews/article/087/0001120958?sid=154</v>
      </c>
      <c r="H4341">
        <v>0.22600000000000001</v>
      </c>
    </row>
    <row r="4342" spans="1:8" x14ac:dyDescent="0.3">
      <c r="A4342" t="s">
        <v>9678</v>
      </c>
      <c r="B4342" t="s">
        <v>26951</v>
      </c>
      <c r="C4342" t="s">
        <v>11099</v>
      </c>
      <c r="D4342" t="s">
        <v>11098</v>
      </c>
      <c r="E4342" s="2" t="s">
        <v>799</v>
      </c>
      <c r="F4342" t="s">
        <v>11097</v>
      </c>
      <c r="G4342" t="str">
        <f>HYPERLINK("http://www.greened.kr/news/articleView.html?idxno=296464")</f>
        <v>http://www.greened.kr/news/articleView.html?idxno=296464</v>
      </c>
      <c r="H4342">
        <v>0.55500000000000005</v>
      </c>
    </row>
    <row r="4343" spans="1:8" x14ac:dyDescent="0.3">
      <c r="A4343" t="s">
        <v>9678</v>
      </c>
      <c r="B4343" t="s">
        <v>26951</v>
      </c>
      <c r="C4343" t="s">
        <v>11101</v>
      </c>
      <c r="D4343" t="s">
        <v>11100</v>
      </c>
      <c r="E4343" s="2" t="s">
        <v>799</v>
      </c>
      <c r="F4343" t="s">
        <v>2498</v>
      </c>
      <c r="G4343" t="str">
        <f>HYPERLINK("https://n.news.naver.com/mnews/article/214/0001433558?sid=100")</f>
        <v>https://n.news.naver.com/mnews/article/214/0001433558?sid=100</v>
      </c>
      <c r="H4343">
        <v>0.23499999999999999</v>
      </c>
    </row>
    <row r="4344" spans="1:8" x14ac:dyDescent="0.3">
      <c r="A4344" t="s">
        <v>9678</v>
      </c>
      <c r="B4344" t="s">
        <v>26951</v>
      </c>
      <c r="C4344" t="s">
        <v>11103</v>
      </c>
      <c r="D4344" t="s">
        <v>11102</v>
      </c>
      <c r="E4344" s="2" t="s">
        <v>799</v>
      </c>
      <c r="F4344" t="s">
        <v>8074</v>
      </c>
      <c r="G4344" t="str">
        <f>HYPERLINK("http://www.sisafocus.co.kr/news/articleView.html?idxno=294414")</f>
        <v>http://www.sisafocus.co.kr/news/articleView.html?idxno=294414</v>
      </c>
      <c r="H4344">
        <v>0.70799999999999996</v>
      </c>
    </row>
    <row r="4345" spans="1:8" x14ac:dyDescent="0.3">
      <c r="A4345" t="s">
        <v>9678</v>
      </c>
      <c r="B4345" t="s">
        <v>26951</v>
      </c>
      <c r="C4345" t="s">
        <v>11106</v>
      </c>
      <c r="D4345" t="s">
        <v>11105</v>
      </c>
      <c r="E4345" s="2" t="s">
        <v>799</v>
      </c>
      <c r="F4345" t="s">
        <v>11104</v>
      </c>
      <c r="G4345" t="str">
        <f>HYPERLINK("https://news.bbsi.co.kr/news/articleView.html?idxno=3112527")</f>
        <v>https://news.bbsi.co.kr/news/articleView.html?idxno=3112527</v>
      </c>
      <c r="H4345">
        <v>0.39200000000000002</v>
      </c>
    </row>
    <row r="4346" spans="1:8" x14ac:dyDescent="0.3">
      <c r="A4346" t="s">
        <v>9678</v>
      </c>
      <c r="B4346" t="s">
        <v>26951</v>
      </c>
      <c r="C4346" t="s">
        <v>11109</v>
      </c>
      <c r="D4346" t="s">
        <v>11108</v>
      </c>
      <c r="E4346" s="2" t="s">
        <v>799</v>
      </c>
      <c r="F4346" t="s">
        <v>11107</v>
      </c>
      <c r="G4346" t="str">
        <f>HYPERLINK("https://www.newspim.com/news/view/20250523000984")</f>
        <v>https://www.newspim.com/news/view/20250523000984</v>
      </c>
      <c r="H4346">
        <v>0.20899999999999999</v>
      </c>
    </row>
    <row r="4347" spans="1:8" x14ac:dyDescent="0.3">
      <c r="A4347" t="s">
        <v>9678</v>
      </c>
      <c r="B4347" t="s">
        <v>26951</v>
      </c>
      <c r="C4347" t="s">
        <v>11111</v>
      </c>
      <c r="D4347" t="s">
        <v>11110</v>
      </c>
      <c r="E4347" s="2" t="s">
        <v>799</v>
      </c>
      <c r="F4347" t="s">
        <v>6027</v>
      </c>
      <c r="G4347" t="str">
        <f>HYPERLINK("https://www.mbceg.co.kr/post/126773")</f>
        <v>https://www.mbceg.co.kr/post/126773</v>
      </c>
      <c r="H4347">
        <v>0.374</v>
      </c>
    </row>
    <row r="4348" spans="1:8" x14ac:dyDescent="0.3">
      <c r="A4348" t="s">
        <v>9678</v>
      </c>
      <c r="B4348" t="s">
        <v>26951</v>
      </c>
      <c r="C4348" t="s">
        <v>11114</v>
      </c>
      <c r="D4348" t="s">
        <v>11113</v>
      </c>
      <c r="E4348" s="2" t="s">
        <v>799</v>
      </c>
      <c r="F4348" t="s">
        <v>11112</v>
      </c>
      <c r="G4348" t="str">
        <f>HYPERLINK("http://www.jejusori.net/news/articleView.html?idxno=120896")</f>
        <v>http://www.jejusori.net/news/articleView.html?idxno=120896</v>
      </c>
      <c r="H4348">
        <v>0.371</v>
      </c>
    </row>
    <row r="4349" spans="1:8" x14ac:dyDescent="0.3">
      <c r="A4349" t="s">
        <v>9678</v>
      </c>
      <c r="B4349" t="s">
        <v>26951</v>
      </c>
      <c r="C4349" t="s">
        <v>11118</v>
      </c>
      <c r="D4349" t="s">
        <v>11117</v>
      </c>
      <c r="E4349" s="2" t="s">
        <v>799</v>
      </c>
      <c r="F4349" t="s">
        <v>11116</v>
      </c>
      <c r="G4349" t="str">
        <f>HYPERLINK("https://www.newsway.co.kr/news/view?ud=2025070115171267927")</f>
        <v>https://www.newsway.co.kr/news/view?ud=2025070115171267927</v>
      </c>
      <c r="H4349">
        <v>0.187</v>
      </c>
    </row>
    <row r="4350" spans="1:8" x14ac:dyDescent="0.3">
      <c r="A4350" t="s">
        <v>9678</v>
      </c>
      <c r="B4350" t="s">
        <v>26951</v>
      </c>
      <c r="C4350" t="s">
        <v>11121</v>
      </c>
      <c r="D4350" t="s">
        <v>11120</v>
      </c>
      <c r="E4350" s="2" t="s">
        <v>799</v>
      </c>
      <c r="F4350" t="s">
        <v>11119</v>
      </c>
      <c r="G4350" t="str">
        <f>HYPERLINK("https://www.ekn.kr/web/view.php?key=20250411023426154")</f>
        <v>https://www.ekn.kr/web/view.php?key=20250411023426154</v>
      </c>
      <c r="H4350">
        <v>0.38</v>
      </c>
    </row>
    <row r="4351" spans="1:8" x14ac:dyDescent="0.3">
      <c r="A4351" t="s">
        <v>9678</v>
      </c>
      <c r="B4351" t="s">
        <v>26951</v>
      </c>
      <c r="C4351" t="s">
        <v>11123</v>
      </c>
      <c r="D4351" t="s">
        <v>11122</v>
      </c>
      <c r="E4351" s="2" t="s">
        <v>799</v>
      </c>
      <c r="F4351" t="s">
        <v>453</v>
      </c>
      <c r="G4351" t="str">
        <f>HYPERLINK("https://n.news.naver.com/mnews/article/016/0002493216?sid=103")</f>
        <v>https://n.news.naver.com/mnews/article/016/0002493216?sid=103</v>
      </c>
      <c r="H4351">
        <v>0.193</v>
      </c>
    </row>
    <row r="4352" spans="1:8" x14ac:dyDescent="0.3">
      <c r="A4352" t="s">
        <v>9678</v>
      </c>
      <c r="B4352" t="s">
        <v>26951</v>
      </c>
      <c r="C4352" t="s">
        <v>11125</v>
      </c>
      <c r="D4352" t="s">
        <v>11124</v>
      </c>
      <c r="E4352" s="2" t="s">
        <v>799</v>
      </c>
      <c r="F4352" t="s">
        <v>10898</v>
      </c>
      <c r="G4352" t="str">
        <f>HYPERLINK("https://www.ekn.kr/web/view.php?key=20250608029543906")</f>
        <v>https://www.ekn.kr/web/view.php?key=20250608029543906</v>
      </c>
      <c r="H4352">
        <v>0.21099999999999999</v>
      </c>
    </row>
    <row r="4353" spans="1:8" x14ac:dyDescent="0.3">
      <c r="A4353" t="s">
        <v>9678</v>
      </c>
      <c r="B4353" t="s">
        <v>26951</v>
      </c>
      <c r="C4353" t="s">
        <v>11128</v>
      </c>
      <c r="D4353" t="s">
        <v>11127</v>
      </c>
      <c r="E4353" s="2" t="s">
        <v>799</v>
      </c>
      <c r="F4353" t="s">
        <v>11126</v>
      </c>
      <c r="G4353" t="str">
        <f>HYPERLINK("http://www.netongs.com/news/articleView.html?idxno=326734")</f>
        <v>http://www.netongs.com/news/articleView.html?idxno=326734</v>
      </c>
      <c r="H4353">
        <v>5.5E-2</v>
      </c>
    </row>
    <row r="4354" spans="1:8" x14ac:dyDescent="0.3">
      <c r="A4354" t="s">
        <v>9678</v>
      </c>
      <c r="B4354" t="s">
        <v>26951</v>
      </c>
      <c r="C4354" t="s">
        <v>11130</v>
      </c>
      <c r="D4354" t="s">
        <v>11129</v>
      </c>
      <c r="E4354" s="2" t="s">
        <v>799</v>
      </c>
      <c r="F4354" t="s">
        <v>2517</v>
      </c>
      <c r="G4354" t="str">
        <f>HYPERLINK("https://www.gosiweek.com/article/1065578127351146")</f>
        <v>https://www.gosiweek.com/article/1065578127351146</v>
      </c>
      <c r="H4354">
        <v>0.128</v>
      </c>
    </row>
    <row r="4355" spans="1:8" x14ac:dyDescent="0.3">
      <c r="A4355" t="s">
        <v>9678</v>
      </c>
      <c r="B4355" t="s">
        <v>26951</v>
      </c>
      <c r="C4355" t="s">
        <v>11132</v>
      </c>
      <c r="D4355" t="s">
        <v>11131</v>
      </c>
      <c r="E4355" s="2" t="s">
        <v>799</v>
      </c>
      <c r="F4355" t="s">
        <v>119</v>
      </c>
      <c r="G4355" t="str">
        <f>HYPERLINK("http://www.enewstoday.co.kr/news/articleView.html?idxno=2263884")</f>
        <v>http://www.enewstoday.co.kr/news/articleView.html?idxno=2263884</v>
      </c>
      <c r="H4355">
        <v>0.375</v>
      </c>
    </row>
    <row r="4356" spans="1:8" x14ac:dyDescent="0.3">
      <c r="A4356" t="s">
        <v>9678</v>
      </c>
      <c r="B4356" t="s">
        <v>26951</v>
      </c>
      <c r="C4356" t="s">
        <v>11135</v>
      </c>
      <c r="D4356" t="s">
        <v>11134</v>
      </c>
      <c r="E4356" s="2" t="s">
        <v>799</v>
      </c>
      <c r="F4356" t="s">
        <v>11133</v>
      </c>
      <c r="G4356" t="str">
        <f>HYPERLINK("https://www.greened.kr/news/articleView.html?idxno=323173")</f>
        <v>https://www.greened.kr/news/articleView.html?idxno=323173</v>
      </c>
      <c r="H4356">
        <v>0.50900000000000001</v>
      </c>
    </row>
    <row r="4357" spans="1:8" x14ac:dyDescent="0.3">
      <c r="A4357" t="s">
        <v>9678</v>
      </c>
      <c r="B4357" t="s">
        <v>26951</v>
      </c>
      <c r="C4357" t="s">
        <v>11137</v>
      </c>
      <c r="D4357" t="s">
        <v>11136</v>
      </c>
      <c r="E4357" s="2" t="s">
        <v>799</v>
      </c>
      <c r="F4357" t="s">
        <v>2517</v>
      </c>
      <c r="G4357" t="str">
        <f>HYPERLINK("https://kookbang.dema.mil.kr/newsWeb/20250626/1/ATCE_CTGR_0020010027/view.do")</f>
        <v>https://kookbang.dema.mil.kr/newsWeb/20250626/1/ATCE_CTGR_0020010027/view.do</v>
      </c>
      <c r="H4357">
        <v>0.378</v>
      </c>
    </row>
    <row r="4358" spans="1:8" x14ac:dyDescent="0.3">
      <c r="A4358" t="s">
        <v>9678</v>
      </c>
      <c r="B4358" t="s">
        <v>26951</v>
      </c>
      <c r="C4358" t="s">
        <v>11140</v>
      </c>
      <c r="D4358" t="s">
        <v>11139</v>
      </c>
      <c r="E4358" s="2" t="s">
        <v>799</v>
      </c>
      <c r="F4358" t="s">
        <v>11138</v>
      </c>
      <c r="G4358" t="str">
        <f>HYPERLINK("http://www.gobalnews.com/news/articleView.html?idxno=29760")</f>
        <v>http://www.gobalnews.com/news/articleView.html?idxno=29760</v>
      </c>
      <c r="H4358">
        <v>1.0999999999999999E-2</v>
      </c>
    </row>
    <row r="4359" spans="1:8" x14ac:dyDescent="0.3">
      <c r="A4359" t="s">
        <v>9678</v>
      </c>
      <c r="B4359" t="s">
        <v>26951</v>
      </c>
      <c r="C4359" t="s">
        <v>11142</v>
      </c>
      <c r="D4359" t="s">
        <v>11141</v>
      </c>
      <c r="E4359" s="2" t="s">
        <v>799</v>
      </c>
      <c r="F4359" t="s">
        <v>2517</v>
      </c>
      <c r="G4359" t="str">
        <f>HYPERLINK("https://www.redaily.co.kr/news/articleView.html?idxno=12691")</f>
        <v>https://www.redaily.co.kr/news/articleView.html?idxno=12691</v>
      </c>
      <c r="H4359">
        <v>0.34499999999999997</v>
      </c>
    </row>
    <row r="4360" spans="1:8" x14ac:dyDescent="0.3">
      <c r="A4360" t="s">
        <v>9678</v>
      </c>
      <c r="B4360" t="s">
        <v>26951</v>
      </c>
      <c r="C4360" t="s">
        <v>11145</v>
      </c>
      <c r="D4360" t="s">
        <v>11144</v>
      </c>
      <c r="E4360" s="2" t="s">
        <v>799</v>
      </c>
      <c r="F4360" t="s">
        <v>11143</v>
      </c>
      <c r="G4360" t="str">
        <f>HYPERLINK("https://n.news.naver.com/mnews/article/469/0000859180?sid=100")</f>
        <v>https://n.news.naver.com/mnews/article/469/0000859180?sid=100</v>
      </c>
      <c r="H4360">
        <v>0.20399999999999999</v>
      </c>
    </row>
    <row r="4361" spans="1:8" x14ac:dyDescent="0.3">
      <c r="A4361" t="s">
        <v>9678</v>
      </c>
      <c r="B4361" t="s">
        <v>26951</v>
      </c>
      <c r="C4361" t="s">
        <v>11147</v>
      </c>
      <c r="D4361" t="s">
        <v>11146</v>
      </c>
      <c r="E4361" s="2" t="s">
        <v>799</v>
      </c>
      <c r="F4361" t="s">
        <v>4733</v>
      </c>
      <c r="G4361" t="str">
        <f>HYPERLINK("https://n.news.naver.com/mnews/article/469/0000862198?sid=154")</f>
        <v>https://n.news.naver.com/mnews/article/469/0000862198?sid=154</v>
      </c>
      <c r="H4361">
        <v>0.19400000000000001</v>
      </c>
    </row>
    <row r="4362" spans="1:8" x14ac:dyDescent="0.3">
      <c r="A4362" t="s">
        <v>9678</v>
      </c>
      <c r="B4362" t="s">
        <v>26951</v>
      </c>
      <c r="C4362" t="s">
        <v>11149</v>
      </c>
      <c r="D4362" t="s">
        <v>11148</v>
      </c>
      <c r="E4362" s="2" t="s">
        <v>799</v>
      </c>
      <c r="F4362" t="s">
        <v>6353</v>
      </c>
      <c r="G4362" t="str">
        <f>HYPERLINK("https://n.news.naver.com/mnews/article/469/0000868325?sid=103")</f>
        <v>https://n.news.naver.com/mnews/article/469/0000868325?sid=103</v>
      </c>
      <c r="H4362">
        <v>0.24099999999999999</v>
      </c>
    </row>
    <row r="4363" spans="1:8" x14ac:dyDescent="0.3">
      <c r="A4363" t="s">
        <v>9678</v>
      </c>
      <c r="B4363" t="s">
        <v>26951</v>
      </c>
      <c r="C4363" t="s">
        <v>11152</v>
      </c>
      <c r="D4363" t="s">
        <v>11151</v>
      </c>
      <c r="E4363" s="2" t="s">
        <v>799</v>
      </c>
      <c r="F4363" t="s">
        <v>11150</v>
      </c>
      <c r="G4363" t="str">
        <f>HYPERLINK("http://www.namdonews.com/news/articleView.html?idxno=822260")</f>
        <v>http://www.namdonews.com/news/articleView.html?idxno=822260</v>
      </c>
      <c r="H4363">
        <v>0.41699999999999998</v>
      </c>
    </row>
    <row r="4364" spans="1:8" x14ac:dyDescent="0.3">
      <c r="A4364" t="s">
        <v>9678</v>
      </c>
      <c r="B4364" t="s">
        <v>26951</v>
      </c>
      <c r="C4364" t="s">
        <v>11154</v>
      </c>
      <c r="D4364" t="s">
        <v>11153</v>
      </c>
      <c r="E4364" s="2" t="s">
        <v>799</v>
      </c>
      <c r="F4364" t="s">
        <v>9836</v>
      </c>
      <c r="G4364" t="str">
        <f>HYPERLINK("https://www.lifein.news/news/articleView.html?idxno=19164")</f>
        <v>https://www.lifein.news/news/articleView.html?idxno=19164</v>
      </c>
      <c r="H4364">
        <v>0.318</v>
      </c>
    </row>
    <row r="4365" spans="1:8" x14ac:dyDescent="0.3">
      <c r="A4365" t="s">
        <v>9678</v>
      </c>
      <c r="B4365" t="s">
        <v>26951</v>
      </c>
      <c r="C4365" t="s">
        <v>11157</v>
      </c>
      <c r="D4365" t="s">
        <v>11156</v>
      </c>
      <c r="E4365" s="2" t="s">
        <v>799</v>
      </c>
      <c r="F4365" t="s">
        <v>11155</v>
      </c>
      <c r="G4365" t="str">
        <f>HYPERLINK("https://www.pharmnews.com/news/articleView.html?idxno=259141")</f>
        <v>https://www.pharmnews.com/news/articleView.html?idxno=259141</v>
      </c>
      <c r="H4365">
        <v>0.57699999999999996</v>
      </c>
    </row>
    <row r="4366" spans="1:8" x14ac:dyDescent="0.3">
      <c r="A4366" t="s">
        <v>9678</v>
      </c>
      <c r="B4366" t="s">
        <v>26951</v>
      </c>
      <c r="C4366" t="s">
        <v>11159</v>
      </c>
      <c r="D4366" t="s">
        <v>11158</v>
      </c>
      <c r="E4366" s="2" t="s">
        <v>799</v>
      </c>
      <c r="F4366" t="s">
        <v>9755</v>
      </c>
      <c r="G4366" t="str">
        <f>HYPERLINK("https://n.news.naver.com/mnews/article/214/0001432382?sid=100")</f>
        <v>https://n.news.naver.com/mnews/article/214/0001432382?sid=100</v>
      </c>
      <c r="H4366">
        <v>0.27700000000000002</v>
      </c>
    </row>
    <row r="4367" spans="1:8" x14ac:dyDescent="0.3">
      <c r="A4367" t="s">
        <v>9678</v>
      </c>
      <c r="B4367" t="s">
        <v>26951</v>
      </c>
      <c r="C4367" t="s">
        <v>11161</v>
      </c>
      <c r="D4367" t="s">
        <v>11160</v>
      </c>
      <c r="E4367" s="2" t="s">
        <v>799</v>
      </c>
      <c r="F4367" t="s">
        <v>10703</v>
      </c>
      <c r="G4367" t="str">
        <f>HYPERLINK("http://gamefocus.co.kr/detail.php?number=111387")</f>
        <v>http://gamefocus.co.kr/detail.php?number=111387</v>
      </c>
      <c r="H4367">
        <v>0.36699999999999999</v>
      </c>
    </row>
    <row r="4368" spans="1:8" x14ac:dyDescent="0.3">
      <c r="A4368" t="s">
        <v>9678</v>
      </c>
      <c r="B4368" t="s">
        <v>26951</v>
      </c>
      <c r="C4368" t="s">
        <v>11164</v>
      </c>
      <c r="D4368" t="s">
        <v>11163</v>
      </c>
      <c r="E4368" s="2" t="s">
        <v>799</v>
      </c>
      <c r="F4368" t="s">
        <v>11162</v>
      </c>
      <c r="G4368" t="str">
        <f>HYPERLINK("https://www.joongboo.com/news/articleView.html?idxno=363696140")</f>
        <v>https://www.joongboo.com/news/articleView.html?idxno=363696140</v>
      </c>
      <c r="H4368">
        <v>0.28599999999999998</v>
      </c>
    </row>
    <row r="4369" spans="1:8" x14ac:dyDescent="0.3">
      <c r="A4369" t="s">
        <v>9678</v>
      </c>
      <c r="B4369" t="s">
        <v>26951</v>
      </c>
      <c r="C4369" t="s">
        <v>11167</v>
      </c>
      <c r="D4369" t="s">
        <v>11166</v>
      </c>
      <c r="E4369" s="2" t="s">
        <v>799</v>
      </c>
      <c r="F4369" t="s">
        <v>11165</v>
      </c>
      <c r="G4369" t="str">
        <f>HYPERLINK("https://www.autodaily.co.kr/news/articleView.html?idxno=532803")</f>
        <v>https://www.autodaily.co.kr/news/articleView.html?idxno=532803</v>
      </c>
      <c r="H4369">
        <v>0.29399999999999998</v>
      </c>
    </row>
    <row r="4370" spans="1:8" x14ac:dyDescent="0.3">
      <c r="A4370" t="s">
        <v>9678</v>
      </c>
      <c r="B4370" t="s">
        <v>26951</v>
      </c>
      <c r="C4370" t="s">
        <v>11169</v>
      </c>
      <c r="D4370" t="s">
        <v>11168</v>
      </c>
      <c r="E4370" s="2" t="s">
        <v>799</v>
      </c>
      <c r="F4370" t="s">
        <v>8157</v>
      </c>
      <c r="G4370" t="str">
        <f>HYPERLINK("https://news.einfomax.co.kr/news/articleView.html?idxno=4358683")</f>
        <v>https://news.einfomax.co.kr/news/articleView.html?idxno=4358683</v>
      </c>
      <c r="H4370">
        <v>0.153</v>
      </c>
    </row>
    <row r="4371" spans="1:8" x14ac:dyDescent="0.3">
      <c r="A4371" t="s">
        <v>9678</v>
      </c>
      <c r="B4371" t="s">
        <v>26951</v>
      </c>
      <c r="C4371" t="s">
        <v>11171</v>
      </c>
      <c r="D4371" t="s">
        <v>11170</v>
      </c>
      <c r="E4371" s="2" t="s">
        <v>799</v>
      </c>
      <c r="F4371" t="s">
        <v>8157</v>
      </c>
      <c r="G4371" t="str">
        <f>HYPERLINK("https://news.einfomax.co.kr/news/articleView.html?idxno=4358683")</f>
        <v>https://news.einfomax.co.kr/news/articleView.html?idxno=4358683</v>
      </c>
      <c r="H4371">
        <v>0.217</v>
      </c>
    </row>
    <row r="4372" spans="1:8" x14ac:dyDescent="0.3">
      <c r="A4372" t="s">
        <v>9678</v>
      </c>
      <c r="B4372" t="s">
        <v>26951</v>
      </c>
      <c r="C4372" t="s">
        <v>11173</v>
      </c>
      <c r="D4372" t="s">
        <v>11172</v>
      </c>
      <c r="E4372" s="2" t="s">
        <v>799</v>
      </c>
      <c r="F4372" t="s">
        <v>4321</v>
      </c>
      <c r="G4372" t="str">
        <f>HYPERLINK("https://n.news.naver.com/mnews/article/008/0005202917?sid=154")</f>
        <v>https://n.news.naver.com/mnews/article/008/0005202917?sid=154</v>
      </c>
      <c r="H4372">
        <v>9.1999999999999998E-2</v>
      </c>
    </row>
    <row r="4373" spans="1:8" x14ac:dyDescent="0.3">
      <c r="A4373" t="s">
        <v>9678</v>
      </c>
      <c r="B4373" t="s">
        <v>26951</v>
      </c>
      <c r="C4373" t="s">
        <v>11175</v>
      </c>
      <c r="D4373" t="s">
        <v>11174</v>
      </c>
      <c r="E4373" s="2" t="s">
        <v>799</v>
      </c>
      <c r="F4373" t="s">
        <v>10302</v>
      </c>
      <c r="G4373" t="str">
        <f>HYPERLINK("http://www.gocj.net/news/articleView.html?idxno=111384")</f>
        <v>http://www.gocj.net/news/articleView.html?idxno=111384</v>
      </c>
      <c r="H4373">
        <v>0.27100000000000002</v>
      </c>
    </row>
    <row r="4374" spans="1:8" x14ac:dyDescent="0.3">
      <c r="A4374" t="s">
        <v>9678</v>
      </c>
      <c r="B4374" t="s">
        <v>26951</v>
      </c>
      <c r="C4374" t="s">
        <v>11177</v>
      </c>
      <c r="D4374" t="s">
        <v>11176</v>
      </c>
      <c r="E4374" s="2" t="s">
        <v>799</v>
      </c>
      <c r="F4374" t="s">
        <v>10228</v>
      </c>
      <c r="G4374" t="str">
        <f>HYPERLINK("https://n.news.naver.com/mnews/article/052/0002201214?sid=154")</f>
        <v>https://n.news.naver.com/mnews/article/052/0002201214?sid=154</v>
      </c>
      <c r="H4374">
        <v>0.185</v>
      </c>
    </row>
    <row r="4375" spans="1:8" x14ac:dyDescent="0.3">
      <c r="A4375" t="s">
        <v>9678</v>
      </c>
      <c r="B4375" t="s">
        <v>26951</v>
      </c>
      <c r="C4375" t="s">
        <v>11180</v>
      </c>
      <c r="D4375" t="s">
        <v>11179</v>
      </c>
      <c r="E4375" s="2" t="s">
        <v>799</v>
      </c>
      <c r="F4375" t="s">
        <v>11178</v>
      </c>
      <c r="G4375" t="str">
        <f>HYPERLINK("http://www.industrynews.co.kr/news/articleView.html?idxno=66464")</f>
        <v>http://www.industrynews.co.kr/news/articleView.html?idxno=66464</v>
      </c>
      <c r="H4375">
        <v>0.442</v>
      </c>
    </row>
    <row r="4376" spans="1:8" x14ac:dyDescent="0.3">
      <c r="A4376" t="s">
        <v>9678</v>
      </c>
      <c r="B4376" t="s">
        <v>26951</v>
      </c>
      <c r="C4376" t="s">
        <v>11183</v>
      </c>
      <c r="D4376" t="s">
        <v>11182</v>
      </c>
      <c r="E4376" s="2" t="s">
        <v>799</v>
      </c>
      <c r="F4376" t="s">
        <v>5843</v>
      </c>
      <c r="G4376" t="str">
        <f>HYPERLINK("https://www.straightnews.co.kr/news/articleView.html?idxno=272872")</f>
        <v>https://www.straightnews.co.kr/news/articleView.html?idxno=272872</v>
      </c>
      <c r="H4376">
        <v>0.67200000000000004</v>
      </c>
    </row>
    <row r="4377" spans="1:8" x14ac:dyDescent="0.3">
      <c r="A4377" t="s">
        <v>9678</v>
      </c>
      <c r="B4377" t="s">
        <v>26951</v>
      </c>
      <c r="C4377" t="s">
        <v>11186</v>
      </c>
      <c r="D4377" t="s">
        <v>11185</v>
      </c>
      <c r="E4377" s="2" t="s">
        <v>799</v>
      </c>
      <c r="F4377" t="s">
        <v>11184</v>
      </c>
      <c r="G4377" t="str">
        <f>HYPERLINK("https://n.news.naver.com/mnews/article/469/0000868494?sid=103")</f>
        <v>https://n.news.naver.com/mnews/article/469/0000868494?sid=103</v>
      </c>
      <c r="H4377">
        <v>0.10199999999999999</v>
      </c>
    </row>
    <row r="4378" spans="1:8" x14ac:dyDescent="0.3">
      <c r="A4378" t="s">
        <v>9678</v>
      </c>
      <c r="B4378" t="s">
        <v>26951</v>
      </c>
      <c r="C4378" t="s">
        <v>11188</v>
      </c>
      <c r="D4378" t="s">
        <v>11187</v>
      </c>
      <c r="E4378" s="2" t="s">
        <v>799</v>
      </c>
      <c r="F4378" t="s">
        <v>1579</v>
      </c>
      <c r="G4378" t="str">
        <f>HYPERLINK("https://www.pennmike.com/news/articleView.html?idxno=85738")</f>
        <v>https://www.pennmike.com/news/articleView.html?idxno=85738</v>
      </c>
      <c r="H4378">
        <v>0.41399999999999998</v>
      </c>
    </row>
    <row r="4379" spans="1:8" x14ac:dyDescent="0.3">
      <c r="A4379" t="s">
        <v>9678</v>
      </c>
      <c r="B4379" t="s">
        <v>26951</v>
      </c>
      <c r="C4379" t="s">
        <v>11190</v>
      </c>
      <c r="D4379" t="s">
        <v>11189</v>
      </c>
      <c r="E4379" s="2" t="s">
        <v>799</v>
      </c>
      <c r="F4379" t="s">
        <v>10608</v>
      </c>
      <c r="G4379" t="str">
        <f>HYPERLINK("https://n.news.naver.com/mnews/article/079/0004031387?sid=103")</f>
        <v>https://n.news.naver.com/mnews/article/079/0004031387?sid=103</v>
      </c>
      <c r="H4379">
        <v>0.26</v>
      </c>
    </row>
    <row r="4380" spans="1:8" x14ac:dyDescent="0.3">
      <c r="A4380" t="s">
        <v>9678</v>
      </c>
      <c r="B4380" t="s">
        <v>26951</v>
      </c>
      <c r="C4380" t="s">
        <v>11192</v>
      </c>
      <c r="D4380" t="s">
        <v>11191</v>
      </c>
      <c r="E4380" s="2" t="s">
        <v>799</v>
      </c>
      <c r="F4380" t="s">
        <v>2459</v>
      </c>
      <c r="G4380" t="str">
        <f>HYPERLINK("http://www.kyosu.net/news/articleView.html?idxno=138200")</f>
        <v>http://www.kyosu.net/news/articleView.html?idxno=138200</v>
      </c>
      <c r="H4380">
        <v>0.51100000000000001</v>
      </c>
    </row>
    <row r="4381" spans="1:8" x14ac:dyDescent="0.3">
      <c r="A4381" t="s">
        <v>9678</v>
      </c>
      <c r="B4381" t="s">
        <v>26951</v>
      </c>
      <c r="C4381" t="s">
        <v>11194</v>
      </c>
      <c r="D4381" t="s">
        <v>11193</v>
      </c>
      <c r="E4381" s="2" t="s">
        <v>799</v>
      </c>
      <c r="F4381" t="s">
        <v>2459</v>
      </c>
      <c r="G4381" t="str">
        <f>HYPERLINK("https://www.banronbodo.com/news/articleView.html?idxno=30445")</f>
        <v>https://www.banronbodo.com/news/articleView.html?idxno=30445</v>
      </c>
      <c r="H4381">
        <v>0.40400000000000003</v>
      </c>
    </row>
    <row r="4382" spans="1:8" x14ac:dyDescent="0.3">
      <c r="A4382" t="s">
        <v>9678</v>
      </c>
      <c r="B4382" t="s">
        <v>26951</v>
      </c>
      <c r="C4382" t="s">
        <v>11197</v>
      </c>
      <c r="D4382" t="s">
        <v>11196</v>
      </c>
      <c r="E4382" s="2" t="s">
        <v>799</v>
      </c>
      <c r="F4382" t="s">
        <v>11195</v>
      </c>
      <c r="G4382" t="str">
        <f>HYPERLINK("http://www.enewstoday.co.kr/news/articleView.html?idxno=2296333")</f>
        <v>http://www.enewstoday.co.kr/news/articleView.html?idxno=2296333</v>
      </c>
      <c r="H4382">
        <v>0.25700000000000001</v>
      </c>
    </row>
    <row r="4383" spans="1:8" x14ac:dyDescent="0.3">
      <c r="A4383" t="s">
        <v>9678</v>
      </c>
      <c r="B4383" t="s">
        <v>26951</v>
      </c>
      <c r="C4383" t="s">
        <v>11199</v>
      </c>
      <c r="D4383" t="s">
        <v>11198</v>
      </c>
      <c r="E4383" s="2" t="s">
        <v>799</v>
      </c>
      <c r="F4383" t="s">
        <v>10898</v>
      </c>
      <c r="G4383" t="str">
        <f>HYPERLINK("https://n.news.naver.com/mnews/article/079/0004020634?sid=100")</f>
        <v>https://n.news.naver.com/mnews/article/079/0004020634?sid=100</v>
      </c>
      <c r="H4383">
        <v>8.7999999999999995E-2</v>
      </c>
    </row>
    <row r="4384" spans="1:8" x14ac:dyDescent="0.3">
      <c r="A4384" t="s">
        <v>9678</v>
      </c>
      <c r="B4384" t="s">
        <v>26951</v>
      </c>
      <c r="C4384" t="s">
        <v>11201</v>
      </c>
      <c r="D4384" t="s">
        <v>11200</v>
      </c>
      <c r="E4384" s="2" t="s">
        <v>799</v>
      </c>
      <c r="F4384" t="s">
        <v>7837</v>
      </c>
      <c r="G4384" t="str">
        <f>HYPERLINK("https://n.news.naver.com/mnews/article/214/0001433565?sid=100")</f>
        <v>https://n.news.naver.com/mnews/article/214/0001433565?sid=100</v>
      </c>
      <c r="H4384">
        <v>0.13400000000000001</v>
      </c>
    </row>
    <row r="4385" spans="1:8" x14ac:dyDescent="0.3">
      <c r="A4385" t="s">
        <v>9678</v>
      </c>
      <c r="B4385" t="s">
        <v>26951</v>
      </c>
      <c r="C4385" t="s">
        <v>11204</v>
      </c>
      <c r="D4385" t="s">
        <v>11203</v>
      </c>
      <c r="E4385" s="2" t="s">
        <v>799</v>
      </c>
      <c r="F4385" t="s">
        <v>11202</v>
      </c>
      <c r="G4385" t="str">
        <f>HYPERLINK("https://kjmbc.co.kr/NewsArticle/1470345")</f>
        <v>https://kjmbc.co.kr/NewsArticle/1470345</v>
      </c>
      <c r="H4385">
        <v>0.129</v>
      </c>
    </row>
    <row r="4386" spans="1:8" x14ac:dyDescent="0.3">
      <c r="A4386" t="s">
        <v>9678</v>
      </c>
      <c r="B4386" t="s">
        <v>26951</v>
      </c>
      <c r="C4386" t="s">
        <v>11207</v>
      </c>
      <c r="D4386" t="s">
        <v>11206</v>
      </c>
      <c r="E4386" s="2" t="s">
        <v>799</v>
      </c>
      <c r="F4386" t="s">
        <v>11205</v>
      </c>
      <c r="G4386" t="str">
        <f>HYPERLINK("http://www.4th.kr/news/articleView.html?idxno=2087492")</f>
        <v>http://www.4th.kr/news/articleView.html?idxno=2087492</v>
      </c>
      <c r="H4386">
        <v>0.42099999999999999</v>
      </c>
    </row>
    <row r="4387" spans="1:8" x14ac:dyDescent="0.3">
      <c r="A4387" t="s">
        <v>9678</v>
      </c>
      <c r="B4387" t="s">
        <v>26951</v>
      </c>
      <c r="C4387" t="s">
        <v>11210</v>
      </c>
      <c r="D4387" t="s">
        <v>11209</v>
      </c>
      <c r="E4387" s="2" t="s">
        <v>799</v>
      </c>
      <c r="F4387" t="s">
        <v>11208</v>
      </c>
      <c r="G4387" t="str">
        <f>HYPERLINK("http://www.womentimes.co.kr/news/articleView.html?idxno=52747")</f>
        <v>http://www.womentimes.co.kr/news/articleView.html?idxno=52747</v>
      </c>
      <c r="H4387">
        <v>0.55100000000000005</v>
      </c>
    </row>
    <row r="4388" spans="1:8" x14ac:dyDescent="0.3">
      <c r="A4388" t="s">
        <v>9678</v>
      </c>
      <c r="B4388" t="s">
        <v>26951</v>
      </c>
      <c r="C4388" t="s">
        <v>11212</v>
      </c>
      <c r="D4388" t="s">
        <v>11211</v>
      </c>
      <c r="E4388" s="2" t="s">
        <v>799</v>
      </c>
      <c r="F4388" t="s">
        <v>6529</v>
      </c>
      <c r="G4388" t="str">
        <f>HYPERLINK("https://www.meconomynews.com/news/articleView.html?idxno=115248")</f>
        <v>https://www.meconomynews.com/news/articleView.html?idxno=115248</v>
      </c>
      <c r="H4388">
        <v>0.4</v>
      </c>
    </row>
    <row r="4389" spans="1:8" x14ac:dyDescent="0.3">
      <c r="A4389" t="s">
        <v>9678</v>
      </c>
      <c r="B4389" t="s">
        <v>26951</v>
      </c>
      <c r="C4389" t="s">
        <v>11214</v>
      </c>
      <c r="D4389" t="s">
        <v>11213</v>
      </c>
      <c r="E4389" s="2" t="s">
        <v>799</v>
      </c>
      <c r="F4389" t="s">
        <v>1277</v>
      </c>
      <c r="G4389" t="str">
        <f>HYPERLINK("http://www.youthdaily.co.kr/news/article.html?no=50776")</f>
        <v>http://www.youthdaily.co.kr/news/article.html?no=50776</v>
      </c>
      <c r="H4389">
        <v>0.71599999999999997</v>
      </c>
    </row>
    <row r="4390" spans="1:8" x14ac:dyDescent="0.3">
      <c r="A4390" t="s">
        <v>9678</v>
      </c>
      <c r="B4390" t="s">
        <v>26951</v>
      </c>
      <c r="C4390" t="s">
        <v>11217</v>
      </c>
      <c r="D4390" t="s">
        <v>11216</v>
      </c>
      <c r="E4390" s="2" t="s">
        <v>799</v>
      </c>
      <c r="F4390" t="s">
        <v>11215</v>
      </c>
      <c r="G4390" t="str">
        <f>HYPERLINK("https://n.news.naver.com/mnews/article/022/0004040680?sid=154")</f>
        <v>https://n.news.naver.com/mnews/article/022/0004040680?sid=154</v>
      </c>
      <c r="H4390">
        <v>0.27300000000000002</v>
      </c>
    </row>
    <row r="4391" spans="1:8" x14ac:dyDescent="0.3">
      <c r="A4391" t="s">
        <v>9678</v>
      </c>
      <c r="B4391" t="s">
        <v>26951</v>
      </c>
      <c r="C4391" t="s">
        <v>11219</v>
      </c>
      <c r="D4391" t="s">
        <v>11218</v>
      </c>
      <c r="E4391" s="2" t="s">
        <v>799</v>
      </c>
      <c r="F4391" t="s">
        <v>490</v>
      </c>
      <c r="G4391" t="str">
        <f>HYPERLINK("https://n.news.naver.com/mnews/article/088/0000951439?sid=154")</f>
        <v>https://n.news.naver.com/mnews/article/088/0000951439?sid=154</v>
      </c>
      <c r="H4391">
        <v>0.217</v>
      </c>
    </row>
    <row r="4392" spans="1:8" x14ac:dyDescent="0.3">
      <c r="A4392" t="s">
        <v>9678</v>
      </c>
      <c r="B4392" t="s">
        <v>26951</v>
      </c>
      <c r="C4392" t="s">
        <v>11222</v>
      </c>
      <c r="D4392" t="s">
        <v>11221</v>
      </c>
      <c r="E4392" s="2" t="s">
        <v>799</v>
      </c>
      <c r="F4392" t="s">
        <v>11220</v>
      </c>
      <c r="G4392" t="str">
        <f>HYPERLINK("https://www.incheontoday.com/news/articleView.html?idxno=304630")</f>
        <v>https://www.incheontoday.com/news/articleView.html?idxno=304630</v>
      </c>
      <c r="H4392">
        <v>0.502</v>
      </c>
    </row>
    <row r="4393" spans="1:8" x14ac:dyDescent="0.3">
      <c r="A4393" t="s">
        <v>9678</v>
      </c>
      <c r="B4393" t="s">
        <v>26951</v>
      </c>
      <c r="C4393" t="s">
        <v>11224</v>
      </c>
      <c r="D4393" t="s">
        <v>11223</v>
      </c>
      <c r="E4393" s="2" t="s">
        <v>799</v>
      </c>
      <c r="F4393" t="s">
        <v>6529</v>
      </c>
      <c r="G4393" t="str">
        <f>HYPERLINK("https://www.joongboo.com/news/articleView.html?idxno=363694441")</f>
        <v>https://www.joongboo.com/news/articleView.html?idxno=363694441</v>
      </c>
      <c r="H4393">
        <v>0.64400000000000002</v>
      </c>
    </row>
    <row r="4394" spans="1:8" x14ac:dyDescent="0.3">
      <c r="A4394" t="s">
        <v>9678</v>
      </c>
      <c r="B4394" t="s">
        <v>26951</v>
      </c>
      <c r="C4394" t="s">
        <v>11227</v>
      </c>
      <c r="D4394" t="s">
        <v>11226</v>
      </c>
      <c r="E4394" s="2" t="s">
        <v>799</v>
      </c>
      <c r="F4394" t="s">
        <v>11225</v>
      </c>
      <c r="G4394" t="str">
        <f>HYPERLINK("http://www.pdjournal.com/news/articleView.html?idxno=60616")</f>
        <v>http://www.pdjournal.com/news/articleView.html?idxno=60616</v>
      </c>
      <c r="H4394">
        <v>0.29899999999999999</v>
      </c>
    </row>
    <row r="4395" spans="1:8" x14ac:dyDescent="0.3">
      <c r="A4395" t="s">
        <v>9678</v>
      </c>
      <c r="B4395" t="s">
        <v>26951</v>
      </c>
      <c r="C4395" t="s">
        <v>11230</v>
      </c>
      <c r="D4395" t="s">
        <v>11229</v>
      </c>
      <c r="E4395" s="2" t="s">
        <v>799</v>
      </c>
      <c r="F4395" t="s">
        <v>11228</v>
      </c>
      <c r="G4395" t="str">
        <f>HYPERLINK("http://www.segyebiz.com/newsView/20250604501403?OutUrl=naver")</f>
        <v>http://www.segyebiz.com/newsView/20250604501403?OutUrl=naver</v>
      </c>
      <c r="H4395">
        <v>0.52600000000000002</v>
      </c>
    </row>
    <row r="4396" spans="1:8" x14ac:dyDescent="0.3">
      <c r="A4396" t="s">
        <v>9678</v>
      </c>
      <c r="B4396" t="s">
        <v>26951</v>
      </c>
      <c r="C4396" t="s">
        <v>11233</v>
      </c>
      <c r="D4396" t="s">
        <v>11232</v>
      </c>
      <c r="E4396" s="2" t="s">
        <v>799</v>
      </c>
      <c r="F4396" t="s">
        <v>11231</v>
      </c>
      <c r="G4396" t="str">
        <f>HYPERLINK("https://n.news.naver.com/mnews/article/469/0000873330?sid=100")</f>
        <v>https://n.news.naver.com/mnews/article/469/0000873330?sid=100</v>
      </c>
      <c r="H4396">
        <v>0.27800000000000002</v>
      </c>
    </row>
    <row r="4397" spans="1:8" x14ac:dyDescent="0.3">
      <c r="A4397" t="s">
        <v>9678</v>
      </c>
      <c r="B4397" t="s">
        <v>26951</v>
      </c>
      <c r="C4397" t="s">
        <v>11236</v>
      </c>
      <c r="D4397" t="s">
        <v>11235</v>
      </c>
      <c r="E4397" s="2" t="s">
        <v>799</v>
      </c>
      <c r="F4397" t="s">
        <v>11234</v>
      </c>
      <c r="G4397" t="str">
        <f>HYPERLINK("http://www.newsway.co.kr/news/view?tp=1&amp;ud=2018101918020673994")</f>
        <v>http://www.newsway.co.kr/news/view?tp=1&amp;ud=2018101918020673994</v>
      </c>
      <c r="H4397">
        <v>0.24099999999999999</v>
      </c>
    </row>
    <row r="4398" spans="1:8" x14ac:dyDescent="0.3">
      <c r="A4398" t="s">
        <v>9678</v>
      </c>
      <c r="B4398" t="s">
        <v>26951</v>
      </c>
      <c r="C4398" t="s">
        <v>11239</v>
      </c>
      <c r="D4398" t="s">
        <v>11238</v>
      </c>
      <c r="E4398" s="2" t="s">
        <v>799</v>
      </c>
      <c r="F4398" t="s">
        <v>11237</v>
      </c>
      <c r="G4398" t="str">
        <f>HYPERLINK("https://www.pinpointnews.co.kr/news/articleView.html?idxno=334119")</f>
        <v>https://www.pinpointnews.co.kr/news/articleView.html?idxno=334119</v>
      </c>
      <c r="H4398">
        <v>0.41599999999999998</v>
      </c>
    </row>
    <row r="4399" spans="1:8" x14ac:dyDescent="0.3">
      <c r="A4399" t="s">
        <v>9678</v>
      </c>
      <c r="B4399" t="s">
        <v>26951</v>
      </c>
      <c r="C4399" t="s">
        <v>11242</v>
      </c>
      <c r="D4399" t="s">
        <v>11241</v>
      </c>
      <c r="E4399" s="2" t="s">
        <v>799</v>
      </c>
      <c r="F4399" t="s">
        <v>11240</v>
      </c>
      <c r="G4399" t="str">
        <f>HYPERLINK("http://www.hyunbulnews.com/news/articleView.html?idxno=411387")</f>
        <v>http://www.hyunbulnews.com/news/articleView.html?idxno=411387</v>
      </c>
      <c r="H4399">
        <v>0.374</v>
      </c>
    </row>
    <row r="4400" spans="1:8" x14ac:dyDescent="0.3">
      <c r="A4400" t="s">
        <v>9678</v>
      </c>
      <c r="B4400" t="s">
        <v>26951</v>
      </c>
      <c r="C4400" t="s">
        <v>11244</v>
      </c>
      <c r="D4400" t="s">
        <v>11243</v>
      </c>
      <c r="E4400" s="2" t="s">
        <v>799</v>
      </c>
      <c r="F4400" t="s">
        <v>5548</v>
      </c>
      <c r="G4400" t="str">
        <f>HYPERLINK("https://sports.hankooki.com/news/articleView.html?idxno=6887025")</f>
        <v>https://sports.hankooki.com/news/articleView.html?idxno=6887025</v>
      </c>
      <c r="H4400">
        <v>0.52700000000000002</v>
      </c>
    </row>
    <row r="4401" spans="1:8" x14ac:dyDescent="0.3">
      <c r="A4401" t="s">
        <v>9678</v>
      </c>
      <c r="B4401" t="s">
        <v>26951</v>
      </c>
      <c r="C4401" t="s">
        <v>11246</v>
      </c>
      <c r="D4401" t="s">
        <v>11245</v>
      </c>
      <c r="E4401" s="2" t="s">
        <v>799</v>
      </c>
      <c r="F4401" t="s">
        <v>1546</v>
      </c>
      <c r="G4401" t="str">
        <f>HYPERLINK("http://www.namdonews.com/news/articleView.html?idxno=822180")</f>
        <v>http://www.namdonews.com/news/articleView.html?idxno=822180</v>
      </c>
      <c r="H4401">
        <v>0.72399999999999998</v>
      </c>
    </row>
    <row r="4402" spans="1:8" x14ac:dyDescent="0.3">
      <c r="A4402" t="s">
        <v>9678</v>
      </c>
      <c r="B4402" t="s">
        <v>26951</v>
      </c>
      <c r="C4402" t="s">
        <v>11248</v>
      </c>
      <c r="D4402" t="s">
        <v>11247</v>
      </c>
      <c r="E4402" s="2" t="s">
        <v>799</v>
      </c>
      <c r="F4402" t="s">
        <v>9836</v>
      </c>
      <c r="G4402" t="str">
        <f>HYPERLINK("http://tbs.seoul.kr/news/newsView.do?typ_800=9&amp;idx_800=3533023&amp;seq_800=20525885")</f>
        <v>http://tbs.seoul.kr/news/newsView.do?typ_800=9&amp;idx_800=3533023&amp;seq_800=20525885</v>
      </c>
      <c r="H4402">
        <v>0.46300000000000002</v>
      </c>
    </row>
    <row r="4403" spans="1:8" x14ac:dyDescent="0.3">
      <c r="A4403" t="s">
        <v>9678</v>
      </c>
      <c r="B4403" t="s">
        <v>26951</v>
      </c>
      <c r="C4403" t="s">
        <v>11251</v>
      </c>
      <c r="D4403" t="s">
        <v>11250</v>
      </c>
      <c r="E4403" s="2" t="s">
        <v>799</v>
      </c>
      <c r="F4403" t="s">
        <v>11249</v>
      </c>
      <c r="G4403" t="str">
        <f>HYPERLINK("https://n.news.naver.com/mnews/article/008/0005202922?sid=154")</f>
        <v>https://n.news.naver.com/mnews/article/008/0005202922?sid=154</v>
      </c>
      <c r="H4403">
        <v>0.16900000000000001</v>
      </c>
    </row>
    <row r="4404" spans="1:8" x14ac:dyDescent="0.3">
      <c r="A4404" t="s">
        <v>9678</v>
      </c>
      <c r="B4404" t="s">
        <v>26951</v>
      </c>
      <c r="C4404" t="s">
        <v>11253</v>
      </c>
      <c r="D4404" t="s">
        <v>11252</v>
      </c>
      <c r="E4404" s="2" t="s">
        <v>799</v>
      </c>
      <c r="F4404" t="s">
        <v>5548</v>
      </c>
      <c r="G4404" t="str">
        <f>HYPERLINK("https://n.news.naver.com/mnews/article/056/0011979491?sid=103")</f>
        <v>https://n.news.naver.com/mnews/article/056/0011979491?sid=103</v>
      </c>
      <c r="H4404">
        <v>0.30599999999999999</v>
      </c>
    </row>
    <row r="4405" spans="1:8" x14ac:dyDescent="0.3">
      <c r="A4405" t="s">
        <v>9678</v>
      </c>
      <c r="B4405" t="s">
        <v>26951</v>
      </c>
      <c r="C4405" t="s">
        <v>11256</v>
      </c>
      <c r="D4405" t="s">
        <v>11255</v>
      </c>
      <c r="E4405" s="2" t="s">
        <v>799</v>
      </c>
      <c r="F4405" t="s">
        <v>11254</v>
      </c>
      <c r="G4405" t="str">
        <f>HYPERLINK("https://www.kukinews.com/article/view/kuk202506030124")</f>
        <v>https://www.kukinews.com/article/view/kuk202506030124</v>
      </c>
      <c r="H4405">
        <v>0.58199999999999996</v>
      </c>
    </row>
    <row r="4406" spans="1:8" x14ac:dyDescent="0.3">
      <c r="A4406" t="s">
        <v>9678</v>
      </c>
      <c r="B4406" t="s">
        <v>26951</v>
      </c>
      <c r="C4406" t="s">
        <v>11258</v>
      </c>
      <c r="D4406" t="s">
        <v>11257</v>
      </c>
      <c r="E4406" s="2" t="s">
        <v>799</v>
      </c>
      <c r="F4406" t="s">
        <v>9730</v>
      </c>
      <c r="G4406" t="str">
        <f>HYPERLINK("https://n.news.naver.com/mnews/article/006/0000130534?sid=102")</f>
        <v>https://n.news.naver.com/mnews/article/006/0000130534?sid=102</v>
      </c>
      <c r="H4406">
        <v>0.27700000000000002</v>
      </c>
    </row>
    <row r="4407" spans="1:8" x14ac:dyDescent="0.3">
      <c r="A4407" t="s">
        <v>9678</v>
      </c>
      <c r="B4407" t="s">
        <v>26951</v>
      </c>
      <c r="C4407" t="s">
        <v>11260</v>
      </c>
      <c r="D4407" t="s">
        <v>11259</v>
      </c>
      <c r="E4407" s="2" t="s">
        <v>572</v>
      </c>
      <c r="F4407" t="s">
        <v>7152</v>
      </c>
      <c r="G4407" t="str">
        <f>HYPERLINK("https://n.news.naver.com/mnews/article/214/0001432444?sid=100")</f>
        <v>https://n.news.naver.com/mnews/article/214/0001432444?sid=100</v>
      </c>
      <c r="H4407">
        <v>0.34399999999999997</v>
      </c>
    </row>
    <row r="4408" spans="1:8" x14ac:dyDescent="0.3">
      <c r="A4408" t="s">
        <v>9678</v>
      </c>
      <c r="B4408" t="s">
        <v>26951</v>
      </c>
      <c r="C4408" t="s">
        <v>11263</v>
      </c>
      <c r="D4408" t="s">
        <v>11262</v>
      </c>
      <c r="E4408" s="2" t="s">
        <v>572</v>
      </c>
      <c r="F4408" t="s">
        <v>11261</v>
      </c>
      <c r="G4408" t="str">
        <f>HYPERLINK("https://n.news.naver.com/mnews/article/214/0001433567?sid=101")</f>
        <v>https://n.news.naver.com/mnews/article/214/0001433567?sid=101</v>
      </c>
      <c r="H4408">
        <v>0.28199999999999997</v>
      </c>
    </row>
    <row r="4409" spans="1:8" x14ac:dyDescent="0.3">
      <c r="A4409" t="s">
        <v>9678</v>
      </c>
      <c r="B4409" t="s">
        <v>26951</v>
      </c>
      <c r="C4409" t="s">
        <v>571</v>
      </c>
      <c r="D4409" t="s">
        <v>570</v>
      </c>
      <c r="E4409" s="2" t="s">
        <v>572</v>
      </c>
      <c r="F4409" t="s">
        <v>197</v>
      </c>
      <c r="G4409" t="str">
        <f>HYPERLINK("https://n.news.naver.com/mnews/article/214/0001431394?sid=100")</f>
        <v>https://n.news.naver.com/mnews/article/214/0001431394?sid=100</v>
      </c>
      <c r="H4409">
        <v>0.435</v>
      </c>
    </row>
    <row r="4410" spans="1:8" x14ac:dyDescent="0.3">
      <c r="A4410" t="s">
        <v>9678</v>
      </c>
      <c r="B4410" t="s">
        <v>26951</v>
      </c>
      <c r="C4410" t="s">
        <v>11266</v>
      </c>
      <c r="D4410" t="s">
        <v>11265</v>
      </c>
      <c r="E4410" s="2" t="s">
        <v>572</v>
      </c>
      <c r="F4410" t="s">
        <v>5724</v>
      </c>
      <c r="G4410" t="str">
        <f>HYPERLINK("https://n.news.naver.com/mnews/article/214/0001415862?sid=100")</f>
        <v>https://n.news.naver.com/mnews/article/214/0001415862?sid=100</v>
      </c>
      <c r="H4410">
        <v>0.377</v>
      </c>
    </row>
    <row r="4411" spans="1:8" x14ac:dyDescent="0.3">
      <c r="A4411" t="s">
        <v>9678</v>
      </c>
      <c r="B4411" t="s">
        <v>26951</v>
      </c>
      <c r="C4411" t="s">
        <v>11268</v>
      </c>
      <c r="D4411" t="s">
        <v>11267</v>
      </c>
      <c r="E4411" s="2" t="s">
        <v>572</v>
      </c>
      <c r="F4411" t="s">
        <v>3673</v>
      </c>
      <c r="G4411" t="str">
        <f>HYPERLINK("http://www.fintechpost.co.kr/news/articleView.html?idxno=46353")</f>
        <v>http://www.fintechpost.co.kr/news/articleView.html?idxno=46353</v>
      </c>
      <c r="H4411">
        <v>0.48399999999999999</v>
      </c>
    </row>
    <row r="4412" spans="1:8" x14ac:dyDescent="0.3">
      <c r="A4412" t="s">
        <v>9678</v>
      </c>
      <c r="B4412" t="s">
        <v>26951</v>
      </c>
      <c r="C4412" t="s">
        <v>11271</v>
      </c>
      <c r="D4412" t="s">
        <v>11270</v>
      </c>
      <c r="E4412" s="2" t="s">
        <v>572</v>
      </c>
      <c r="F4412" t="s">
        <v>11269</v>
      </c>
      <c r="G4412" t="str">
        <f>HYPERLINK("http://www.notepet.co.kr/news/article/article_view/?idx=33736&amp;groupCode=AB130AD130")</f>
        <v>http://www.notepet.co.kr/news/article/article_view/?idx=33736&amp;groupCode=AB130AD130</v>
      </c>
      <c r="H4412">
        <v>0.313</v>
      </c>
    </row>
    <row r="4413" spans="1:8" x14ac:dyDescent="0.3">
      <c r="A4413" t="s">
        <v>9678</v>
      </c>
      <c r="B4413" t="s">
        <v>26951</v>
      </c>
      <c r="C4413" t="s">
        <v>11273</v>
      </c>
      <c r="D4413" t="s">
        <v>11272</v>
      </c>
      <c r="E4413" s="2" t="s">
        <v>572</v>
      </c>
      <c r="F4413" t="s">
        <v>1151</v>
      </c>
      <c r="G4413" t="str">
        <f>HYPERLINK("https://n.news.naver.com/mnews/article/214/0001429628?sid=102")</f>
        <v>https://n.news.naver.com/mnews/article/214/0001429628?sid=102</v>
      </c>
      <c r="H4413">
        <v>6.4000000000000001E-2</v>
      </c>
    </row>
    <row r="4414" spans="1:8" x14ac:dyDescent="0.3">
      <c r="A4414" t="s">
        <v>9678</v>
      </c>
      <c r="B4414" t="s">
        <v>26951</v>
      </c>
      <c r="C4414" t="s">
        <v>11276</v>
      </c>
      <c r="D4414" t="s">
        <v>11275</v>
      </c>
      <c r="E4414" s="2" t="s">
        <v>572</v>
      </c>
      <c r="F4414" t="s">
        <v>11274</v>
      </c>
      <c r="G4414" t="str">
        <f>HYPERLINK("http://www.kado.net/news/articleView.html?idxno=672491")</f>
        <v>http://www.kado.net/news/articleView.html?idxno=672491</v>
      </c>
      <c r="H4414">
        <v>0.33</v>
      </c>
    </row>
    <row r="4415" spans="1:8" x14ac:dyDescent="0.3">
      <c r="A4415" t="s">
        <v>9678</v>
      </c>
      <c r="B4415" t="s">
        <v>26951</v>
      </c>
      <c r="C4415" t="s">
        <v>11278</v>
      </c>
      <c r="D4415" t="s">
        <v>11277</v>
      </c>
      <c r="E4415" s="2" t="s">
        <v>572</v>
      </c>
      <c r="F4415" t="s">
        <v>10120</v>
      </c>
      <c r="G4415" t="str">
        <f>HYPERLINK("https://n.news.naver.com/mnews/article/006/0000130669?sid=102")</f>
        <v>https://n.news.naver.com/mnews/article/006/0000130669?sid=102</v>
      </c>
      <c r="H4415">
        <v>0.2</v>
      </c>
    </row>
    <row r="4416" spans="1:8" x14ac:dyDescent="0.3">
      <c r="A4416" t="s">
        <v>9678</v>
      </c>
      <c r="B4416" t="s">
        <v>26951</v>
      </c>
      <c r="C4416" t="s">
        <v>11281</v>
      </c>
      <c r="D4416" t="s">
        <v>11280</v>
      </c>
      <c r="E4416" s="2" t="s">
        <v>572</v>
      </c>
      <c r="F4416" t="s">
        <v>11279</v>
      </c>
      <c r="G4416" t="str">
        <f>HYPERLINK("https://n.news.naver.com/mnews/article/002/0002346071?sid=100")</f>
        <v>https://n.news.naver.com/mnews/article/002/0002346071?sid=100</v>
      </c>
      <c r="H4416">
        <v>0.4</v>
      </c>
    </row>
    <row r="4417" spans="1:8" x14ac:dyDescent="0.3">
      <c r="A4417" t="s">
        <v>9678</v>
      </c>
      <c r="B4417" t="s">
        <v>26951</v>
      </c>
      <c r="C4417" t="s">
        <v>11284</v>
      </c>
      <c r="D4417" t="s">
        <v>11283</v>
      </c>
      <c r="E4417" s="2" t="s">
        <v>572</v>
      </c>
      <c r="F4417" t="s">
        <v>11282</v>
      </c>
      <c r="G4417" t="str">
        <f>HYPERLINK("https://www.gokorea.kr/news/articleView.html?idxno=829382")</f>
        <v>https://www.gokorea.kr/news/articleView.html?idxno=829382</v>
      </c>
      <c r="H4417">
        <v>0.95799999999999996</v>
      </c>
    </row>
    <row r="4418" spans="1:8" x14ac:dyDescent="0.3">
      <c r="A4418" t="s">
        <v>9678</v>
      </c>
      <c r="B4418" t="s">
        <v>26951</v>
      </c>
      <c r="C4418" t="s">
        <v>11287</v>
      </c>
      <c r="D4418" t="s">
        <v>11286</v>
      </c>
      <c r="E4418" s="2" t="s">
        <v>572</v>
      </c>
      <c r="F4418" t="s">
        <v>11285</v>
      </c>
      <c r="G4418" t="str">
        <f>HYPERLINK("https://www.beminor.com/news/articleView.html?idxno=22412")</f>
        <v>https://www.beminor.com/news/articleView.html?idxno=22412</v>
      </c>
      <c r="H4418">
        <v>0.47299999999999998</v>
      </c>
    </row>
    <row r="4419" spans="1:8" x14ac:dyDescent="0.3">
      <c r="A4419" t="s">
        <v>9678</v>
      </c>
      <c r="B4419" t="s">
        <v>26951</v>
      </c>
      <c r="C4419" t="s">
        <v>11289</v>
      </c>
      <c r="D4419" t="s">
        <v>11288</v>
      </c>
      <c r="E4419" s="2" t="s">
        <v>572</v>
      </c>
      <c r="F4419" t="s">
        <v>2109</v>
      </c>
      <c r="G4419" t="str">
        <f>HYPERLINK("http://www.newsfreezone.co.kr/news/articleView.html?idxno=69723")</f>
        <v>http://www.newsfreezone.co.kr/news/articleView.html?idxno=69723</v>
      </c>
      <c r="H4419">
        <v>0.24299999999999999</v>
      </c>
    </row>
    <row r="4420" spans="1:8" x14ac:dyDescent="0.3">
      <c r="A4420" t="s">
        <v>9678</v>
      </c>
      <c r="B4420" t="s">
        <v>26951</v>
      </c>
      <c r="C4420" t="s">
        <v>11292</v>
      </c>
      <c r="D4420" t="s">
        <v>11291</v>
      </c>
      <c r="E4420" s="2" t="s">
        <v>572</v>
      </c>
      <c r="F4420" t="s">
        <v>11290</v>
      </c>
      <c r="G4420" t="str">
        <f>HYPERLINK("https://n.news.naver.com/mnews/article/014/0003901151?sid=102")</f>
        <v>https://n.news.naver.com/mnews/article/014/0003901151?sid=102</v>
      </c>
      <c r="H4420">
        <v>0.221</v>
      </c>
    </row>
    <row r="4421" spans="1:8" x14ac:dyDescent="0.3">
      <c r="A4421" t="s">
        <v>9678</v>
      </c>
      <c r="B4421" t="s">
        <v>26951</v>
      </c>
      <c r="C4421" t="s">
        <v>11295</v>
      </c>
      <c r="D4421" t="s">
        <v>11294</v>
      </c>
      <c r="E4421" s="2" t="s">
        <v>572</v>
      </c>
      <c r="F4421" t="s">
        <v>11293</v>
      </c>
      <c r="G4421" t="str">
        <f>HYPERLINK("https://www.lecturernews.com/news/articleView.html?idxno=140513")</f>
        <v>https://www.lecturernews.com/news/articleView.html?idxno=140513</v>
      </c>
      <c r="H4421">
        <v>0.311</v>
      </c>
    </row>
    <row r="4422" spans="1:8" x14ac:dyDescent="0.3">
      <c r="A4422" t="s">
        <v>9678</v>
      </c>
      <c r="B4422" t="s">
        <v>26951</v>
      </c>
      <c r="C4422" t="s">
        <v>11297</v>
      </c>
      <c r="D4422" t="s">
        <v>11296</v>
      </c>
      <c r="E4422" s="2" t="s">
        <v>572</v>
      </c>
      <c r="F4422" t="s">
        <v>5548</v>
      </c>
      <c r="G4422" t="str">
        <f>HYPERLINK("http://www.updownnews.co.kr/news/articleView.html?idxno=84996")</f>
        <v>http://www.updownnews.co.kr/news/articleView.html?idxno=84996</v>
      </c>
      <c r="H4422">
        <v>0.46</v>
      </c>
    </row>
    <row r="4423" spans="1:8" x14ac:dyDescent="0.3">
      <c r="A4423" t="s">
        <v>9678</v>
      </c>
      <c r="B4423" t="s">
        <v>26951</v>
      </c>
      <c r="C4423" t="s">
        <v>11301</v>
      </c>
      <c r="D4423" t="s">
        <v>11300</v>
      </c>
      <c r="E4423" s="2" t="s">
        <v>572</v>
      </c>
      <c r="F4423" t="s">
        <v>11299</v>
      </c>
      <c r="G4423" t="str">
        <f>HYPERLINK("http://www.ftoday.co.kr/news/articleView.html?idxno=335243")</f>
        <v>http://www.ftoday.co.kr/news/articleView.html?idxno=335243</v>
      </c>
      <c r="H4423">
        <v>0.51800000000000002</v>
      </c>
    </row>
    <row r="4424" spans="1:8" x14ac:dyDescent="0.3">
      <c r="A4424" t="s">
        <v>9678</v>
      </c>
      <c r="B4424" t="s">
        <v>26951</v>
      </c>
      <c r="C4424" t="s">
        <v>11304</v>
      </c>
      <c r="D4424" t="s">
        <v>11303</v>
      </c>
      <c r="E4424" s="2" t="s">
        <v>572</v>
      </c>
      <c r="F4424" t="s">
        <v>11302</v>
      </c>
      <c r="G4424" t="str">
        <f>HYPERLINK("https://n.news.naver.com/mnews/article/022/0004047745?sid=102")</f>
        <v>https://n.news.naver.com/mnews/article/022/0004047745?sid=102</v>
      </c>
      <c r="H4424">
        <v>0.41599999999999998</v>
      </c>
    </row>
    <row r="4425" spans="1:8" x14ac:dyDescent="0.3">
      <c r="A4425" t="s">
        <v>9678</v>
      </c>
      <c r="B4425" t="s">
        <v>26951</v>
      </c>
      <c r="C4425" t="s">
        <v>11306</v>
      </c>
      <c r="D4425" t="s">
        <v>11305</v>
      </c>
      <c r="E4425" s="2" t="s">
        <v>572</v>
      </c>
      <c r="F4425" t="s">
        <v>1606</v>
      </c>
      <c r="G4425" t="str">
        <f>HYPERLINK("https://n.news.naver.com/mnews/article/214/0001432382?sid=100")</f>
        <v>https://n.news.naver.com/mnews/article/214/0001432382?sid=100</v>
      </c>
      <c r="H4425">
        <v>0.25</v>
      </c>
    </row>
    <row r="4426" spans="1:8" x14ac:dyDescent="0.3">
      <c r="A4426" t="s">
        <v>9678</v>
      </c>
      <c r="B4426" t="s">
        <v>26951</v>
      </c>
      <c r="C4426" t="s">
        <v>11309</v>
      </c>
      <c r="D4426" t="s">
        <v>11308</v>
      </c>
      <c r="E4426" s="2" t="s">
        <v>572</v>
      </c>
      <c r="F4426" t="s">
        <v>11307</v>
      </c>
      <c r="G4426" t="str">
        <f>HYPERLINK("https://n.news.naver.com/mnews/article/214/0001430060?sid=100")</f>
        <v>https://n.news.naver.com/mnews/article/214/0001430060?sid=100</v>
      </c>
      <c r="H4426">
        <v>0.28999999999999998</v>
      </c>
    </row>
    <row r="4427" spans="1:8" x14ac:dyDescent="0.3">
      <c r="A4427" t="s">
        <v>9678</v>
      </c>
      <c r="B4427" t="s">
        <v>26951</v>
      </c>
      <c r="C4427" t="s">
        <v>11312</v>
      </c>
      <c r="D4427" t="s">
        <v>11311</v>
      </c>
      <c r="E4427" s="2" t="s">
        <v>572</v>
      </c>
      <c r="F4427" t="s">
        <v>11310</v>
      </c>
      <c r="G4427" t="str">
        <f>HYPERLINK("http://www.beyondpost.co.kr/view.php?ud=2025061114500741846a9e4dd7f_30")</f>
        <v>http://www.beyondpost.co.kr/view.php?ud=2025061114500741846a9e4dd7f_30</v>
      </c>
      <c r="H4427">
        <v>0.23799999999999999</v>
      </c>
    </row>
    <row r="4428" spans="1:8" x14ac:dyDescent="0.3">
      <c r="A4428" t="s">
        <v>9678</v>
      </c>
      <c r="B4428" t="s">
        <v>26951</v>
      </c>
      <c r="C4428" t="s">
        <v>11315</v>
      </c>
      <c r="D4428" t="s">
        <v>11314</v>
      </c>
      <c r="E4428" s="2" t="s">
        <v>572</v>
      </c>
      <c r="F4428" t="s">
        <v>6788</v>
      </c>
      <c r="G4428" t="str">
        <f>HYPERLINK("https://www.m-joongang.com/news/articleView.html?idxno=401220")</f>
        <v>https://www.m-joongang.com/news/articleView.html?idxno=401220</v>
      </c>
      <c r="H4428">
        <v>0.52</v>
      </c>
    </row>
    <row r="4429" spans="1:8" x14ac:dyDescent="0.3">
      <c r="A4429" t="s">
        <v>9678</v>
      </c>
      <c r="B4429" t="s">
        <v>26951</v>
      </c>
      <c r="C4429" t="s">
        <v>11318</v>
      </c>
      <c r="D4429" t="s">
        <v>11317</v>
      </c>
      <c r="E4429" s="2" t="s">
        <v>572</v>
      </c>
      <c r="F4429" t="s">
        <v>11316</v>
      </c>
      <c r="G4429" t="str">
        <f>HYPERLINK("https://n.news.naver.com/mnews/article/052/0001574459?sid=100")</f>
        <v>https://n.news.naver.com/mnews/article/052/0001574459?sid=100</v>
      </c>
      <c r="H4429">
        <v>0.21199999999999999</v>
      </c>
    </row>
    <row r="4430" spans="1:8" x14ac:dyDescent="0.3">
      <c r="A4430" t="s">
        <v>9678</v>
      </c>
      <c r="B4430" t="s">
        <v>26951</v>
      </c>
      <c r="C4430" t="s">
        <v>11320</v>
      </c>
      <c r="D4430" t="s">
        <v>11319</v>
      </c>
      <c r="E4430" s="2" t="s">
        <v>572</v>
      </c>
      <c r="F4430" t="s">
        <v>10044</v>
      </c>
      <c r="G4430" t="str">
        <f>HYPERLINK("https://n.news.naver.com/mnews/article/006/0000113798?sid=100")</f>
        <v>https://n.news.naver.com/mnews/article/006/0000113798?sid=100</v>
      </c>
      <c r="H4430">
        <v>0.21199999999999999</v>
      </c>
    </row>
    <row r="4431" spans="1:8" x14ac:dyDescent="0.3">
      <c r="A4431" t="s">
        <v>9678</v>
      </c>
      <c r="B4431" t="s">
        <v>26951</v>
      </c>
      <c r="C4431" t="s">
        <v>11323</v>
      </c>
      <c r="D4431" t="s">
        <v>11322</v>
      </c>
      <c r="E4431" s="2" t="s">
        <v>572</v>
      </c>
      <c r="F4431" t="s">
        <v>11321</v>
      </c>
      <c r="G4431" t="str">
        <f>HYPERLINK("https://www.idaegu.com/news/articleView.html?idxno=641782")</f>
        <v>https://www.idaegu.com/news/articleView.html?idxno=641782</v>
      </c>
      <c r="H4431">
        <v>0.80200000000000005</v>
      </c>
    </row>
    <row r="4432" spans="1:8" x14ac:dyDescent="0.3">
      <c r="A4432" t="s">
        <v>9678</v>
      </c>
      <c r="B4432" t="s">
        <v>26951</v>
      </c>
      <c r="C4432" t="s">
        <v>11325</v>
      </c>
      <c r="D4432" t="s">
        <v>11324</v>
      </c>
      <c r="E4432" s="2" t="s">
        <v>572</v>
      </c>
      <c r="F4432" t="s">
        <v>11018</v>
      </c>
      <c r="G4432" t="str">
        <f>HYPERLINK("http://www.newsfreezone.co.kr/news/articleView.html?idxno=309922")</f>
        <v>http://www.newsfreezone.co.kr/news/articleView.html?idxno=309922</v>
      </c>
      <c r="H4432">
        <v>4.1000000000000002E-2</v>
      </c>
    </row>
    <row r="4433" spans="1:8" x14ac:dyDescent="0.3">
      <c r="A4433" t="s">
        <v>9678</v>
      </c>
      <c r="B4433" t="s">
        <v>26951</v>
      </c>
      <c r="C4433" t="s">
        <v>11327</v>
      </c>
      <c r="D4433" t="s">
        <v>11326</v>
      </c>
      <c r="E4433" s="2" t="s">
        <v>572</v>
      </c>
      <c r="F4433" t="s">
        <v>1606</v>
      </c>
      <c r="G4433" t="str">
        <f>HYPERLINK("https://n.news.naver.com/mnews/article/214/0000856149?sid=102")</f>
        <v>https://n.news.naver.com/mnews/article/214/0000856149?sid=102</v>
      </c>
      <c r="H4433">
        <v>0.17399999999999999</v>
      </c>
    </row>
    <row r="4434" spans="1:8" x14ac:dyDescent="0.3">
      <c r="A4434" t="s">
        <v>9678</v>
      </c>
      <c r="B4434" t="s">
        <v>26951</v>
      </c>
      <c r="C4434" t="s">
        <v>11329</v>
      </c>
      <c r="D4434" t="s">
        <v>11328</v>
      </c>
      <c r="E4434" s="2" t="s">
        <v>572</v>
      </c>
      <c r="F4434" t="s">
        <v>8342</v>
      </c>
      <c r="G4434" t="str">
        <f>HYPERLINK("https://www.idaegu.co.kr/news/articleView.html?idxno=512606")</f>
        <v>https://www.idaegu.co.kr/news/articleView.html?idxno=512606</v>
      </c>
      <c r="H4434">
        <v>0.36499999999999999</v>
      </c>
    </row>
    <row r="4435" spans="1:8" x14ac:dyDescent="0.3">
      <c r="A4435" t="s">
        <v>9678</v>
      </c>
      <c r="B4435" t="s">
        <v>26951</v>
      </c>
      <c r="C4435" t="s">
        <v>11332</v>
      </c>
      <c r="D4435" t="s">
        <v>11331</v>
      </c>
      <c r="E4435" s="2" t="s">
        <v>572</v>
      </c>
      <c r="F4435" t="s">
        <v>11330</v>
      </c>
      <c r="G4435" t="str">
        <f>HYPERLINK("http://daily.hankooki.com/lpage/serial/201812/dh20181220131000147690.htm")</f>
        <v>http://daily.hankooki.com/lpage/serial/201812/dh20181220131000147690.htm</v>
      </c>
      <c r="H4435">
        <v>0.66400000000000003</v>
      </c>
    </row>
    <row r="4436" spans="1:8" x14ac:dyDescent="0.3">
      <c r="A4436" t="s">
        <v>9678</v>
      </c>
      <c r="B4436" t="s">
        <v>26951</v>
      </c>
      <c r="C4436" t="s">
        <v>11337</v>
      </c>
      <c r="D4436" t="s">
        <v>11336</v>
      </c>
      <c r="E4436" s="2" t="s">
        <v>572</v>
      </c>
      <c r="F4436" t="s">
        <v>1606</v>
      </c>
      <c r="G4436" t="str">
        <f>HYPERLINK("https://www.apnews.kr/news/articleView.html?idxno=3036114")</f>
        <v>https://www.apnews.kr/news/articleView.html?idxno=3036114</v>
      </c>
      <c r="H4436">
        <v>0.47699999999999998</v>
      </c>
    </row>
    <row r="4437" spans="1:8" x14ac:dyDescent="0.3">
      <c r="A4437" t="s">
        <v>9678</v>
      </c>
      <c r="B4437" t="s">
        <v>26951</v>
      </c>
      <c r="C4437" t="s">
        <v>11339</v>
      </c>
      <c r="D4437" t="s">
        <v>11338</v>
      </c>
      <c r="E4437" s="2" t="s">
        <v>572</v>
      </c>
      <c r="F4437" t="s">
        <v>9809</v>
      </c>
      <c r="G4437" t="str">
        <f>HYPERLINK("https://n.news.naver.com/mnews/article/057/0001890859?sid=100")</f>
        <v>https://n.news.naver.com/mnews/article/057/0001890859?sid=100</v>
      </c>
      <c r="H4437">
        <v>0.20200000000000001</v>
      </c>
    </row>
    <row r="4438" spans="1:8" x14ac:dyDescent="0.3">
      <c r="A4438" t="s">
        <v>9678</v>
      </c>
      <c r="B4438" t="s">
        <v>26951</v>
      </c>
      <c r="C4438" t="s">
        <v>11342</v>
      </c>
      <c r="D4438" t="s">
        <v>11341</v>
      </c>
      <c r="E4438" s="2" t="s">
        <v>572</v>
      </c>
      <c r="F4438" t="s">
        <v>11340</v>
      </c>
      <c r="G4438" t="str">
        <f>HYPERLINK("https://www.idaegu.com/news/articleView.html?idxno=641520")</f>
        <v>https://www.idaegu.com/news/articleView.html?idxno=641520</v>
      </c>
      <c r="H4438">
        <v>0.50900000000000001</v>
      </c>
    </row>
    <row r="4439" spans="1:8" x14ac:dyDescent="0.3">
      <c r="A4439" t="s">
        <v>9678</v>
      </c>
      <c r="B4439" t="s">
        <v>26951</v>
      </c>
      <c r="C4439" t="s">
        <v>11345</v>
      </c>
      <c r="D4439" t="s">
        <v>11344</v>
      </c>
      <c r="E4439" s="2" t="s">
        <v>572</v>
      </c>
      <c r="F4439" t="s">
        <v>6043</v>
      </c>
      <c r="G4439" t="str">
        <f>HYPERLINK("https://n.news.naver.com/mnews/article/088/0000545964?sid=004")</f>
        <v>https://n.news.naver.com/mnews/article/088/0000545964?sid=004</v>
      </c>
      <c r="H4439">
        <v>0.2</v>
      </c>
    </row>
    <row r="4440" spans="1:8" x14ac:dyDescent="0.3">
      <c r="A4440" t="s">
        <v>9678</v>
      </c>
      <c r="B4440" t="s">
        <v>26951</v>
      </c>
      <c r="C4440" t="s">
        <v>11348</v>
      </c>
      <c r="D4440" t="s">
        <v>11347</v>
      </c>
      <c r="E4440" s="2" t="s">
        <v>572</v>
      </c>
      <c r="F4440" t="s">
        <v>3885</v>
      </c>
      <c r="G4440" t="str">
        <f>HYPERLINK("https://www.dailysportshankook.co.kr/news/articleView.html?idxno=400701")</f>
        <v>https://www.dailysportshankook.co.kr/news/articleView.html?idxno=400701</v>
      </c>
      <c r="H4440">
        <v>0.443</v>
      </c>
    </row>
    <row r="4441" spans="1:8" x14ac:dyDescent="0.3">
      <c r="A4441" t="s">
        <v>9678</v>
      </c>
      <c r="B4441" t="s">
        <v>26951</v>
      </c>
      <c r="C4441" t="s">
        <v>11350</v>
      </c>
      <c r="D4441" t="s">
        <v>11349</v>
      </c>
      <c r="E4441" s="2" t="s">
        <v>572</v>
      </c>
      <c r="F4441" t="s">
        <v>2181</v>
      </c>
      <c r="G4441" t="str">
        <f>HYPERLINK("https://www.ekn.kr/web/view.php?key=20250609023224610")</f>
        <v>https://www.ekn.kr/web/view.php?key=20250609023224610</v>
      </c>
      <c r="H4441">
        <v>0.503</v>
      </c>
    </row>
    <row r="4442" spans="1:8" x14ac:dyDescent="0.3">
      <c r="A4442" t="s">
        <v>9678</v>
      </c>
      <c r="B4442" t="s">
        <v>26951</v>
      </c>
      <c r="C4442" t="s">
        <v>11353</v>
      </c>
      <c r="D4442" t="s">
        <v>11352</v>
      </c>
      <c r="E4442" s="2" t="s">
        <v>572</v>
      </c>
      <c r="F4442" t="s">
        <v>11351</v>
      </c>
      <c r="G4442" t="str">
        <f>HYPERLINK("https://www.ziksir.com/news/articleView.html?idxno=93393")</f>
        <v>https://www.ziksir.com/news/articleView.html?idxno=93393</v>
      </c>
      <c r="H4442">
        <v>0.79300000000000004</v>
      </c>
    </row>
    <row r="4443" spans="1:8" x14ac:dyDescent="0.3">
      <c r="A4443" t="s">
        <v>9678</v>
      </c>
      <c r="B4443" t="s">
        <v>26951</v>
      </c>
      <c r="C4443" t="s">
        <v>11356</v>
      </c>
      <c r="D4443" t="s">
        <v>11355</v>
      </c>
      <c r="E4443" s="2" t="s">
        <v>572</v>
      </c>
      <c r="F4443" t="s">
        <v>11354</v>
      </c>
      <c r="G4443" t="str">
        <f>HYPERLINK("http://www.jbsori.com/news/articleView.html?idxno=13798")</f>
        <v>http://www.jbsori.com/news/articleView.html?idxno=13798</v>
      </c>
      <c r="H4443">
        <v>0.52300000000000002</v>
      </c>
    </row>
    <row r="4444" spans="1:8" x14ac:dyDescent="0.3">
      <c r="A4444" t="s">
        <v>9678</v>
      </c>
      <c r="B4444" t="s">
        <v>26951</v>
      </c>
      <c r="C4444" t="s">
        <v>11359</v>
      </c>
      <c r="D4444" t="s">
        <v>11358</v>
      </c>
      <c r="E4444" s="2" t="s">
        <v>572</v>
      </c>
      <c r="F4444" t="s">
        <v>11357</v>
      </c>
      <c r="G4444" t="str">
        <f>HYPERLINK("https://n.news.naver.com/mnews/article/277/0004936329?sid=102")</f>
        <v>https://n.news.naver.com/mnews/article/277/0004936329?sid=102</v>
      </c>
      <c r="H4444">
        <v>7.2999999999999995E-2</v>
      </c>
    </row>
    <row r="4445" spans="1:8" x14ac:dyDescent="0.3">
      <c r="A4445" t="s">
        <v>9678</v>
      </c>
      <c r="B4445" t="s">
        <v>26951</v>
      </c>
      <c r="C4445" t="s">
        <v>11362</v>
      </c>
      <c r="D4445" t="s">
        <v>11361</v>
      </c>
      <c r="E4445" s="2" t="s">
        <v>572</v>
      </c>
      <c r="F4445" t="s">
        <v>11360</v>
      </c>
      <c r="G4445" t="str">
        <f>HYPERLINK("https://n.news.naver.com/mnews/article/214/0001392704?sid=100")</f>
        <v>https://n.news.naver.com/mnews/article/214/0001392704?sid=100</v>
      </c>
      <c r="H4445">
        <v>0.45500000000000002</v>
      </c>
    </row>
    <row r="4446" spans="1:8" x14ac:dyDescent="0.3">
      <c r="A4446" t="s">
        <v>9678</v>
      </c>
      <c r="B4446" t="s">
        <v>26951</v>
      </c>
      <c r="C4446" t="s">
        <v>11366</v>
      </c>
      <c r="D4446" t="s">
        <v>11365</v>
      </c>
      <c r="E4446" s="2" t="s">
        <v>572</v>
      </c>
      <c r="F4446" t="s">
        <v>11364</v>
      </c>
      <c r="G4446" t="str">
        <f>HYPERLINK("http://www.catholicpress.kr/news/view.php?idx=8069")</f>
        <v>http://www.catholicpress.kr/news/view.php?idx=8069</v>
      </c>
      <c r="H4446">
        <v>0.61099999999999999</v>
      </c>
    </row>
    <row r="4447" spans="1:8" x14ac:dyDescent="0.3">
      <c r="A4447" t="s">
        <v>9678</v>
      </c>
      <c r="B4447" t="s">
        <v>26951</v>
      </c>
      <c r="C4447" t="s">
        <v>11369</v>
      </c>
      <c r="D4447" t="s">
        <v>11368</v>
      </c>
      <c r="E4447" s="2" t="s">
        <v>572</v>
      </c>
      <c r="F4447" t="s">
        <v>11367</v>
      </c>
      <c r="G4447" t="str">
        <f>HYPERLINK("https://n.news.naver.com/mnews/article/022/0000260795?sid=103")</f>
        <v>https://n.news.naver.com/mnews/article/022/0000260795?sid=103</v>
      </c>
      <c r="H4447">
        <v>0.27100000000000002</v>
      </c>
    </row>
    <row r="4448" spans="1:8" x14ac:dyDescent="0.3">
      <c r="A4448" t="s">
        <v>9678</v>
      </c>
      <c r="B4448" t="s">
        <v>26951</v>
      </c>
      <c r="C4448" t="s">
        <v>11372</v>
      </c>
      <c r="D4448" t="s">
        <v>11371</v>
      </c>
      <c r="E4448" s="2" t="s">
        <v>572</v>
      </c>
      <c r="F4448" t="s">
        <v>11370</v>
      </c>
      <c r="G4448" t="str">
        <f>HYPERLINK("https://n.news.naver.com/mnews/article/044/0000270982?sid=104")</f>
        <v>https://n.news.naver.com/mnews/article/044/0000270982?sid=104</v>
      </c>
      <c r="H4448">
        <v>0.19</v>
      </c>
    </row>
    <row r="4449" spans="1:8" x14ac:dyDescent="0.3">
      <c r="A4449" t="s">
        <v>9678</v>
      </c>
      <c r="B4449" t="s">
        <v>26951</v>
      </c>
      <c r="C4449" t="s">
        <v>11375</v>
      </c>
      <c r="D4449" t="s">
        <v>11374</v>
      </c>
      <c r="E4449" s="2" t="s">
        <v>572</v>
      </c>
      <c r="F4449" t="s">
        <v>11373</v>
      </c>
      <c r="G4449" t="str">
        <f>HYPERLINK("https://n.news.naver.com/mnews/article/008/0005214940?sid=102")</f>
        <v>https://n.news.naver.com/mnews/article/008/0005214940?sid=102</v>
      </c>
      <c r="H4449">
        <v>0.20899999999999999</v>
      </c>
    </row>
    <row r="4450" spans="1:8" x14ac:dyDescent="0.3">
      <c r="A4450" t="s">
        <v>9678</v>
      </c>
      <c r="B4450" t="s">
        <v>26951</v>
      </c>
      <c r="C4450" t="s">
        <v>11378</v>
      </c>
      <c r="D4450" t="s">
        <v>11377</v>
      </c>
      <c r="E4450" s="2" t="s">
        <v>572</v>
      </c>
      <c r="F4450" t="s">
        <v>11376</v>
      </c>
      <c r="G4450" t="str">
        <f>HYPERLINK("https://weekly.cnbnews.com/news/article.html?no=152811")</f>
        <v>https://weekly.cnbnews.com/news/article.html?no=152811</v>
      </c>
      <c r="H4450">
        <v>0.219</v>
      </c>
    </row>
    <row r="4451" spans="1:8" x14ac:dyDescent="0.3">
      <c r="A4451" t="s">
        <v>9678</v>
      </c>
      <c r="B4451" t="s">
        <v>26951</v>
      </c>
      <c r="C4451" t="s">
        <v>11381</v>
      </c>
      <c r="D4451" t="s">
        <v>11380</v>
      </c>
      <c r="E4451" s="2" t="s">
        <v>572</v>
      </c>
      <c r="F4451" t="s">
        <v>5724</v>
      </c>
      <c r="G4451" t="str">
        <f>HYPERLINK("https://n.news.naver.com/mnews/article/056/0011979159?sid=102")</f>
        <v>https://n.news.naver.com/mnews/article/056/0011979159?sid=102</v>
      </c>
      <c r="H4451">
        <v>0.16200000000000001</v>
      </c>
    </row>
    <row r="4452" spans="1:8" x14ac:dyDescent="0.3">
      <c r="A4452" t="s">
        <v>9678</v>
      </c>
      <c r="B4452" t="s">
        <v>26951</v>
      </c>
      <c r="C4452" t="s">
        <v>11384</v>
      </c>
      <c r="D4452" t="s">
        <v>11383</v>
      </c>
      <c r="E4452" s="2" t="s">
        <v>572</v>
      </c>
      <c r="F4452" t="s">
        <v>11382</v>
      </c>
      <c r="G4452" t="str">
        <f>HYPERLINK("http://www.bzeronews.com/news/articleView.html?idxno=654967")</f>
        <v>http://www.bzeronews.com/news/articleView.html?idxno=654967</v>
      </c>
      <c r="H4452">
        <v>0.56299999999999994</v>
      </c>
    </row>
    <row r="4453" spans="1:8" x14ac:dyDescent="0.3">
      <c r="A4453" t="s">
        <v>9678</v>
      </c>
      <c r="B4453" t="s">
        <v>26951</v>
      </c>
      <c r="C4453" t="s">
        <v>11386</v>
      </c>
      <c r="D4453" t="s">
        <v>11385</v>
      </c>
      <c r="E4453" s="2" t="s">
        <v>572</v>
      </c>
      <c r="F4453" t="s">
        <v>732</v>
      </c>
      <c r="G4453" t="str">
        <f>HYPERLINK("https://n.news.naver.com/mnews/article/056/0011980161?sid=102")</f>
        <v>https://n.news.naver.com/mnews/article/056/0011980161?sid=102</v>
      </c>
      <c r="H4453">
        <v>0.29499999999999998</v>
      </c>
    </row>
    <row r="4454" spans="1:8" x14ac:dyDescent="0.3">
      <c r="A4454" t="s">
        <v>9678</v>
      </c>
      <c r="B4454" t="s">
        <v>26951</v>
      </c>
      <c r="C4454" t="s">
        <v>11388</v>
      </c>
      <c r="D4454" t="s">
        <v>11387</v>
      </c>
      <c r="E4454" s="2" t="s">
        <v>572</v>
      </c>
      <c r="F4454" t="s">
        <v>10041</v>
      </c>
      <c r="G4454" t="str">
        <f>HYPERLINK("https://www.dailysecu.com/news/articleView.html?idxno=116181")</f>
        <v>https://www.dailysecu.com/news/articleView.html?idxno=116181</v>
      </c>
      <c r="H4454">
        <v>0.45400000000000001</v>
      </c>
    </row>
    <row r="4455" spans="1:8" x14ac:dyDescent="0.3">
      <c r="A4455" t="s">
        <v>9678</v>
      </c>
      <c r="B4455" t="s">
        <v>26951</v>
      </c>
      <c r="C4455" t="s">
        <v>11391</v>
      </c>
      <c r="D4455" t="s">
        <v>11390</v>
      </c>
      <c r="E4455" s="2" t="s">
        <v>572</v>
      </c>
      <c r="F4455" t="s">
        <v>11389</v>
      </c>
      <c r="G4455" t="str">
        <f>HYPERLINK("https://n.news.naver.com/mnews/article/214/0001429860?sid=100")</f>
        <v>https://n.news.naver.com/mnews/article/214/0001429860?sid=100</v>
      </c>
      <c r="H4455">
        <v>9.9000000000000005E-2</v>
      </c>
    </row>
    <row r="4456" spans="1:8" x14ac:dyDescent="0.3">
      <c r="A4456" t="s">
        <v>9678</v>
      </c>
      <c r="B4456" t="s">
        <v>26951</v>
      </c>
      <c r="C4456" t="s">
        <v>11399</v>
      </c>
      <c r="D4456" t="s">
        <v>11398</v>
      </c>
      <c r="E4456" s="2" t="s">
        <v>572</v>
      </c>
      <c r="F4456" t="s">
        <v>11397</v>
      </c>
      <c r="G4456" t="str">
        <f>HYPERLINK("https://n.news.naver.com/mnews/article/214/0001426985?sid=102")</f>
        <v>https://n.news.naver.com/mnews/article/214/0001426985?sid=102</v>
      </c>
      <c r="H4456">
        <v>0.38100000000000001</v>
      </c>
    </row>
    <row r="4457" spans="1:8" x14ac:dyDescent="0.3">
      <c r="A4457" t="s">
        <v>9678</v>
      </c>
      <c r="B4457" t="s">
        <v>26951</v>
      </c>
      <c r="C4457" t="s">
        <v>11402</v>
      </c>
      <c r="D4457" t="s">
        <v>11401</v>
      </c>
      <c r="E4457" s="2" t="s">
        <v>572</v>
      </c>
      <c r="F4457" t="s">
        <v>11400</v>
      </c>
      <c r="G4457" t="str">
        <f>HYPERLINK("https://www.dnews.co.kr/uhtml/view.jsp?idxno=202506201722401860750")</f>
        <v>https://www.dnews.co.kr/uhtml/view.jsp?idxno=202506201722401860750</v>
      </c>
      <c r="H4457">
        <v>0.40400000000000003</v>
      </c>
    </row>
    <row r="4458" spans="1:8" x14ac:dyDescent="0.3">
      <c r="A4458" t="s">
        <v>9678</v>
      </c>
      <c r="B4458" t="s">
        <v>26951</v>
      </c>
      <c r="C4458" t="s">
        <v>11405</v>
      </c>
      <c r="D4458" t="s">
        <v>11404</v>
      </c>
      <c r="E4458" s="2" t="s">
        <v>572</v>
      </c>
      <c r="F4458" t="s">
        <v>11403</v>
      </c>
      <c r="G4458" t="str">
        <f>HYPERLINK("https://n.news.naver.com/mnews/article/002/0002008267?sid=004")</f>
        <v>https://n.news.naver.com/mnews/article/002/0002008267?sid=004</v>
      </c>
      <c r="H4458">
        <v>0.73899999999999999</v>
      </c>
    </row>
    <row r="4459" spans="1:8" x14ac:dyDescent="0.3">
      <c r="A4459" t="s">
        <v>9678</v>
      </c>
      <c r="B4459" t="s">
        <v>26951</v>
      </c>
      <c r="C4459" t="s">
        <v>11409</v>
      </c>
      <c r="D4459" t="s">
        <v>11408</v>
      </c>
      <c r="E4459" s="2" t="s">
        <v>609</v>
      </c>
      <c r="F4459" t="s">
        <v>11407</v>
      </c>
      <c r="G4459" t="str">
        <f>HYPERLINK("https://n.news.naver.com/mnews/article/057/0001894196?sid=102")</f>
        <v>https://n.news.naver.com/mnews/article/057/0001894196?sid=102</v>
      </c>
      <c r="H4459">
        <v>0.19600000000000001</v>
      </c>
    </row>
    <row r="4460" spans="1:8" x14ac:dyDescent="0.3">
      <c r="A4460" t="s">
        <v>9678</v>
      </c>
      <c r="B4460" t="s">
        <v>26951</v>
      </c>
      <c r="C4460" t="s">
        <v>11412</v>
      </c>
      <c r="D4460" t="s">
        <v>11411</v>
      </c>
      <c r="E4460" s="2" t="s">
        <v>609</v>
      </c>
      <c r="F4460" t="s">
        <v>11410</v>
      </c>
      <c r="G4460" t="str">
        <f>HYPERLINK("http://www.newsam.co.kr/news/article.html?no=38983")</f>
        <v>http://www.newsam.co.kr/news/article.html?no=38983</v>
      </c>
      <c r="H4460">
        <v>0.36599999999999999</v>
      </c>
    </row>
    <row r="4461" spans="1:8" x14ac:dyDescent="0.3">
      <c r="A4461" t="s">
        <v>9678</v>
      </c>
      <c r="B4461" t="s">
        <v>26951</v>
      </c>
      <c r="C4461" t="s">
        <v>11414</v>
      </c>
      <c r="D4461" t="s">
        <v>11413</v>
      </c>
      <c r="E4461" s="2" t="s">
        <v>609</v>
      </c>
      <c r="F4461" t="s">
        <v>1822</v>
      </c>
      <c r="G4461" t="str">
        <f>HYPERLINK("https://n.news.naver.com/mnews/article/056/0011979441?sid=103")</f>
        <v>https://n.news.naver.com/mnews/article/056/0011979441?sid=103</v>
      </c>
      <c r="H4461">
        <v>0.28599999999999998</v>
      </c>
    </row>
    <row r="4462" spans="1:8" x14ac:dyDescent="0.3">
      <c r="A4462" t="s">
        <v>9678</v>
      </c>
      <c r="B4462" t="s">
        <v>26951</v>
      </c>
      <c r="C4462" t="s">
        <v>11417</v>
      </c>
      <c r="D4462" t="s">
        <v>11416</v>
      </c>
      <c r="E4462" s="2" t="s">
        <v>609</v>
      </c>
      <c r="F4462" t="s">
        <v>11415</v>
      </c>
      <c r="G4462" t="str">
        <f>HYPERLINK("https://n.news.naver.com/mnews/article/214/0001432040?sid=100")</f>
        <v>https://n.news.naver.com/mnews/article/214/0001432040?sid=100</v>
      </c>
      <c r="H4462">
        <v>0.21299999999999999</v>
      </c>
    </row>
    <row r="4463" spans="1:8" x14ac:dyDescent="0.3">
      <c r="A4463" t="s">
        <v>9678</v>
      </c>
      <c r="B4463" t="s">
        <v>26951</v>
      </c>
      <c r="C4463" t="s">
        <v>11420</v>
      </c>
      <c r="D4463" t="s">
        <v>11419</v>
      </c>
      <c r="E4463" s="2" t="s">
        <v>609</v>
      </c>
      <c r="F4463" t="s">
        <v>11418</v>
      </c>
      <c r="G4463" t="str">
        <f>HYPERLINK("https://www.forbeskorea.co.kr/news/articleView.html?idxno=400289")</f>
        <v>https://www.forbeskorea.co.kr/news/articleView.html?idxno=400289</v>
      </c>
      <c r="H4463">
        <v>0.40799999999999997</v>
      </c>
    </row>
    <row r="4464" spans="1:8" x14ac:dyDescent="0.3">
      <c r="A4464" t="s">
        <v>9678</v>
      </c>
      <c r="B4464" t="s">
        <v>26951</v>
      </c>
      <c r="C4464" t="s">
        <v>11423</v>
      </c>
      <c r="D4464" t="s">
        <v>11422</v>
      </c>
      <c r="E4464" s="2" t="s">
        <v>609</v>
      </c>
      <c r="F4464" t="s">
        <v>11421</v>
      </c>
      <c r="G4464" t="str">
        <f>HYPERLINK("https://n.news.naver.com/mnews/article/016/0002489276?sid=100")</f>
        <v>https://n.news.naver.com/mnews/article/016/0002489276?sid=100</v>
      </c>
      <c r="H4464">
        <v>0.191</v>
      </c>
    </row>
    <row r="4465" spans="1:8" x14ac:dyDescent="0.3">
      <c r="A4465" t="s">
        <v>9678</v>
      </c>
      <c r="B4465" t="s">
        <v>26951</v>
      </c>
      <c r="C4465" t="s">
        <v>11426</v>
      </c>
      <c r="D4465" t="s">
        <v>11425</v>
      </c>
      <c r="E4465" s="2" t="s">
        <v>609</v>
      </c>
      <c r="F4465" t="s">
        <v>11424</v>
      </c>
      <c r="G4465" t="str">
        <f>HYPERLINK("http://journal.kobeta.com/?post_type=post&amp;p=54498")</f>
        <v>http://journal.kobeta.com/?post_type=post&amp;p=54498</v>
      </c>
      <c r="H4465">
        <v>0.52</v>
      </c>
    </row>
    <row r="4466" spans="1:8" x14ac:dyDescent="0.3">
      <c r="A4466" t="s">
        <v>9678</v>
      </c>
      <c r="B4466" t="s">
        <v>26951</v>
      </c>
      <c r="C4466" t="s">
        <v>11429</v>
      </c>
      <c r="D4466" t="s">
        <v>11428</v>
      </c>
      <c r="E4466" s="2" t="s">
        <v>609</v>
      </c>
      <c r="F4466" t="s">
        <v>11427</v>
      </c>
      <c r="G4466" t="str">
        <f>HYPERLINK("http://www.newspim.com/news/view/20200814000773")</f>
        <v>http://www.newspim.com/news/view/20200814000773</v>
      </c>
      <c r="H4466">
        <v>0.38600000000000001</v>
      </c>
    </row>
    <row r="4467" spans="1:8" x14ac:dyDescent="0.3">
      <c r="A4467" t="s">
        <v>9678</v>
      </c>
      <c r="B4467" t="s">
        <v>26951</v>
      </c>
      <c r="C4467" t="s">
        <v>11432</v>
      </c>
      <c r="D4467" t="s">
        <v>11431</v>
      </c>
      <c r="E4467" s="2" t="s">
        <v>609</v>
      </c>
      <c r="F4467" t="s">
        <v>11430</v>
      </c>
      <c r="G4467" t="str">
        <f>HYPERLINK("http://www.ablenews.co.kr/News/NewsContent.aspx?CategoryCode=0048&amp;NewsCode=004820170818144028799250")</f>
        <v>http://www.ablenews.co.kr/News/NewsContent.aspx?CategoryCode=0048&amp;NewsCode=004820170818144028799250</v>
      </c>
      <c r="H4467">
        <v>0.24099999999999999</v>
      </c>
    </row>
    <row r="4468" spans="1:8" x14ac:dyDescent="0.3">
      <c r="A4468" t="s">
        <v>9678</v>
      </c>
      <c r="B4468" t="s">
        <v>26951</v>
      </c>
      <c r="C4468" t="s">
        <v>11435</v>
      </c>
      <c r="D4468" t="s">
        <v>11434</v>
      </c>
      <c r="E4468" s="2" t="s">
        <v>609</v>
      </c>
      <c r="F4468" t="s">
        <v>11433</v>
      </c>
      <c r="G4468" t="str">
        <f>HYPERLINK("https://www.ngonews.kr/news/articleView.html?idxno=204560")</f>
        <v>https://www.ngonews.kr/news/articleView.html?idxno=204560</v>
      </c>
      <c r="H4468">
        <v>0.52400000000000002</v>
      </c>
    </row>
    <row r="4469" spans="1:8" x14ac:dyDescent="0.3">
      <c r="A4469" t="s">
        <v>9678</v>
      </c>
      <c r="B4469" t="s">
        <v>26951</v>
      </c>
      <c r="C4469" t="s">
        <v>11438</v>
      </c>
      <c r="D4469" t="s">
        <v>11437</v>
      </c>
      <c r="E4469" s="2" t="s">
        <v>609</v>
      </c>
      <c r="F4469" t="s">
        <v>11436</v>
      </c>
      <c r="G4469" t="str">
        <f>HYPERLINK("https://www.itbiznews.com/news/articleView.html?idxno=172141")</f>
        <v>https://www.itbiznews.com/news/articleView.html?idxno=172141</v>
      </c>
      <c r="H4469">
        <v>0.28199999999999997</v>
      </c>
    </row>
    <row r="4470" spans="1:8" x14ac:dyDescent="0.3">
      <c r="A4470" t="s">
        <v>9678</v>
      </c>
      <c r="B4470" t="s">
        <v>26951</v>
      </c>
      <c r="C4470" t="s">
        <v>11443</v>
      </c>
      <c r="D4470" t="s">
        <v>11442</v>
      </c>
      <c r="E4470" s="2" t="s">
        <v>609</v>
      </c>
      <c r="F4470" t="s">
        <v>8713</v>
      </c>
      <c r="G4470" t="str">
        <f>HYPERLINK("https://n.news.naver.com/mnews/article/214/0001431933?sid=100")</f>
        <v>https://n.news.naver.com/mnews/article/214/0001431933?sid=100</v>
      </c>
      <c r="H4470">
        <v>0.39600000000000002</v>
      </c>
    </row>
    <row r="4471" spans="1:8" x14ac:dyDescent="0.3">
      <c r="A4471" t="s">
        <v>9678</v>
      </c>
      <c r="B4471" t="s">
        <v>26951</v>
      </c>
      <c r="C4471" t="s">
        <v>11445</v>
      </c>
      <c r="D4471" t="s">
        <v>11444</v>
      </c>
      <c r="E4471" s="2" t="s">
        <v>609</v>
      </c>
      <c r="F4471" t="s">
        <v>10120</v>
      </c>
      <c r="G4471" t="str">
        <f>HYPERLINK("https://n.news.naver.com/mnews/article/214/0001430271?sid=100")</f>
        <v>https://n.news.naver.com/mnews/article/214/0001430271?sid=100</v>
      </c>
      <c r="H4471">
        <v>0.23100000000000001</v>
      </c>
    </row>
    <row r="4472" spans="1:8" x14ac:dyDescent="0.3">
      <c r="A4472" t="s">
        <v>9678</v>
      </c>
      <c r="B4472" t="s">
        <v>26951</v>
      </c>
      <c r="C4472" t="s">
        <v>11448</v>
      </c>
      <c r="D4472" t="s">
        <v>11447</v>
      </c>
      <c r="E4472" s="2" t="s">
        <v>609</v>
      </c>
      <c r="F4472" t="s">
        <v>11446</v>
      </c>
      <c r="G4472" t="str">
        <f>HYPERLINK("https://n.news.naver.com/mnews/article/214/0000961725?sid=100")</f>
        <v>https://n.news.naver.com/mnews/article/214/0000961725?sid=100</v>
      </c>
      <c r="H4472">
        <v>0.61</v>
      </c>
    </row>
    <row r="4473" spans="1:8" x14ac:dyDescent="0.3">
      <c r="A4473" t="s">
        <v>9678</v>
      </c>
      <c r="B4473" t="s">
        <v>26951</v>
      </c>
      <c r="C4473" t="s">
        <v>11450</v>
      </c>
      <c r="D4473" t="s">
        <v>11449</v>
      </c>
      <c r="E4473" s="2" t="s">
        <v>609</v>
      </c>
      <c r="F4473" t="s">
        <v>8713</v>
      </c>
      <c r="G4473" t="str">
        <f>HYPERLINK("https://radio.ytn.co.kr/program/?f=2&amp;id=86271&amp;s_mcd=0452&amp;s_hcd=01")</f>
        <v>https://radio.ytn.co.kr/program/?f=2&amp;id=86271&amp;s_mcd=0452&amp;s_hcd=01</v>
      </c>
      <c r="H4473">
        <v>0.50700000000000001</v>
      </c>
    </row>
    <row r="4474" spans="1:8" x14ac:dyDescent="0.3">
      <c r="A4474" t="s">
        <v>9678</v>
      </c>
      <c r="B4474" t="s">
        <v>26951</v>
      </c>
      <c r="C4474" t="s">
        <v>11453</v>
      </c>
      <c r="D4474" t="s">
        <v>11452</v>
      </c>
      <c r="E4474" s="2" t="s">
        <v>609</v>
      </c>
      <c r="F4474" t="s">
        <v>11451</v>
      </c>
      <c r="G4474" t="str">
        <f>HYPERLINK("http://www.newsmp.com/news/articleView.html?idxno=213233")</f>
        <v>http://www.newsmp.com/news/articleView.html?idxno=213233</v>
      </c>
      <c r="H4474">
        <v>0.52600000000000002</v>
      </c>
    </row>
    <row r="4475" spans="1:8" x14ac:dyDescent="0.3">
      <c r="A4475" t="s">
        <v>9678</v>
      </c>
      <c r="B4475" t="s">
        <v>26951</v>
      </c>
      <c r="C4475" t="s">
        <v>11456</v>
      </c>
      <c r="D4475" t="s">
        <v>11455</v>
      </c>
      <c r="E4475" s="2" t="s">
        <v>609</v>
      </c>
      <c r="F4475" t="s">
        <v>11454</v>
      </c>
      <c r="G4475" t="str">
        <f>HYPERLINK("https://www.dongponews.net/news/articleView.html?idxno=53053")</f>
        <v>https://www.dongponews.net/news/articleView.html?idxno=53053</v>
      </c>
      <c r="H4475">
        <v>0.193</v>
      </c>
    </row>
    <row r="4476" spans="1:8" x14ac:dyDescent="0.3">
      <c r="A4476" t="s">
        <v>9678</v>
      </c>
      <c r="B4476" t="s">
        <v>26951</v>
      </c>
      <c r="C4476" t="s">
        <v>11458</v>
      </c>
      <c r="D4476" t="s">
        <v>11457</v>
      </c>
      <c r="E4476" s="2" t="s">
        <v>609</v>
      </c>
      <c r="F4476" t="s">
        <v>10476</v>
      </c>
      <c r="G4476" t="str">
        <f>HYPERLINK("http://sports.hankooki.com/lpage/soccer/201501/sp2015011006003798040.htm")</f>
        <v>http://sports.hankooki.com/lpage/soccer/201501/sp2015011006003798040.htm</v>
      </c>
      <c r="H4476">
        <v>0.439</v>
      </c>
    </row>
    <row r="4477" spans="1:8" x14ac:dyDescent="0.3">
      <c r="A4477" t="s">
        <v>9678</v>
      </c>
      <c r="B4477" t="s">
        <v>26951</v>
      </c>
      <c r="C4477" t="s">
        <v>11460</v>
      </c>
      <c r="D4477" t="s">
        <v>11459</v>
      </c>
      <c r="E4477" s="2" t="s">
        <v>609</v>
      </c>
      <c r="F4477" t="s">
        <v>10181</v>
      </c>
      <c r="G4477" t="str">
        <f>HYPERLINK("https://sports.hankooki.com/news/articleView.html?idxno=6900263")</f>
        <v>https://sports.hankooki.com/news/articleView.html?idxno=6900263</v>
      </c>
      <c r="H4477">
        <v>0.88800000000000001</v>
      </c>
    </row>
    <row r="4478" spans="1:8" x14ac:dyDescent="0.3">
      <c r="A4478" t="s">
        <v>9678</v>
      </c>
      <c r="B4478" t="s">
        <v>26951</v>
      </c>
      <c r="C4478" t="s">
        <v>11462</v>
      </c>
      <c r="D4478" t="s">
        <v>11461</v>
      </c>
      <c r="E4478" s="2" t="s">
        <v>609</v>
      </c>
      <c r="F4478" t="s">
        <v>10581</v>
      </c>
      <c r="G4478" t="str">
        <f>HYPERLINK("https://www.greened.kr/news/articleView.html?idxno=327899")</f>
        <v>https://www.greened.kr/news/articleView.html?idxno=327899</v>
      </c>
      <c r="H4478">
        <v>0.65</v>
      </c>
    </row>
    <row r="4479" spans="1:8" x14ac:dyDescent="0.3">
      <c r="A4479" t="s">
        <v>9678</v>
      </c>
      <c r="B4479" t="s">
        <v>26951</v>
      </c>
      <c r="C4479" t="s">
        <v>11465</v>
      </c>
      <c r="D4479" t="s">
        <v>11464</v>
      </c>
      <c r="E4479" s="2" t="s">
        <v>609</v>
      </c>
      <c r="F4479" t="s">
        <v>11463</v>
      </c>
      <c r="G4479" t="str">
        <f>HYPERLINK("https://n.news.naver.com/mnews/article/014/0005361597?sid=102")</f>
        <v>https://n.news.naver.com/mnews/article/014/0005361597?sid=102</v>
      </c>
      <c r="H4479">
        <v>0.17599999999999999</v>
      </c>
    </row>
    <row r="4480" spans="1:8" x14ac:dyDescent="0.3">
      <c r="A4480" t="s">
        <v>9678</v>
      </c>
      <c r="B4480" t="s">
        <v>26951</v>
      </c>
      <c r="C4480" t="s">
        <v>11468</v>
      </c>
      <c r="D4480" t="s">
        <v>11467</v>
      </c>
      <c r="E4480" s="2" t="s">
        <v>609</v>
      </c>
      <c r="F4480" t="s">
        <v>11466</v>
      </c>
      <c r="G4480" t="str">
        <f>HYPERLINK("https://www.sjsori.com/news/articleView.html?idxno=80057")</f>
        <v>https://www.sjsori.com/news/articleView.html?idxno=80057</v>
      </c>
      <c r="H4480">
        <v>0.52</v>
      </c>
    </row>
    <row r="4481" spans="1:8" x14ac:dyDescent="0.3">
      <c r="A4481" t="s">
        <v>9678</v>
      </c>
      <c r="B4481" t="s">
        <v>26951</v>
      </c>
      <c r="C4481" t="s">
        <v>11470</v>
      </c>
      <c r="D4481" t="s">
        <v>11469</v>
      </c>
      <c r="E4481" s="2" t="s">
        <v>609</v>
      </c>
      <c r="F4481" t="s">
        <v>171</v>
      </c>
      <c r="G4481" t="str">
        <f>HYPERLINK("https://sports.hankooki.com/news/articleView.html?idxno=6900359")</f>
        <v>https://sports.hankooki.com/news/articleView.html?idxno=6900359</v>
      </c>
      <c r="H4481">
        <v>0.82899999999999996</v>
      </c>
    </row>
    <row r="4482" spans="1:8" x14ac:dyDescent="0.3">
      <c r="A4482" t="s">
        <v>9678</v>
      </c>
      <c r="B4482" t="s">
        <v>26951</v>
      </c>
      <c r="C4482" t="s">
        <v>11473</v>
      </c>
      <c r="D4482" t="s">
        <v>11472</v>
      </c>
      <c r="E4482" s="2" t="s">
        <v>609</v>
      </c>
      <c r="F4482" t="s">
        <v>3420</v>
      </c>
      <c r="G4482" t="str">
        <f>HYPERLINK("http://www.ibulgyo.com/news/articleView.html?idxno=426697")</f>
        <v>http://www.ibulgyo.com/news/articleView.html?idxno=426697</v>
      </c>
      <c r="H4482">
        <v>0.44700000000000001</v>
      </c>
    </row>
    <row r="4483" spans="1:8" x14ac:dyDescent="0.3">
      <c r="A4483" t="s">
        <v>9678</v>
      </c>
      <c r="B4483" t="s">
        <v>26951</v>
      </c>
      <c r="C4483" t="s">
        <v>11476</v>
      </c>
      <c r="D4483" t="s">
        <v>11475</v>
      </c>
      <c r="E4483" s="2" t="s">
        <v>609</v>
      </c>
      <c r="F4483" t="s">
        <v>11474</v>
      </c>
      <c r="G4483" t="str">
        <f>HYPERLINK("http://www.greenpostkorea.co.kr/news/articleView.html?idxno=98405")</f>
        <v>http://www.greenpostkorea.co.kr/news/articleView.html?idxno=98405</v>
      </c>
      <c r="H4483">
        <v>0.28599999999999998</v>
      </c>
    </row>
    <row r="4484" spans="1:8" x14ac:dyDescent="0.3">
      <c r="A4484" t="s">
        <v>9678</v>
      </c>
      <c r="B4484" t="s">
        <v>26951</v>
      </c>
      <c r="C4484" t="s">
        <v>11478</v>
      </c>
      <c r="D4484" t="s">
        <v>11477</v>
      </c>
      <c r="E4484" s="2" t="s">
        <v>609</v>
      </c>
      <c r="F4484" t="s">
        <v>7589</v>
      </c>
      <c r="G4484" t="str">
        <f>HYPERLINK("https://weekly.hankooki.com/news/articleView.html?idxno=7086652")</f>
        <v>https://weekly.hankooki.com/news/articleView.html?idxno=7086652</v>
      </c>
      <c r="H4484">
        <v>0.57899999999999996</v>
      </c>
    </row>
    <row r="4485" spans="1:8" x14ac:dyDescent="0.3">
      <c r="A4485" t="s">
        <v>9678</v>
      </c>
      <c r="B4485" t="s">
        <v>26951</v>
      </c>
      <c r="C4485" t="s">
        <v>11480</v>
      </c>
      <c r="D4485" t="s">
        <v>11479</v>
      </c>
      <c r="E4485" s="2" t="s">
        <v>609</v>
      </c>
      <c r="F4485" t="s">
        <v>160</v>
      </c>
      <c r="G4485" t="str">
        <f>HYPERLINK("https://www.etoday.co.kr/news/view/2477339")</f>
        <v>https://www.etoday.co.kr/news/view/2477339</v>
      </c>
      <c r="H4485">
        <v>0.34300000000000003</v>
      </c>
    </row>
    <row r="4486" spans="1:8" x14ac:dyDescent="0.3">
      <c r="A4486" t="s">
        <v>9678</v>
      </c>
      <c r="B4486" t="s">
        <v>26951</v>
      </c>
      <c r="C4486" t="s">
        <v>11483</v>
      </c>
      <c r="D4486" t="s">
        <v>11482</v>
      </c>
      <c r="E4486" s="2" t="s">
        <v>609</v>
      </c>
      <c r="F4486" t="s">
        <v>11481</v>
      </c>
      <c r="G4486" t="str">
        <f>HYPERLINK("https://n.news.naver.com/mnews/article/214/0001429259?sid=100")</f>
        <v>https://n.news.naver.com/mnews/article/214/0001429259?sid=100</v>
      </c>
      <c r="H4486">
        <v>0.28999999999999998</v>
      </c>
    </row>
    <row r="4487" spans="1:8" x14ac:dyDescent="0.3">
      <c r="A4487" t="s">
        <v>9678</v>
      </c>
      <c r="B4487" t="s">
        <v>26951</v>
      </c>
      <c r="C4487" t="s">
        <v>11485</v>
      </c>
      <c r="D4487" t="s">
        <v>11484</v>
      </c>
      <c r="E4487" s="2" t="s">
        <v>609</v>
      </c>
      <c r="F4487" t="s">
        <v>7322</v>
      </c>
      <c r="G4487" t="str">
        <f>HYPERLINK("https://n.news.naver.com/mnews/article/214/0001431192?sid=100")</f>
        <v>https://n.news.naver.com/mnews/article/214/0001431192?sid=100</v>
      </c>
      <c r="H4487">
        <v>0.14399999999999999</v>
      </c>
    </row>
    <row r="4488" spans="1:8" x14ac:dyDescent="0.3">
      <c r="A4488" t="s">
        <v>9678</v>
      </c>
      <c r="B4488" t="s">
        <v>26951</v>
      </c>
      <c r="C4488" t="s">
        <v>11488</v>
      </c>
      <c r="D4488" t="s">
        <v>11487</v>
      </c>
      <c r="E4488" s="2" t="s">
        <v>609</v>
      </c>
      <c r="F4488" t="s">
        <v>11486</v>
      </c>
      <c r="G4488" t="str">
        <f>HYPERLINK("https://www.g1tv.co.kr/news/?newsid=328560&amp;mid=1_207&amp;newscode=web")</f>
        <v>https://www.g1tv.co.kr/news/?newsid=328560&amp;mid=1_207&amp;newscode=web</v>
      </c>
      <c r="H4488">
        <v>0.25</v>
      </c>
    </row>
    <row r="4489" spans="1:8" x14ac:dyDescent="0.3">
      <c r="A4489" t="s">
        <v>9678</v>
      </c>
      <c r="B4489" t="s">
        <v>26951</v>
      </c>
      <c r="C4489" t="s">
        <v>11490</v>
      </c>
      <c r="D4489" t="s">
        <v>11489</v>
      </c>
      <c r="E4489" s="2" t="s">
        <v>609</v>
      </c>
      <c r="F4489" t="s">
        <v>5548</v>
      </c>
      <c r="G4489" t="str">
        <f>HYPERLINK("http://www.samdailbo.com/news/articleView.html?idxno=202936")</f>
        <v>http://www.samdailbo.com/news/articleView.html?idxno=202936</v>
      </c>
      <c r="H4489">
        <v>0.55100000000000005</v>
      </c>
    </row>
    <row r="4490" spans="1:8" x14ac:dyDescent="0.3">
      <c r="A4490" t="s">
        <v>9678</v>
      </c>
      <c r="B4490" t="s">
        <v>26951</v>
      </c>
      <c r="C4490" t="s">
        <v>11492</v>
      </c>
      <c r="D4490" t="s">
        <v>11491</v>
      </c>
      <c r="E4490" s="2" t="s">
        <v>609</v>
      </c>
      <c r="F4490" t="s">
        <v>2064</v>
      </c>
      <c r="G4490" t="str">
        <f>HYPERLINK("https://n.news.naver.com/mnews/article/214/0001430119?sid=102")</f>
        <v>https://n.news.naver.com/mnews/article/214/0001430119?sid=102</v>
      </c>
      <c r="H4490">
        <v>0.13400000000000001</v>
      </c>
    </row>
    <row r="4491" spans="1:8" x14ac:dyDescent="0.3">
      <c r="A4491" t="s">
        <v>9678</v>
      </c>
      <c r="B4491" t="s">
        <v>26951</v>
      </c>
      <c r="C4491" t="s">
        <v>11495</v>
      </c>
      <c r="D4491" t="s">
        <v>11494</v>
      </c>
      <c r="E4491" s="2" t="s">
        <v>609</v>
      </c>
      <c r="F4491" t="s">
        <v>11493</v>
      </c>
      <c r="G4491" t="str">
        <f>HYPERLINK("http://www.veritas-a.com/news/articleView.html?idxno=394401")</f>
        <v>http://www.veritas-a.com/news/articleView.html?idxno=394401</v>
      </c>
      <c r="H4491">
        <v>0.40600000000000003</v>
      </c>
    </row>
    <row r="4492" spans="1:8" x14ac:dyDescent="0.3">
      <c r="A4492" t="s">
        <v>9678</v>
      </c>
      <c r="B4492" t="s">
        <v>26951</v>
      </c>
      <c r="C4492" t="s">
        <v>11497</v>
      </c>
      <c r="D4492" t="s">
        <v>11496</v>
      </c>
      <c r="E4492" s="2" t="s">
        <v>609</v>
      </c>
      <c r="F4492" t="s">
        <v>9184</v>
      </c>
      <c r="G4492" t="str">
        <f>HYPERLINK("https://n.news.naver.com/mnews/article/079/0003428400?sid=103")</f>
        <v>https://n.news.naver.com/mnews/article/079/0003428400?sid=103</v>
      </c>
      <c r="H4492">
        <v>0.23599999999999999</v>
      </c>
    </row>
    <row r="4493" spans="1:8" x14ac:dyDescent="0.3">
      <c r="A4493" t="s">
        <v>9678</v>
      </c>
      <c r="B4493" t="s">
        <v>26951</v>
      </c>
      <c r="C4493" t="s">
        <v>11500</v>
      </c>
      <c r="D4493" t="s">
        <v>11499</v>
      </c>
      <c r="E4493" s="2" t="s">
        <v>609</v>
      </c>
      <c r="F4493" t="s">
        <v>11498</v>
      </c>
      <c r="G4493" t="str">
        <f>HYPERLINK("https://www.jemin.com/news/articleView.html?idxno=811400")</f>
        <v>https://www.jemin.com/news/articleView.html?idxno=811400</v>
      </c>
      <c r="H4493">
        <v>0.76800000000000002</v>
      </c>
    </row>
    <row r="4494" spans="1:8" x14ac:dyDescent="0.3">
      <c r="A4494" t="s">
        <v>9678</v>
      </c>
      <c r="B4494" t="s">
        <v>26951</v>
      </c>
      <c r="C4494" t="s">
        <v>11502</v>
      </c>
      <c r="D4494" t="s">
        <v>11501</v>
      </c>
      <c r="E4494" s="2" t="s">
        <v>609</v>
      </c>
      <c r="F4494" t="s">
        <v>9962</v>
      </c>
      <c r="G4494" t="str">
        <f>HYPERLINK("https://www.jemin.com/news/articleView.html?idxno=819476")</f>
        <v>https://www.jemin.com/news/articleView.html?idxno=819476</v>
      </c>
      <c r="H4494">
        <v>0.57999999999999996</v>
      </c>
    </row>
    <row r="4495" spans="1:8" x14ac:dyDescent="0.3">
      <c r="A4495" t="s">
        <v>9678</v>
      </c>
      <c r="B4495" t="s">
        <v>26951</v>
      </c>
      <c r="C4495" t="s">
        <v>11507</v>
      </c>
      <c r="D4495" t="s">
        <v>11506</v>
      </c>
      <c r="E4495" s="2" t="s">
        <v>609</v>
      </c>
      <c r="F4495" t="s">
        <v>11505</v>
      </c>
      <c r="G4495" t="str">
        <f>HYPERLINK("https://www.theguru.co.kr/news/article.html?no=88675")</f>
        <v>https://www.theguru.co.kr/news/article.html?no=88675</v>
      </c>
      <c r="H4495">
        <v>0.61599999999999999</v>
      </c>
    </row>
    <row r="4496" spans="1:8" x14ac:dyDescent="0.3">
      <c r="A4496" t="s">
        <v>9678</v>
      </c>
      <c r="B4496" t="s">
        <v>26951</v>
      </c>
      <c r="C4496" t="s">
        <v>11509</v>
      </c>
      <c r="D4496" t="s">
        <v>11508</v>
      </c>
      <c r="E4496" s="2" t="s">
        <v>609</v>
      </c>
      <c r="F4496" t="s">
        <v>9929</v>
      </c>
      <c r="G4496" t="str">
        <f>HYPERLINK("https://n.news.naver.com/mnews/article/002/0000001219?sid=102")</f>
        <v>https://n.news.naver.com/mnews/article/002/0000001219?sid=102</v>
      </c>
      <c r="H4496">
        <v>0.46200000000000002</v>
      </c>
    </row>
    <row r="4497" spans="1:8" x14ac:dyDescent="0.3">
      <c r="A4497" t="s">
        <v>9678</v>
      </c>
      <c r="B4497" t="s">
        <v>26951</v>
      </c>
      <c r="C4497" t="s">
        <v>11512</v>
      </c>
      <c r="D4497" t="s">
        <v>11511</v>
      </c>
      <c r="E4497" s="2" t="s">
        <v>609</v>
      </c>
      <c r="F4497" t="s">
        <v>11510</v>
      </c>
      <c r="G4497" t="str">
        <f>HYPERLINK("https://www.newspim.com/news/view/20250307000640")</f>
        <v>https://www.newspim.com/news/view/20250307000640</v>
      </c>
      <c r="H4497">
        <v>0.42899999999999999</v>
      </c>
    </row>
    <row r="4498" spans="1:8" x14ac:dyDescent="0.3">
      <c r="A4498" t="s">
        <v>9678</v>
      </c>
      <c r="B4498" t="s">
        <v>26951</v>
      </c>
      <c r="C4498" t="s">
        <v>11515</v>
      </c>
      <c r="D4498" t="s">
        <v>11514</v>
      </c>
      <c r="E4498" s="2" t="s">
        <v>609</v>
      </c>
      <c r="F4498" t="s">
        <v>11513</v>
      </c>
      <c r="G4498" t="str">
        <f>HYPERLINK("http://www.breaknews.com/sub_read.html?uid=408300&amp;section=sc3")</f>
        <v>http://www.breaknews.com/sub_read.html?uid=408300&amp;section=sc3</v>
      </c>
      <c r="H4498">
        <v>0.29699999999999999</v>
      </c>
    </row>
    <row r="4499" spans="1:8" x14ac:dyDescent="0.3">
      <c r="A4499" t="s">
        <v>9678</v>
      </c>
      <c r="B4499" t="s">
        <v>26951</v>
      </c>
      <c r="C4499" t="s">
        <v>11517</v>
      </c>
      <c r="D4499" t="s">
        <v>11516</v>
      </c>
      <c r="E4499" s="2" t="s">
        <v>609</v>
      </c>
      <c r="F4499" t="s">
        <v>171</v>
      </c>
      <c r="G4499" t="str">
        <f>HYPERLINK("https://sports.hankooki.com/news/articleView.html?idxno=6900359")</f>
        <v>https://sports.hankooki.com/news/articleView.html?idxno=6900359</v>
      </c>
      <c r="H4499">
        <v>0.70899999999999996</v>
      </c>
    </row>
    <row r="4500" spans="1:8" x14ac:dyDescent="0.3">
      <c r="A4500" t="s">
        <v>9678</v>
      </c>
      <c r="B4500" t="s">
        <v>26951</v>
      </c>
      <c r="C4500" t="s">
        <v>11520</v>
      </c>
      <c r="D4500" t="s">
        <v>11519</v>
      </c>
      <c r="E4500" s="2" t="s">
        <v>609</v>
      </c>
      <c r="F4500" t="s">
        <v>11518</v>
      </c>
      <c r="G4500" t="str">
        <f>HYPERLINK("https://n.news.naver.com/mnews/article/277/0004468381?sid=101")</f>
        <v>https://n.news.naver.com/mnews/article/277/0004468381?sid=101</v>
      </c>
      <c r="H4500">
        <v>5.2999999999999999E-2</v>
      </c>
    </row>
    <row r="4501" spans="1:8" x14ac:dyDescent="0.3">
      <c r="A4501" t="s">
        <v>9678</v>
      </c>
      <c r="B4501" t="s">
        <v>26951</v>
      </c>
      <c r="C4501" t="s">
        <v>11523</v>
      </c>
      <c r="D4501" t="s">
        <v>11522</v>
      </c>
      <c r="E4501" s="2" t="s">
        <v>609</v>
      </c>
      <c r="F4501" t="s">
        <v>11521</v>
      </c>
      <c r="G4501" t="str">
        <f>HYPERLINK("https://www.yeongnam.com/web/view.php?key=20230429010003634")</f>
        <v>https://www.yeongnam.com/web/view.php?key=20230429010003634</v>
      </c>
      <c r="H4501">
        <v>0.57299999999999995</v>
      </c>
    </row>
    <row r="4502" spans="1:8" x14ac:dyDescent="0.3">
      <c r="A4502" t="s">
        <v>9678</v>
      </c>
      <c r="B4502" t="s">
        <v>26951</v>
      </c>
      <c r="C4502" t="s">
        <v>11525</v>
      </c>
      <c r="D4502" t="s">
        <v>11524</v>
      </c>
      <c r="E4502" s="2" t="s">
        <v>609</v>
      </c>
      <c r="F4502" t="s">
        <v>10021</v>
      </c>
      <c r="G4502" t="str">
        <f>HYPERLINK("https://sports.hankooki.com/news/articleView.html?idxno=6877853")</f>
        <v>https://sports.hankooki.com/news/articleView.html?idxno=6877853</v>
      </c>
      <c r="H4502">
        <v>0.44500000000000001</v>
      </c>
    </row>
    <row r="4503" spans="1:8" x14ac:dyDescent="0.3">
      <c r="A4503" t="s">
        <v>9678</v>
      </c>
      <c r="B4503" t="s">
        <v>26951</v>
      </c>
      <c r="C4503" t="s">
        <v>11528</v>
      </c>
      <c r="D4503" t="s">
        <v>11527</v>
      </c>
      <c r="E4503" s="2" t="s">
        <v>609</v>
      </c>
      <c r="F4503" t="s">
        <v>11526</v>
      </c>
      <c r="G4503" t="str">
        <f>HYPERLINK("https://www.yeongnam.com/web/view.php?key=20240223001155102")</f>
        <v>https://www.yeongnam.com/web/view.php?key=20240223001155102</v>
      </c>
      <c r="H4503">
        <v>0.50700000000000001</v>
      </c>
    </row>
    <row r="4504" spans="1:8" x14ac:dyDescent="0.3">
      <c r="A4504" t="s">
        <v>9678</v>
      </c>
      <c r="B4504" t="s">
        <v>26951</v>
      </c>
      <c r="C4504" t="s">
        <v>11530</v>
      </c>
      <c r="D4504" t="s">
        <v>11529</v>
      </c>
      <c r="E4504" s="2" t="s">
        <v>609</v>
      </c>
      <c r="F4504" t="s">
        <v>5342</v>
      </c>
      <c r="G4504" t="str">
        <f>HYPERLINK("http://www.readersnews.com/news/articleView.html?idxno=115352")</f>
        <v>http://www.readersnews.com/news/articleView.html?idxno=115352</v>
      </c>
      <c r="H4504">
        <v>0.71</v>
      </c>
    </row>
    <row r="4505" spans="1:8" x14ac:dyDescent="0.3">
      <c r="A4505" t="s">
        <v>9678</v>
      </c>
      <c r="B4505" t="s">
        <v>26951</v>
      </c>
      <c r="C4505" t="s">
        <v>11532</v>
      </c>
      <c r="D4505" t="s">
        <v>11531</v>
      </c>
      <c r="E4505" s="2" t="s">
        <v>609</v>
      </c>
      <c r="F4505" t="s">
        <v>11346</v>
      </c>
      <c r="G4505" t="str">
        <f>HYPERLINK("https://n.news.naver.com/mnews/article/018/0006035032?sid=104")</f>
        <v>https://n.news.naver.com/mnews/article/018/0006035032?sid=104</v>
      </c>
      <c r="H4505">
        <v>0.32900000000000001</v>
      </c>
    </row>
    <row r="4506" spans="1:8" x14ac:dyDescent="0.3">
      <c r="A4506" t="s">
        <v>9678</v>
      </c>
      <c r="B4506" t="s">
        <v>26951</v>
      </c>
      <c r="C4506" t="s">
        <v>11535</v>
      </c>
      <c r="D4506" t="s">
        <v>11534</v>
      </c>
      <c r="E4506" s="2" t="s">
        <v>609</v>
      </c>
      <c r="F4506" t="s">
        <v>11533</v>
      </c>
      <c r="G4506" t="str">
        <f>HYPERLINK("https://www.womaneconomy.co.kr/news/articleView.html?idxno=92712")</f>
        <v>https://www.womaneconomy.co.kr/news/articleView.html?idxno=92712</v>
      </c>
      <c r="H4506">
        <v>0.74299999999999999</v>
      </c>
    </row>
    <row r="4507" spans="1:8" x14ac:dyDescent="0.3">
      <c r="A4507" t="s">
        <v>9678</v>
      </c>
      <c r="B4507" t="s">
        <v>26951</v>
      </c>
      <c r="C4507" t="s">
        <v>11537</v>
      </c>
      <c r="D4507" t="s">
        <v>11536</v>
      </c>
      <c r="E4507" s="2" t="s">
        <v>609</v>
      </c>
      <c r="F4507" t="s">
        <v>10471</v>
      </c>
      <c r="G4507" t="str">
        <f>HYPERLINK("https://www.lecturernews.com/news/articleView.html?idxno=179992")</f>
        <v>https://www.lecturernews.com/news/articleView.html?idxno=179992</v>
      </c>
      <c r="H4507">
        <v>0.67300000000000004</v>
      </c>
    </row>
    <row r="4508" spans="1:8" x14ac:dyDescent="0.3">
      <c r="A4508" t="s">
        <v>9678</v>
      </c>
      <c r="B4508" t="s">
        <v>26951</v>
      </c>
      <c r="C4508" t="s">
        <v>11539</v>
      </c>
      <c r="D4508" t="s">
        <v>11538</v>
      </c>
      <c r="E4508" s="2" t="s">
        <v>609</v>
      </c>
      <c r="F4508" t="s">
        <v>111</v>
      </c>
      <c r="G4508" t="str">
        <f>HYPERLINK("https://n.news.naver.com/mnews/article/214/0001429181?sid=154")</f>
        <v>https://n.news.naver.com/mnews/article/214/0001429181?sid=154</v>
      </c>
      <c r="H4508">
        <v>0.20300000000000001</v>
      </c>
    </row>
    <row r="4509" spans="1:8" x14ac:dyDescent="0.3">
      <c r="A4509" t="s">
        <v>9678</v>
      </c>
      <c r="B4509" t="s">
        <v>26951</v>
      </c>
      <c r="C4509" t="s">
        <v>11541</v>
      </c>
      <c r="D4509" t="s">
        <v>11540</v>
      </c>
      <c r="E4509" s="2" t="s">
        <v>609</v>
      </c>
      <c r="F4509" t="s">
        <v>10471</v>
      </c>
      <c r="G4509" t="str">
        <f>HYPERLINK("https://www.lecturernews.com/news/articleView.html?idxno=179992")</f>
        <v>https://www.lecturernews.com/news/articleView.html?idxno=179992</v>
      </c>
      <c r="H4509">
        <v>0.68899999999999995</v>
      </c>
    </row>
    <row r="4510" spans="1:8" x14ac:dyDescent="0.3">
      <c r="A4510" t="s">
        <v>9678</v>
      </c>
      <c r="B4510" t="s">
        <v>26951</v>
      </c>
      <c r="C4510" t="s">
        <v>11543</v>
      </c>
      <c r="D4510" t="s">
        <v>11542</v>
      </c>
      <c r="E4510" s="2" t="s">
        <v>609</v>
      </c>
      <c r="F4510" t="s">
        <v>7606</v>
      </c>
      <c r="G4510" t="str">
        <f>HYPERLINK("https://www.apnews.kr/news/articleView.html?idxno=3013172")</f>
        <v>https://www.apnews.kr/news/articleView.html?idxno=3013172</v>
      </c>
      <c r="H4510">
        <v>0.35399999999999998</v>
      </c>
    </row>
    <row r="4511" spans="1:8" x14ac:dyDescent="0.3">
      <c r="A4511" t="s">
        <v>9678</v>
      </c>
      <c r="B4511" t="s">
        <v>26951</v>
      </c>
      <c r="C4511" t="s">
        <v>11545</v>
      </c>
      <c r="D4511" t="s">
        <v>11544</v>
      </c>
      <c r="E4511" s="2" t="s">
        <v>609</v>
      </c>
      <c r="F4511" t="s">
        <v>10471</v>
      </c>
      <c r="G4511" t="str">
        <f>HYPERLINK("https://www.lecturernews.com/news/articleView.html?idxno=179992")</f>
        <v>https://www.lecturernews.com/news/articleView.html?idxno=179992</v>
      </c>
      <c r="H4511">
        <v>0.65400000000000003</v>
      </c>
    </row>
    <row r="4512" spans="1:8" x14ac:dyDescent="0.3">
      <c r="A4512" t="s">
        <v>9678</v>
      </c>
      <c r="B4512" t="s">
        <v>26951</v>
      </c>
      <c r="C4512" t="s">
        <v>11547</v>
      </c>
      <c r="D4512" t="s">
        <v>10236</v>
      </c>
      <c r="E4512" s="2" t="s">
        <v>609</v>
      </c>
      <c r="F4512" t="s">
        <v>11546</v>
      </c>
      <c r="G4512" t="str">
        <f>HYPERLINK("http://www.breaknews.com/1122071")</f>
        <v>http://www.breaknews.com/1122071</v>
      </c>
      <c r="H4512">
        <v>0.11799999999999999</v>
      </c>
    </row>
    <row r="4513" spans="1:8" x14ac:dyDescent="0.3">
      <c r="A4513" t="s">
        <v>9678</v>
      </c>
      <c r="B4513" t="s">
        <v>26951</v>
      </c>
      <c r="C4513" t="s">
        <v>11549</v>
      </c>
      <c r="D4513" t="s">
        <v>11548</v>
      </c>
      <c r="E4513" s="2" t="s">
        <v>609</v>
      </c>
      <c r="F4513" t="s">
        <v>10471</v>
      </c>
      <c r="G4513" t="str">
        <f>HYPERLINK("https://www.lecturernews.com/news/articleView.html?idxno=179992")</f>
        <v>https://www.lecturernews.com/news/articleView.html?idxno=179992</v>
      </c>
      <c r="H4513">
        <v>0.63300000000000001</v>
      </c>
    </row>
    <row r="4514" spans="1:8" x14ac:dyDescent="0.3">
      <c r="A4514" t="s">
        <v>9678</v>
      </c>
      <c r="B4514" t="s">
        <v>26951</v>
      </c>
      <c r="C4514" t="s">
        <v>11551</v>
      </c>
      <c r="D4514" t="s">
        <v>11550</v>
      </c>
      <c r="E4514" s="2" t="s">
        <v>609</v>
      </c>
      <c r="F4514" t="s">
        <v>10471</v>
      </c>
      <c r="G4514" t="str">
        <f>HYPERLINK("https://www.lecturernews.com/news/articleView.html?idxno=179992")</f>
        <v>https://www.lecturernews.com/news/articleView.html?idxno=179992</v>
      </c>
      <c r="H4514">
        <v>0.66800000000000004</v>
      </c>
    </row>
    <row r="4515" spans="1:8" x14ac:dyDescent="0.3">
      <c r="A4515" t="s">
        <v>9678</v>
      </c>
      <c r="B4515" t="s">
        <v>26951</v>
      </c>
      <c r="C4515" t="s">
        <v>11554</v>
      </c>
      <c r="D4515" t="s">
        <v>11553</v>
      </c>
      <c r="E4515" s="2" t="s">
        <v>609</v>
      </c>
      <c r="F4515" t="s">
        <v>11552</v>
      </c>
      <c r="G4515" t="str">
        <f>HYPERLINK("https://www.lecturernews.com/news/articleView.html?idxno=180063")</f>
        <v>https://www.lecturernews.com/news/articleView.html?idxno=180063</v>
      </c>
      <c r="H4515">
        <v>0.95699999999999996</v>
      </c>
    </row>
    <row r="4516" spans="1:8" x14ac:dyDescent="0.3">
      <c r="A4516" t="s">
        <v>9678</v>
      </c>
      <c r="B4516" t="s">
        <v>26951</v>
      </c>
      <c r="C4516" t="s">
        <v>11556</v>
      </c>
      <c r="D4516" t="s">
        <v>11555</v>
      </c>
      <c r="E4516" s="2" t="s">
        <v>609</v>
      </c>
      <c r="F4516" t="s">
        <v>10415</v>
      </c>
      <c r="G4516" t="str">
        <f>HYPERLINK("https://www.laborplus.co.kr/news/articleView.html?idxno=35745")</f>
        <v>https://www.laborplus.co.kr/news/articleView.html?idxno=35745</v>
      </c>
      <c r="H4516">
        <v>0.38100000000000001</v>
      </c>
    </row>
    <row r="4517" spans="1:8" x14ac:dyDescent="0.3">
      <c r="A4517" t="s">
        <v>9678</v>
      </c>
      <c r="B4517" t="s">
        <v>26951</v>
      </c>
      <c r="C4517" t="s">
        <v>11559</v>
      </c>
      <c r="D4517" t="s">
        <v>11558</v>
      </c>
      <c r="E4517" s="2" t="s">
        <v>609</v>
      </c>
      <c r="F4517" t="s">
        <v>96</v>
      </c>
      <c r="G4517" t="str">
        <f>HYPERLINK("https://www.apnews.kr/news/articleView.html?idxno=3036114")</f>
        <v>https://www.apnews.kr/news/articleView.html?idxno=3036114</v>
      </c>
      <c r="H4517">
        <v>0.64500000000000002</v>
      </c>
    </row>
    <row r="4518" spans="1:8" x14ac:dyDescent="0.3">
      <c r="A4518" t="s">
        <v>9678</v>
      </c>
      <c r="B4518" t="s">
        <v>26951</v>
      </c>
      <c r="C4518" t="s">
        <v>11561</v>
      </c>
      <c r="D4518" t="s">
        <v>11560</v>
      </c>
      <c r="E4518" s="2" t="s">
        <v>609</v>
      </c>
      <c r="F4518" t="s">
        <v>96</v>
      </c>
      <c r="G4518" t="str">
        <f>HYPERLINK("https://n.news.naver.com/mnews/article/006/0000130668?sid=100")</f>
        <v>https://n.news.naver.com/mnews/article/006/0000130668?sid=100</v>
      </c>
      <c r="H4518">
        <v>0.33500000000000002</v>
      </c>
    </row>
    <row r="4519" spans="1:8" x14ac:dyDescent="0.3">
      <c r="A4519" t="s">
        <v>9678</v>
      </c>
      <c r="B4519" t="s">
        <v>26951</v>
      </c>
      <c r="C4519" t="s">
        <v>11564</v>
      </c>
      <c r="D4519" t="s">
        <v>11563</v>
      </c>
      <c r="E4519" s="2" t="s">
        <v>609</v>
      </c>
      <c r="F4519" t="s">
        <v>11562</v>
      </c>
      <c r="G4519" t="str">
        <f>HYPERLINK("http://www.ftoday.co.kr/news/articleView.html?idxno=342591")</f>
        <v>http://www.ftoday.co.kr/news/articleView.html?idxno=342591</v>
      </c>
      <c r="H4519">
        <v>0.38500000000000001</v>
      </c>
    </row>
    <row r="4520" spans="1:8" x14ac:dyDescent="0.3">
      <c r="A4520" t="s">
        <v>9678</v>
      </c>
      <c r="B4520" t="s">
        <v>26951</v>
      </c>
      <c r="C4520" t="s">
        <v>11567</v>
      </c>
      <c r="D4520" t="s">
        <v>11566</v>
      </c>
      <c r="E4520" s="2" t="s">
        <v>609</v>
      </c>
      <c r="F4520" t="s">
        <v>11565</v>
      </c>
      <c r="G4520" t="str">
        <f>HYPERLINK("https://www.gosiweek.com/article/1065574588898049")</f>
        <v>https://www.gosiweek.com/article/1065574588898049</v>
      </c>
      <c r="H4520">
        <v>0.98099999999999998</v>
      </c>
    </row>
    <row r="4521" spans="1:8" x14ac:dyDescent="0.3">
      <c r="A4521" t="s">
        <v>9678</v>
      </c>
      <c r="B4521" t="s">
        <v>26951</v>
      </c>
      <c r="C4521" t="s">
        <v>11569</v>
      </c>
      <c r="D4521" t="s">
        <v>11568</v>
      </c>
      <c r="E4521" s="2" t="s">
        <v>609</v>
      </c>
      <c r="F4521" t="s">
        <v>10433</v>
      </c>
      <c r="G4521" t="str">
        <f>HYPERLINK("http://www.ggilbo.com/news/articleView.html?idxno=785349")</f>
        <v>http://www.ggilbo.com/news/articleView.html?idxno=785349</v>
      </c>
      <c r="H4521">
        <v>0.52900000000000003</v>
      </c>
    </row>
    <row r="4522" spans="1:8" x14ac:dyDescent="0.3">
      <c r="A4522" t="s">
        <v>9678</v>
      </c>
      <c r="B4522" t="s">
        <v>26951</v>
      </c>
      <c r="C4522" t="s">
        <v>11572</v>
      </c>
      <c r="D4522" t="s">
        <v>11571</v>
      </c>
      <c r="E4522" s="2" t="s">
        <v>609</v>
      </c>
      <c r="F4522" t="s">
        <v>11570</v>
      </c>
      <c r="G4522" t="str">
        <f>HYPERLINK("http://www.lecturernews.com/news/articleView.html?idxno=101952")</f>
        <v>http://www.lecturernews.com/news/articleView.html?idxno=101952</v>
      </c>
      <c r="H4522">
        <v>0.45100000000000001</v>
      </c>
    </row>
    <row r="4523" spans="1:8" x14ac:dyDescent="0.3">
      <c r="A4523" t="s">
        <v>9678</v>
      </c>
      <c r="B4523" t="s">
        <v>26951</v>
      </c>
      <c r="C4523" t="s">
        <v>11575</v>
      </c>
      <c r="D4523" t="s">
        <v>11574</v>
      </c>
      <c r="E4523" s="2" t="s">
        <v>653</v>
      </c>
      <c r="F4523" t="s">
        <v>11573</v>
      </c>
      <c r="G4523" t="str">
        <f>HYPERLINK("https://www.jejusori.net/news/articleView.html?idxno=437325")</f>
        <v>https://www.jejusori.net/news/articleView.html?idxno=437325</v>
      </c>
      <c r="H4523">
        <v>0.311</v>
      </c>
    </row>
    <row r="4524" spans="1:8" x14ac:dyDescent="0.3">
      <c r="A4524" t="s">
        <v>9678</v>
      </c>
      <c r="B4524" t="s">
        <v>26951</v>
      </c>
      <c r="C4524" t="s">
        <v>11577</v>
      </c>
      <c r="D4524" t="s">
        <v>11576</v>
      </c>
      <c r="E4524" s="2" t="s">
        <v>653</v>
      </c>
      <c r="F4524" t="s">
        <v>5724</v>
      </c>
      <c r="G4524" t="str">
        <f>HYPERLINK("https://www.apnews.kr/news/articleView.html?idxno=3026479")</f>
        <v>https://www.apnews.kr/news/articleView.html?idxno=3026479</v>
      </c>
      <c r="H4524">
        <v>0.23100000000000001</v>
      </c>
    </row>
    <row r="4525" spans="1:8" x14ac:dyDescent="0.3">
      <c r="A4525" t="s">
        <v>9678</v>
      </c>
      <c r="B4525" t="s">
        <v>26951</v>
      </c>
      <c r="C4525" t="s">
        <v>11580</v>
      </c>
      <c r="D4525" t="s">
        <v>11579</v>
      </c>
      <c r="E4525" s="2" t="s">
        <v>653</v>
      </c>
      <c r="F4525" t="s">
        <v>11578</v>
      </c>
      <c r="G4525" t="str">
        <f>HYPERLINK("https://www.ggilbo.com/news/articleView.html?idxno=1094494")</f>
        <v>https://www.ggilbo.com/news/articleView.html?idxno=1094494</v>
      </c>
      <c r="H4525">
        <v>0.316</v>
      </c>
    </row>
    <row r="4526" spans="1:8" x14ac:dyDescent="0.3">
      <c r="A4526" t="s">
        <v>9678</v>
      </c>
      <c r="B4526" t="s">
        <v>26951</v>
      </c>
      <c r="C4526" t="s">
        <v>11582</v>
      </c>
      <c r="D4526" t="s">
        <v>11581</v>
      </c>
      <c r="E4526" s="2" t="s">
        <v>653</v>
      </c>
      <c r="F4526" t="s">
        <v>6930</v>
      </c>
      <c r="G4526" t="str">
        <f>HYPERLINK("https://www.kbmaeil.com/article/20250701500730")</f>
        <v>https://www.kbmaeil.com/article/20250701500730</v>
      </c>
      <c r="H4526">
        <v>0.11700000000000001</v>
      </c>
    </row>
    <row r="4527" spans="1:8" x14ac:dyDescent="0.3">
      <c r="A4527" t="s">
        <v>9678</v>
      </c>
      <c r="B4527" t="s">
        <v>26951</v>
      </c>
      <c r="C4527" t="s">
        <v>11584</v>
      </c>
      <c r="D4527" t="s">
        <v>11583</v>
      </c>
      <c r="E4527" s="2" t="s">
        <v>653</v>
      </c>
      <c r="F4527" t="s">
        <v>9944</v>
      </c>
      <c r="G4527" t="str">
        <f>HYPERLINK("https://www.lecturernews.com/news/articleView.html?idxno=179992")</f>
        <v>https://www.lecturernews.com/news/articleView.html?idxno=179992</v>
      </c>
      <c r="H4527">
        <v>0.58799999999999997</v>
      </c>
    </row>
    <row r="4528" spans="1:8" x14ac:dyDescent="0.3">
      <c r="A4528" t="s">
        <v>9678</v>
      </c>
      <c r="B4528" t="s">
        <v>26951</v>
      </c>
      <c r="C4528" t="s">
        <v>11586</v>
      </c>
      <c r="D4528" t="s">
        <v>11585</v>
      </c>
      <c r="E4528" s="2" t="s">
        <v>653</v>
      </c>
      <c r="F4528" t="s">
        <v>6529</v>
      </c>
      <c r="G4528" t="str">
        <f>HYPERLINK("http://www.fntoday.co.kr/news/articleView.html?idxno=353615")</f>
        <v>http://www.fntoday.co.kr/news/articleView.html?idxno=353615</v>
      </c>
      <c r="H4528">
        <v>0.96099999999999997</v>
      </c>
    </row>
    <row r="4529" spans="1:8" x14ac:dyDescent="0.3">
      <c r="A4529" t="s">
        <v>9678</v>
      </c>
      <c r="B4529" t="s">
        <v>26951</v>
      </c>
      <c r="C4529" t="s">
        <v>11588</v>
      </c>
      <c r="D4529" t="s">
        <v>11587</v>
      </c>
      <c r="E4529" s="2" t="s">
        <v>653</v>
      </c>
      <c r="F4529" t="s">
        <v>119</v>
      </c>
      <c r="G4529" t="str">
        <f>HYPERLINK("http://www.etoday.co.kr/news/section/newsview.php?idxno=1078653")</f>
        <v>http://www.etoday.co.kr/news/section/newsview.php?idxno=1078653</v>
      </c>
      <c r="H4529">
        <v>0.32200000000000001</v>
      </c>
    </row>
    <row r="4530" spans="1:8" x14ac:dyDescent="0.3">
      <c r="A4530" t="s">
        <v>9678</v>
      </c>
      <c r="B4530" t="s">
        <v>26951</v>
      </c>
      <c r="C4530" t="s">
        <v>11590</v>
      </c>
      <c r="D4530" t="s">
        <v>11589</v>
      </c>
      <c r="E4530" s="2" t="s">
        <v>653</v>
      </c>
      <c r="F4530" t="s">
        <v>3420</v>
      </c>
      <c r="G4530" t="str">
        <f>HYPERLINK("https://www.newsclaim.co.kr/news/articleView.html?idxno=3039187")</f>
        <v>https://www.newsclaim.co.kr/news/articleView.html?idxno=3039187</v>
      </c>
      <c r="H4530">
        <v>0.44500000000000001</v>
      </c>
    </row>
    <row r="4531" spans="1:8" x14ac:dyDescent="0.3">
      <c r="A4531" t="s">
        <v>9678</v>
      </c>
      <c r="B4531" t="s">
        <v>26951</v>
      </c>
      <c r="C4531" t="s">
        <v>11592</v>
      </c>
      <c r="D4531" t="s">
        <v>11591</v>
      </c>
      <c r="E4531" s="2" t="s">
        <v>653</v>
      </c>
      <c r="F4531" t="s">
        <v>9929</v>
      </c>
      <c r="G4531" t="str">
        <f>HYPERLINK("https://ilyo.co.kr/?ac=article_view&amp;entry_id=494480")</f>
        <v>https://ilyo.co.kr/?ac=article_view&amp;entry_id=494480</v>
      </c>
      <c r="H4531">
        <v>0.108</v>
      </c>
    </row>
    <row r="4532" spans="1:8" x14ac:dyDescent="0.3">
      <c r="A4532" t="s">
        <v>9678</v>
      </c>
      <c r="B4532" t="s">
        <v>26951</v>
      </c>
      <c r="C4532" t="s">
        <v>6058</v>
      </c>
      <c r="D4532" t="s">
        <v>6057</v>
      </c>
      <c r="E4532" s="2" t="s">
        <v>653</v>
      </c>
      <c r="F4532" t="s">
        <v>197</v>
      </c>
      <c r="G4532" t="str">
        <f>HYPERLINK("https://www.ilyoseoul.co.kr/news/articleView.html?idxno=499837")</f>
        <v>https://www.ilyoseoul.co.kr/news/articleView.html?idxno=499837</v>
      </c>
      <c r="H4532">
        <v>0.58199999999999996</v>
      </c>
    </row>
    <row r="4533" spans="1:8" x14ac:dyDescent="0.3">
      <c r="A4533" t="s">
        <v>9678</v>
      </c>
      <c r="B4533" t="s">
        <v>26951</v>
      </c>
      <c r="C4533" t="s">
        <v>11594</v>
      </c>
      <c r="D4533" t="s">
        <v>11593</v>
      </c>
      <c r="E4533" s="2" t="s">
        <v>653</v>
      </c>
      <c r="F4533" t="s">
        <v>9679</v>
      </c>
      <c r="G4533" t="str">
        <f>HYPERLINK("https://www.dkilbo.com/news/articleView.html?idxno=502505")</f>
        <v>https://www.dkilbo.com/news/articleView.html?idxno=502505</v>
      </c>
      <c r="H4533">
        <v>0.58299999999999996</v>
      </c>
    </row>
    <row r="4534" spans="1:8" x14ac:dyDescent="0.3">
      <c r="A4534" t="s">
        <v>9678</v>
      </c>
      <c r="B4534" t="s">
        <v>26951</v>
      </c>
      <c r="C4534" t="s">
        <v>11596</v>
      </c>
      <c r="D4534" t="s">
        <v>11595</v>
      </c>
      <c r="E4534" s="2" t="s">
        <v>653</v>
      </c>
      <c r="F4534" t="s">
        <v>460</v>
      </c>
      <c r="G4534" t="str">
        <f>HYPERLINK("https://n.news.naver.com/mnews/article/022/0004042115?sid=102")</f>
        <v>https://n.news.naver.com/mnews/article/022/0004042115?sid=102</v>
      </c>
      <c r="H4534">
        <v>0.30599999999999999</v>
      </c>
    </row>
    <row r="4535" spans="1:8" x14ac:dyDescent="0.3">
      <c r="A4535" t="s">
        <v>9678</v>
      </c>
      <c r="B4535" t="s">
        <v>26951</v>
      </c>
      <c r="C4535" t="s">
        <v>11599</v>
      </c>
      <c r="D4535" t="s">
        <v>11598</v>
      </c>
      <c r="E4535" s="2" t="s">
        <v>653</v>
      </c>
      <c r="F4535" t="s">
        <v>11597</v>
      </c>
      <c r="G4535" t="str">
        <f>HYPERLINK("https://www.jejudomin.co.kr/news/articleView.html?idxno=310951")</f>
        <v>https://www.jejudomin.co.kr/news/articleView.html?idxno=310951</v>
      </c>
      <c r="H4535">
        <v>0.65100000000000002</v>
      </c>
    </row>
    <row r="4536" spans="1:8" x14ac:dyDescent="0.3">
      <c r="A4536" t="s">
        <v>9678</v>
      </c>
      <c r="B4536" t="s">
        <v>26951</v>
      </c>
      <c r="C4536" t="s">
        <v>11601</v>
      </c>
      <c r="D4536" t="s">
        <v>11600</v>
      </c>
      <c r="E4536" s="2" t="s">
        <v>653</v>
      </c>
      <c r="F4536" t="s">
        <v>10297</v>
      </c>
      <c r="G4536" t="str">
        <f>HYPERLINK("http://www.kyosu.net/news/articleView.html?idxno=43084")</f>
        <v>http://www.kyosu.net/news/articleView.html?idxno=43084</v>
      </c>
      <c r="H4536">
        <v>0.45800000000000002</v>
      </c>
    </row>
    <row r="4537" spans="1:8" x14ac:dyDescent="0.3">
      <c r="A4537" t="s">
        <v>9678</v>
      </c>
      <c r="B4537" t="s">
        <v>26951</v>
      </c>
      <c r="C4537" t="s">
        <v>11603</v>
      </c>
      <c r="D4537" t="s">
        <v>11602</v>
      </c>
      <c r="E4537" s="2" t="s">
        <v>653</v>
      </c>
      <c r="F4537" t="s">
        <v>10120</v>
      </c>
      <c r="G4537" t="str">
        <f>HYPERLINK("https://n.news.naver.com/mnews/article/214/0001430271?sid=100")</f>
        <v>https://n.news.naver.com/mnews/article/214/0001430271?sid=100</v>
      </c>
      <c r="H4537">
        <v>0.214</v>
      </c>
    </row>
    <row r="4538" spans="1:8" x14ac:dyDescent="0.3">
      <c r="A4538" t="s">
        <v>9678</v>
      </c>
      <c r="B4538" t="s">
        <v>26951</v>
      </c>
      <c r="C4538" t="s">
        <v>11605</v>
      </c>
      <c r="D4538" t="s">
        <v>11604</v>
      </c>
      <c r="E4538" s="2" t="s">
        <v>653</v>
      </c>
      <c r="F4538" t="s">
        <v>1960</v>
      </c>
      <c r="G4538" t="str">
        <f>HYPERLINK("https://www.cstimes.com/news/articleView.html?idxno=654547")</f>
        <v>https://www.cstimes.com/news/articleView.html?idxno=654547</v>
      </c>
      <c r="H4538">
        <v>0.38600000000000001</v>
      </c>
    </row>
    <row r="4539" spans="1:8" x14ac:dyDescent="0.3">
      <c r="A4539" t="s">
        <v>9678</v>
      </c>
      <c r="B4539" t="s">
        <v>26951</v>
      </c>
      <c r="C4539" t="s">
        <v>11608</v>
      </c>
      <c r="D4539" t="s">
        <v>11607</v>
      </c>
      <c r="E4539" s="2" t="s">
        <v>653</v>
      </c>
      <c r="F4539" t="s">
        <v>11606</v>
      </c>
      <c r="G4539" t="str">
        <f>HYPERLINK("http://www.asiatoday.co.kr/view.php?key=20140322002002061")</f>
        <v>http://www.asiatoday.co.kr/view.php?key=20140322002002061</v>
      </c>
      <c r="H4539">
        <v>0.23</v>
      </c>
    </row>
    <row r="4540" spans="1:8" x14ac:dyDescent="0.3">
      <c r="A4540" t="s">
        <v>9678</v>
      </c>
      <c r="B4540" t="s">
        <v>26951</v>
      </c>
      <c r="C4540" t="s">
        <v>11611</v>
      </c>
      <c r="D4540" t="s">
        <v>11610</v>
      </c>
      <c r="E4540" s="2" t="s">
        <v>653</v>
      </c>
      <c r="F4540" t="s">
        <v>11609</v>
      </c>
      <c r="G4540" t="str">
        <f>HYPERLINK("https://www.eroun.net/news/articleView.html?idxno=47821")</f>
        <v>https://www.eroun.net/news/articleView.html?idxno=47821</v>
      </c>
      <c r="H4540">
        <v>0.42599999999999999</v>
      </c>
    </row>
    <row r="4541" spans="1:8" x14ac:dyDescent="0.3">
      <c r="A4541" t="s">
        <v>9678</v>
      </c>
      <c r="B4541" t="s">
        <v>26951</v>
      </c>
      <c r="C4541" t="s">
        <v>11614</v>
      </c>
      <c r="D4541" t="s">
        <v>11613</v>
      </c>
      <c r="E4541" s="2" t="s">
        <v>653</v>
      </c>
      <c r="F4541" t="s">
        <v>11612</v>
      </c>
      <c r="G4541" t="str">
        <f>HYPERLINK("http://www.enewstoday.co.kr/news/articleView.html?idxno=1524243")</f>
        <v>http://www.enewstoday.co.kr/news/articleView.html?idxno=1524243</v>
      </c>
      <c r="H4541">
        <v>0.46100000000000002</v>
      </c>
    </row>
    <row r="4542" spans="1:8" x14ac:dyDescent="0.3">
      <c r="A4542" t="s">
        <v>9678</v>
      </c>
      <c r="B4542" t="s">
        <v>26951</v>
      </c>
      <c r="C4542" t="s">
        <v>11620</v>
      </c>
      <c r="D4542" t="s">
        <v>11619</v>
      </c>
      <c r="E4542" s="2" t="s">
        <v>653</v>
      </c>
      <c r="F4542" t="s">
        <v>11618</v>
      </c>
      <c r="G4542" t="str">
        <f>HYPERLINK("http://www.jbsori.com/news/articleView.html?idxno=15090")</f>
        <v>http://www.jbsori.com/news/articleView.html?idxno=15090</v>
      </c>
      <c r="H4542">
        <v>0.48</v>
      </c>
    </row>
    <row r="4543" spans="1:8" x14ac:dyDescent="0.3">
      <c r="A4543" t="s">
        <v>9678</v>
      </c>
      <c r="B4543" t="s">
        <v>26951</v>
      </c>
      <c r="C4543" t="s">
        <v>11623</v>
      </c>
      <c r="D4543" t="s">
        <v>11622</v>
      </c>
      <c r="E4543" s="2" t="s">
        <v>653</v>
      </c>
      <c r="F4543" t="s">
        <v>11621</v>
      </c>
      <c r="G4543" t="str">
        <f>HYPERLINK("https://www.kukinews.com/article/view/kuk202506300227")</f>
        <v>https://www.kukinews.com/article/view/kuk202506300227</v>
      </c>
      <c r="H4543">
        <v>0.34100000000000003</v>
      </c>
    </row>
    <row r="4544" spans="1:8" x14ac:dyDescent="0.3">
      <c r="A4544" t="s">
        <v>9678</v>
      </c>
      <c r="B4544" t="s">
        <v>26951</v>
      </c>
      <c r="C4544" t="s">
        <v>11625</v>
      </c>
      <c r="D4544" t="s">
        <v>11624</v>
      </c>
      <c r="E4544" s="2" t="s">
        <v>653</v>
      </c>
      <c r="F4544" t="s">
        <v>10260</v>
      </c>
      <c r="G4544" t="str">
        <f>HYPERLINK("https://ch.yes24.com/Article/View/55617")</f>
        <v>https://ch.yes24.com/Article/View/55617</v>
      </c>
      <c r="H4544">
        <v>0.42499999999999999</v>
      </c>
    </row>
    <row r="4545" spans="1:8" x14ac:dyDescent="0.3">
      <c r="A4545" t="s">
        <v>9678</v>
      </c>
      <c r="B4545" t="s">
        <v>26951</v>
      </c>
      <c r="C4545" t="s">
        <v>11627</v>
      </c>
      <c r="D4545" t="s">
        <v>11626</v>
      </c>
      <c r="E4545" s="2" t="s">
        <v>653</v>
      </c>
      <c r="F4545" t="s">
        <v>6871</v>
      </c>
      <c r="G4545" t="str">
        <f>HYPERLINK("https://news.bbsi.co.kr/news/articleView.html?idxno=4033701")</f>
        <v>https://news.bbsi.co.kr/news/articleView.html?idxno=4033701</v>
      </c>
      <c r="H4545">
        <v>0.42799999999999999</v>
      </c>
    </row>
    <row r="4546" spans="1:8" x14ac:dyDescent="0.3">
      <c r="A4546" t="s">
        <v>9678</v>
      </c>
      <c r="B4546" t="s">
        <v>26951</v>
      </c>
      <c r="C4546" t="s">
        <v>11630</v>
      </c>
      <c r="D4546" t="s">
        <v>11629</v>
      </c>
      <c r="E4546" s="2" t="s">
        <v>653</v>
      </c>
      <c r="F4546" t="s">
        <v>11628</v>
      </c>
      <c r="G4546" t="str">
        <f>HYPERLINK("https://n.news.naver.com/mnews/article/016/0002481819?sid=102")</f>
        <v>https://n.news.naver.com/mnews/article/016/0002481819?sid=102</v>
      </c>
      <c r="H4546">
        <v>0.26800000000000002</v>
      </c>
    </row>
    <row r="4547" spans="1:8" x14ac:dyDescent="0.3">
      <c r="A4547" t="s">
        <v>9678</v>
      </c>
      <c r="B4547" t="s">
        <v>26951</v>
      </c>
      <c r="C4547" t="s">
        <v>11633</v>
      </c>
      <c r="D4547" t="s">
        <v>11632</v>
      </c>
      <c r="E4547" s="2" t="s">
        <v>653</v>
      </c>
      <c r="F4547" t="s">
        <v>11631</v>
      </c>
      <c r="G4547" t="str">
        <f>HYPERLINK("http://www.newsam.co.kr/news/article.html?no=24992")</f>
        <v>http://www.newsam.co.kr/news/article.html?no=24992</v>
      </c>
      <c r="H4547">
        <v>0.56799999999999995</v>
      </c>
    </row>
    <row r="4548" spans="1:8" x14ac:dyDescent="0.3">
      <c r="A4548" t="s">
        <v>9678</v>
      </c>
      <c r="B4548" t="s">
        <v>26951</v>
      </c>
      <c r="C4548" t="s">
        <v>11635</v>
      </c>
      <c r="D4548" t="s">
        <v>11634</v>
      </c>
      <c r="E4548" s="2" t="s">
        <v>653</v>
      </c>
      <c r="F4548" t="s">
        <v>10111</v>
      </c>
      <c r="G4548" t="str">
        <f>HYPERLINK("https://www.nbntv.co.kr/news/articleView.html?idxno=4002256")</f>
        <v>https://www.nbntv.co.kr/news/articleView.html?idxno=4002256</v>
      </c>
      <c r="H4548">
        <v>0.69899999999999995</v>
      </c>
    </row>
    <row r="4549" spans="1:8" x14ac:dyDescent="0.3">
      <c r="A4549" t="s">
        <v>9678</v>
      </c>
      <c r="B4549" t="s">
        <v>26951</v>
      </c>
      <c r="C4549" t="s">
        <v>11638</v>
      </c>
      <c r="D4549" t="s">
        <v>11637</v>
      </c>
      <c r="E4549" s="2" t="s">
        <v>653</v>
      </c>
      <c r="F4549" t="s">
        <v>11636</v>
      </c>
      <c r="G4549" t="str">
        <f>HYPERLINK("http://www.beopbo.com/news/articleView.html?idxno=309044")</f>
        <v>http://www.beopbo.com/news/articleView.html?idxno=309044</v>
      </c>
      <c r="H4549">
        <v>0.4</v>
      </c>
    </row>
    <row r="4550" spans="1:8" x14ac:dyDescent="0.3">
      <c r="A4550" t="s">
        <v>9678</v>
      </c>
      <c r="B4550" t="s">
        <v>26951</v>
      </c>
      <c r="C4550" t="s">
        <v>11641</v>
      </c>
      <c r="D4550" t="s">
        <v>11640</v>
      </c>
      <c r="E4550" s="2" t="s">
        <v>653</v>
      </c>
      <c r="F4550" t="s">
        <v>11639</v>
      </c>
      <c r="G4550" t="str">
        <f>HYPERLINK("https://n.news.naver.com/mnews/article/079/0003722522?sid=102")</f>
        <v>https://n.news.naver.com/mnews/article/079/0003722522?sid=102</v>
      </c>
      <c r="H4550">
        <v>0.183</v>
      </c>
    </row>
    <row r="4551" spans="1:8" x14ac:dyDescent="0.3">
      <c r="A4551" t="s">
        <v>9678</v>
      </c>
      <c r="B4551" t="s">
        <v>26951</v>
      </c>
      <c r="C4551" t="s">
        <v>11643</v>
      </c>
      <c r="D4551" t="s">
        <v>11642</v>
      </c>
      <c r="E4551" s="2" t="s">
        <v>653</v>
      </c>
      <c r="F4551" t="s">
        <v>10433</v>
      </c>
      <c r="G4551" t="str">
        <f>HYPERLINK("https://n.news.naver.com/mnews/article/214/0001432254?sid=102")</f>
        <v>https://n.news.naver.com/mnews/article/214/0001432254?sid=102</v>
      </c>
      <c r="H4551">
        <v>0.252</v>
      </c>
    </row>
    <row r="4552" spans="1:8" x14ac:dyDescent="0.3">
      <c r="A4552" t="s">
        <v>9678</v>
      </c>
      <c r="B4552" t="s">
        <v>26951</v>
      </c>
      <c r="C4552" t="s">
        <v>11647</v>
      </c>
      <c r="D4552" t="s">
        <v>11646</v>
      </c>
      <c r="E4552" s="2" t="s">
        <v>653</v>
      </c>
      <c r="F4552" t="s">
        <v>11645</v>
      </c>
      <c r="G4552" t="str">
        <f>HYPERLINK("https://www.kgnews.co.kr/news/article.html?no=659864")</f>
        <v>https://www.kgnews.co.kr/news/article.html?no=659864</v>
      </c>
      <c r="H4552">
        <v>0.497</v>
      </c>
    </row>
    <row r="4553" spans="1:8" x14ac:dyDescent="0.3">
      <c r="A4553" t="s">
        <v>9678</v>
      </c>
      <c r="B4553" t="s">
        <v>26951</v>
      </c>
      <c r="C4553" t="s">
        <v>11649</v>
      </c>
      <c r="D4553" t="s">
        <v>11648</v>
      </c>
      <c r="E4553" s="2" t="s">
        <v>653</v>
      </c>
      <c r="F4553" t="s">
        <v>1606</v>
      </c>
      <c r="G4553" t="str">
        <f>HYPERLINK("https://www.pennmike.com/news/articleView.html?idxno=98320")</f>
        <v>https://www.pennmike.com/news/articleView.html?idxno=98320</v>
      </c>
      <c r="H4553">
        <v>0.20499999999999999</v>
      </c>
    </row>
    <row r="4554" spans="1:8" x14ac:dyDescent="0.3">
      <c r="A4554" t="s">
        <v>9678</v>
      </c>
      <c r="B4554" t="s">
        <v>26951</v>
      </c>
      <c r="C4554" t="s">
        <v>11652</v>
      </c>
      <c r="D4554" t="s">
        <v>11651</v>
      </c>
      <c r="E4554" s="2" t="s">
        <v>653</v>
      </c>
      <c r="F4554" t="s">
        <v>11650</v>
      </c>
      <c r="G4554" t="str">
        <f>HYPERLINK("http://www.mygoyang.com/news/articleView.html?idxno=84424")</f>
        <v>http://www.mygoyang.com/news/articleView.html?idxno=84424</v>
      </c>
      <c r="H4554">
        <v>0.28899999999999998</v>
      </c>
    </row>
    <row r="4555" spans="1:8" x14ac:dyDescent="0.3">
      <c r="A4555" t="s">
        <v>9678</v>
      </c>
      <c r="B4555" t="s">
        <v>26951</v>
      </c>
      <c r="C4555" t="s">
        <v>11654</v>
      </c>
      <c r="D4555" t="s">
        <v>11653</v>
      </c>
      <c r="E4555" s="2" t="s">
        <v>653</v>
      </c>
      <c r="F4555" t="s">
        <v>1378</v>
      </c>
      <c r="G4555" t="str">
        <f>HYPERLINK("https://n.news.naver.com/mnews/article/008/0004004560?sid=103")</f>
        <v>https://n.news.naver.com/mnews/article/008/0004004560?sid=103</v>
      </c>
      <c r="H4555">
        <v>0.23200000000000001</v>
      </c>
    </row>
    <row r="4556" spans="1:8" x14ac:dyDescent="0.3">
      <c r="A4556" t="s">
        <v>9678</v>
      </c>
      <c r="B4556" t="s">
        <v>26951</v>
      </c>
      <c r="C4556" t="s">
        <v>11659</v>
      </c>
      <c r="D4556" t="s">
        <v>11658</v>
      </c>
      <c r="E4556" s="2" t="s">
        <v>653</v>
      </c>
      <c r="F4556" t="s">
        <v>10149</v>
      </c>
      <c r="G4556" t="str">
        <f>HYPERLINK("http://www.breaknews.com/1093708")</f>
        <v>http://www.breaknews.com/1093708</v>
      </c>
      <c r="H4556">
        <v>0.26600000000000001</v>
      </c>
    </row>
    <row r="4557" spans="1:8" x14ac:dyDescent="0.3">
      <c r="A4557" t="s">
        <v>9678</v>
      </c>
      <c r="B4557" t="s">
        <v>26951</v>
      </c>
      <c r="C4557" t="s">
        <v>11662</v>
      </c>
      <c r="D4557" t="s">
        <v>11661</v>
      </c>
      <c r="E4557" s="2" t="s">
        <v>653</v>
      </c>
      <c r="F4557" t="s">
        <v>11660</v>
      </c>
      <c r="G4557" t="str">
        <f>HYPERLINK("https://n.news.naver.com/mnews/article/081/0003553999?sid=104")</f>
        <v>https://n.news.naver.com/mnews/article/081/0003553999?sid=104</v>
      </c>
      <c r="H4557">
        <v>0.32200000000000001</v>
      </c>
    </row>
    <row r="4558" spans="1:8" x14ac:dyDescent="0.3">
      <c r="A4558" t="s">
        <v>9678</v>
      </c>
      <c r="B4558" t="s">
        <v>26951</v>
      </c>
      <c r="C4558" t="s">
        <v>11665</v>
      </c>
      <c r="D4558" t="s">
        <v>11664</v>
      </c>
      <c r="E4558" s="2" t="s">
        <v>653</v>
      </c>
      <c r="F4558" t="s">
        <v>11663</v>
      </c>
      <c r="G4558" t="str">
        <f>HYPERLINK("https://www.ccreview.co.kr/news/articleView.html?idxno=326965")</f>
        <v>https://www.ccreview.co.kr/news/articleView.html?idxno=326965</v>
      </c>
      <c r="H4558">
        <v>0.47499999999999998</v>
      </c>
    </row>
    <row r="4559" spans="1:8" x14ac:dyDescent="0.3">
      <c r="A4559" t="s">
        <v>9678</v>
      </c>
      <c r="B4559" t="s">
        <v>26951</v>
      </c>
      <c r="C4559" t="s">
        <v>11670</v>
      </c>
      <c r="D4559" t="s">
        <v>11669</v>
      </c>
      <c r="E4559" s="2" t="s">
        <v>653</v>
      </c>
      <c r="F4559" t="s">
        <v>11668</v>
      </c>
      <c r="G4559" t="str">
        <f>HYPERLINK("https://www.obsnews.co.kr/news/articleView.html?idxno=1485134")</f>
        <v>https://www.obsnews.co.kr/news/articleView.html?idxno=1485134</v>
      </c>
      <c r="H4559">
        <v>0.58699999999999997</v>
      </c>
    </row>
    <row r="4560" spans="1:8" x14ac:dyDescent="0.3">
      <c r="A4560" t="s">
        <v>9678</v>
      </c>
      <c r="B4560" t="s">
        <v>26951</v>
      </c>
      <c r="C4560" t="s">
        <v>11673</v>
      </c>
      <c r="D4560" t="s">
        <v>11672</v>
      </c>
      <c r="E4560" s="2" t="s">
        <v>653</v>
      </c>
      <c r="F4560" t="s">
        <v>11671</v>
      </c>
      <c r="G4560" t="str">
        <f>HYPERLINK("https://n.news.naver.com/mnews/article/016/0002373546?sid=102")</f>
        <v>https://n.news.naver.com/mnews/article/016/0002373546?sid=102</v>
      </c>
      <c r="H4560">
        <v>0.307</v>
      </c>
    </row>
    <row r="4561" spans="1:8" x14ac:dyDescent="0.3">
      <c r="A4561" t="s">
        <v>9678</v>
      </c>
      <c r="B4561" t="s">
        <v>26951</v>
      </c>
      <c r="C4561" t="s">
        <v>11676</v>
      </c>
      <c r="D4561" t="s">
        <v>11675</v>
      </c>
      <c r="E4561" s="2" t="s">
        <v>653</v>
      </c>
      <c r="F4561" t="s">
        <v>11674</v>
      </c>
      <c r="G4561" t="str">
        <f>HYPERLINK("https://www.vogue.co.kr/2023/06/26/%eb%b0%80%ec%88%98%eb%9d%bc%eb%8a%94-%eb%b0%b0%ec%97%90-%ec%98%a4%eb%a5%b8-%ea%b9%80%ed%98%9c%ec%88%98-%ec%97%bc%ec%a0%95%ec%95%84-%ec%a1%b0%ec%9d%b8%ec%84%b1/?utm_source=naver&amp;utm_medium=partnership")</f>
        <v>https://www.vogue.co.kr/2023/06/26/%eb%b0%80%ec%88%98%eb%9d%bc%eb%8a%94-%eb%b0%b0%ec%97%90-%ec%98%a4%eb%a5%b8-%ea%b9%80%ed%98%9c%ec%88%98-%ec%97%bc%ec%a0%95%ec%95%84-%ec%a1%b0%ec%9d%b8%ec%84%b1/?utm_source=naver&amp;utm_medium=partnership</v>
      </c>
      <c r="H4561">
        <v>0.4</v>
      </c>
    </row>
    <row r="4562" spans="1:8" x14ac:dyDescent="0.3">
      <c r="A4562" t="s">
        <v>9678</v>
      </c>
      <c r="B4562" t="s">
        <v>26951</v>
      </c>
      <c r="C4562" t="s">
        <v>11679</v>
      </c>
      <c r="D4562" t="s">
        <v>11678</v>
      </c>
      <c r="E4562" s="2" t="s">
        <v>653</v>
      </c>
      <c r="F4562" t="s">
        <v>11677</v>
      </c>
      <c r="G4562" t="str">
        <f>HYPERLINK("https://www.jemin.com/news/articleView.html?idxno=810288")</f>
        <v>https://www.jemin.com/news/articleView.html?idxno=810288</v>
      </c>
      <c r="H4562">
        <v>0.26400000000000001</v>
      </c>
    </row>
    <row r="4563" spans="1:8" x14ac:dyDescent="0.3">
      <c r="A4563" t="s">
        <v>9678</v>
      </c>
      <c r="B4563" t="s">
        <v>26951</v>
      </c>
      <c r="C4563" t="s">
        <v>11682</v>
      </c>
      <c r="D4563" t="s">
        <v>11681</v>
      </c>
      <c r="E4563" s="2" t="s">
        <v>653</v>
      </c>
      <c r="F4563" t="s">
        <v>11680</v>
      </c>
      <c r="G4563" t="str">
        <f>HYPERLINK("https://n.news.naver.com/mnews/article/008/0005075651?sid=105")</f>
        <v>https://n.news.naver.com/mnews/article/008/0005075651?sid=105</v>
      </c>
      <c r="H4563">
        <v>0.16900000000000001</v>
      </c>
    </row>
    <row r="4564" spans="1:8" x14ac:dyDescent="0.3">
      <c r="A4564" t="s">
        <v>9678</v>
      </c>
      <c r="B4564" t="s">
        <v>26951</v>
      </c>
      <c r="C4564" t="s">
        <v>11684</v>
      </c>
      <c r="D4564" t="s">
        <v>11683</v>
      </c>
      <c r="E4564" s="2" t="s">
        <v>653</v>
      </c>
      <c r="F4564" t="s">
        <v>9679</v>
      </c>
      <c r="G4564" t="str">
        <f>HYPERLINK("https://sports.hankooki.com/news/articleView.html?idxno=6901898")</f>
        <v>https://sports.hankooki.com/news/articleView.html?idxno=6901898</v>
      </c>
      <c r="H4564">
        <v>0.60399999999999998</v>
      </c>
    </row>
    <row r="4565" spans="1:8" x14ac:dyDescent="0.3">
      <c r="A4565" t="s">
        <v>9678</v>
      </c>
      <c r="B4565" t="s">
        <v>26951</v>
      </c>
      <c r="C4565" t="s">
        <v>11688</v>
      </c>
      <c r="D4565" t="s">
        <v>11687</v>
      </c>
      <c r="E4565" s="2" t="s">
        <v>653</v>
      </c>
      <c r="F4565" t="s">
        <v>171</v>
      </c>
      <c r="G4565" t="str">
        <f>HYPERLINK("https://n.news.naver.com/mnews/article/081/0003553576?sid=100")</f>
        <v>https://n.news.naver.com/mnews/article/081/0003553576?sid=100</v>
      </c>
      <c r="H4565">
        <v>0.19500000000000001</v>
      </c>
    </row>
    <row r="4566" spans="1:8" x14ac:dyDescent="0.3">
      <c r="A4566" t="s">
        <v>9678</v>
      </c>
      <c r="B4566" t="s">
        <v>26951</v>
      </c>
      <c r="C4566" t="s">
        <v>11691</v>
      </c>
      <c r="D4566" t="s">
        <v>11690</v>
      </c>
      <c r="E4566" s="2" t="s">
        <v>653</v>
      </c>
      <c r="F4566" t="s">
        <v>11689</v>
      </c>
      <c r="G4566" t="str">
        <f>HYPERLINK("https://n.news.naver.com/mnews/article/028/0002748680?sid=100")</f>
        <v>https://n.news.naver.com/mnews/article/028/0002748680?sid=100</v>
      </c>
      <c r="H4566">
        <v>0.3</v>
      </c>
    </row>
    <row r="4567" spans="1:8" x14ac:dyDescent="0.3">
      <c r="A4567" t="s">
        <v>9678</v>
      </c>
      <c r="B4567" t="s">
        <v>26951</v>
      </c>
      <c r="C4567" t="s">
        <v>11693</v>
      </c>
      <c r="D4567" t="s">
        <v>11692</v>
      </c>
      <c r="E4567" s="2" t="s">
        <v>653</v>
      </c>
      <c r="F4567" t="s">
        <v>10471</v>
      </c>
      <c r="G4567" t="str">
        <f>HYPERLINK("https://www.lecturernews.com/news/articleView.html?idxno=110448")</f>
        <v>https://www.lecturernews.com/news/articleView.html?idxno=110448</v>
      </c>
      <c r="H4567">
        <v>0.47</v>
      </c>
    </row>
    <row r="4568" spans="1:8" x14ac:dyDescent="0.3">
      <c r="A4568" t="s">
        <v>9678</v>
      </c>
      <c r="B4568" t="s">
        <v>26951</v>
      </c>
      <c r="C4568" t="s">
        <v>11696</v>
      </c>
      <c r="D4568" t="s">
        <v>11695</v>
      </c>
      <c r="E4568" s="2" t="s">
        <v>653</v>
      </c>
      <c r="F4568" t="s">
        <v>11694</v>
      </c>
      <c r="G4568" t="str">
        <f>HYPERLINK("https://n.news.naver.com/mnews/article/055/0001271213?sid=102")</f>
        <v>https://n.news.naver.com/mnews/article/055/0001271213?sid=102</v>
      </c>
      <c r="H4568">
        <v>0.20499999999999999</v>
      </c>
    </row>
    <row r="4569" spans="1:8" x14ac:dyDescent="0.3">
      <c r="A4569" t="s">
        <v>9678</v>
      </c>
      <c r="B4569" t="s">
        <v>26951</v>
      </c>
      <c r="C4569" t="s">
        <v>11699</v>
      </c>
      <c r="D4569" t="s">
        <v>11698</v>
      </c>
      <c r="E4569" s="2" t="s">
        <v>653</v>
      </c>
      <c r="F4569" t="s">
        <v>11697</v>
      </c>
      <c r="G4569" t="str">
        <f>HYPERLINK("http://kdfnews.com/news/view.php?idx=31559")</f>
        <v>http://kdfnews.com/news/view.php?idx=31559</v>
      </c>
      <c r="H4569">
        <v>0.13700000000000001</v>
      </c>
    </row>
    <row r="4570" spans="1:8" x14ac:dyDescent="0.3">
      <c r="A4570" t="s">
        <v>9678</v>
      </c>
      <c r="B4570" t="s">
        <v>26951</v>
      </c>
      <c r="C4570" t="s">
        <v>11701</v>
      </c>
      <c r="D4570" t="s">
        <v>11700</v>
      </c>
      <c r="E4570" s="2" t="s">
        <v>653</v>
      </c>
      <c r="F4570" t="s">
        <v>10021</v>
      </c>
      <c r="G4570" t="str">
        <f>HYPERLINK("http://www.pdjournal.com/news/articleView.html?idxno=17632")</f>
        <v>http://www.pdjournal.com/news/articleView.html?idxno=17632</v>
      </c>
      <c r="H4570">
        <v>0.57099999999999995</v>
      </c>
    </row>
    <row r="4571" spans="1:8" x14ac:dyDescent="0.3">
      <c r="A4571" t="s">
        <v>9678</v>
      </c>
      <c r="B4571" t="s">
        <v>26951</v>
      </c>
      <c r="C4571" t="s">
        <v>11704</v>
      </c>
      <c r="D4571" t="s">
        <v>11703</v>
      </c>
      <c r="E4571" s="2" t="s">
        <v>653</v>
      </c>
      <c r="F4571" t="s">
        <v>11702</v>
      </c>
      <c r="G4571" t="str">
        <f>HYPERLINK("http://kor.theasian.asia/archives/386827")</f>
        <v>http://kor.theasian.asia/archives/386827</v>
      </c>
      <c r="H4571">
        <v>0.20300000000000001</v>
      </c>
    </row>
    <row r="4572" spans="1:8" x14ac:dyDescent="0.3">
      <c r="A4572" t="s">
        <v>9678</v>
      </c>
      <c r="B4572" t="s">
        <v>26951</v>
      </c>
      <c r="C4572" t="s">
        <v>11707</v>
      </c>
      <c r="D4572" t="s">
        <v>11706</v>
      </c>
      <c r="E4572" s="2" t="s">
        <v>653</v>
      </c>
      <c r="F4572" t="s">
        <v>11705</v>
      </c>
      <c r="G4572" t="str">
        <f>HYPERLINK("https://www.korea.kr/news/reporterView.do?newsId=148944977&amp;call_from=naver_news")</f>
        <v>https://www.korea.kr/news/reporterView.do?newsId=148944977&amp;call_from=naver_news</v>
      </c>
      <c r="H4572">
        <v>0.59299999999999997</v>
      </c>
    </row>
    <row r="4573" spans="1:8" x14ac:dyDescent="0.3">
      <c r="A4573" t="s">
        <v>9678</v>
      </c>
      <c r="B4573" t="s">
        <v>26951</v>
      </c>
      <c r="C4573" t="s">
        <v>11710</v>
      </c>
      <c r="D4573" t="s">
        <v>11709</v>
      </c>
      <c r="E4573" s="2" t="s">
        <v>653</v>
      </c>
      <c r="F4573" t="s">
        <v>11708</v>
      </c>
      <c r="G4573" t="str">
        <f>HYPERLINK("https://sports.hankooki.com/news/articleView.html?idxno=6901898")</f>
        <v>https://sports.hankooki.com/news/articleView.html?idxno=6901898</v>
      </c>
      <c r="H4573">
        <v>0.54300000000000004</v>
      </c>
    </row>
    <row r="4574" spans="1:8" x14ac:dyDescent="0.3">
      <c r="A4574" t="s">
        <v>9678</v>
      </c>
      <c r="B4574" t="s">
        <v>26951</v>
      </c>
      <c r="C4574" t="s">
        <v>11712</v>
      </c>
      <c r="D4574" t="s">
        <v>11711</v>
      </c>
      <c r="E4574" s="2" t="s">
        <v>653</v>
      </c>
      <c r="F4574" t="s">
        <v>3086</v>
      </c>
      <c r="G4574" t="str">
        <f>HYPERLINK("https://n.news.naver.com/mnews/article/028/0002749871?sid=100")</f>
        <v>https://n.news.naver.com/mnews/article/028/0002749871?sid=100</v>
      </c>
      <c r="H4574">
        <v>0.26900000000000002</v>
      </c>
    </row>
    <row r="4575" spans="1:8" x14ac:dyDescent="0.3">
      <c r="A4575" t="s">
        <v>9678</v>
      </c>
      <c r="B4575" t="s">
        <v>26951</v>
      </c>
      <c r="C4575" t="s">
        <v>11714</v>
      </c>
      <c r="D4575" t="s">
        <v>11713</v>
      </c>
      <c r="E4575" s="2" t="s">
        <v>653</v>
      </c>
      <c r="F4575" t="s">
        <v>10000</v>
      </c>
      <c r="G4575" t="str">
        <f>HYPERLINK("https://n.news.naver.com/mnews/article/079/0004012524?sid=100")</f>
        <v>https://n.news.naver.com/mnews/article/079/0004012524?sid=100</v>
      </c>
      <c r="H4575">
        <v>0.33100000000000002</v>
      </c>
    </row>
    <row r="4576" spans="1:8" x14ac:dyDescent="0.3">
      <c r="A4576" t="s">
        <v>9678</v>
      </c>
      <c r="B4576" t="s">
        <v>26951</v>
      </c>
      <c r="C4576" t="s">
        <v>11717</v>
      </c>
      <c r="D4576" t="s">
        <v>11716</v>
      </c>
      <c r="E4576" s="2" t="s">
        <v>653</v>
      </c>
      <c r="F4576" t="s">
        <v>11715</v>
      </c>
      <c r="G4576" t="str">
        <f>HYPERLINK("http://www.ikld.kr/news/articleView.html?idxno=223115")</f>
        <v>http://www.ikld.kr/news/articleView.html?idxno=223115</v>
      </c>
      <c r="H4576">
        <v>0.122</v>
      </c>
    </row>
    <row r="4577" spans="1:8" x14ac:dyDescent="0.3">
      <c r="A4577" t="s">
        <v>9678</v>
      </c>
      <c r="B4577" t="s">
        <v>26951</v>
      </c>
      <c r="C4577" t="s">
        <v>11720</v>
      </c>
      <c r="D4577" t="s">
        <v>11719</v>
      </c>
      <c r="E4577" s="2" t="s">
        <v>653</v>
      </c>
      <c r="F4577" t="s">
        <v>11718</v>
      </c>
      <c r="G4577" t="str">
        <f>HYPERLINK("https://n.news.naver.com/mnews/article/052/0002203448?sid=102")</f>
        <v>https://n.news.naver.com/mnews/article/052/0002203448?sid=102</v>
      </c>
      <c r="H4577">
        <v>0.29299999999999998</v>
      </c>
    </row>
    <row r="4578" spans="1:8" x14ac:dyDescent="0.3">
      <c r="A4578" t="s">
        <v>9678</v>
      </c>
      <c r="B4578" t="s">
        <v>26951</v>
      </c>
      <c r="C4578" t="s">
        <v>11722</v>
      </c>
      <c r="D4578" t="s">
        <v>11721</v>
      </c>
      <c r="E4578" s="2" t="s">
        <v>653</v>
      </c>
      <c r="F4578" t="s">
        <v>5087</v>
      </c>
      <c r="G4578" t="str">
        <f>HYPERLINK("https://n.news.naver.com/mnews/article/018/0006034659?sid=100")</f>
        <v>https://n.news.naver.com/mnews/article/018/0006034659?sid=100</v>
      </c>
      <c r="H4578">
        <v>0.252</v>
      </c>
    </row>
    <row r="4579" spans="1:8" x14ac:dyDescent="0.3">
      <c r="A4579" t="s">
        <v>9678</v>
      </c>
      <c r="B4579" t="s">
        <v>26951</v>
      </c>
      <c r="C4579" t="s">
        <v>11725</v>
      </c>
      <c r="D4579" t="s">
        <v>11724</v>
      </c>
      <c r="E4579" s="2" t="s">
        <v>653</v>
      </c>
      <c r="F4579" t="s">
        <v>11723</v>
      </c>
      <c r="G4579" t="str">
        <f>HYPERLINK("https://n.news.naver.com/mnews/article/214/0001262088?sid=102")</f>
        <v>https://n.news.naver.com/mnews/article/214/0001262088?sid=102</v>
      </c>
      <c r="H4579">
        <v>0.188</v>
      </c>
    </row>
    <row r="4580" spans="1:8" x14ac:dyDescent="0.3">
      <c r="A4580" t="s">
        <v>9678</v>
      </c>
      <c r="B4580" t="s">
        <v>26951</v>
      </c>
      <c r="C4580" t="s">
        <v>11728</v>
      </c>
      <c r="D4580" t="s">
        <v>11727</v>
      </c>
      <c r="E4580" s="2" t="s">
        <v>653</v>
      </c>
      <c r="F4580" t="s">
        <v>11726</v>
      </c>
      <c r="G4580" t="str">
        <f>HYPERLINK("http://www.mediapen.com/news/articleView.html?idxno=103495")</f>
        <v>http://www.mediapen.com/news/articleView.html?idxno=103495</v>
      </c>
      <c r="H4580">
        <v>0.86199999999999999</v>
      </c>
    </row>
    <row r="4581" spans="1:8" x14ac:dyDescent="0.3">
      <c r="A4581" t="s">
        <v>9678</v>
      </c>
      <c r="B4581" t="s">
        <v>26951</v>
      </c>
      <c r="C4581" t="s">
        <v>11730</v>
      </c>
      <c r="D4581" t="s">
        <v>11729</v>
      </c>
      <c r="E4581" s="2" t="s">
        <v>653</v>
      </c>
      <c r="F4581" t="s">
        <v>9978</v>
      </c>
      <c r="G4581" t="str">
        <f>HYPERLINK("https://www.ggilbo.com/news/articleView.html?idxno=1094334")</f>
        <v>https://www.ggilbo.com/news/articleView.html?idxno=1094334</v>
      </c>
      <c r="H4581">
        <v>0.48899999999999999</v>
      </c>
    </row>
    <row r="4582" spans="1:8" x14ac:dyDescent="0.3">
      <c r="A4582" t="s">
        <v>9678</v>
      </c>
      <c r="B4582" t="s">
        <v>26951</v>
      </c>
      <c r="C4582" t="s">
        <v>11732</v>
      </c>
      <c r="D4582" t="s">
        <v>11731</v>
      </c>
      <c r="E4582" s="2" t="s">
        <v>653</v>
      </c>
      <c r="F4582" t="s">
        <v>3048</v>
      </c>
      <c r="G4582" t="str">
        <f>HYPERLINK("https://n.news.naver.com/mnews/article/056/0011895226?sid=100")</f>
        <v>https://n.news.naver.com/mnews/article/056/0011895226?sid=100</v>
      </c>
      <c r="H4582">
        <v>0.23300000000000001</v>
      </c>
    </row>
    <row r="4583" spans="1:8" x14ac:dyDescent="0.3">
      <c r="A4583" t="s">
        <v>9678</v>
      </c>
      <c r="B4583" t="s">
        <v>26951</v>
      </c>
      <c r="C4583" t="s">
        <v>11736</v>
      </c>
      <c r="D4583" t="s">
        <v>11735</v>
      </c>
      <c r="E4583" s="2" t="s">
        <v>653</v>
      </c>
      <c r="F4583" t="s">
        <v>11734</v>
      </c>
      <c r="G4583" t="str">
        <f>HYPERLINK("http://www.sctoday.co.kr/news/articleView.html?idxno=32243")</f>
        <v>http://www.sctoday.co.kr/news/articleView.html?idxno=32243</v>
      </c>
      <c r="H4583">
        <v>0.58099999999999996</v>
      </c>
    </row>
    <row r="4584" spans="1:8" x14ac:dyDescent="0.3">
      <c r="A4584" t="s">
        <v>9678</v>
      </c>
      <c r="B4584" t="s">
        <v>26951</v>
      </c>
      <c r="C4584" t="s">
        <v>11738</v>
      </c>
      <c r="D4584" t="s">
        <v>11737</v>
      </c>
      <c r="E4584" s="2" t="s">
        <v>653</v>
      </c>
      <c r="F4584" t="s">
        <v>10206</v>
      </c>
      <c r="G4584" t="str">
        <f>HYPERLINK("https://bravo.etoday.co.kr/view/atc_view.php?varAtcId=14115")</f>
        <v>https://bravo.etoday.co.kr/view/atc_view.php?varAtcId=14115</v>
      </c>
      <c r="H4584">
        <v>0.52800000000000002</v>
      </c>
    </row>
    <row r="4585" spans="1:8" x14ac:dyDescent="0.3">
      <c r="A4585" t="s">
        <v>9678</v>
      </c>
      <c r="B4585" t="s">
        <v>26951</v>
      </c>
      <c r="C4585" t="s">
        <v>11741</v>
      </c>
      <c r="D4585" t="s">
        <v>11740</v>
      </c>
      <c r="E4585" s="2" t="s">
        <v>653</v>
      </c>
      <c r="F4585" t="s">
        <v>11739</v>
      </c>
      <c r="G4585" t="str">
        <f>HYPERLINK("https://www.dnews.co.kr/uhtml/view.jsp?idxno=202506091555555380222")</f>
        <v>https://www.dnews.co.kr/uhtml/view.jsp?idxno=202506091555555380222</v>
      </c>
      <c r="H4585">
        <v>0.76600000000000001</v>
      </c>
    </row>
    <row r="4586" spans="1:8" x14ac:dyDescent="0.3">
      <c r="A4586" t="s">
        <v>9678</v>
      </c>
      <c r="B4586" t="s">
        <v>26951</v>
      </c>
      <c r="C4586" t="s">
        <v>11744</v>
      </c>
      <c r="D4586" t="s">
        <v>11743</v>
      </c>
      <c r="E4586" s="2" t="s">
        <v>653</v>
      </c>
      <c r="F4586" t="s">
        <v>11742</v>
      </c>
      <c r="G4586" t="str">
        <f>HYPERLINK("https://n.news.naver.com/mnews/article/006/0000130387?sid=102")</f>
        <v>https://n.news.naver.com/mnews/article/006/0000130387?sid=102</v>
      </c>
      <c r="H4586">
        <v>0.214</v>
      </c>
    </row>
    <row r="4587" spans="1:8" x14ac:dyDescent="0.3">
      <c r="A4587" t="s">
        <v>9678</v>
      </c>
      <c r="B4587" t="s">
        <v>26951</v>
      </c>
      <c r="C4587" t="s">
        <v>11746</v>
      </c>
      <c r="D4587" t="s">
        <v>11745</v>
      </c>
      <c r="E4587" s="2" t="s">
        <v>653</v>
      </c>
      <c r="F4587" t="s">
        <v>7962</v>
      </c>
      <c r="G4587" t="str">
        <f>HYPERLINK("http://www.biztribune.co.kr/news/articleView.html?idxno=314879")</f>
        <v>http://www.biztribune.co.kr/news/articleView.html?idxno=314879</v>
      </c>
      <c r="H4587">
        <v>0.184</v>
      </c>
    </row>
    <row r="4588" spans="1:8" x14ac:dyDescent="0.3">
      <c r="A4588" t="s">
        <v>9678</v>
      </c>
      <c r="B4588" t="s">
        <v>26951</v>
      </c>
      <c r="C4588" t="s">
        <v>11748</v>
      </c>
      <c r="D4588" t="s">
        <v>11747</v>
      </c>
      <c r="E4588" s="2" t="s">
        <v>692</v>
      </c>
      <c r="F4588" t="s">
        <v>9685</v>
      </c>
      <c r="G4588" t="str">
        <f>HYPERLINK("https://www.newsclaim.co.kr/news/articleView.html?idxno=3043333")</f>
        <v>https://www.newsclaim.co.kr/news/articleView.html?idxno=3043333</v>
      </c>
      <c r="H4588">
        <v>0.50700000000000001</v>
      </c>
    </row>
    <row r="4589" spans="1:8" x14ac:dyDescent="0.3">
      <c r="A4589" t="s">
        <v>9678</v>
      </c>
      <c r="B4589" t="s">
        <v>26951</v>
      </c>
      <c r="C4589" t="s">
        <v>11750</v>
      </c>
      <c r="D4589" t="s">
        <v>11749</v>
      </c>
      <c r="E4589" s="2" t="s">
        <v>692</v>
      </c>
      <c r="F4589" t="s">
        <v>10565</v>
      </c>
      <c r="G4589" t="str">
        <f>HYPERLINK("https://sports.hankooki.com/news/articleView.html?idxno=6887681")</f>
        <v>https://sports.hankooki.com/news/articleView.html?idxno=6887681</v>
      </c>
      <c r="H4589">
        <v>0.502</v>
      </c>
    </row>
    <row r="4590" spans="1:8" x14ac:dyDescent="0.3">
      <c r="A4590" t="s">
        <v>9678</v>
      </c>
      <c r="B4590" t="s">
        <v>26951</v>
      </c>
      <c r="C4590" t="s">
        <v>11753</v>
      </c>
      <c r="D4590" t="s">
        <v>11752</v>
      </c>
      <c r="E4590" s="2" t="s">
        <v>692</v>
      </c>
      <c r="F4590" t="s">
        <v>11751</v>
      </c>
      <c r="G4590" t="str">
        <f>HYPERLINK("https://n.news.naver.com/mnews/article/028/0000201478?sid=102")</f>
        <v>https://n.news.naver.com/mnews/article/028/0000201478?sid=102</v>
      </c>
      <c r="H4590">
        <v>0.33400000000000002</v>
      </c>
    </row>
    <row r="4591" spans="1:8" x14ac:dyDescent="0.3">
      <c r="A4591" t="s">
        <v>9678</v>
      </c>
      <c r="B4591" t="s">
        <v>26951</v>
      </c>
      <c r="C4591" t="s">
        <v>11755</v>
      </c>
      <c r="D4591" t="s">
        <v>11754</v>
      </c>
      <c r="E4591" s="2" t="s">
        <v>692</v>
      </c>
      <c r="F4591" t="s">
        <v>11119</v>
      </c>
      <c r="G4591" t="str">
        <f>HYPERLINK("http://www.ferrotimes.com/news/articleView.html?idxno=42064")</f>
        <v>http://www.ferrotimes.com/news/articleView.html?idxno=42064</v>
      </c>
      <c r="H4591">
        <v>7.8E-2</v>
      </c>
    </row>
    <row r="4592" spans="1:8" x14ac:dyDescent="0.3">
      <c r="A4592" t="s">
        <v>9678</v>
      </c>
      <c r="B4592" t="s">
        <v>26951</v>
      </c>
      <c r="C4592" t="s">
        <v>11759</v>
      </c>
      <c r="D4592" t="s">
        <v>11758</v>
      </c>
      <c r="E4592" s="2" t="s">
        <v>692</v>
      </c>
      <c r="F4592" t="s">
        <v>11757</v>
      </c>
      <c r="G4592" t="str">
        <f>HYPERLINK("https://n.news.naver.com/mnews/article/006/0000128628?sid=104")</f>
        <v>https://n.news.naver.com/mnews/article/006/0000128628?sid=104</v>
      </c>
      <c r="H4592">
        <v>0.31900000000000001</v>
      </c>
    </row>
    <row r="4593" spans="1:8" x14ac:dyDescent="0.3">
      <c r="A4593" t="s">
        <v>9678</v>
      </c>
      <c r="B4593" t="s">
        <v>26951</v>
      </c>
      <c r="C4593" t="s">
        <v>11762</v>
      </c>
      <c r="D4593" t="s">
        <v>11761</v>
      </c>
      <c r="E4593" s="2" t="s">
        <v>692</v>
      </c>
      <c r="F4593" t="s">
        <v>11760</v>
      </c>
      <c r="G4593" t="str">
        <f>HYPERLINK("https://n.news.naver.com/mnews/article/008/0005214940?sid=102")</f>
        <v>https://n.news.naver.com/mnews/article/008/0005214940?sid=102</v>
      </c>
      <c r="H4593">
        <v>0.32500000000000001</v>
      </c>
    </row>
    <row r="4594" spans="1:8" x14ac:dyDescent="0.3">
      <c r="A4594" t="s">
        <v>9678</v>
      </c>
      <c r="B4594" t="s">
        <v>26951</v>
      </c>
      <c r="C4594" t="s">
        <v>11766</v>
      </c>
      <c r="D4594" t="s">
        <v>11765</v>
      </c>
      <c r="E4594" s="2" t="s">
        <v>692</v>
      </c>
      <c r="F4594" t="s">
        <v>11764</v>
      </c>
      <c r="G4594" t="str">
        <f>HYPERLINK("https://n.news.naver.com/mnews/article/016/0002492816?sid=101")</f>
        <v>https://n.news.naver.com/mnews/article/016/0002492816?sid=101</v>
      </c>
      <c r="H4594">
        <v>0.25800000000000001</v>
      </c>
    </row>
    <row r="4595" spans="1:8" x14ac:dyDescent="0.3">
      <c r="A4595" t="s">
        <v>9678</v>
      </c>
      <c r="B4595" t="s">
        <v>26951</v>
      </c>
      <c r="C4595" t="s">
        <v>11768</v>
      </c>
      <c r="D4595" t="s">
        <v>11767</v>
      </c>
      <c r="E4595" s="2" t="s">
        <v>692</v>
      </c>
      <c r="F4595" t="s">
        <v>6823</v>
      </c>
      <c r="G4595" t="str">
        <f>HYPERLINK("https://n.news.naver.com/mnews/article/028/0002752039?sid=102")</f>
        <v>https://n.news.naver.com/mnews/article/028/0002752039?sid=102</v>
      </c>
      <c r="H4595">
        <v>0.33200000000000002</v>
      </c>
    </row>
    <row r="4596" spans="1:8" x14ac:dyDescent="0.3">
      <c r="A4596" t="s">
        <v>9678</v>
      </c>
      <c r="B4596" t="s">
        <v>26951</v>
      </c>
      <c r="C4596" t="s">
        <v>11771</v>
      </c>
      <c r="D4596" t="s">
        <v>11770</v>
      </c>
      <c r="E4596" s="2" t="s">
        <v>692</v>
      </c>
      <c r="F4596" t="s">
        <v>11769</v>
      </c>
      <c r="G4596" t="str">
        <f>HYPERLINK("http://www.dailian.co.kr/news/n_view.html?id=146976&amp;sc=naver&amp;kind=menu_code&amp;keys=7")</f>
        <v>http://www.dailian.co.kr/news/n_view.html?id=146976&amp;sc=naver&amp;kind=menu_code&amp;keys=7</v>
      </c>
      <c r="H4596">
        <v>0.45400000000000001</v>
      </c>
    </row>
    <row r="4597" spans="1:8" x14ac:dyDescent="0.3">
      <c r="A4597" t="s">
        <v>9678</v>
      </c>
      <c r="B4597" t="s">
        <v>26951</v>
      </c>
      <c r="C4597" t="s">
        <v>11774</v>
      </c>
      <c r="D4597" t="s">
        <v>11773</v>
      </c>
      <c r="E4597" s="2" t="s">
        <v>692</v>
      </c>
      <c r="F4597" t="s">
        <v>11772</v>
      </c>
      <c r="G4597" t="str">
        <f>HYPERLINK("https://www.eroun.net/news/articleView.html?idxno=48228")</f>
        <v>https://www.eroun.net/news/articleView.html?idxno=48228</v>
      </c>
      <c r="H4597">
        <v>0.56100000000000005</v>
      </c>
    </row>
    <row r="4598" spans="1:8" x14ac:dyDescent="0.3">
      <c r="A4598" t="s">
        <v>9678</v>
      </c>
      <c r="B4598" t="s">
        <v>26951</v>
      </c>
      <c r="C4598" t="s">
        <v>11777</v>
      </c>
      <c r="D4598" t="s">
        <v>11776</v>
      </c>
      <c r="E4598" s="2" t="s">
        <v>692</v>
      </c>
      <c r="F4598" t="s">
        <v>11775</v>
      </c>
      <c r="G4598" t="str">
        <f>HYPERLINK("http://www.interview365.com/news/articleView.html?idxno=99516")</f>
        <v>http://www.interview365.com/news/articleView.html?idxno=99516</v>
      </c>
      <c r="H4598">
        <v>0.59899999999999998</v>
      </c>
    </row>
    <row r="4599" spans="1:8" x14ac:dyDescent="0.3">
      <c r="A4599" t="s">
        <v>9678</v>
      </c>
      <c r="B4599" t="s">
        <v>26951</v>
      </c>
      <c r="C4599" t="s">
        <v>11780</v>
      </c>
      <c r="D4599" t="s">
        <v>11779</v>
      </c>
      <c r="E4599" s="2" t="s">
        <v>692</v>
      </c>
      <c r="F4599" t="s">
        <v>11778</v>
      </c>
      <c r="G4599" t="str">
        <f>HYPERLINK("https://www.etoday.co.kr/news/view/2476949")</f>
        <v>https://www.etoday.co.kr/news/view/2476949</v>
      </c>
      <c r="H4599">
        <v>0.42399999999999999</v>
      </c>
    </row>
    <row r="4600" spans="1:8" x14ac:dyDescent="0.3">
      <c r="A4600" t="s">
        <v>9678</v>
      </c>
      <c r="B4600" t="s">
        <v>26951</v>
      </c>
      <c r="C4600" t="s">
        <v>11783</v>
      </c>
      <c r="D4600" t="s">
        <v>11782</v>
      </c>
      <c r="E4600" s="2" t="s">
        <v>692</v>
      </c>
      <c r="F4600" t="s">
        <v>11781</v>
      </c>
      <c r="G4600" t="str">
        <f>HYPERLINK("http://www.breaknews.com/997977")</f>
        <v>http://www.breaknews.com/997977</v>
      </c>
      <c r="H4600">
        <v>0.311</v>
      </c>
    </row>
    <row r="4601" spans="1:8" x14ac:dyDescent="0.3">
      <c r="A4601" t="s">
        <v>9678</v>
      </c>
      <c r="B4601" t="s">
        <v>26951</v>
      </c>
      <c r="C4601" t="s">
        <v>11786</v>
      </c>
      <c r="D4601" t="s">
        <v>11785</v>
      </c>
      <c r="E4601" s="2" t="s">
        <v>692</v>
      </c>
      <c r="F4601" t="s">
        <v>11784</v>
      </c>
      <c r="G4601" t="str">
        <f>HYPERLINK("https://www.mediafine.co.kr/news/articleView.html?idxno=23183")</f>
        <v>https://www.mediafine.co.kr/news/articleView.html?idxno=23183</v>
      </c>
      <c r="H4601">
        <v>0.34499999999999997</v>
      </c>
    </row>
    <row r="4602" spans="1:8" x14ac:dyDescent="0.3">
      <c r="A4602" t="s">
        <v>9678</v>
      </c>
      <c r="B4602" t="s">
        <v>26951</v>
      </c>
      <c r="C4602" t="s">
        <v>11788</v>
      </c>
      <c r="D4602" t="s">
        <v>11787</v>
      </c>
      <c r="E4602" s="2" t="s">
        <v>692</v>
      </c>
      <c r="F4602" t="s">
        <v>588</v>
      </c>
      <c r="G4602" t="str">
        <f>HYPERLINK("https://news.bbsi.co.kr/news/articleView.html?idxno=4033701")</f>
        <v>https://news.bbsi.co.kr/news/articleView.html?idxno=4033701</v>
      </c>
      <c r="H4602">
        <v>0.51200000000000001</v>
      </c>
    </row>
    <row r="4603" spans="1:8" x14ac:dyDescent="0.3">
      <c r="A4603" t="s">
        <v>9678</v>
      </c>
      <c r="B4603" t="s">
        <v>26951</v>
      </c>
      <c r="C4603" t="s">
        <v>11791</v>
      </c>
      <c r="D4603" t="s">
        <v>11790</v>
      </c>
      <c r="E4603" s="2" t="s">
        <v>692</v>
      </c>
      <c r="F4603" t="s">
        <v>11789</v>
      </c>
      <c r="G4603" t="str">
        <f>HYPERLINK("https://n.news.naver.com/mnews/article/469/0000015586?sid=103")</f>
        <v>https://n.news.naver.com/mnews/article/469/0000015586?sid=103</v>
      </c>
      <c r="H4603">
        <v>0.23100000000000001</v>
      </c>
    </row>
    <row r="4604" spans="1:8" x14ac:dyDescent="0.3">
      <c r="A4604" t="s">
        <v>9678</v>
      </c>
      <c r="B4604" t="s">
        <v>26951</v>
      </c>
      <c r="C4604" t="s">
        <v>11794</v>
      </c>
      <c r="D4604" t="s">
        <v>11793</v>
      </c>
      <c r="E4604" s="2" t="s">
        <v>692</v>
      </c>
      <c r="F4604" t="s">
        <v>11792</v>
      </c>
      <c r="G4604" t="str">
        <f>HYPERLINK("http://www.enewstoday.co.kr/news/articleView.html?idxno=386065")</f>
        <v>http://www.enewstoday.co.kr/news/articleView.html?idxno=386065</v>
      </c>
      <c r="H4604">
        <v>0.314</v>
      </c>
    </row>
    <row r="4605" spans="1:8" x14ac:dyDescent="0.3">
      <c r="A4605" t="s">
        <v>9678</v>
      </c>
      <c r="B4605" t="s">
        <v>26951</v>
      </c>
      <c r="C4605" t="s">
        <v>11796</v>
      </c>
      <c r="D4605" t="s">
        <v>11795</v>
      </c>
      <c r="E4605" s="2" t="s">
        <v>692</v>
      </c>
      <c r="F4605" t="s">
        <v>9134</v>
      </c>
      <c r="G4605" t="str">
        <f>HYPERLINK("https://n.news.naver.com/mnews/article/006/0000130669?sid=102")</f>
        <v>https://n.news.naver.com/mnews/article/006/0000130669?sid=102</v>
      </c>
      <c r="H4605">
        <v>6.9000000000000006E-2</v>
      </c>
    </row>
    <row r="4606" spans="1:8" x14ac:dyDescent="0.3">
      <c r="A4606" t="s">
        <v>9678</v>
      </c>
      <c r="B4606" t="s">
        <v>26951</v>
      </c>
      <c r="C4606" t="s">
        <v>11799</v>
      </c>
      <c r="D4606" t="s">
        <v>11798</v>
      </c>
      <c r="E4606" s="2" t="s">
        <v>692</v>
      </c>
      <c r="F4606" t="s">
        <v>160</v>
      </c>
      <c r="G4606" t="str">
        <f>HYPERLINK("https://n.news.naver.com/mnews/article/022/0004044664?sid=102")</f>
        <v>https://n.news.naver.com/mnews/article/022/0004044664?sid=102</v>
      </c>
      <c r="H4606">
        <v>0.254</v>
      </c>
    </row>
    <row r="4607" spans="1:8" x14ac:dyDescent="0.3">
      <c r="A4607" t="s">
        <v>9678</v>
      </c>
      <c r="B4607" t="s">
        <v>26951</v>
      </c>
      <c r="C4607" t="s">
        <v>11801</v>
      </c>
      <c r="D4607" t="s">
        <v>11800</v>
      </c>
      <c r="E4607" s="2" t="s">
        <v>692</v>
      </c>
      <c r="F4607" t="s">
        <v>197</v>
      </c>
      <c r="G4607" t="str">
        <f>HYPERLINK("https://n.news.naver.com/mnews/article/214/0001429874?sid=100")</f>
        <v>https://n.news.naver.com/mnews/article/214/0001429874?sid=100</v>
      </c>
      <c r="H4607">
        <v>0.27700000000000002</v>
      </c>
    </row>
    <row r="4608" spans="1:8" x14ac:dyDescent="0.3">
      <c r="A4608" t="s">
        <v>9678</v>
      </c>
      <c r="B4608" t="s">
        <v>26951</v>
      </c>
      <c r="C4608" t="s">
        <v>11804</v>
      </c>
      <c r="D4608" t="s">
        <v>11803</v>
      </c>
      <c r="E4608" s="2" t="s">
        <v>692</v>
      </c>
      <c r="F4608" t="s">
        <v>11802</v>
      </c>
      <c r="G4608" t="str">
        <f>HYPERLINK("https://www.vogue.co.kr/2023/08/09/%ec%95%84%ec%8b%9c%ec%95%84-%eb%b7%b0%ed%8b%b0-%ed%81%ac%eb%a6%ac%ec%97%90%ec%9d%b4%ed%84%b0-6%ec%9d%b8%ea%b3%bc%ec%9d%98-%eb%8c%80%ed%99%94/?utm_source=naver&amp;utm_medium=partnership")</f>
        <v>https://www.vogue.co.kr/2023/08/09/%ec%95%84%ec%8b%9c%ec%95%84-%eb%b7%b0%ed%8b%b0-%ed%81%ac%eb%a6%ac%ec%97%90%ec%9d%b4%ed%84%b0-6%ec%9d%b8%ea%b3%bc%ec%9d%98-%eb%8c%80%ed%99%94/?utm_source=naver&amp;utm_medium=partnership</v>
      </c>
      <c r="H4608">
        <v>0.60399999999999998</v>
      </c>
    </row>
    <row r="4609" spans="1:8" x14ac:dyDescent="0.3">
      <c r="A4609" t="s">
        <v>9678</v>
      </c>
      <c r="B4609" t="s">
        <v>26951</v>
      </c>
      <c r="C4609" t="s">
        <v>11808</v>
      </c>
      <c r="D4609" t="s">
        <v>11807</v>
      </c>
      <c r="E4609" s="2" t="s">
        <v>692</v>
      </c>
      <c r="F4609" t="s">
        <v>11806</v>
      </c>
      <c r="G4609" t="str">
        <f>HYPERLINK("https://www.vogue.co.kr/2025/04/18/%ec%8a%88%ed%8d%bc%ec%8a%a4%ed%83%80-%ec%a1%b0%eb%82%98%eb%8b%a8-%ec%95%a4%eb%8d%94%ec%8a%a8%ec%9d%98-%eb%aa%a8%eb%93%a0-%ea%b2%83/?utm_source=naver&amp;utm_medium=partnership")</f>
        <v>https://www.vogue.co.kr/2025/04/18/%ec%8a%88%ed%8d%bc%ec%8a%a4%ed%83%80-%ec%a1%b0%eb%82%98%eb%8b%a8-%ec%95%a4%eb%8d%94%ec%8a%a8%ec%9d%98-%eb%aa%a8%eb%93%a0-%ea%b2%83/?utm_source=naver&amp;utm_medium=partnership</v>
      </c>
      <c r="H4609">
        <v>0.34599999999999997</v>
      </c>
    </row>
    <row r="4610" spans="1:8" x14ac:dyDescent="0.3">
      <c r="A4610" t="s">
        <v>9678</v>
      </c>
      <c r="B4610" t="s">
        <v>26951</v>
      </c>
      <c r="C4610" t="s">
        <v>11811</v>
      </c>
      <c r="D4610" t="s">
        <v>11810</v>
      </c>
      <c r="E4610" s="2" t="s">
        <v>692</v>
      </c>
      <c r="F4610" t="s">
        <v>11809</v>
      </c>
      <c r="G4610" t="str">
        <f>HYPERLINK("http://www.lawleader.co.kr/news/articleView.html?idxno=6078")</f>
        <v>http://www.lawleader.co.kr/news/articleView.html?idxno=6078</v>
      </c>
      <c r="H4610">
        <v>0.26800000000000002</v>
      </c>
    </row>
    <row r="4611" spans="1:8" x14ac:dyDescent="0.3">
      <c r="A4611" t="s">
        <v>9678</v>
      </c>
      <c r="B4611" t="s">
        <v>26951</v>
      </c>
      <c r="C4611" t="s">
        <v>11814</v>
      </c>
      <c r="D4611" t="s">
        <v>11813</v>
      </c>
      <c r="E4611" s="2" t="s">
        <v>692</v>
      </c>
      <c r="F4611" t="s">
        <v>11812</v>
      </c>
      <c r="G4611" t="str">
        <f>HYPERLINK("http://www.netongs.com/news/articleView.html?idxno=326054")</f>
        <v>http://www.netongs.com/news/articleView.html?idxno=326054</v>
      </c>
      <c r="H4611">
        <v>0.94399999999999995</v>
      </c>
    </row>
    <row r="4612" spans="1:8" x14ac:dyDescent="0.3">
      <c r="A4612" t="s">
        <v>9678</v>
      </c>
      <c r="B4612" t="s">
        <v>26951</v>
      </c>
      <c r="C4612" t="s">
        <v>11816</v>
      </c>
      <c r="D4612" t="s">
        <v>11815</v>
      </c>
      <c r="E4612" s="2" t="s">
        <v>692</v>
      </c>
      <c r="F4612" t="s">
        <v>2799</v>
      </c>
      <c r="G4612" t="str">
        <f>HYPERLINK("https://www.kyeongin.com/article/1742196")</f>
        <v>https://www.kyeongin.com/article/1742196</v>
      </c>
      <c r="H4612">
        <v>0.53</v>
      </c>
    </row>
    <row r="4613" spans="1:8" x14ac:dyDescent="0.3">
      <c r="A4613" t="s">
        <v>9678</v>
      </c>
      <c r="B4613" t="s">
        <v>26951</v>
      </c>
      <c r="C4613" t="s">
        <v>11818</v>
      </c>
      <c r="D4613" t="s">
        <v>11817</v>
      </c>
      <c r="E4613" s="2" t="s">
        <v>692</v>
      </c>
      <c r="F4613" t="s">
        <v>10341</v>
      </c>
      <c r="G4613" t="str">
        <f>HYPERLINK("https://n.news.naver.com/mnews/article/018/0006048893?sid=101")</f>
        <v>https://n.news.naver.com/mnews/article/018/0006048893?sid=101</v>
      </c>
      <c r="H4613">
        <v>0.28699999999999998</v>
      </c>
    </row>
    <row r="4614" spans="1:8" x14ac:dyDescent="0.3">
      <c r="A4614" t="s">
        <v>9678</v>
      </c>
      <c r="B4614" t="s">
        <v>26951</v>
      </c>
      <c r="C4614" t="s">
        <v>11821</v>
      </c>
      <c r="D4614" t="s">
        <v>11820</v>
      </c>
      <c r="E4614" s="2" t="s">
        <v>692</v>
      </c>
      <c r="F4614" t="s">
        <v>11819</v>
      </c>
      <c r="G4614" t="str">
        <f>HYPERLINK("https://n.news.naver.com/mnews/article/028/0002753752?sid=103")</f>
        <v>https://n.news.naver.com/mnews/article/028/0002753752?sid=103</v>
      </c>
      <c r="H4614">
        <v>9.6000000000000002E-2</v>
      </c>
    </row>
    <row r="4615" spans="1:8" x14ac:dyDescent="0.3">
      <c r="A4615" t="s">
        <v>9678</v>
      </c>
      <c r="B4615" t="s">
        <v>26951</v>
      </c>
      <c r="C4615" t="s">
        <v>11823</v>
      </c>
      <c r="D4615" t="s">
        <v>11822</v>
      </c>
      <c r="E4615" s="2" t="s">
        <v>692</v>
      </c>
      <c r="F4615" t="s">
        <v>171</v>
      </c>
      <c r="G4615" t="str">
        <f>HYPERLINK("https://www.jemin.com/news/articleView.html?idxno=810025")</f>
        <v>https://www.jemin.com/news/articleView.html?idxno=810025</v>
      </c>
      <c r="H4615">
        <v>0.60199999999999998</v>
      </c>
    </row>
    <row r="4616" spans="1:8" x14ac:dyDescent="0.3">
      <c r="A4616" t="s">
        <v>9678</v>
      </c>
      <c r="B4616" t="s">
        <v>26951</v>
      </c>
      <c r="C4616" t="s">
        <v>11826</v>
      </c>
      <c r="D4616" t="s">
        <v>11825</v>
      </c>
      <c r="E4616" s="2" t="s">
        <v>692</v>
      </c>
      <c r="F4616" t="s">
        <v>11824</v>
      </c>
      <c r="G4616" t="str">
        <f>HYPERLINK("http://ch.yes24.com/Article/View/34433")</f>
        <v>http://ch.yes24.com/Article/View/34433</v>
      </c>
      <c r="H4616">
        <v>0.48499999999999999</v>
      </c>
    </row>
    <row r="4617" spans="1:8" x14ac:dyDescent="0.3">
      <c r="A4617" t="s">
        <v>9678</v>
      </c>
      <c r="B4617" t="s">
        <v>26951</v>
      </c>
      <c r="C4617" t="s">
        <v>11828</v>
      </c>
      <c r="D4617" t="s">
        <v>11827</v>
      </c>
      <c r="E4617" s="2" t="s">
        <v>692</v>
      </c>
      <c r="F4617" t="s">
        <v>9962</v>
      </c>
      <c r="G4617" t="str">
        <f>HYPERLINK("http://www.lecturernews.com/news/articleView.html?idxno=81258")</f>
        <v>http://www.lecturernews.com/news/articleView.html?idxno=81258</v>
      </c>
      <c r="H4617">
        <v>0.63600000000000001</v>
      </c>
    </row>
    <row r="4618" spans="1:8" x14ac:dyDescent="0.3">
      <c r="A4618" t="s">
        <v>9678</v>
      </c>
      <c r="B4618" t="s">
        <v>26951</v>
      </c>
      <c r="C4618" t="s">
        <v>11830</v>
      </c>
      <c r="D4618" t="s">
        <v>11829</v>
      </c>
      <c r="E4618" s="2" t="s">
        <v>692</v>
      </c>
      <c r="F4618" t="s">
        <v>10249</v>
      </c>
      <c r="G4618" t="str">
        <f>HYPERLINK("https://n.news.naver.com/mnews/article/214/0001376762?sid=100")</f>
        <v>https://n.news.naver.com/mnews/article/214/0001376762?sid=100</v>
      </c>
      <c r="H4618">
        <v>0.13400000000000001</v>
      </c>
    </row>
    <row r="4619" spans="1:8" x14ac:dyDescent="0.3">
      <c r="A4619" t="s">
        <v>9678</v>
      </c>
      <c r="B4619" t="s">
        <v>26951</v>
      </c>
      <c r="C4619" t="s">
        <v>11833</v>
      </c>
      <c r="D4619" t="s">
        <v>11832</v>
      </c>
      <c r="E4619" s="2" t="s">
        <v>692</v>
      </c>
      <c r="F4619" t="s">
        <v>11831</v>
      </c>
      <c r="G4619" t="str">
        <f>HYPERLINK("https://n.news.naver.com/mnews/article/006/0000125558?sid=102")</f>
        <v>https://n.news.naver.com/mnews/article/006/0000125558?sid=102</v>
      </c>
      <c r="H4619">
        <v>0.192</v>
      </c>
    </row>
    <row r="4620" spans="1:8" x14ac:dyDescent="0.3">
      <c r="A4620" t="s">
        <v>9678</v>
      </c>
      <c r="B4620" t="s">
        <v>26951</v>
      </c>
      <c r="C4620" t="s">
        <v>11836</v>
      </c>
      <c r="D4620" t="s">
        <v>11835</v>
      </c>
      <c r="E4620" s="2" t="s">
        <v>692</v>
      </c>
      <c r="F4620" t="s">
        <v>11834</v>
      </c>
      <c r="G4620" t="str">
        <f>HYPERLINK("https://www.catholicnews.co.kr/news/articleView.html?idxno=34425")</f>
        <v>https://www.catholicnews.co.kr/news/articleView.html?idxno=34425</v>
      </c>
      <c r="H4620">
        <v>0.63400000000000001</v>
      </c>
    </row>
    <row r="4621" spans="1:8" x14ac:dyDescent="0.3">
      <c r="A4621" t="s">
        <v>9678</v>
      </c>
      <c r="B4621" t="s">
        <v>26951</v>
      </c>
      <c r="C4621" t="s">
        <v>11838</v>
      </c>
      <c r="D4621" t="s">
        <v>11837</v>
      </c>
      <c r="E4621" s="2" t="s">
        <v>481</v>
      </c>
      <c r="F4621" t="s">
        <v>5548</v>
      </c>
      <c r="G4621" t="str">
        <f>HYPERLINK("https://www.jemin.com/news/articleView.html?idxno=814862")</f>
        <v>https://www.jemin.com/news/articleView.html?idxno=814862</v>
      </c>
      <c r="H4621">
        <v>0.621</v>
      </c>
    </row>
    <row r="4622" spans="1:8" x14ac:dyDescent="0.3">
      <c r="A4622" t="s">
        <v>9678</v>
      </c>
      <c r="B4622" t="s">
        <v>26951</v>
      </c>
      <c r="C4622" t="s">
        <v>11841</v>
      </c>
      <c r="D4622" t="s">
        <v>11840</v>
      </c>
      <c r="E4622" s="2" t="s">
        <v>481</v>
      </c>
      <c r="F4622" t="s">
        <v>11839</v>
      </c>
      <c r="G4622" t="str">
        <f>HYPERLINK("https://www.lecturernews.com/news/articleView.html?idxno=116910")</f>
        <v>https://www.lecturernews.com/news/articleView.html?idxno=116910</v>
      </c>
      <c r="H4622">
        <v>0.55900000000000005</v>
      </c>
    </row>
    <row r="4623" spans="1:8" x14ac:dyDescent="0.3">
      <c r="A4623" t="s">
        <v>9678</v>
      </c>
      <c r="B4623" t="s">
        <v>26951</v>
      </c>
      <c r="C4623" t="s">
        <v>11843</v>
      </c>
      <c r="D4623" t="s">
        <v>11842</v>
      </c>
      <c r="E4623" s="2" t="s">
        <v>481</v>
      </c>
      <c r="F4623" t="s">
        <v>7640</v>
      </c>
      <c r="G4623" t="str">
        <f>HYPERLINK("https://www.safetimes.co.kr/news/articleView.html?idxno=229115")</f>
        <v>https://www.safetimes.co.kr/news/articleView.html?idxno=229115</v>
      </c>
      <c r="H4623">
        <v>0.33700000000000002</v>
      </c>
    </row>
    <row r="4624" spans="1:8" x14ac:dyDescent="0.3">
      <c r="A4624" t="s">
        <v>9678</v>
      </c>
      <c r="B4624" t="s">
        <v>26951</v>
      </c>
      <c r="C4624" t="s">
        <v>11846</v>
      </c>
      <c r="D4624" t="s">
        <v>11845</v>
      </c>
      <c r="E4624" s="2" t="s">
        <v>481</v>
      </c>
      <c r="F4624" t="s">
        <v>11844</v>
      </c>
      <c r="G4624" t="str">
        <f>HYPERLINK("https://n.news.naver.com/mnews/article/036/0000047895?sid=103")</f>
        <v>https://n.news.naver.com/mnews/article/036/0000047895?sid=103</v>
      </c>
      <c r="H4624">
        <v>0.30599999999999999</v>
      </c>
    </row>
    <row r="4625" spans="1:8" x14ac:dyDescent="0.3">
      <c r="A4625" t="s">
        <v>9678</v>
      </c>
      <c r="B4625" t="s">
        <v>26951</v>
      </c>
      <c r="C4625" t="s">
        <v>11849</v>
      </c>
      <c r="D4625" t="s">
        <v>11848</v>
      </c>
      <c r="E4625" s="2" t="s">
        <v>481</v>
      </c>
      <c r="F4625" t="s">
        <v>11847</v>
      </c>
      <c r="G4625" t="str">
        <f>HYPERLINK("http://www.namdonews.com/news/articleView.html?idxno=762440")</f>
        <v>http://www.namdonews.com/news/articleView.html?idxno=762440</v>
      </c>
      <c r="H4625">
        <v>0.47899999999999998</v>
      </c>
    </row>
    <row r="4626" spans="1:8" x14ac:dyDescent="0.3">
      <c r="A4626" t="s">
        <v>9678</v>
      </c>
      <c r="B4626" t="s">
        <v>26951</v>
      </c>
      <c r="C4626" t="s">
        <v>11852</v>
      </c>
      <c r="D4626" t="s">
        <v>11851</v>
      </c>
      <c r="E4626" s="2" t="s">
        <v>481</v>
      </c>
      <c r="F4626" t="s">
        <v>11850</v>
      </c>
      <c r="G4626" t="str">
        <f>HYPERLINK("https://n.news.naver.com/mnews/article/662/0000070973?sid=102")</f>
        <v>https://n.news.naver.com/mnews/article/662/0000070973?sid=102</v>
      </c>
      <c r="H4626">
        <v>0.16700000000000001</v>
      </c>
    </row>
    <row r="4627" spans="1:8" x14ac:dyDescent="0.3">
      <c r="A4627" t="s">
        <v>9678</v>
      </c>
      <c r="B4627" t="s">
        <v>26951</v>
      </c>
      <c r="C4627" t="s">
        <v>11855</v>
      </c>
      <c r="D4627" t="s">
        <v>11854</v>
      </c>
      <c r="E4627" s="2" t="s">
        <v>481</v>
      </c>
      <c r="F4627" t="s">
        <v>11853</v>
      </c>
      <c r="G4627" t="str">
        <f>HYPERLINK("http://www.lecturernews.com/news/articleView.html?idxno=97419")</f>
        <v>http://www.lecturernews.com/news/articleView.html?idxno=97419</v>
      </c>
      <c r="H4627">
        <v>0.72299999999999998</v>
      </c>
    </row>
    <row r="4628" spans="1:8" x14ac:dyDescent="0.3">
      <c r="A4628" t="s">
        <v>9678</v>
      </c>
      <c r="B4628" t="s">
        <v>26951</v>
      </c>
      <c r="C4628" t="s">
        <v>11858</v>
      </c>
      <c r="D4628" t="s">
        <v>11857</v>
      </c>
      <c r="E4628" s="2" t="s">
        <v>481</v>
      </c>
      <c r="F4628" t="s">
        <v>11856</v>
      </c>
      <c r="G4628" t="str">
        <f>HYPERLINK("https://n.news.naver.com/mnews/article/056/0011980282?sid=103")</f>
        <v>https://n.news.naver.com/mnews/article/056/0011980282?sid=103</v>
      </c>
      <c r="H4628">
        <v>0.19</v>
      </c>
    </row>
    <row r="4629" spans="1:8" x14ac:dyDescent="0.3">
      <c r="A4629" t="s">
        <v>9678</v>
      </c>
      <c r="B4629" t="s">
        <v>26951</v>
      </c>
      <c r="C4629" t="s">
        <v>11861</v>
      </c>
      <c r="D4629" t="s">
        <v>11860</v>
      </c>
      <c r="E4629" s="2" t="s">
        <v>481</v>
      </c>
      <c r="F4629" t="s">
        <v>11859</v>
      </c>
      <c r="G4629" t="str">
        <f>HYPERLINK("http://www.knnews.co.kr/news/articleView.php?idxno=1456239")</f>
        <v>http://www.knnews.co.kr/news/articleView.php?idxno=1456239</v>
      </c>
      <c r="H4629">
        <v>0.51700000000000002</v>
      </c>
    </row>
    <row r="4630" spans="1:8" x14ac:dyDescent="0.3">
      <c r="A4630" t="s">
        <v>9678</v>
      </c>
      <c r="B4630" t="s">
        <v>26951</v>
      </c>
      <c r="C4630" t="s">
        <v>11864</v>
      </c>
      <c r="D4630" t="s">
        <v>11863</v>
      </c>
      <c r="E4630" s="2" t="s">
        <v>481</v>
      </c>
      <c r="F4630" t="s">
        <v>11862</v>
      </c>
      <c r="G4630" t="str">
        <f>HYPERLINK("http://www.interview365.com/news/articleView.html?idxno=98349")</f>
        <v>http://www.interview365.com/news/articleView.html?idxno=98349</v>
      </c>
      <c r="H4630">
        <v>0.189</v>
      </c>
    </row>
    <row r="4631" spans="1:8" x14ac:dyDescent="0.3">
      <c r="A4631" t="s">
        <v>9678</v>
      </c>
      <c r="B4631" t="s">
        <v>26951</v>
      </c>
      <c r="C4631" t="s">
        <v>11866</v>
      </c>
      <c r="D4631" t="s">
        <v>11865</v>
      </c>
      <c r="E4631" s="2" t="s">
        <v>481</v>
      </c>
      <c r="F4631" t="s">
        <v>5548</v>
      </c>
      <c r="G4631" t="str">
        <f>HYPERLINK("https://sports.hankooki.com/news/articleView.html?idxno=6887022")</f>
        <v>https://sports.hankooki.com/news/articleView.html?idxno=6887022</v>
      </c>
      <c r="H4631">
        <v>0.54300000000000004</v>
      </c>
    </row>
    <row r="4632" spans="1:8" x14ac:dyDescent="0.3">
      <c r="A4632" t="s">
        <v>9678</v>
      </c>
      <c r="B4632" t="s">
        <v>26951</v>
      </c>
      <c r="C4632" t="s">
        <v>11869</v>
      </c>
      <c r="D4632" t="s">
        <v>11868</v>
      </c>
      <c r="E4632" s="2" t="s">
        <v>481</v>
      </c>
      <c r="F4632" t="s">
        <v>11867</v>
      </c>
      <c r="G4632" t="str">
        <f>HYPERLINK("https://n.news.naver.com/mnews/article/006/0000128262?sid=102")</f>
        <v>https://n.news.naver.com/mnews/article/006/0000128262?sid=102</v>
      </c>
      <c r="H4632">
        <v>0.25900000000000001</v>
      </c>
    </row>
    <row r="4633" spans="1:8" x14ac:dyDescent="0.3">
      <c r="A4633" t="s">
        <v>9678</v>
      </c>
      <c r="B4633" t="s">
        <v>26951</v>
      </c>
      <c r="C4633" t="s">
        <v>11872</v>
      </c>
      <c r="D4633" t="s">
        <v>11871</v>
      </c>
      <c r="E4633" s="2" t="s">
        <v>481</v>
      </c>
      <c r="F4633" t="s">
        <v>11870</v>
      </c>
      <c r="G4633" t="str">
        <f>HYPERLINK("https://sports.hankooki.com/news/articleView.html?idxno=6901532")</f>
        <v>https://sports.hankooki.com/news/articleView.html?idxno=6901532</v>
      </c>
      <c r="H4633">
        <v>0.46300000000000002</v>
      </c>
    </row>
    <row r="4634" spans="1:8" x14ac:dyDescent="0.3">
      <c r="A4634" t="s">
        <v>9678</v>
      </c>
      <c r="B4634" t="s">
        <v>26951</v>
      </c>
      <c r="C4634" t="s">
        <v>11875</v>
      </c>
      <c r="D4634" t="s">
        <v>11874</v>
      </c>
      <c r="E4634" s="2" t="s">
        <v>481</v>
      </c>
      <c r="F4634" t="s">
        <v>1543</v>
      </c>
      <c r="G4634" t="str">
        <f>HYPERLINK("https://n.news.naver.com/mnews/article/214/0001430202?sid=104")</f>
        <v>https://n.news.naver.com/mnews/article/214/0001430202?sid=104</v>
      </c>
      <c r="H4634">
        <v>0.307</v>
      </c>
    </row>
    <row r="4635" spans="1:8" x14ac:dyDescent="0.3">
      <c r="A4635" t="s">
        <v>9678</v>
      </c>
      <c r="B4635" t="s">
        <v>26951</v>
      </c>
      <c r="C4635" t="s">
        <v>11877</v>
      </c>
      <c r="D4635" t="s">
        <v>11876</v>
      </c>
      <c r="E4635" s="2" t="s">
        <v>481</v>
      </c>
      <c r="F4635" t="s">
        <v>5548</v>
      </c>
      <c r="G4635" t="str">
        <f>HYPERLINK("https://sports.hankooki.com/news/articleView.html?idxno=6887022")</f>
        <v>https://sports.hankooki.com/news/articleView.html?idxno=6887022</v>
      </c>
      <c r="H4635">
        <v>0.69699999999999995</v>
      </c>
    </row>
    <row r="4636" spans="1:8" x14ac:dyDescent="0.3">
      <c r="A4636" t="s">
        <v>9678</v>
      </c>
      <c r="B4636" t="s">
        <v>26951</v>
      </c>
      <c r="C4636" t="s">
        <v>11880</v>
      </c>
      <c r="D4636" t="s">
        <v>11879</v>
      </c>
      <c r="E4636" s="2" t="s">
        <v>481</v>
      </c>
      <c r="F4636" t="s">
        <v>11878</v>
      </c>
      <c r="G4636" t="str">
        <f>HYPERLINK("https://www.danbinews.com/news/articleView.html?idxno=30849")</f>
        <v>https://www.danbinews.com/news/articleView.html?idxno=30849</v>
      </c>
      <c r="H4636">
        <v>0.24399999999999999</v>
      </c>
    </row>
    <row r="4637" spans="1:8" x14ac:dyDescent="0.3">
      <c r="A4637" t="s">
        <v>9678</v>
      </c>
      <c r="B4637" t="s">
        <v>26951</v>
      </c>
      <c r="C4637" t="s">
        <v>11882</v>
      </c>
      <c r="D4637" t="s">
        <v>11881</v>
      </c>
      <c r="E4637" s="2" t="s">
        <v>481</v>
      </c>
      <c r="F4637" t="s">
        <v>5806</v>
      </c>
      <c r="G4637" t="str">
        <f>HYPERLINK("http://www.jbsori.com/news/articleView.html?idxno=15567")</f>
        <v>http://www.jbsori.com/news/articleView.html?idxno=15567</v>
      </c>
      <c r="H4637">
        <v>0.497</v>
      </c>
    </row>
    <row r="4638" spans="1:8" x14ac:dyDescent="0.3">
      <c r="A4638" t="s">
        <v>9678</v>
      </c>
      <c r="B4638" t="s">
        <v>26951</v>
      </c>
      <c r="C4638" t="s">
        <v>11884</v>
      </c>
      <c r="D4638" t="s">
        <v>11883</v>
      </c>
      <c r="E4638" s="2" t="s">
        <v>481</v>
      </c>
      <c r="F4638" t="s">
        <v>1543</v>
      </c>
      <c r="G4638" t="str">
        <f>HYPERLINK("https://n.news.naver.com/mnews/article/214/0001431312?sid=104")</f>
        <v>https://n.news.naver.com/mnews/article/214/0001431312?sid=104</v>
      </c>
      <c r="H4638">
        <v>0.29399999999999998</v>
      </c>
    </row>
    <row r="4639" spans="1:8" x14ac:dyDescent="0.3">
      <c r="A4639" t="s">
        <v>9678</v>
      </c>
      <c r="B4639" t="s">
        <v>26951</v>
      </c>
      <c r="C4639" t="s">
        <v>11886</v>
      </c>
      <c r="D4639" t="s">
        <v>11885</v>
      </c>
      <c r="E4639" s="2" t="s">
        <v>481</v>
      </c>
      <c r="F4639" t="s">
        <v>4914</v>
      </c>
      <c r="G4639" t="str">
        <f>HYPERLINK("https://www.kbmaeil.com/article/20250615500128")</f>
        <v>https://www.kbmaeil.com/article/20250615500128</v>
      </c>
      <c r="H4639">
        <v>0.95499999999999996</v>
      </c>
    </row>
    <row r="4640" spans="1:8" x14ac:dyDescent="0.3">
      <c r="A4640" t="s">
        <v>9678</v>
      </c>
      <c r="B4640" t="s">
        <v>26951</v>
      </c>
      <c r="C4640" t="s">
        <v>11889</v>
      </c>
      <c r="D4640" t="s">
        <v>11888</v>
      </c>
      <c r="E4640" s="2" t="s">
        <v>481</v>
      </c>
      <c r="F4640" t="s">
        <v>11887</v>
      </c>
      <c r="G4640" t="str">
        <f>HYPERLINK("https://www.greened.kr/news/articleView.html?idxno=317935")</f>
        <v>https://www.greened.kr/news/articleView.html?idxno=317935</v>
      </c>
      <c r="H4640">
        <v>0.55400000000000005</v>
      </c>
    </row>
    <row r="4641" spans="1:8" x14ac:dyDescent="0.3">
      <c r="A4641" t="s">
        <v>9678</v>
      </c>
      <c r="B4641" t="s">
        <v>26951</v>
      </c>
      <c r="C4641" t="s">
        <v>11892</v>
      </c>
      <c r="D4641" t="s">
        <v>11891</v>
      </c>
      <c r="E4641" s="2" t="s">
        <v>481</v>
      </c>
      <c r="F4641" t="s">
        <v>11890</v>
      </c>
      <c r="G4641" t="str">
        <f>HYPERLINK("https://kookbang.dema.mil.kr/newsWeb/20250618/7/ATCE_CTGR_0010010000/view.do")</f>
        <v>https://kookbang.dema.mil.kr/newsWeb/20250618/7/ATCE_CTGR_0010010000/view.do</v>
      </c>
      <c r="H4641">
        <v>0.48199999999999998</v>
      </c>
    </row>
    <row r="4642" spans="1:8" x14ac:dyDescent="0.3">
      <c r="A4642" t="s">
        <v>9678</v>
      </c>
      <c r="B4642" t="s">
        <v>26951</v>
      </c>
      <c r="C4642" t="s">
        <v>11895</v>
      </c>
      <c r="D4642" t="s">
        <v>11894</v>
      </c>
      <c r="E4642" s="2" t="s">
        <v>481</v>
      </c>
      <c r="F4642" t="s">
        <v>11893</v>
      </c>
      <c r="G4642" t="str">
        <f>HYPERLINK("https://www.jemin.com/news/articleView.html?idxno=811325")</f>
        <v>https://www.jemin.com/news/articleView.html?idxno=811325</v>
      </c>
      <c r="H4642">
        <v>0.56299999999999994</v>
      </c>
    </row>
    <row r="4643" spans="1:8" x14ac:dyDescent="0.3">
      <c r="A4643" t="s">
        <v>9678</v>
      </c>
      <c r="B4643" t="s">
        <v>26951</v>
      </c>
      <c r="C4643" t="s">
        <v>11898</v>
      </c>
      <c r="D4643" t="s">
        <v>11897</v>
      </c>
      <c r="E4643" s="2" t="s">
        <v>481</v>
      </c>
      <c r="F4643" t="s">
        <v>11896</v>
      </c>
      <c r="G4643" t="str">
        <f>HYPERLINK("http://ch.yes24.com/Article/View/54554")</f>
        <v>http://ch.yes24.com/Article/View/54554</v>
      </c>
      <c r="H4643">
        <v>0.53700000000000003</v>
      </c>
    </row>
    <row r="4644" spans="1:8" x14ac:dyDescent="0.3">
      <c r="A4644" t="s">
        <v>9678</v>
      </c>
      <c r="B4644" t="s">
        <v>26951</v>
      </c>
      <c r="C4644" t="s">
        <v>11900</v>
      </c>
      <c r="D4644" t="s">
        <v>11899</v>
      </c>
      <c r="E4644" s="2" t="s">
        <v>481</v>
      </c>
      <c r="F4644" t="s">
        <v>10021</v>
      </c>
      <c r="G4644" t="str">
        <f>HYPERLINK("http://sports.hankooki.com/lpage/entv/201704/sp20170415173059136690.htm")</f>
        <v>http://sports.hankooki.com/lpage/entv/201704/sp20170415173059136690.htm</v>
      </c>
      <c r="H4644">
        <v>0.22</v>
      </c>
    </row>
    <row r="4645" spans="1:8" x14ac:dyDescent="0.3">
      <c r="A4645" t="s">
        <v>9678</v>
      </c>
      <c r="B4645" t="s">
        <v>26951</v>
      </c>
      <c r="C4645" t="s">
        <v>11903</v>
      </c>
      <c r="D4645" t="s">
        <v>11902</v>
      </c>
      <c r="E4645" s="2" t="s">
        <v>481</v>
      </c>
      <c r="F4645" t="s">
        <v>11901</v>
      </c>
      <c r="G4645" t="str">
        <f>HYPERLINK("https://www.newscj.com/news/articleView.html?idxno=3281326")</f>
        <v>https://www.newscj.com/news/articleView.html?idxno=3281326</v>
      </c>
      <c r="H4645">
        <v>0.58199999999999996</v>
      </c>
    </row>
    <row r="4646" spans="1:8" x14ac:dyDescent="0.3">
      <c r="A4646" t="s">
        <v>9678</v>
      </c>
      <c r="B4646" t="s">
        <v>26951</v>
      </c>
      <c r="C4646" t="s">
        <v>11905</v>
      </c>
      <c r="D4646" t="s">
        <v>11904</v>
      </c>
      <c r="E4646" s="2" t="s">
        <v>481</v>
      </c>
      <c r="F4646" t="s">
        <v>1579</v>
      </c>
      <c r="G4646" t="str">
        <f>HYPERLINK("https://n.news.naver.com/mnews/article/006/0000114901?sid=102")</f>
        <v>https://n.news.naver.com/mnews/article/006/0000114901?sid=102</v>
      </c>
      <c r="H4646">
        <v>0.33100000000000002</v>
      </c>
    </row>
    <row r="4647" spans="1:8" x14ac:dyDescent="0.3">
      <c r="A4647" t="s">
        <v>9678</v>
      </c>
      <c r="B4647" t="s">
        <v>26951</v>
      </c>
      <c r="C4647" t="s">
        <v>11908</v>
      </c>
      <c r="D4647" t="s">
        <v>11907</v>
      </c>
      <c r="E4647" s="2" t="s">
        <v>481</v>
      </c>
      <c r="F4647" t="s">
        <v>11906</v>
      </c>
      <c r="G4647" t="str">
        <f>HYPERLINK("https://n.news.naver.com/mnews/article/119/0002968038?sid=102")</f>
        <v>https://n.news.naver.com/mnews/article/119/0002968038?sid=102</v>
      </c>
      <c r="H4647">
        <v>0.28399999999999997</v>
      </c>
    </row>
    <row r="4648" spans="1:8" x14ac:dyDescent="0.3">
      <c r="A4648" t="s">
        <v>9678</v>
      </c>
      <c r="B4648" t="s">
        <v>26951</v>
      </c>
      <c r="C4648" t="s">
        <v>11910</v>
      </c>
      <c r="D4648" t="s">
        <v>11909</v>
      </c>
      <c r="E4648" s="2" t="s">
        <v>481</v>
      </c>
      <c r="F4648" t="s">
        <v>487</v>
      </c>
      <c r="G4648" t="str">
        <f>HYPERLINK("https://www.etoday.co.kr/news/view/2478830")</f>
        <v>https://www.etoday.co.kr/news/view/2478830</v>
      </c>
      <c r="H4648">
        <v>0.376</v>
      </c>
    </row>
    <row r="4649" spans="1:8" x14ac:dyDescent="0.3">
      <c r="A4649" t="s">
        <v>9678</v>
      </c>
      <c r="B4649" t="s">
        <v>26951</v>
      </c>
      <c r="C4649" t="s">
        <v>7570</v>
      </c>
      <c r="D4649" t="s">
        <v>7569</v>
      </c>
      <c r="E4649" s="2" t="s">
        <v>481</v>
      </c>
      <c r="F4649" t="s">
        <v>7568</v>
      </c>
      <c r="G4649" t="str">
        <f>HYPERLINK("https://n.news.naver.com/mnews/article/006/0000114901?sid=102")</f>
        <v>https://n.news.naver.com/mnews/article/006/0000114901?sid=102</v>
      </c>
      <c r="H4649">
        <v>0.22700000000000001</v>
      </c>
    </row>
    <row r="4650" spans="1:8" x14ac:dyDescent="0.3">
      <c r="A4650" t="s">
        <v>9678</v>
      </c>
      <c r="B4650" t="s">
        <v>26951</v>
      </c>
      <c r="C4650" t="s">
        <v>11912</v>
      </c>
      <c r="D4650" t="s">
        <v>11911</v>
      </c>
      <c r="E4650" s="2" t="s">
        <v>481</v>
      </c>
      <c r="F4650" t="s">
        <v>10471</v>
      </c>
      <c r="G4650" t="str">
        <f>HYPERLINK("http://www.newsfreezone.co.kr/news/articleView.html?idxno=34449")</f>
        <v>http://www.newsfreezone.co.kr/news/articleView.html?idxno=34449</v>
      </c>
      <c r="H4650">
        <v>0.49299999999999999</v>
      </c>
    </row>
    <row r="4651" spans="1:8" x14ac:dyDescent="0.3">
      <c r="A4651" t="s">
        <v>9678</v>
      </c>
      <c r="B4651" t="s">
        <v>26951</v>
      </c>
      <c r="C4651" t="s">
        <v>11914</v>
      </c>
      <c r="D4651" t="s">
        <v>11913</v>
      </c>
      <c r="E4651" s="2" t="s">
        <v>481</v>
      </c>
      <c r="F4651" t="s">
        <v>10471</v>
      </c>
      <c r="G4651" t="str">
        <f>HYPERLINK("https://www.viva100.com/article/20250612500237")</f>
        <v>https://www.viva100.com/article/20250612500237</v>
      </c>
      <c r="H4651">
        <v>0.51800000000000002</v>
      </c>
    </row>
    <row r="4652" spans="1:8" x14ac:dyDescent="0.3">
      <c r="A4652" t="s">
        <v>9678</v>
      </c>
      <c r="B4652" t="s">
        <v>26951</v>
      </c>
      <c r="C4652" t="s">
        <v>11916</v>
      </c>
      <c r="D4652" t="s">
        <v>11915</v>
      </c>
      <c r="E4652" s="2" t="s">
        <v>481</v>
      </c>
      <c r="F4652" t="s">
        <v>2884</v>
      </c>
      <c r="G4652" t="str">
        <f>HYPERLINK("http://www.worldkorean.net/news/articleView.html?idxno=51859")</f>
        <v>http://www.worldkorean.net/news/articleView.html?idxno=51859</v>
      </c>
      <c r="H4652">
        <v>0.746</v>
      </c>
    </row>
    <row r="4653" spans="1:8" x14ac:dyDescent="0.3">
      <c r="A4653" t="s">
        <v>9678</v>
      </c>
      <c r="B4653" t="s">
        <v>26951</v>
      </c>
      <c r="C4653" t="s">
        <v>11919</v>
      </c>
      <c r="D4653" t="s">
        <v>11918</v>
      </c>
      <c r="E4653" s="2" t="s">
        <v>481</v>
      </c>
      <c r="F4653" t="s">
        <v>11917</v>
      </c>
      <c r="G4653" t="str">
        <f>HYPERLINK("https://n.news.naver.com/mnews/article/006/0000079868?sid=004")</f>
        <v>https://n.news.naver.com/mnews/article/006/0000079868?sid=004</v>
      </c>
      <c r="H4653">
        <v>0.23200000000000001</v>
      </c>
    </row>
    <row r="4654" spans="1:8" x14ac:dyDescent="0.3">
      <c r="A4654" t="s">
        <v>9678</v>
      </c>
      <c r="B4654" t="s">
        <v>26951</v>
      </c>
      <c r="C4654" t="s">
        <v>11921</v>
      </c>
      <c r="D4654" t="s">
        <v>11920</v>
      </c>
      <c r="E4654" s="2" t="s">
        <v>481</v>
      </c>
      <c r="F4654" t="s">
        <v>3086</v>
      </c>
      <c r="G4654" t="str">
        <f>HYPERLINK("https://n.news.naver.com/mnews/article/008/0005207475?sid=102")</f>
        <v>https://n.news.naver.com/mnews/article/008/0005207475?sid=102</v>
      </c>
      <c r="H4654">
        <v>0.31900000000000001</v>
      </c>
    </row>
    <row r="4655" spans="1:8" x14ac:dyDescent="0.3">
      <c r="A4655" t="s">
        <v>9678</v>
      </c>
      <c r="B4655" t="s">
        <v>26951</v>
      </c>
      <c r="C4655" t="s">
        <v>11923</v>
      </c>
      <c r="D4655" t="s">
        <v>11922</v>
      </c>
      <c r="E4655" s="2" t="s">
        <v>481</v>
      </c>
      <c r="F4655" t="s">
        <v>10471</v>
      </c>
      <c r="G4655" t="str">
        <f>HYPERLINK("https://n.news.naver.com/mnews/article/214/0001433240?sid=100")</f>
        <v>https://n.news.naver.com/mnews/article/214/0001433240?sid=100</v>
      </c>
      <c r="H4655">
        <v>0.30199999999999999</v>
      </c>
    </row>
    <row r="4656" spans="1:8" x14ac:dyDescent="0.3">
      <c r="A4656" t="s">
        <v>9678</v>
      </c>
      <c r="B4656" t="s">
        <v>26951</v>
      </c>
      <c r="C4656" t="s">
        <v>11926</v>
      </c>
      <c r="D4656" t="s">
        <v>11925</v>
      </c>
      <c r="E4656" s="2" t="s">
        <v>481</v>
      </c>
      <c r="F4656" t="s">
        <v>6930</v>
      </c>
      <c r="G4656" t="str">
        <f>HYPERLINK("https://www.etoday.co.kr/news/view/2481661")</f>
        <v>https://www.etoday.co.kr/news/view/2481661</v>
      </c>
      <c r="H4656">
        <v>0.182</v>
      </c>
    </row>
    <row r="4657" spans="1:8" x14ac:dyDescent="0.3">
      <c r="A4657" t="s">
        <v>9678</v>
      </c>
      <c r="B4657" t="s">
        <v>26951</v>
      </c>
      <c r="C4657" t="s">
        <v>11928</v>
      </c>
      <c r="D4657" t="s">
        <v>11927</v>
      </c>
      <c r="E4657" s="2" t="s">
        <v>481</v>
      </c>
      <c r="F4657" t="s">
        <v>1094</v>
      </c>
      <c r="G4657" t="str">
        <f>HYPERLINK("http://www.enewstoday.co.kr/news/articleView.html?idxno=1418288")</f>
        <v>http://www.enewstoday.co.kr/news/articleView.html?idxno=1418288</v>
      </c>
      <c r="H4657">
        <v>0.29799999999999999</v>
      </c>
    </row>
    <row r="4658" spans="1:8" x14ac:dyDescent="0.3">
      <c r="A4658" t="s">
        <v>9678</v>
      </c>
      <c r="B4658" t="s">
        <v>26951</v>
      </c>
      <c r="C4658" t="s">
        <v>11930</v>
      </c>
      <c r="D4658" t="s">
        <v>11929</v>
      </c>
      <c r="E4658" s="2" t="s">
        <v>481</v>
      </c>
      <c r="F4658" t="s">
        <v>8489</v>
      </c>
      <c r="G4658" t="str">
        <f>HYPERLINK("https://www.ekoreanews.co.kr/news/articleView.html?idxno=78014")</f>
        <v>https://www.ekoreanews.co.kr/news/articleView.html?idxno=78014</v>
      </c>
      <c r="H4658">
        <v>0.51100000000000001</v>
      </c>
    </row>
    <row r="4659" spans="1:8" x14ac:dyDescent="0.3">
      <c r="A4659" t="s">
        <v>9678</v>
      </c>
      <c r="B4659" t="s">
        <v>26951</v>
      </c>
      <c r="C4659" t="s">
        <v>11932</v>
      </c>
      <c r="D4659" t="s">
        <v>11931</v>
      </c>
      <c r="E4659" s="2" t="s">
        <v>481</v>
      </c>
      <c r="F4659" t="s">
        <v>11518</v>
      </c>
      <c r="G4659" t="str">
        <f>HYPERLINK("http://www.sisaon.co.kr/news/articleView.html?idxno=172702")</f>
        <v>http://www.sisaon.co.kr/news/articleView.html?idxno=172702</v>
      </c>
      <c r="H4659">
        <v>0.25900000000000001</v>
      </c>
    </row>
    <row r="4660" spans="1:8" x14ac:dyDescent="0.3">
      <c r="A4660" t="s">
        <v>9678</v>
      </c>
      <c r="B4660" t="s">
        <v>26951</v>
      </c>
      <c r="C4660" t="s">
        <v>11934</v>
      </c>
      <c r="D4660" t="s">
        <v>11933</v>
      </c>
      <c r="E4660" s="2" t="s">
        <v>481</v>
      </c>
      <c r="F4660" t="s">
        <v>5548</v>
      </c>
      <c r="G4660" t="str">
        <f>HYPERLINK("https://www.jemin.com/news/articleView.html?idxno=793921")</f>
        <v>https://www.jemin.com/news/articleView.html?idxno=793921</v>
      </c>
      <c r="H4660">
        <v>0.50900000000000001</v>
      </c>
    </row>
    <row r="4661" spans="1:8" x14ac:dyDescent="0.3">
      <c r="A4661" t="s">
        <v>9678</v>
      </c>
      <c r="B4661" t="s">
        <v>26951</v>
      </c>
      <c r="C4661" t="s">
        <v>11937</v>
      </c>
      <c r="D4661" t="s">
        <v>11936</v>
      </c>
      <c r="E4661" s="2" t="s">
        <v>481</v>
      </c>
      <c r="F4661" t="s">
        <v>11935</v>
      </c>
      <c r="G4661" t="str">
        <f>HYPERLINK("https://www.newsclaim.co.kr/news/articleView.html?idxno=3046415")</f>
        <v>https://www.newsclaim.co.kr/news/articleView.html?idxno=3046415</v>
      </c>
      <c r="H4661">
        <v>0.46400000000000002</v>
      </c>
    </row>
    <row r="4662" spans="1:8" x14ac:dyDescent="0.3">
      <c r="A4662" t="s">
        <v>9678</v>
      </c>
      <c r="B4662" t="s">
        <v>26951</v>
      </c>
      <c r="C4662" t="s">
        <v>11941</v>
      </c>
      <c r="D4662" t="s">
        <v>11940</v>
      </c>
      <c r="E4662" s="2" t="s">
        <v>481</v>
      </c>
      <c r="F4662" t="s">
        <v>11939</v>
      </c>
      <c r="G4662" t="str">
        <f>HYPERLINK("https://www.ibuan.com/news/articleView.html?idxno=53409")</f>
        <v>https://www.ibuan.com/news/articleView.html?idxno=53409</v>
      </c>
      <c r="H4662">
        <v>0.69899999999999995</v>
      </c>
    </row>
    <row r="4663" spans="1:8" x14ac:dyDescent="0.3">
      <c r="A4663" t="s">
        <v>9678</v>
      </c>
      <c r="B4663" t="s">
        <v>26951</v>
      </c>
      <c r="C4663" t="s">
        <v>11943</v>
      </c>
      <c r="D4663" t="s">
        <v>11942</v>
      </c>
      <c r="E4663" s="2" t="s">
        <v>502</v>
      </c>
      <c r="F4663" t="s">
        <v>4119</v>
      </c>
      <c r="G4663" t="str">
        <f>HYPERLINK("https://n.news.naver.com/mnews/article/214/0001433240?sid=100")</f>
        <v>https://n.news.naver.com/mnews/article/214/0001433240?sid=100</v>
      </c>
      <c r="H4663">
        <v>0.26100000000000001</v>
      </c>
    </row>
    <row r="4664" spans="1:8" x14ac:dyDescent="0.3">
      <c r="A4664" t="s">
        <v>9678</v>
      </c>
      <c r="B4664" t="s">
        <v>26951</v>
      </c>
      <c r="C4664" t="s">
        <v>11946</v>
      </c>
      <c r="D4664" t="s">
        <v>11945</v>
      </c>
      <c r="E4664" s="2" t="s">
        <v>502</v>
      </c>
      <c r="F4664" t="s">
        <v>11944</v>
      </c>
      <c r="G4664" t="str">
        <f>HYPERLINK("https://n.news.naver.com/mnews/article/022/0004047762?sid=100")</f>
        <v>https://n.news.naver.com/mnews/article/022/0004047762?sid=100</v>
      </c>
      <c r="H4664">
        <v>0.35799999999999998</v>
      </c>
    </row>
    <row r="4665" spans="1:8" x14ac:dyDescent="0.3">
      <c r="A4665" t="s">
        <v>9678</v>
      </c>
      <c r="B4665" t="s">
        <v>26951</v>
      </c>
      <c r="C4665" t="s">
        <v>11948</v>
      </c>
      <c r="D4665" t="s">
        <v>11947</v>
      </c>
      <c r="E4665" s="2" t="s">
        <v>502</v>
      </c>
      <c r="F4665" t="s">
        <v>10355</v>
      </c>
      <c r="G4665" t="str">
        <f>HYPERLINK("https://n.news.naver.com/mnews/article/032/0002093759?sid=102")</f>
        <v>https://n.news.naver.com/mnews/article/032/0002093759?sid=102</v>
      </c>
      <c r="H4665">
        <v>0.24</v>
      </c>
    </row>
    <row r="4666" spans="1:8" x14ac:dyDescent="0.3">
      <c r="A4666" t="s">
        <v>9678</v>
      </c>
      <c r="B4666" t="s">
        <v>26951</v>
      </c>
      <c r="C4666" t="s">
        <v>11951</v>
      </c>
      <c r="D4666" t="s">
        <v>11950</v>
      </c>
      <c r="E4666" s="2" t="s">
        <v>502</v>
      </c>
      <c r="F4666" t="s">
        <v>11949</v>
      </c>
      <c r="G4666" t="str">
        <f>HYPERLINK("https://n.news.naver.com/mnews/article/028/0002753752?sid=103")</f>
        <v>https://n.news.naver.com/mnews/article/028/0002753752?sid=103</v>
      </c>
      <c r="H4666">
        <v>0.16800000000000001</v>
      </c>
    </row>
    <row r="4667" spans="1:8" x14ac:dyDescent="0.3">
      <c r="A4667" t="s">
        <v>9678</v>
      </c>
      <c r="B4667" t="s">
        <v>26951</v>
      </c>
      <c r="C4667" t="s">
        <v>11954</v>
      </c>
      <c r="D4667" t="s">
        <v>11953</v>
      </c>
      <c r="E4667" s="2" t="s">
        <v>502</v>
      </c>
      <c r="F4667" t="s">
        <v>11952</v>
      </c>
      <c r="G4667" t="str">
        <f>HYPERLINK("https://www.idomin.com/news/articleView.html?idxno=939436")</f>
        <v>https://www.idomin.com/news/articleView.html?idxno=939436</v>
      </c>
      <c r="H4667">
        <v>0.498</v>
      </c>
    </row>
    <row r="4668" spans="1:8" x14ac:dyDescent="0.3">
      <c r="A4668" t="s">
        <v>9678</v>
      </c>
      <c r="B4668" t="s">
        <v>26951</v>
      </c>
      <c r="C4668" t="s">
        <v>11956</v>
      </c>
      <c r="D4668" t="s">
        <v>11955</v>
      </c>
      <c r="E4668" s="2" t="s">
        <v>502</v>
      </c>
      <c r="F4668" t="s">
        <v>10476</v>
      </c>
      <c r="G4668" t="str">
        <f>HYPERLINK("http://www.gameshot.net/common/con_view.php?code=GA65787b3b89b72")</f>
        <v>http://www.gameshot.net/common/con_view.php?code=GA65787b3b89b72</v>
      </c>
      <c r="H4668">
        <v>0.35199999999999998</v>
      </c>
    </row>
    <row r="4669" spans="1:8" x14ac:dyDescent="0.3">
      <c r="A4669" t="s">
        <v>9678</v>
      </c>
      <c r="B4669" t="s">
        <v>26951</v>
      </c>
      <c r="C4669" t="s">
        <v>11959</v>
      </c>
      <c r="D4669" t="s">
        <v>11958</v>
      </c>
      <c r="E4669" s="2" t="s">
        <v>502</v>
      </c>
      <c r="F4669" t="s">
        <v>11957</v>
      </c>
      <c r="G4669" t="str">
        <f>HYPERLINK("https://n.news.naver.com/mnews/article/214/0001369742?sid=100")</f>
        <v>https://n.news.naver.com/mnews/article/214/0001369742?sid=100</v>
      </c>
      <c r="H4669">
        <v>0.26</v>
      </c>
    </row>
    <row r="4670" spans="1:8" x14ac:dyDescent="0.3">
      <c r="A4670" t="s">
        <v>9678</v>
      </c>
      <c r="B4670" t="s">
        <v>26951</v>
      </c>
      <c r="C4670" t="s">
        <v>11962</v>
      </c>
      <c r="D4670" t="s">
        <v>11961</v>
      </c>
      <c r="E4670" s="2" t="s">
        <v>502</v>
      </c>
      <c r="F4670" t="s">
        <v>11960</v>
      </c>
      <c r="G4670" t="str">
        <f>HYPERLINK("http://daily.hankooki.com/lpage/culture/201509/dh20150904181157138640.htm")</f>
        <v>http://daily.hankooki.com/lpage/culture/201509/dh20150904181157138640.htm</v>
      </c>
      <c r="H4670">
        <v>0.44800000000000001</v>
      </c>
    </row>
    <row r="4671" spans="1:8" x14ac:dyDescent="0.3">
      <c r="A4671" t="s">
        <v>9678</v>
      </c>
      <c r="B4671" t="s">
        <v>26951</v>
      </c>
      <c r="C4671" t="s">
        <v>11964</v>
      </c>
      <c r="D4671" t="s">
        <v>11963</v>
      </c>
      <c r="E4671" s="2" t="s">
        <v>502</v>
      </c>
      <c r="F4671" t="s">
        <v>9786</v>
      </c>
      <c r="G4671" t="str">
        <f>HYPERLINK("https://n.news.naver.com/mnews/article/277/0002087760?sid=101")</f>
        <v>https://n.news.naver.com/mnews/article/277/0002087760?sid=101</v>
      </c>
      <c r="H4671">
        <v>2.1000000000000001E-2</v>
      </c>
    </row>
    <row r="4672" spans="1:8" x14ac:dyDescent="0.3">
      <c r="A4672" t="s">
        <v>9678</v>
      </c>
      <c r="B4672" t="s">
        <v>26951</v>
      </c>
      <c r="C4672" t="s">
        <v>11966</v>
      </c>
      <c r="D4672" t="s">
        <v>11965</v>
      </c>
      <c r="E4672" s="2" t="s">
        <v>502</v>
      </c>
      <c r="F4672" t="s">
        <v>9786</v>
      </c>
      <c r="G4672" t="str">
        <f>HYPERLINK("https://n.news.naver.com/mnews/article/018/0004285408?sid=102")</f>
        <v>https://n.news.naver.com/mnews/article/018/0004285408?sid=102</v>
      </c>
      <c r="H4672">
        <v>6.8000000000000005E-2</v>
      </c>
    </row>
    <row r="4673" spans="1:8" x14ac:dyDescent="0.3">
      <c r="A4673" t="s">
        <v>9678</v>
      </c>
      <c r="B4673" t="s">
        <v>26951</v>
      </c>
      <c r="C4673" t="s">
        <v>11969</v>
      </c>
      <c r="D4673" t="s">
        <v>11968</v>
      </c>
      <c r="E4673" s="2" t="s">
        <v>502</v>
      </c>
      <c r="F4673" t="s">
        <v>11967</v>
      </c>
      <c r="G4673" t="str">
        <f>HYPERLINK("http://www.handmk.com/news/articleView.html?idxno=25849")</f>
        <v>http://www.handmk.com/news/articleView.html?idxno=25849</v>
      </c>
      <c r="H4673">
        <v>0.40899999999999997</v>
      </c>
    </row>
    <row r="4674" spans="1:8" x14ac:dyDescent="0.3">
      <c r="A4674" t="s">
        <v>9678</v>
      </c>
      <c r="B4674" t="s">
        <v>26951</v>
      </c>
      <c r="C4674" t="s">
        <v>11972</v>
      </c>
      <c r="D4674" t="s">
        <v>11971</v>
      </c>
      <c r="E4674" s="2" t="s">
        <v>502</v>
      </c>
      <c r="F4674" t="s">
        <v>11970</v>
      </c>
      <c r="G4674" t="str">
        <f>HYPERLINK("https://n.news.naver.com/mnews/article/002/0000014884?sid=102")</f>
        <v>https://n.news.naver.com/mnews/article/002/0000014884?sid=102</v>
      </c>
      <c r="H4674">
        <v>0.187</v>
      </c>
    </row>
    <row r="4675" spans="1:8" x14ac:dyDescent="0.3">
      <c r="A4675" t="s">
        <v>9678</v>
      </c>
      <c r="B4675" t="s">
        <v>26951</v>
      </c>
      <c r="C4675" t="s">
        <v>11975</v>
      </c>
      <c r="D4675" t="s">
        <v>11974</v>
      </c>
      <c r="E4675" s="2" t="s">
        <v>502</v>
      </c>
      <c r="F4675" t="s">
        <v>11973</v>
      </c>
      <c r="G4675" t="str">
        <f>HYPERLINK("http://jmagazine.joins.com/monthly/view/325319")</f>
        <v>http://jmagazine.joins.com/monthly/view/325319</v>
      </c>
      <c r="H4675">
        <v>0.41299999999999998</v>
      </c>
    </row>
    <row r="4676" spans="1:8" x14ac:dyDescent="0.3">
      <c r="A4676" t="s">
        <v>9678</v>
      </c>
      <c r="B4676" t="s">
        <v>26951</v>
      </c>
      <c r="C4676" t="s">
        <v>11977</v>
      </c>
      <c r="D4676" t="s">
        <v>11976</v>
      </c>
      <c r="E4676" s="2" t="s">
        <v>502</v>
      </c>
      <c r="F4676" t="s">
        <v>10471</v>
      </c>
      <c r="G4676" t="str">
        <f>HYPERLINK("https://n.news.naver.com/mnews/article/079/0003983176?sid=102")</f>
        <v>https://n.news.naver.com/mnews/article/079/0003983176?sid=102</v>
      </c>
      <c r="H4676">
        <v>0.22500000000000001</v>
      </c>
    </row>
    <row r="4677" spans="1:8" x14ac:dyDescent="0.3">
      <c r="A4677" t="s">
        <v>9678</v>
      </c>
      <c r="B4677" t="s">
        <v>26951</v>
      </c>
      <c r="C4677" t="s">
        <v>11980</v>
      </c>
      <c r="D4677" t="s">
        <v>11979</v>
      </c>
      <c r="E4677" s="2" t="s">
        <v>502</v>
      </c>
      <c r="F4677" t="s">
        <v>11978</v>
      </c>
      <c r="G4677" t="str">
        <f>HYPERLINK("https://www.hapt.co.kr/news/articleView.html?idxno=165701")</f>
        <v>https://www.hapt.co.kr/news/articleView.html?idxno=165701</v>
      </c>
      <c r="H4677">
        <v>0.48199999999999998</v>
      </c>
    </row>
    <row r="4678" spans="1:8" x14ac:dyDescent="0.3">
      <c r="A4678" t="s">
        <v>9678</v>
      </c>
      <c r="B4678" t="s">
        <v>26951</v>
      </c>
      <c r="C4678" t="s">
        <v>11982</v>
      </c>
      <c r="D4678" t="s">
        <v>11981</v>
      </c>
      <c r="E4678" s="2" t="s">
        <v>502</v>
      </c>
      <c r="F4678" t="s">
        <v>2060</v>
      </c>
      <c r="G4678" t="str">
        <f>HYPERLINK("https://kookbang.dema.mil.kr/newsWeb/20250617/1/ATCE_CTGR_0050020000/view.do")</f>
        <v>https://kookbang.dema.mil.kr/newsWeb/20250617/1/ATCE_CTGR_0050020000/view.do</v>
      </c>
      <c r="H4678">
        <v>0.45100000000000001</v>
      </c>
    </row>
    <row r="4679" spans="1:8" x14ac:dyDescent="0.3">
      <c r="A4679" t="s">
        <v>9678</v>
      </c>
      <c r="B4679" t="s">
        <v>26951</v>
      </c>
      <c r="C4679" t="s">
        <v>11985</v>
      </c>
      <c r="D4679" t="s">
        <v>11984</v>
      </c>
      <c r="E4679" s="2" t="s">
        <v>502</v>
      </c>
      <c r="F4679" t="s">
        <v>11983</v>
      </c>
      <c r="G4679" t="str">
        <f>HYPERLINK("https://n.news.naver.com/mnews/article/214/0001262088?sid=102")</f>
        <v>https://n.news.naver.com/mnews/article/214/0001262088?sid=102</v>
      </c>
      <c r="H4679">
        <v>0.20100000000000001</v>
      </c>
    </row>
    <row r="4680" spans="1:8" x14ac:dyDescent="0.3">
      <c r="A4680" t="s">
        <v>9678</v>
      </c>
      <c r="B4680" t="s">
        <v>26951</v>
      </c>
      <c r="C4680" t="s">
        <v>11988</v>
      </c>
      <c r="D4680" t="s">
        <v>11987</v>
      </c>
      <c r="E4680" s="2" t="s">
        <v>502</v>
      </c>
      <c r="F4680" t="s">
        <v>11986</v>
      </c>
      <c r="G4680" t="str">
        <f>HYPERLINK("https://ch.yes24.com/Article/View/81242")</f>
        <v>https://ch.yes24.com/Article/View/81242</v>
      </c>
      <c r="H4680">
        <v>0.28299999999999997</v>
      </c>
    </row>
    <row r="4681" spans="1:8" x14ac:dyDescent="0.3">
      <c r="A4681" t="s">
        <v>9678</v>
      </c>
      <c r="B4681" t="s">
        <v>26951</v>
      </c>
      <c r="C4681" t="s">
        <v>11991</v>
      </c>
      <c r="D4681" t="s">
        <v>11990</v>
      </c>
      <c r="E4681" s="2" t="s">
        <v>502</v>
      </c>
      <c r="F4681" t="s">
        <v>11989</v>
      </c>
      <c r="G4681" t="str">
        <f>HYPERLINK("https://www.etoday.co.kr/news/view/2381707")</f>
        <v>https://www.etoday.co.kr/news/view/2381707</v>
      </c>
      <c r="H4681">
        <v>0.185</v>
      </c>
    </row>
    <row r="4682" spans="1:8" x14ac:dyDescent="0.3">
      <c r="A4682" t="s">
        <v>9678</v>
      </c>
      <c r="B4682" t="s">
        <v>26951</v>
      </c>
      <c r="C4682" t="s">
        <v>11994</v>
      </c>
      <c r="D4682" t="s">
        <v>11993</v>
      </c>
      <c r="E4682" s="2" t="s">
        <v>502</v>
      </c>
      <c r="F4682" t="s">
        <v>11992</v>
      </c>
      <c r="G4682" t="str">
        <f>HYPERLINK("http://www.sisaon.co.kr/news/articleView.html?idxno=170632")</f>
        <v>http://www.sisaon.co.kr/news/articleView.html?idxno=170632</v>
      </c>
      <c r="H4682">
        <v>0.60699999999999998</v>
      </c>
    </row>
    <row r="4683" spans="1:8" x14ac:dyDescent="0.3">
      <c r="A4683" t="s">
        <v>9678</v>
      </c>
      <c r="B4683" t="s">
        <v>26951</v>
      </c>
      <c r="C4683" t="s">
        <v>11997</v>
      </c>
      <c r="D4683" t="s">
        <v>11996</v>
      </c>
      <c r="E4683" s="2" t="s">
        <v>502</v>
      </c>
      <c r="F4683" t="s">
        <v>11995</v>
      </c>
      <c r="G4683" t="str">
        <f>HYPERLINK("https://www.idomin.com/news/articleView.html?idxno=928352")</f>
        <v>https://www.idomin.com/news/articleView.html?idxno=928352</v>
      </c>
      <c r="H4683">
        <v>0.46100000000000002</v>
      </c>
    </row>
    <row r="4684" spans="1:8" x14ac:dyDescent="0.3">
      <c r="A4684" t="s">
        <v>9678</v>
      </c>
      <c r="B4684" t="s">
        <v>26951</v>
      </c>
      <c r="C4684" t="s">
        <v>12000</v>
      </c>
      <c r="D4684" t="s">
        <v>11999</v>
      </c>
      <c r="E4684" s="2" t="s">
        <v>502</v>
      </c>
      <c r="F4684" t="s">
        <v>11998</v>
      </c>
      <c r="G4684" t="str">
        <f>HYPERLINK("https://n.news.naver.com/mnews/article/056/0010869455?sid=100")</f>
        <v>https://n.news.naver.com/mnews/article/056/0010869455?sid=100</v>
      </c>
      <c r="H4684">
        <v>0.22600000000000001</v>
      </c>
    </row>
    <row r="4685" spans="1:8" x14ac:dyDescent="0.3">
      <c r="A4685" t="s">
        <v>9678</v>
      </c>
      <c r="B4685" t="s">
        <v>26951</v>
      </c>
      <c r="C4685" t="s">
        <v>12003</v>
      </c>
      <c r="D4685" t="s">
        <v>12002</v>
      </c>
      <c r="E4685" s="2" t="s">
        <v>502</v>
      </c>
      <c r="F4685" t="s">
        <v>12001</v>
      </c>
      <c r="G4685" t="str">
        <f>HYPERLINK("http://www.kyeongin.com/main/view.php?key=20240812028406622")</f>
        <v>http://www.kyeongin.com/main/view.php?key=20240812028406622</v>
      </c>
      <c r="H4685">
        <v>0.23</v>
      </c>
    </row>
    <row r="4686" spans="1:8" x14ac:dyDescent="0.3">
      <c r="A4686" t="s">
        <v>9678</v>
      </c>
      <c r="B4686" t="s">
        <v>26951</v>
      </c>
      <c r="C4686" t="s">
        <v>12006</v>
      </c>
      <c r="D4686" t="s">
        <v>12005</v>
      </c>
      <c r="E4686" s="2" t="s">
        <v>502</v>
      </c>
      <c r="F4686" t="s">
        <v>12004</v>
      </c>
      <c r="G4686" t="str">
        <f>HYPERLINK("https://www.viva100.com/article/20250407500220")</f>
        <v>https://www.viva100.com/article/20250407500220</v>
      </c>
      <c r="H4686">
        <v>0.45900000000000002</v>
      </c>
    </row>
    <row r="4687" spans="1:8" x14ac:dyDescent="0.3">
      <c r="A4687" t="s">
        <v>9678</v>
      </c>
      <c r="B4687" t="s">
        <v>26951</v>
      </c>
      <c r="C4687" t="s">
        <v>12008</v>
      </c>
      <c r="D4687" t="s">
        <v>12007</v>
      </c>
      <c r="E4687" s="2" t="s">
        <v>502</v>
      </c>
      <c r="F4687" t="s">
        <v>11313</v>
      </c>
      <c r="G4687" t="str">
        <f>HYPERLINK("http://www.ggilbo.com/news/articleView.html?idxno=982263")</f>
        <v>http://www.ggilbo.com/news/articleView.html?idxno=982263</v>
      </c>
      <c r="H4687">
        <v>0.36199999999999999</v>
      </c>
    </row>
    <row r="4688" spans="1:8" x14ac:dyDescent="0.3">
      <c r="A4688" t="s">
        <v>9678</v>
      </c>
      <c r="B4688" t="s">
        <v>26951</v>
      </c>
      <c r="C4688" t="s">
        <v>12010</v>
      </c>
      <c r="D4688" t="s">
        <v>12009</v>
      </c>
      <c r="E4688" s="2" t="s">
        <v>502</v>
      </c>
      <c r="F4688" t="s">
        <v>3173</v>
      </c>
      <c r="G4688" t="str">
        <f>HYPERLINK("http://www.ilemonde.com/news/articleView.html?idxno=20573")</f>
        <v>http://www.ilemonde.com/news/articleView.html?idxno=20573</v>
      </c>
      <c r="H4688">
        <v>0.41699999999999998</v>
      </c>
    </row>
    <row r="4689" spans="1:8" x14ac:dyDescent="0.3">
      <c r="A4689" t="s">
        <v>9678</v>
      </c>
      <c r="B4689" t="s">
        <v>26951</v>
      </c>
      <c r="C4689" t="s">
        <v>12012</v>
      </c>
      <c r="D4689" t="s">
        <v>12011</v>
      </c>
      <c r="E4689" s="2" t="s">
        <v>502</v>
      </c>
      <c r="F4689" t="s">
        <v>10538</v>
      </c>
      <c r="G4689" t="str">
        <f>HYPERLINK("https://www.youthdaily.co.kr/news/article.html?no=185748")</f>
        <v>https://www.youthdaily.co.kr/news/article.html?no=185748</v>
      </c>
      <c r="H4689">
        <v>0.68700000000000006</v>
      </c>
    </row>
    <row r="4690" spans="1:8" x14ac:dyDescent="0.3">
      <c r="A4690" t="s">
        <v>9678</v>
      </c>
      <c r="B4690" t="s">
        <v>26951</v>
      </c>
      <c r="C4690" t="s">
        <v>12015</v>
      </c>
      <c r="D4690" t="s">
        <v>12014</v>
      </c>
      <c r="E4690" s="2" t="s">
        <v>502</v>
      </c>
      <c r="F4690" t="s">
        <v>12013</v>
      </c>
      <c r="G4690" t="str">
        <f>HYPERLINK("https://www.forbeskorea.co.kr/news/articleView.html?idxno=400315")</f>
        <v>https://www.forbeskorea.co.kr/news/articleView.html?idxno=400315</v>
      </c>
      <c r="H4690">
        <v>0.34599999999999997</v>
      </c>
    </row>
    <row r="4691" spans="1:8" x14ac:dyDescent="0.3">
      <c r="A4691" t="s">
        <v>9678</v>
      </c>
      <c r="B4691" t="s">
        <v>26951</v>
      </c>
      <c r="C4691" t="s">
        <v>12020</v>
      </c>
      <c r="D4691" t="s">
        <v>12019</v>
      </c>
      <c r="E4691" s="2" t="s">
        <v>502</v>
      </c>
      <c r="F4691" t="s">
        <v>10433</v>
      </c>
      <c r="G4691" t="str">
        <f>HYPERLINK("https://www.joongangenews.com/news/articleView.html?idxno=429064")</f>
        <v>https://www.joongangenews.com/news/articleView.html?idxno=429064</v>
      </c>
      <c r="H4691">
        <v>0.47399999999999998</v>
      </c>
    </row>
    <row r="4692" spans="1:8" x14ac:dyDescent="0.3">
      <c r="A4692" t="s">
        <v>9678</v>
      </c>
      <c r="B4692" t="s">
        <v>26951</v>
      </c>
      <c r="C4692" t="s">
        <v>12023</v>
      </c>
      <c r="D4692" t="s">
        <v>12022</v>
      </c>
      <c r="E4692" s="2" t="s">
        <v>502</v>
      </c>
      <c r="F4692" t="s">
        <v>12021</v>
      </c>
      <c r="G4692" t="str">
        <f>HYPERLINK("https://www.foodneconomy.com/news/articleView.html?idxno=306468")</f>
        <v>https://www.foodneconomy.com/news/articleView.html?idxno=306468</v>
      </c>
      <c r="H4692">
        <v>0.32800000000000001</v>
      </c>
    </row>
    <row r="4693" spans="1:8" x14ac:dyDescent="0.3">
      <c r="A4693" t="s">
        <v>9678</v>
      </c>
      <c r="B4693" t="s">
        <v>26951</v>
      </c>
      <c r="C4693" t="s">
        <v>12025</v>
      </c>
      <c r="D4693" t="s">
        <v>12024</v>
      </c>
      <c r="E4693" s="2" t="s">
        <v>502</v>
      </c>
      <c r="F4693" t="s">
        <v>11557</v>
      </c>
      <c r="G4693" t="str">
        <f>HYPERLINK("https://n.news.naver.com/mnews/article/008/0005213174?sid=102")</f>
        <v>https://n.news.naver.com/mnews/article/008/0005213174?sid=102</v>
      </c>
      <c r="H4693">
        <v>0.191</v>
      </c>
    </row>
    <row r="4694" spans="1:8" x14ac:dyDescent="0.3">
      <c r="A4694" t="s">
        <v>9678</v>
      </c>
      <c r="B4694" t="s">
        <v>26951</v>
      </c>
      <c r="C4694" t="s">
        <v>12028</v>
      </c>
      <c r="D4694" t="s">
        <v>12027</v>
      </c>
      <c r="E4694" s="2" t="s">
        <v>502</v>
      </c>
      <c r="F4694" t="s">
        <v>12026</v>
      </c>
      <c r="G4694" t="str">
        <f>HYPERLINK("https://n.news.naver.com/mnews/article/055/0001266230?sid=100")</f>
        <v>https://n.news.naver.com/mnews/article/055/0001266230?sid=100</v>
      </c>
      <c r="H4694">
        <v>0.19700000000000001</v>
      </c>
    </row>
    <row r="4695" spans="1:8" x14ac:dyDescent="0.3">
      <c r="A4695" t="s">
        <v>9678</v>
      </c>
      <c r="B4695" t="s">
        <v>26951</v>
      </c>
      <c r="C4695" t="s">
        <v>12031</v>
      </c>
      <c r="D4695" t="s">
        <v>12030</v>
      </c>
      <c r="E4695" s="2" t="s">
        <v>502</v>
      </c>
      <c r="F4695" t="s">
        <v>12029</v>
      </c>
      <c r="G4695" t="str">
        <f>HYPERLINK("http://www.daejonilbo.com/news/newsitem.asp?pk_no=1317434")</f>
        <v>http://www.daejonilbo.com/news/newsitem.asp?pk_no=1317434</v>
      </c>
      <c r="H4695">
        <v>0.26800000000000002</v>
      </c>
    </row>
    <row r="4696" spans="1:8" x14ac:dyDescent="0.3">
      <c r="A4696" t="s">
        <v>9678</v>
      </c>
      <c r="B4696" t="s">
        <v>26951</v>
      </c>
      <c r="C4696" t="s">
        <v>12033</v>
      </c>
      <c r="D4696" t="s">
        <v>12032</v>
      </c>
      <c r="E4696" s="2" t="s">
        <v>502</v>
      </c>
      <c r="F4696" t="s">
        <v>205</v>
      </c>
      <c r="G4696" t="str">
        <f>HYPERLINK("https://www.nbntv.co.kr/news/articleView.html?idxno=4002675")</f>
        <v>https://www.nbntv.co.kr/news/articleView.html?idxno=4002675</v>
      </c>
      <c r="H4696">
        <v>0.48899999999999999</v>
      </c>
    </row>
    <row r="4697" spans="1:8" x14ac:dyDescent="0.3">
      <c r="A4697" t="s">
        <v>9678</v>
      </c>
      <c r="B4697" t="s">
        <v>26951</v>
      </c>
      <c r="C4697" t="s">
        <v>12035</v>
      </c>
      <c r="D4697" t="s">
        <v>12034</v>
      </c>
      <c r="E4697" s="2" t="s">
        <v>502</v>
      </c>
      <c r="F4697" t="s">
        <v>1378</v>
      </c>
      <c r="G4697" t="str">
        <f>HYPERLINK("https://n.news.naver.com/mnews/article/008/0004004560?sid=103")</f>
        <v>https://n.news.naver.com/mnews/article/008/0004004560?sid=103</v>
      </c>
      <c r="H4697">
        <v>0.219</v>
      </c>
    </row>
    <row r="4698" spans="1:8" x14ac:dyDescent="0.3">
      <c r="A4698" t="s">
        <v>9678</v>
      </c>
      <c r="B4698" t="s">
        <v>26951</v>
      </c>
      <c r="C4698" t="s">
        <v>12037</v>
      </c>
      <c r="D4698" t="s">
        <v>12036</v>
      </c>
      <c r="E4698" s="2" t="s">
        <v>502</v>
      </c>
      <c r="F4698" t="s">
        <v>7640</v>
      </c>
      <c r="G4698" t="str">
        <f>HYPERLINK("http://www.newscj.com/news/articleView.html?idxno=669502")</f>
        <v>http://www.newscj.com/news/articleView.html?idxno=669502</v>
      </c>
      <c r="H4698">
        <v>0.60799999999999998</v>
      </c>
    </row>
    <row r="4699" spans="1:8" x14ac:dyDescent="0.3">
      <c r="A4699" t="s">
        <v>9678</v>
      </c>
      <c r="B4699" t="s">
        <v>26951</v>
      </c>
      <c r="C4699" t="s">
        <v>12040</v>
      </c>
      <c r="D4699" t="s">
        <v>12039</v>
      </c>
      <c r="E4699" s="2" t="s">
        <v>502</v>
      </c>
      <c r="F4699" t="s">
        <v>12038</v>
      </c>
      <c r="G4699" t="str">
        <f>HYPERLINK("https://n.news.naver.com/mnews/article/005/0001786779?sid=100")</f>
        <v>https://n.news.naver.com/mnews/article/005/0001786779?sid=100</v>
      </c>
      <c r="H4699">
        <v>0.23400000000000001</v>
      </c>
    </row>
    <row r="4700" spans="1:8" x14ac:dyDescent="0.3">
      <c r="A4700" t="s">
        <v>9678</v>
      </c>
      <c r="B4700" t="s">
        <v>26951</v>
      </c>
      <c r="C4700" t="s">
        <v>12043</v>
      </c>
      <c r="D4700" t="s">
        <v>12042</v>
      </c>
      <c r="E4700" s="2" t="s">
        <v>502</v>
      </c>
      <c r="F4700" t="s">
        <v>12041</v>
      </c>
      <c r="G4700" t="str">
        <f>HYPERLINK("http://www.gamevu.co.kr/news/articleView.html?idxno=41024")</f>
        <v>http://www.gamevu.co.kr/news/articleView.html?idxno=41024</v>
      </c>
      <c r="H4700">
        <v>1.6E-2</v>
      </c>
    </row>
    <row r="4701" spans="1:8" x14ac:dyDescent="0.3">
      <c r="A4701" t="s">
        <v>9678</v>
      </c>
      <c r="B4701" t="s">
        <v>26951</v>
      </c>
      <c r="C4701" t="s">
        <v>12045</v>
      </c>
      <c r="D4701" t="s">
        <v>12044</v>
      </c>
      <c r="E4701" s="2" t="s">
        <v>502</v>
      </c>
      <c r="F4701" t="s">
        <v>11392</v>
      </c>
      <c r="G4701" t="str">
        <f>HYPERLINK("http://www.pdjournal.com/news/articleView.html?idxno=21686")</f>
        <v>http://www.pdjournal.com/news/articleView.html?idxno=21686</v>
      </c>
      <c r="H4701">
        <v>0.65200000000000002</v>
      </c>
    </row>
    <row r="4702" spans="1:8" x14ac:dyDescent="0.3">
      <c r="A4702" t="s">
        <v>9678</v>
      </c>
      <c r="B4702" t="s">
        <v>26951</v>
      </c>
      <c r="C4702" t="s">
        <v>12047</v>
      </c>
      <c r="D4702" t="s">
        <v>12046</v>
      </c>
      <c r="E4702" s="2" t="s">
        <v>502</v>
      </c>
      <c r="F4702" t="s">
        <v>1377</v>
      </c>
      <c r="G4702" t="str">
        <f>HYPERLINK("https://www.dkilbo.com/news/articleView.html?idxno=497855")</f>
        <v>https://www.dkilbo.com/news/articleView.html?idxno=497855</v>
      </c>
      <c r="H4702">
        <v>0.29099999999999998</v>
      </c>
    </row>
    <row r="4703" spans="1:8" x14ac:dyDescent="0.3">
      <c r="A4703" t="s">
        <v>9678</v>
      </c>
      <c r="B4703" t="s">
        <v>26951</v>
      </c>
      <c r="C4703" t="s">
        <v>12049</v>
      </c>
      <c r="D4703" t="s">
        <v>12048</v>
      </c>
      <c r="E4703" s="2" t="s">
        <v>502</v>
      </c>
      <c r="F4703" t="s">
        <v>10229</v>
      </c>
      <c r="G4703" t="str">
        <f>HYPERLINK("https://n.news.naver.com/mnews/article/008/0005213174?sid=102")</f>
        <v>https://n.news.naver.com/mnews/article/008/0005213174?sid=102</v>
      </c>
      <c r="H4703">
        <v>0.188</v>
      </c>
    </row>
    <row r="4704" spans="1:8" x14ac:dyDescent="0.3">
      <c r="A4704" t="s">
        <v>9678</v>
      </c>
      <c r="B4704" t="s">
        <v>26951</v>
      </c>
      <c r="C4704" t="s">
        <v>12052</v>
      </c>
      <c r="D4704" t="s">
        <v>12051</v>
      </c>
      <c r="E4704" s="2" t="s">
        <v>502</v>
      </c>
      <c r="F4704" t="s">
        <v>12050</v>
      </c>
      <c r="G4704" t="str">
        <f>HYPERLINK("http://www.christiantoday.co.kr/view.htm?id=264590")</f>
        <v>http://www.christiantoday.co.kr/view.htm?id=264590</v>
      </c>
      <c r="H4704">
        <v>0.53900000000000003</v>
      </c>
    </row>
    <row r="4705" spans="1:8" x14ac:dyDescent="0.3">
      <c r="A4705" t="s">
        <v>9678</v>
      </c>
      <c r="B4705" t="s">
        <v>26951</v>
      </c>
      <c r="C4705" t="s">
        <v>12055</v>
      </c>
      <c r="D4705" t="s">
        <v>12054</v>
      </c>
      <c r="E4705" s="2" t="s">
        <v>502</v>
      </c>
      <c r="F4705" t="s">
        <v>12053</v>
      </c>
      <c r="G4705" t="str">
        <f>HYPERLINK("https://www.ngonews.kr/news/articleView.html?idxno=206189")</f>
        <v>https://www.ngonews.kr/news/articleView.html?idxno=206189</v>
      </c>
      <c r="H4705">
        <v>0.435</v>
      </c>
    </row>
    <row r="4706" spans="1:8" x14ac:dyDescent="0.3">
      <c r="A4706" t="s">
        <v>9678</v>
      </c>
      <c r="B4706" t="s">
        <v>26951</v>
      </c>
      <c r="C4706" t="s">
        <v>12057</v>
      </c>
      <c r="D4706" t="s">
        <v>12056</v>
      </c>
      <c r="E4706" s="2" t="s">
        <v>502</v>
      </c>
      <c r="F4706" t="s">
        <v>11628</v>
      </c>
      <c r="G4706" t="str">
        <f>HYPERLINK("https://n.news.naver.com/mnews/article/018/0006053867?sid=102")</f>
        <v>https://n.news.naver.com/mnews/article/018/0006053867?sid=102</v>
      </c>
      <c r="H4706">
        <v>5.3999999999999999E-2</v>
      </c>
    </row>
    <row r="4707" spans="1:8" x14ac:dyDescent="0.3">
      <c r="A4707" t="s">
        <v>9678</v>
      </c>
      <c r="B4707" t="s">
        <v>26951</v>
      </c>
      <c r="C4707" t="s">
        <v>12059</v>
      </c>
      <c r="D4707" t="s">
        <v>12058</v>
      </c>
      <c r="E4707" s="2" t="s">
        <v>502</v>
      </c>
      <c r="F4707" t="s">
        <v>11797</v>
      </c>
      <c r="G4707" t="str">
        <f>HYPERLINK("http://www.sctoday.co.kr/news/articleView.html?idxno=45454")</f>
        <v>http://www.sctoday.co.kr/news/articleView.html?idxno=45454</v>
      </c>
      <c r="H4707">
        <v>0.434</v>
      </c>
    </row>
    <row r="4708" spans="1:8" x14ac:dyDescent="0.3">
      <c r="A4708" t="s">
        <v>9678</v>
      </c>
      <c r="B4708" t="s">
        <v>26951</v>
      </c>
      <c r="C4708" t="s">
        <v>12062</v>
      </c>
      <c r="D4708" t="s">
        <v>12061</v>
      </c>
      <c r="E4708" s="2" t="s">
        <v>502</v>
      </c>
      <c r="F4708" t="s">
        <v>12060</v>
      </c>
      <c r="G4708" t="str">
        <f>HYPERLINK("https://www.womaneconomy.co.kr/news/articleView.html?idxno=236682")</f>
        <v>https://www.womaneconomy.co.kr/news/articleView.html?idxno=236682</v>
      </c>
      <c r="H4708">
        <v>0.30199999999999999</v>
      </c>
    </row>
    <row r="4709" spans="1:8" x14ac:dyDescent="0.3">
      <c r="A4709" t="s">
        <v>9678</v>
      </c>
      <c r="B4709" t="s">
        <v>26951</v>
      </c>
      <c r="C4709" t="s">
        <v>12064</v>
      </c>
      <c r="D4709" t="s">
        <v>12063</v>
      </c>
      <c r="E4709" s="2" t="s">
        <v>502</v>
      </c>
      <c r="F4709" t="s">
        <v>10533</v>
      </c>
      <c r="G4709" t="str">
        <f>HYPERLINK("https://n.news.naver.com/mnews/article/006/0000077843?sid=102")</f>
        <v>https://n.news.naver.com/mnews/article/006/0000077843?sid=102</v>
      </c>
      <c r="H4709">
        <v>0.17</v>
      </c>
    </row>
    <row r="4710" spans="1:8" x14ac:dyDescent="0.3">
      <c r="A4710" t="s">
        <v>9678</v>
      </c>
      <c r="B4710" t="s">
        <v>26951</v>
      </c>
      <c r="C4710" t="s">
        <v>12066</v>
      </c>
      <c r="D4710" t="s">
        <v>12065</v>
      </c>
      <c r="E4710" s="2" t="s">
        <v>502</v>
      </c>
      <c r="F4710" t="s">
        <v>10235</v>
      </c>
      <c r="G4710" t="str">
        <f>HYPERLINK("https://www.foodneconomy.com/news/articleView.html?idxno=341514")</f>
        <v>https://www.foodneconomy.com/news/articleView.html?idxno=341514</v>
      </c>
      <c r="H4710">
        <v>0.35099999999999998</v>
      </c>
    </row>
    <row r="4711" spans="1:8" x14ac:dyDescent="0.3">
      <c r="A4711" t="s">
        <v>9678</v>
      </c>
      <c r="B4711" t="s">
        <v>26951</v>
      </c>
      <c r="C4711" t="s">
        <v>12069</v>
      </c>
      <c r="D4711" t="s">
        <v>12068</v>
      </c>
      <c r="E4711" s="2" t="s">
        <v>502</v>
      </c>
      <c r="F4711" t="s">
        <v>12067</v>
      </c>
      <c r="G4711" t="str">
        <f>HYPERLINK("https://www.jemin.com/news/articleView.html?idxno=813974")</f>
        <v>https://www.jemin.com/news/articleView.html?idxno=813974</v>
      </c>
      <c r="H4711">
        <v>0.77</v>
      </c>
    </row>
    <row r="4712" spans="1:8" x14ac:dyDescent="0.3">
      <c r="A4712" t="s">
        <v>9678</v>
      </c>
      <c r="B4712" t="s">
        <v>26951</v>
      </c>
      <c r="C4712" t="s">
        <v>12072</v>
      </c>
      <c r="D4712" t="s">
        <v>12071</v>
      </c>
      <c r="E4712" s="2" t="s">
        <v>502</v>
      </c>
      <c r="F4712" t="s">
        <v>12070</v>
      </c>
      <c r="G4712" t="str">
        <f>HYPERLINK("http://www.jbsori.com/news/articleView.html?idxno=10920")</f>
        <v>http://www.jbsori.com/news/articleView.html?idxno=10920</v>
      </c>
      <c r="H4712">
        <v>0.42699999999999999</v>
      </c>
    </row>
    <row r="4713" spans="1:8" x14ac:dyDescent="0.3">
      <c r="A4713" t="s">
        <v>9678</v>
      </c>
      <c r="B4713" t="s">
        <v>26951</v>
      </c>
      <c r="C4713" t="s">
        <v>12075</v>
      </c>
      <c r="D4713" t="s">
        <v>12074</v>
      </c>
      <c r="E4713" s="2" t="s">
        <v>502</v>
      </c>
      <c r="F4713" t="s">
        <v>12073</v>
      </c>
      <c r="G4713" t="str">
        <f>HYPERLINK("http://ch.yes24.com/Article/View/30869")</f>
        <v>http://ch.yes24.com/Article/View/30869</v>
      </c>
      <c r="H4713">
        <v>0.50800000000000001</v>
      </c>
    </row>
    <row r="4714" spans="1:8" x14ac:dyDescent="0.3">
      <c r="A4714" t="s">
        <v>9678</v>
      </c>
      <c r="B4714" t="s">
        <v>26951</v>
      </c>
      <c r="C4714" t="s">
        <v>12078</v>
      </c>
      <c r="D4714" t="s">
        <v>12077</v>
      </c>
      <c r="E4714" s="2" t="s">
        <v>502</v>
      </c>
      <c r="F4714" t="s">
        <v>12076</v>
      </c>
      <c r="G4714" t="str">
        <f>HYPERLINK("https://www.joongangenews.com/news/articleView.html?idxno=430810")</f>
        <v>https://www.joongangenews.com/news/articleView.html?idxno=430810</v>
      </c>
      <c r="H4714">
        <v>0.154</v>
      </c>
    </row>
    <row r="4715" spans="1:8" x14ac:dyDescent="0.3">
      <c r="A4715" t="s">
        <v>9678</v>
      </c>
      <c r="B4715" t="s">
        <v>26951</v>
      </c>
      <c r="C4715" t="s">
        <v>12081</v>
      </c>
      <c r="D4715" t="s">
        <v>12080</v>
      </c>
      <c r="E4715" s="2" t="s">
        <v>502</v>
      </c>
      <c r="F4715" t="s">
        <v>12079</v>
      </c>
      <c r="G4715" t="str">
        <f>HYPERLINK("https://www.pinpointnews.co.kr/news/articleView.html?idxno=355710")</f>
        <v>https://www.pinpointnews.co.kr/news/articleView.html?idxno=355710</v>
      </c>
      <c r="H4715">
        <v>0.38700000000000001</v>
      </c>
    </row>
    <row r="4716" spans="1:8" x14ac:dyDescent="0.3">
      <c r="A4716" t="s">
        <v>9678</v>
      </c>
      <c r="B4716" t="s">
        <v>26951</v>
      </c>
      <c r="C4716" t="s">
        <v>8668</v>
      </c>
      <c r="D4716" t="s">
        <v>8667</v>
      </c>
      <c r="E4716" s="2" t="s">
        <v>502</v>
      </c>
      <c r="F4716" t="s">
        <v>1957</v>
      </c>
      <c r="G4716" t="str">
        <f>HYPERLINK("https://n.news.naver.com/mnews/article/214/0001431848?sid=100")</f>
        <v>https://n.news.naver.com/mnews/article/214/0001431848?sid=100</v>
      </c>
      <c r="H4716">
        <v>0.219</v>
      </c>
    </row>
    <row r="4717" spans="1:8" x14ac:dyDescent="0.3">
      <c r="A4717" t="s">
        <v>9678</v>
      </c>
      <c r="B4717" t="s">
        <v>26951</v>
      </c>
      <c r="C4717" t="s">
        <v>12085</v>
      </c>
      <c r="D4717" t="s">
        <v>12084</v>
      </c>
      <c r="E4717" s="2" t="s">
        <v>502</v>
      </c>
      <c r="F4717" t="s">
        <v>12083</v>
      </c>
      <c r="G4717" t="str">
        <f>HYPERLINK("https://daily.hankooki.com/news/articleView.html?idxno=993037")</f>
        <v>https://daily.hankooki.com/news/articleView.html?idxno=993037</v>
      </c>
      <c r="H4717">
        <v>0.30399999999999999</v>
      </c>
    </row>
    <row r="4718" spans="1:8" x14ac:dyDescent="0.3">
      <c r="A4718" t="s">
        <v>9678</v>
      </c>
      <c r="B4718" t="s">
        <v>26951</v>
      </c>
      <c r="C4718" t="s">
        <v>12088</v>
      </c>
      <c r="D4718" t="s">
        <v>12087</v>
      </c>
      <c r="E4718" s="2" t="s">
        <v>502</v>
      </c>
      <c r="F4718" t="s">
        <v>12086</v>
      </c>
      <c r="G4718" t="str">
        <f>HYPERLINK("http://www.lkp.news/news/articleView.html?idxno=37633")</f>
        <v>http://www.lkp.news/news/articleView.html?idxno=37633</v>
      </c>
      <c r="H4718">
        <v>0.69399999999999995</v>
      </c>
    </row>
    <row r="4719" spans="1:8" x14ac:dyDescent="0.3">
      <c r="A4719" t="s">
        <v>9678</v>
      </c>
      <c r="B4719" t="s">
        <v>26951</v>
      </c>
      <c r="C4719" t="s">
        <v>12091</v>
      </c>
      <c r="D4719" t="s">
        <v>12090</v>
      </c>
      <c r="E4719" s="2" t="s">
        <v>502</v>
      </c>
      <c r="F4719" t="s">
        <v>12089</v>
      </c>
      <c r="G4719" t="str">
        <f>HYPERLINK("http://www.srtimes.kr/news/articleView.html?idxno=175460")</f>
        <v>http://www.srtimes.kr/news/articleView.html?idxno=175460</v>
      </c>
      <c r="H4719">
        <v>0.43</v>
      </c>
    </row>
    <row r="4720" spans="1:8" x14ac:dyDescent="0.3">
      <c r="A4720" t="s">
        <v>9678</v>
      </c>
      <c r="B4720" t="s">
        <v>26951</v>
      </c>
      <c r="C4720" t="s">
        <v>12094</v>
      </c>
      <c r="D4720" t="s">
        <v>12093</v>
      </c>
      <c r="E4720" s="2" t="s">
        <v>502</v>
      </c>
      <c r="F4720" t="s">
        <v>12092</v>
      </c>
      <c r="G4720" t="str">
        <f>HYPERLINK("https://news.bbsi.co.kr/news/articleView.html?idxno=3162796")</f>
        <v>https://news.bbsi.co.kr/news/articleView.html?idxno=3162796</v>
      </c>
      <c r="H4720">
        <v>0.46800000000000003</v>
      </c>
    </row>
    <row r="4721" spans="1:8" x14ac:dyDescent="0.3">
      <c r="A4721" t="s">
        <v>9678</v>
      </c>
      <c r="B4721" t="s">
        <v>26951</v>
      </c>
      <c r="C4721" t="s">
        <v>12096</v>
      </c>
      <c r="D4721" t="s">
        <v>12095</v>
      </c>
      <c r="E4721" s="2" t="s">
        <v>502</v>
      </c>
      <c r="F4721" t="s">
        <v>2965</v>
      </c>
      <c r="G4721" t="str">
        <f>HYPERLINK("https://www.meconomynews.com/news/articleView.html?idxno=114488")</f>
        <v>https://www.meconomynews.com/news/articleView.html?idxno=114488</v>
      </c>
      <c r="H4721">
        <v>0.64500000000000002</v>
      </c>
    </row>
    <row r="4722" spans="1:8" x14ac:dyDescent="0.3">
      <c r="A4722" t="s">
        <v>9678</v>
      </c>
      <c r="B4722" t="s">
        <v>26951</v>
      </c>
      <c r="C4722" t="s">
        <v>12099</v>
      </c>
      <c r="D4722" t="s">
        <v>12098</v>
      </c>
      <c r="E4722" s="2" t="s">
        <v>502</v>
      </c>
      <c r="F4722" t="s">
        <v>12097</v>
      </c>
      <c r="G4722" t="str">
        <f>HYPERLINK("https://www.kgnews.co.kr/news/article.html?no=786904")</f>
        <v>https://www.kgnews.co.kr/news/article.html?no=786904</v>
      </c>
      <c r="H4722">
        <v>0.42199999999999999</v>
      </c>
    </row>
    <row r="4723" spans="1:8" x14ac:dyDescent="0.3">
      <c r="A4723" t="s">
        <v>9678</v>
      </c>
      <c r="B4723" t="s">
        <v>26951</v>
      </c>
      <c r="C4723" t="s">
        <v>12101</v>
      </c>
      <c r="D4723" t="s">
        <v>12100</v>
      </c>
      <c r="E4723" s="2" t="s">
        <v>502</v>
      </c>
      <c r="F4723" t="s">
        <v>5342</v>
      </c>
      <c r="H4723">
        <v>0.495</v>
      </c>
    </row>
    <row r="4724" spans="1:8" x14ac:dyDescent="0.3">
      <c r="A4724" t="s">
        <v>9678</v>
      </c>
      <c r="B4724" t="s">
        <v>26951</v>
      </c>
      <c r="C4724" t="s">
        <v>12103</v>
      </c>
      <c r="D4724" t="s">
        <v>12102</v>
      </c>
      <c r="E4724" s="2" t="s">
        <v>502</v>
      </c>
      <c r="F4724" t="s">
        <v>4598</v>
      </c>
      <c r="G4724" t="str">
        <f>HYPERLINK("https://www.esquirekorea.co.kr/article/1883492")</f>
        <v>https://www.esquirekorea.co.kr/article/1883492</v>
      </c>
      <c r="H4724">
        <v>0.222</v>
      </c>
    </row>
    <row r="4725" spans="1:8" x14ac:dyDescent="0.3">
      <c r="A4725" t="s">
        <v>9678</v>
      </c>
      <c r="B4725" t="s">
        <v>26951</v>
      </c>
      <c r="C4725" t="s">
        <v>12107</v>
      </c>
      <c r="D4725" t="s">
        <v>12106</v>
      </c>
      <c r="E4725" s="2" t="s">
        <v>517</v>
      </c>
      <c r="F4725" t="s">
        <v>12105</v>
      </c>
      <c r="G4725" t="str">
        <f>HYPERLINK("https://daily.hankooki.com/news/articleView.html?idxno=1235678")</f>
        <v>https://daily.hankooki.com/news/articleView.html?idxno=1235678</v>
      </c>
      <c r="H4725">
        <v>0.28199999999999997</v>
      </c>
    </row>
    <row r="4726" spans="1:8" x14ac:dyDescent="0.3">
      <c r="A4726" t="s">
        <v>9678</v>
      </c>
      <c r="B4726" t="s">
        <v>26951</v>
      </c>
      <c r="C4726" t="s">
        <v>12109</v>
      </c>
      <c r="D4726" t="s">
        <v>12108</v>
      </c>
      <c r="E4726" s="2" t="s">
        <v>517</v>
      </c>
      <c r="F4726" t="s">
        <v>7786</v>
      </c>
      <c r="G4726" t="str">
        <f>HYPERLINK("https://n.news.naver.com/mnews/article/002/0001952617?sid=102")</f>
        <v>https://n.news.naver.com/mnews/article/002/0001952617?sid=102</v>
      </c>
      <c r="H4726">
        <v>0.182</v>
      </c>
    </row>
    <row r="4727" spans="1:8" x14ac:dyDescent="0.3">
      <c r="A4727" t="s">
        <v>9678</v>
      </c>
      <c r="B4727" t="s">
        <v>26951</v>
      </c>
      <c r="C4727" t="s">
        <v>12112</v>
      </c>
      <c r="D4727" t="s">
        <v>12111</v>
      </c>
      <c r="E4727" s="2" t="s">
        <v>517</v>
      </c>
      <c r="F4727" t="s">
        <v>12110</v>
      </c>
      <c r="G4727" t="str">
        <f>HYPERLINK("https://www.lecturernews.com/news/articleView.html?idxno=180460")</f>
        <v>https://www.lecturernews.com/news/articleView.html?idxno=180460</v>
      </c>
      <c r="H4727">
        <v>0.66500000000000004</v>
      </c>
    </row>
    <row r="4728" spans="1:8" x14ac:dyDescent="0.3">
      <c r="A4728" t="s">
        <v>9678</v>
      </c>
      <c r="B4728" t="s">
        <v>26951</v>
      </c>
      <c r="C4728" t="s">
        <v>12114</v>
      </c>
      <c r="D4728" t="s">
        <v>12113</v>
      </c>
      <c r="E4728" s="2" t="s">
        <v>517</v>
      </c>
      <c r="F4728" t="s">
        <v>6486</v>
      </c>
      <c r="G4728" t="str">
        <f>HYPERLINK("https://n.news.naver.com/mnews/article/028/0002024432?sid=102")</f>
        <v>https://n.news.naver.com/mnews/article/028/0002024432?sid=102</v>
      </c>
      <c r="H4728">
        <v>0.17699999999999999</v>
      </c>
    </row>
    <row r="4729" spans="1:8" x14ac:dyDescent="0.3">
      <c r="A4729" t="s">
        <v>9678</v>
      </c>
      <c r="B4729" t="s">
        <v>26951</v>
      </c>
      <c r="C4729" t="s">
        <v>12116</v>
      </c>
      <c r="D4729" t="s">
        <v>12115</v>
      </c>
      <c r="E4729" s="2" t="s">
        <v>517</v>
      </c>
      <c r="F4729" t="s">
        <v>467</v>
      </c>
      <c r="G4729" t="str">
        <f>HYPERLINK("http://www.veritas-a.com/news/articleView.html?idxno=57336")</f>
        <v>http://www.veritas-a.com/news/articleView.html?idxno=57336</v>
      </c>
      <c r="H4729">
        <v>0.47399999999999998</v>
      </c>
    </row>
    <row r="4730" spans="1:8" x14ac:dyDescent="0.3">
      <c r="A4730" t="s">
        <v>9678</v>
      </c>
      <c r="B4730" t="s">
        <v>26951</v>
      </c>
      <c r="C4730" t="s">
        <v>12118</v>
      </c>
      <c r="D4730" t="s">
        <v>12117</v>
      </c>
      <c r="E4730" s="2" t="s">
        <v>517</v>
      </c>
      <c r="F4730" t="s">
        <v>4378</v>
      </c>
      <c r="G4730" t="str">
        <f>HYPERLINK("https://n.news.naver.com/mnews/article/018/0006047182?sid=101")</f>
        <v>https://n.news.naver.com/mnews/article/018/0006047182?sid=101</v>
      </c>
      <c r="H4730">
        <v>0.27600000000000002</v>
      </c>
    </row>
    <row r="4731" spans="1:8" x14ac:dyDescent="0.3">
      <c r="A4731" t="s">
        <v>9678</v>
      </c>
      <c r="B4731" t="s">
        <v>26951</v>
      </c>
      <c r="C4731" t="s">
        <v>12121</v>
      </c>
      <c r="D4731" t="s">
        <v>12120</v>
      </c>
      <c r="E4731" s="2" t="s">
        <v>517</v>
      </c>
      <c r="F4731" t="s">
        <v>12119</v>
      </c>
      <c r="G4731" t="str">
        <f>HYPERLINK("https://n.news.naver.com/mnews/article/052/0002200970?sid=154")</f>
        <v>https://n.news.naver.com/mnews/article/052/0002200970?sid=154</v>
      </c>
      <c r="H4731">
        <v>0.26</v>
      </c>
    </row>
    <row r="4732" spans="1:8" x14ac:dyDescent="0.3">
      <c r="A4732" t="s">
        <v>9678</v>
      </c>
      <c r="B4732" t="s">
        <v>26951</v>
      </c>
      <c r="C4732" t="s">
        <v>12125</v>
      </c>
      <c r="D4732" t="s">
        <v>12124</v>
      </c>
      <c r="E4732" s="2" t="s">
        <v>517</v>
      </c>
      <c r="F4732" t="s">
        <v>12123</v>
      </c>
      <c r="G4732" t="str">
        <f>HYPERLINK("http://www.newswatch.kr/news/articleView.html?idxno=72180")</f>
        <v>http://www.newswatch.kr/news/articleView.html?idxno=72180</v>
      </c>
      <c r="H4732">
        <v>0.32800000000000001</v>
      </c>
    </row>
    <row r="4733" spans="1:8" x14ac:dyDescent="0.3">
      <c r="A4733" t="s">
        <v>9678</v>
      </c>
      <c r="B4733" t="s">
        <v>26951</v>
      </c>
      <c r="C4733" t="s">
        <v>12127</v>
      </c>
      <c r="D4733" t="s">
        <v>12126</v>
      </c>
      <c r="E4733" s="2" t="s">
        <v>517</v>
      </c>
      <c r="F4733" t="s">
        <v>11264</v>
      </c>
      <c r="G4733" t="str">
        <f>HYPERLINK("http://www.newsmin.co.kr/news/54859")</f>
        <v>http://www.newsmin.co.kr/news/54859</v>
      </c>
      <c r="H4733">
        <v>0.502</v>
      </c>
    </row>
    <row r="4734" spans="1:8" x14ac:dyDescent="0.3">
      <c r="A4734" t="s">
        <v>9678</v>
      </c>
      <c r="B4734" t="s">
        <v>26951</v>
      </c>
      <c r="C4734" t="s">
        <v>12129</v>
      </c>
      <c r="D4734" t="s">
        <v>12128</v>
      </c>
      <c r="E4734" s="2" t="s">
        <v>517</v>
      </c>
      <c r="F4734" t="s">
        <v>5724</v>
      </c>
      <c r="G4734" t="str">
        <f>HYPERLINK("https://n.news.naver.com/mnews/article/214/0001279487?sid=100")</f>
        <v>https://n.news.naver.com/mnews/article/214/0001279487?sid=100</v>
      </c>
      <c r="H4734">
        <v>0.34799999999999998</v>
      </c>
    </row>
    <row r="4735" spans="1:8" x14ac:dyDescent="0.3">
      <c r="A4735" t="s">
        <v>9678</v>
      </c>
      <c r="B4735" t="s">
        <v>26951</v>
      </c>
      <c r="C4735" t="s">
        <v>12131</v>
      </c>
      <c r="D4735" t="s">
        <v>12130</v>
      </c>
      <c r="E4735" s="2" t="s">
        <v>517</v>
      </c>
      <c r="F4735" t="s">
        <v>6292</v>
      </c>
      <c r="G4735" t="str">
        <f>HYPERLINK("https://n.news.naver.com/mnews/article/214/0001430763?sid=104")</f>
        <v>https://n.news.naver.com/mnews/article/214/0001430763?sid=104</v>
      </c>
      <c r="H4735">
        <v>0.28899999999999998</v>
      </c>
    </row>
    <row r="4736" spans="1:8" x14ac:dyDescent="0.3">
      <c r="A4736" t="s">
        <v>9678</v>
      </c>
      <c r="B4736" t="s">
        <v>26951</v>
      </c>
      <c r="C4736" t="s">
        <v>12133</v>
      </c>
      <c r="D4736" t="s">
        <v>12132</v>
      </c>
      <c r="E4736" s="2" t="s">
        <v>517</v>
      </c>
      <c r="F4736" t="s">
        <v>5548</v>
      </c>
      <c r="G4736" t="str">
        <f>HYPERLINK("https://www.jemin.com/news/articleView.html?idxno=790722")</f>
        <v>https://www.jemin.com/news/articleView.html?idxno=790722</v>
      </c>
      <c r="H4736">
        <v>0.38100000000000001</v>
      </c>
    </row>
    <row r="4737" spans="1:8" x14ac:dyDescent="0.3">
      <c r="A4737" t="s">
        <v>9678</v>
      </c>
      <c r="B4737" t="s">
        <v>26951</v>
      </c>
      <c r="C4737" t="s">
        <v>12135</v>
      </c>
      <c r="D4737" t="s">
        <v>12134</v>
      </c>
      <c r="E4737" s="2" t="s">
        <v>517</v>
      </c>
      <c r="F4737" t="s">
        <v>9944</v>
      </c>
      <c r="G4737" t="str">
        <f>HYPERLINK("http://www.gameshot.net/common/con_view.php?code=GA604983a9a637b")</f>
        <v>http://www.gameshot.net/common/con_view.php?code=GA604983a9a637b</v>
      </c>
      <c r="H4737">
        <v>0.35699999999999998</v>
      </c>
    </row>
    <row r="4738" spans="1:8" x14ac:dyDescent="0.3">
      <c r="A4738" t="s">
        <v>9678</v>
      </c>
      <c r="B4738" t="s">
        <v>26951</v>
      </c>
      <c r="C4738" t="s">
        <v>12140</v>
      </c>
      <c r="D4738" t="s">
        <v>12139</v>
      </c>
      <c r="E4738" s="2" t="s">
        <v>517</v>
      </c>
      <c r="F4738" t="s">
        <v>12138</v>
      </c>
      <c r="G4738" t="str">
        <f>HYPERLINK("http://www.kyosu.net/news/articleView.html?idxno=136974")</f>
        <v>http://www.kyosu.net/news/articleView.html?idxno=136974</v>
      </c>
      <c r="H4738">
        <v>0.19700000000000001</v>
      </c>
    </row>
    <row r="4739" spans="1:8" x14ac:dyDescent="0.3">
      <c r="A4739" t="s">
        <v>9678</v>
      </c>
      <c r="B4739" t="s">
        <v>26951</v>
      </c>
      <c r="C4739" t="s">
        <v>12142</v>
      </c>
      <c r="D4739" t="s">
        <v>12141</v>
      </c>
      <c r="E4739" s="2" t="s">
        <v>517</v>
      </c>
      <c r="F4739" t="s">
        <v>10120</v>
      </c>
      <c r="G4739" t="str">
        <f>HYPERLINK("https://n.news.naver.com/mnews/article/214/0001430271?sid=100")</f>
        <v>https://n.news.naver.com/mnews/article/214/0001430271?sid=100</v>
      </c>
      <c r="H4739">
        <v>0.19700000000000001</v>
      </c>
    </row>
    <row r="4740" spans="1:8" x14ac:dyDescent="0.3">
      <c r="A4740" t="s">
        <v>9678</v>
      </c>
      <c r="B4740" t="s">
        <v>26951</v>
      </c>
      <c r="C4740" t="s">
        <v>12144</v>
      </c>
      <c r="D4740" t="s">
        <v>12143</v>
      </c>
      <c r="E4740" s="2" t="s">
        <v>517</v>
      </c>
      <c r="F4740" t="s">
        <v>7465</v>
      </c>
      <c r="G4740" t="str">
        <f>HYPERLINK("https://n.news.naver.com/mnews/article/214/0001431933?sid=100")</f>
        <v>https://n.news.naver.com/mnews/article/214/0001431933?sid=100</v>
      </c>
      <c r="H4740">
        <v>0.155</v>
      </c>
    </row>
    <row r="4741" spans="1:8" x14ac:dyDescent="0.3">
      <c r="A4741" t="s">
        <v>9678</v>
      </c>
      <c r="B4741" t="s">
        <v>26951</v>
      </c>
      <c r="C4741" t="s">
        <v>12147</v>
      </c>
      <c r="D4741" t="s">
        <v>12146</v>
      </c>
      <c r="E4741" s="2" t="s">
        <v>517</v>
      </c>
      <c r="F4741" t="s">
        <v>12145</v>
      </c>
      <c r="G4741" t="str">
        <f>HYPERLINK("https://www.greened.kr/news/articleView.html?idxno=325675")</f>
        <v>https://www.greened.kr/news/articleView.html?idxno=325675</v>
      </c>
      <c r="H4741">
        <v>0.51300000000000001</v>
      </c>
    </row>
    <row r="4742" spans="1:8" x14ac:dyDescent="0.3">
      <c r="A4742" t="s">
        <v>9678</v>
      </c>
      <c r="B4742" t="s">
        <v>26951</v>
      </c>
      <c r="C4742" t="s">
        <v>12150</v>
      </c>
      <c r="D4742" t="s">
        <v>12149</v>
      </c>
      <c r="E4742" s="2" t="s">
        <v>517</v>
      </c>
      <c r="F4742" t="s">
        <v>12148</v>
      </c>
      <c r="G4742" t="str">
        <f>HYPERLINK("http://kbench.com/?q=node/222555")</f>
        <v>http://kbench.com/?q=node/222555</v>
      </c>
      <c r="H4742">
        <v>0.215</v>
      </c>
    </row>
    <row r="4743" spans="1:8" x14ac:dyDescent="0.3">
      <c r="A4743" t="s">
        <v>9678</v>
      </c>
      <c r="B4743" t="s">
        <v>26951</v>
      </c>
      <c r="C4743" t="s">
        <v>12152</v>
      </c>
      <c r="D4743" t="s">
        <v>12151</v>
      </c>
      <c r="E4743" s="2" t="s">
        <v>517</v>
      </c>
      <c r="F4743" t="s">
        <v>10021</v>
      </c>
      <c r="G4743" t="str">
        <f>HYPERLINK("http://www.ksilbo.co.kr/news/articleView.html?idxno=709460")</f>
        <v>http://www.ksilbo.co.kr/news/articleView.html?idxno=709460</v>
      </c>
      <c r="H4743">
        <v>0.38100000000000001</v>
      </c>
    </row>
    <row r="4744" spans="1:8" x14ac:dyDescent="0.3">
      <c r="A4744" t="s">
        <v>9678</v>
      </c>
      <c r="B4744" t="s">
        <v>26951</v>
      </c>
      <c r="C4744" t="s">
        <v>12154</v>
      </c>
      <c r="D4744" t="s">
        <v>12153</v>
      </c>
      <c r="E4744" s="2" t="s">
        <v>517</v>
      </c>
      <c r="F4744" t="s">
        <v>8045</v>
      </c>
      <c r="G4744" t="str">
        <f>HYPERLINK("https://n.news.naver.com/mnews/article/028/0002159094?sid=103")</f>
        <v>https://n.news.naver.com/mnews/article/028/0002159094?sid=103</v>
      </c>
      <c r="H4744">
        <v>0.112</v>
      </c>
    </row>
    <row r="4745" spans="1:8" x14ac:dyDescent="0.3">
      <c r="A4745" t="s">
        <v>9678</v>
      </c>
      <c r="B4745" t="s">
        <v>26951</v>
      </c>
      <c r="C4745" t="s">
        <v>12156</v>
      </c>
      <c r="D4745" t="s">
        <v>12155</v>
      </c>
      <c r="E4745" s="2" t="s">
        <v>517</v>
      </c>
      <c r="F4745" t="s">
        <v>9755</v>
      </c>
      <c r="G4745" t="str">
        <f>HYPERLINK("https://n.news.naver.com/mnews/article/088/0000956351?sid=101")</f>
        <v>https://n.news.naver.com/mnews/article/088/0000956351?sid=101</v>
      </c>
      <c r="H4745">
        <v>0.27900000000000003</v>
      </c>
    </row>
    <row r="4746" spans="1:8" x14ac:dyDescent="0.3">
      <c r="A4746" t="s">
        <v>9678</v>
      </c>
      <c r="B4746" t="s">
        <v>26951</v>
      </c>
      <c r="C4746" t="s">
        <v>12159</v>
      </c>
      <c r="D4746" t="s">
        <v>12158</v>
      </c>
      <c r="E4746" s="2" t="s">
        <v>517</v>
      </c>
      <c r="F4746" t="s">
        <v>12157</v>
      </c>
      <c r="G4746" t="str">
        <f>HYPERLINK("https://weekly.cnbnews.com/news/article.html?no=145675")</f>
        <v>https://weekly.cnbnews.com/news/article.html?no=145675</v>
      </c>
      <c r="H4746">
        <v>0.59499999999999997</v>
      </c>
    </row>
    <row r="4747" spans="1:8" x14ac:dyDescent="0.3">
      <c r="A4747" t="s">
        <v>9678</v>
      </c>
      <c r="B4747" t="s">
        <v>26951</v>
      </c>
      <c r="C4747" t="s">
        <v>12161</v>
      </c>
      <c r="D4747" t="s">
        <v>12160</v>
      </c>
      <c r="E4747" s="2" t="s">
        <v>517</v>
      </c>
      <c r="F4747" t="s">
        <v>817</v>
      </c>
      <c r="G4747" t="str">
        <f>HYPERLINK("http://www.enewstoday.co.kr/news/articleView.html?idxno=2286847")</f>
        <v>http://www.enewstoday.co.kr/news/articleView.html?idxno=2286847</v>
      </c>
      <c r="H4747">
        <v>0.32600000000000001</v>
      </c>
    </row>
    <row r="4748" spans="1:8" x14ac:dyDescent="0.3">
      <c r="A4748" t="s">
        <v>9678</v>
      </c>
      <c r="B4748" t="s">
        <v>26951</v>
      </c>
      <c r="C4748" t="s">
        <v>12163</v>
      </c>
      <c r="D4748" t="s">
        <v>12162</v>
      </c>
      <c r="E4748" s="2" t="s">
        <v>517</v>
      </c>
      <c r="F4748" t="s">
        <v>2222</v>
      </c>
      <c r="G4748" t="str">
        <f>HYPERLINK("https://n.news.naver.com/mnews/article/028/0002750881?sid=102")</f>
        <v>https://n.news.naver.com/mnews/article/028/0002750881?sid=102</v>
      </c>
      <c r="H4748">
        <v>0.11700000000000001</v>
      </c>
    </row>
    <row r="4749" spans="1:8" x14ac:dyDescent="0.3">
      <c r="A4749" t="s">
        <v>9678</v>
      </c>
      <c r="B4749" t="s">
        <v>26951</v>
      </c>
      <c r="C4749" t="s">
        <v>12165</v>
      </c>
      <c r="D4749" t="s">
        <v>12164</v>
      </c>
      <c r="E4749" s="2" t="s">
        <v>517</v>
      </c>
      <c r="F4749" t="s">
        <v>11313</v>
      </c>
      <c r="G4749" t="str">
        <f>HYPERLINK("https://www.lecturernews.com/news/articleView.html?idxno=178129")</f>
        <v>https://www.lecturernews.com/news/articleView.html?idxno=178129</v>
      </c>
      <c r="H4749">
        <v>0.54300000000000004</v>
      </c>
    </row>
    <row r="4750" spans="1:8" x14ac:dyDescent="0.3">
      <c r="A4750" t="s">
        <v>9678</v>
      </c>
      <c r="B4750" t="s">
        <v>26951</v>
      </c>
      <c r="C4750" t="s">
        <v>12168</v>
      </c>
      <c r="D4750" t="s">
        <v>12167</v>
      </c>
      <c r="E4750" s="2" t="s">
        <v>517</v>
      </c>
      <c r="F4750" t="s">
        <v>12166</v>
      </c>
      <c r="G4750" t="str">
        <f>HYPERLINK("https://n.news.naver.com/mnews/article/079/0003814134?sid=103")</f>
        <v>https://n.news.naver.com/mnews/article/079/0003814134?sid=103</v>
      </c>
      <c r="H4750">
        <v>0.27900000000000003</v>
      </c>
    </row>
    <row r="4751" spans="1:8" x14ac:dyDescent="0.3">
      <c r="A4751" t="s">
        <v>9678</v>
      </c>
      <c r="B4751" t="s">
        <v>26951</v>
      </c>
      <c r="C4751" t="s">
        <v>12170</v>
      </c>
      <c r="D4751" t="s">
        <v>12169</v>
      </c>
      <c r="E4751" s="2" t="s">
        <v>517</v>
      </c>
      <c r="F4751" t="s">
        <v>5548</v>
      </c>
      <c r="G4751" t="str">
        <f>HYPERLINK("http://www.headlinejeju.co.kr/news/articleView.html?idxno=571926")</f>
        <v>http://www.headlinejeju.co.kr/news/articleView.html?idxno=571926</v>
      </c>
      <c r="H4751">
        <v>0.54400000000000004</v>
      </c>
    </row>
    <row r="4752" spans="1:8" x14ac:dyDescent="0.3">
      <c r="A4752" t="s">
        <v>9678</v>
      </c>
      <c r="B4752" t="s">
        <v>26951</v>
      </c>
      <c r="C4752" t="s">
        <v>12172</v>
      </c>
      <c r="D4752" t="s">
        <v>12171</v>
      </c>
      <c r="E4752" s="2" t="s">
        <v>517</v>
      </c>
      <c r="F4752" t="s">
        <v>11313</v>
      </c>
      <c r="G4752" t="str">
        <f>HYPERLINK("https://www.lecturernews.com/news/articleView.html?idxno=178672")</f>
        <v>https://www.lecturernews.com/news/articleView.html?idxno=178672</v>
      </c>
      <c r="H4752">
        <v>0.48099999999999998</v>
      </c>
    </row>
    <row r="4753" spans="1:8" x14ac:dyDescent="0.3">
      <c r="A4753" t="s">
        <v>9678</v>
      </c>
      <c r="B4753" t="s">
        <v>26951</v>
      </c>
      <c r="C4753" t="s">
        <v>12175</v>
      </c>
      <c r="D4753" t="s">
        <v>12174</v>
      </c>
      <c r="E4753" s="2" t="s">
        <v>517</v>
      </c>
      <c r="F4753" t="s">
        <v>12173</v>
      </c>
      <c r="G4753" t="str">
        <f>HYPERLINK("http://www.greened.kr/news/articleView.html?idxno=301963")</f>
        <v>http://www.greened.kr/news/articleView.html?idxno=301963</v>
      </c>
      <c r="H4753">
        <v>0.35</v>
      </c>
    </row>
    <row r="4754" spans="1:8" x14ac:dyDescent="0.3">
      <c r="A4754" t="s">
        <v>9678</v>
      </c>
      <c r="B4754" t="s">
        <v>26951</v>
      </c>
      <c r="C4754" t="s">
        <v>12177</v>
      </c>
      <c r="D4754" t="s">
        <v>12176</v>
      </c>
      <c r="E4754" s="2" t="s">
        <v>517</v>
      </c>
      <c r="F4754" t="s">
        <v>10341</v>
      </c>
      <c r="G4754" t="str">
        <f>HYPERLINK("http://www.kjdaily.com/article.php?aid=1725154829638912227")</f>
        <v>http://www.kjdaily.com/article.php?aid=1725154829638912227</v>
      </c>
      <c r="H4754">
        <v>2.4E-2</v>
      </c>
    </row>
    <row r="4755" spans="1:8" x14ac:dyDescent="0.3">
      <c r="A4755" t="s">
        <v>9678</v>
      </c>
      <c r="B4755" t="s">
        <v>26951</v>
      </c>
      <c r="C4755" t="s">
        <v>12179</v>
      </c>
      <c r="D4755" t="s">
        <v>12178</v>
      </c>
      <c r="E4755" s="2" t="s">
        <v>517</v>
      </c>
      <c r="F4755" t="s">
        <v>5548</v>
      </c>
      <c r="G4755" t="str">
        <f>HYPERLINK("http://www.samdailbo.com/news/articleView.html?idxno=206651")</f>
        <v>http://www.samdailbo.com/news/articleView.html?idxno=206651</v>
      </c>
      <c r="H4755">
        <v>0.41299999999999998</v>
      </c>
    </row>
    <row r="4756" spans="1:8" x14ac:dyDescent="0.3">
      <c r="A4756" t="s">
        <v>9678</v>
      </c>
      <c r="B4756" t="s">
        <v>26951</v>
      </c>
      <c r="C4756" t="s">
        <v>12181</v>
      </c>
      <c r="D4756" t="s">
        <v>12180</v>
      </c>
      <c r="E4756" s="2" t="s">
        <v>517</v>
      </c>
      <c r="F4756" t="s">
        <v>3653</v>
      </c>
      <c r="G4756" t="str">
        <f>HYPERLINK("https://n.news.naver.com/mnews/article/214/0001113671?sid=100")</f>
        <v>https://n.news.naver.com/mnews/article/214/0001113671?sid=100</v>
      </c>
      <c r="H4756">
        <v>0.34300000000000003</v>
      </c>
    </row>
    <row r="4757" spans="1:8" x14ac:dyDescent="0.3">
      <c r="A4757" t="s">
        <v>9678</v>
      </c>
      <c r="B4757" t="s">
        <v>26951</v>
      </c>
      <c r="C4757" t="s">
        <v>12184</v>
      </c>
      <c r="D4757" t="s">
        <v>12183</v>
      </c>
      <c r="E4757" s="2" t="s">
        <v>517</v>
      </c>
      <c r="F4757" t="s">
        <v>12182</v>
      </c>
      <c r="G4757" t="str">
        <f>HYPERLINK("https://www.newsgn.com/news/articleView.html?idxno=487793")</f>
        <v>https://www.newsgn.com/news/articleView.html?idxno=487793</v>
      </c>
      <c r="H4757">
        <v>0.96299999999999997</v>
      </c>
    </row>
    <row r="4758" spans="1:8" x14ac:dyDescent="0.3">
      <c r="A4758" t="s">
        <v>9678</v>
      </c>
      <c r="B4758" t="s">
        <v>26951</v>
      </c>
      <c r="C4758" t="s">
        <v>12187</v>
      </c>
      <c r="D4758" t="s">
        <v>12186</v>
      </c>
      <c r="E4758" s="2" t="s">
        <v>517</v>
      </c>
      <c r="F4758" t="s">
        <v>12185</v>
      </c>
      <c r="G4758" t="str">
        <f>HYPERLINK("https://www.cstimes.com/news/articleView.html?idxno=653896")</f>
        <v>https://www.cstimes.com/news/articleView.html?idxno=653896</v>
      </c>
      <c r="H4758">
        <v>0.42299999999999999</v>
      </c>
    </row>
    <row r="4759" spans="1:8" x14ac:dyDescent="0.3">
      <c r="A4759" t="s">
        <v>9678</v>
      </c>
      <c r="B4759" t="s">
        <v>26951</v>
      </c>
      <c r="C4759" t="s">
        <v>12190</v>
      </c>
      <c r="D4759" t="s">
        <v>12189</v>
      </c>
      <c r="E4759" s="2" t="s">
        <v>517</v>
      </c>
      <c r="F4759" t="s">
        <v>12188</v>
      </c>
      <c r="G4759" t="str">
        <f>HYPERLINK("https://n.news.naver.com/mnews/article/022/0004043986?sid=101")</f>
        <v>https://n.news.naver.com/mnews/article/022/0004043986?sid=101</v>
      </c>
      <c r="H4759">
        <v>0.318</v>
      </c>
    </row>
    <row r="4760" spans="1:8" x14ac:dyDescent="0.3">
      <c r="A4760" t="s">
        <v>9678</v>
      </c>
      <c r="B4760" t="s">
        <v>26951</v>
      </c>
      <c r="C4760" t="s">
        <v>12192</v>
      </c>
      <c r="D4760" t="s">
        <v>12191</v>
      </c>
      <c r="E4760" s="2" t="s">
        <v>517</v>
      </c>
      <c r="F4760" t="s">
        <v>5087</v>
      </c>
      <c r="G4760" t="str">
        <f>HYPERLINK("https://n.news.naver.com/mnews/article/018/0006039243?sid=102")</f>
        <v>https://n.news.naver.com/mnews/article/018/0006039243?sid=102</v>
      </c>
      <c r="H4760">
        <v>0.19600000000000001</v>
      </c>
    </row>
    <row r="4761" spans="1:8" x14ac:dyDescent="0.3">
      <c r="A4761" t="s">
        <v>9678</v>
      </c>
      <c r="B4761" t="s">
        <v>26951</v>
      </c>
      <c r="C4761" t="s">
        <v>12194</v>
      </c>
      <c r="D4761" t="s">
        <v>12193</v>
      </c>
      <c r="E4761" s="2" t="s">
        <v>517</v>
      </c>
      <c r="F4761" t="s">
        <v>6930</v>
      </c>
      <c r="G4761" t="str">
        <f>HYPERLINK("http://www.pennmike.com/news/articleView.html?idxno=78114")</f>
        <v>http://www.pennmike.com/news/articleView.html?idxno=78114</v>
      </c>
      <c r="H4761">
        <v>0.45600000000000002</v>
      </c>
    </row>
    <row r="4762" spans="1:8" x14ac:dyDescent="0.3">
      <c r="A4762" t="s">
        <v>9678</v>
      </c>
      <c r="B4762" t="s">
        <v>26951</v>
      </c>
      <c r="C4762" t="s">
        <v>12196</v>
      </c>
      <c r="D4762" t="s">
        <v>12195</v>
      </c>
      <c r="E4762" s="2" t="s">
        <v>517</v>
      </c>
      <c r="F4762" t="s">
        <v>9878</v>
      </c>
      <c r="G4762" t="str">
        <f>HYPERLINK("https://www.newsnjoy.or.kr/news/articleView.html?idxno=307123")</f>
        <v>https://www.newsnjoy.or.kr/news/articleView.html?idxno=307123</v>
      </c>
      <c r="H4762">
        <v>0.26</v>
      </c>
    </row>
    <row r="4763" spans="1:8" x14ac:dyDescent="0.3">
      <c r="A4763" t="s">
        <v>9678</v>
      </c>
      <c r="B4763" t="s">
        <v>26951</v>
      </c>
      <c r="C4763" t="s">
        <v>12199</v>
      </c>
      <c r="D4763" t="s">
        <v>12198</v>
      </c>
      <c r="E4763" s="2" t="s">
        <v>517</v>
      </c>
      <c r="F4763" t="s">
        <v>12197</v>
      </c>
      <c r="G4763" t="str">
        <f>HYPERLINK("http://www.etoday.co.kr/news/section/newsview.php?TM=news&amp;SM=4102&amp;idxno=620766")</f>
        <v>http://www.etoday.co.kr/news/section/newsview.php?TM=news&amp;SM=4102&amp;idxno=620766</v>
      </c>
      <c r="H4763">
        <v>0.23200000000000001</v>
      </c>
    </row>
    <row r="4764" spans="1:8" x14ac:dyDescent="0.3">
      <c r="A4764" t="s">
        <v>9678</v>
      </c>
      <c r="B4764" t="s">
        <v>26951</v>
      </c>
      <c r="C4764" t="s">
        <v>12202</v>
      </c>
      <c r="D4764" t="s">
        <v>12201</v>
      </c>
      <c r="E4764" s="2" t="s">
        <v>517</v>
      </c>
      <c r="F4764" t="s">
        <v>12200</v>
      </c>
      <c r="G4764" t="str">
        <f>HYPERLINK("https://www.lecturernews.com/news/articleView.html?idxno=113032")</f>
        <v>https://www.lecturernews.com/news/articleView.html?idxno=113032</v>
      </c>
      <c r="H4764">
        <v>0.58099999999999996</v>
      </c>
    </row>
    <row r="4765" spans="1:8" x14ac:dyDescent="0.3">
      <c r="A4765" t="s">
        <v>9678</v>
      </c>
      <c r="B4765" t="s">
        <v>26951</v>
      </c>
      <c r="C4765" t="s">
        <v>12207</v>
      </c>
      <c r="D4765" t="s">
        <v>12206</v>
      </c>
      <c r="E4765" s="2" t="s">
        <v>517</v>
      </c>
      <c r="F4765" t="s">
        <v>12205</v>
      </c>
      <c r="G4765" t="str">
        <f>HYPERLINK("https://www.apnews.kr/news/articleView.html?idxno=3016765")</f>
        <v>https://www.apnews.kr/news/articleView.html?idxno=3016765</v>
      </c>
      <c r="H4765">
        <v>0.26400000000000001</v>
      </c>
    </row>
    <row r="4766" spans="1:8" x14ac:dyDescent="0.3">
      <c r="A4766" t="s">
        <v>9678</v>
      </c>
      <c r="B4766" t="s">
        <v>26951</v>
      </c>
      <c r="C4766" t="s">
        <v>12209</v>
      </c>
      <c r="D4766" t="s">
        <v>12208</v>
      </c>
      <c r="E4766" s="2" t="s">
        <v>517</v>
      </c>
      <c r="F4766" t="s">
        <v>205</v>
      </c>
      <c r="G4766" t="str">
        <f>HYPERLINK("http://www.domin.co.kr/news/articleView.html?idxno=1518193")</f>
        <v>http://www.domin.co.kr/news/articleView.html?idxno=1518193</v>
      </c>
      <c r="H4766">
        <v>0.621</v>
      </c>
    </row>
    <row r="4767" spans="1:8" x14ac:dyDescent="0.3">
      <c r="A4767" t="s">
        <v>9678</v>
      </c>
      <c r="B4767" t="s">
        <v>26951</v>
      </c>
      <c r="C4767" t="s">
        <v>12212</v>
      </c>
      <c r="D4767" t="s">
        <v>12211</v>
      </c>
      <c r="E4767" s="2" t="s">
        <v>517</v>
      </c>
      <c r="F4767" t="s">
        <v>12210</v>
      </c>
      <c r="G4767" t="str">
        <f>HYPERLINK("https://www.sisajournal-e.com/news/articleView.html?idxno=412105")</f>
        <v>https://www.sisajournal-e.com/news/articleView.html?idxno=412105</v>
      </c>
      <c r="H4767">
        <v>0.33</v>
      </c>
    </row>
    <row r="4768" spans="1:8" x14ac:dyDescent="0.3">
      <c r="A4768" t="s">
        <v>9678</v>
      </c>
      <c r="B4768" t="s">
        <v>26951</v>
      </c>
      <c r="C4768" t="s">
        <v>12215</v>
      </c>
      <c r="D4768" t="s">
        <v>12214</v>
      </c>
      <c r="E4768" s="2" t="s">
        <v>517</v>
      </c>
      <c r="F4768" t="s">
        <v>12213</v>
      </c>
      <c r="G4768" t="str">
        <f>HYPERLINK("http://www.christiantoday.co.kr/view.htm?id=252701")</f>
        <v>http://www.christiantoday.co.kr/view.htm?id=252701</v>
      </c>
      <c r="H4768">
        <v>0.59899999999999998</v>
      </c>
    </row>
    <row r="4769" spans="1:8" x14ac:dyDescent="0.3">
      <c r="A4769" t="s">
        <v>9678</v>
      </c>
      <c r="B4769" t="s">
        <v>26951</v>
      </c>
      <c r="C4769" t="s">
        <v>12217</v>
      </c>
      <c r="D4769" t="s">
        <v>12216</v>
      </c>
      <c r="E4769" s="2" t="s">
        <v>517</v>
      </c>
      <c r="F4769" t="s">
        <v>2064</v>
      </c>
      <c r="G4769" t="str">
        <f>HYPERLINK("https://n.news.naver.com/mnews/article/052/0002205233?sid=100")</f>
        <v>https://n.news.naver.com/mnews/article/052/0002205233?sid=100</v>
      </c>
      <c r="H4769">
        <v>0.21</v>
      </c>
    </row>
    <row r="4770" spans="1:8" x14ac:dyDescent="0.3">
      <c r="A4770" t="s">
        <v>9678</v>
      </c>
      <c r="B4770" t="s">
        <v>26951</v>
      </c>
      <c r="C4770" t="s">
        <v>12220</v>
      </c>
      <c r="D4770" t="s">
        <v>12219</v>
      </c>
      <c r="E4770" s="2" t="s">
        <v>517</v>
      </c>
      <c r="F4770" t="s">
        <v>12218</v>
      </c>
      <c r="G4770" t="str">
        <f>HYPERLINK("https://n.news.naver.com/mnews/article/119/0002967650?sid=102")</f>
        <v>https://n.news.naver.com/mnews/article/119/0002967650?sid=102</v>
      </c>
      <c r="H4770">
        <v>0.35299999999999998</v>
      </c>
    </row>
    <row r="4771" spans="1:8" x14ac:dyDescent="0.3">
      <c r="A4771" t="s">
        <v>9678</v>
      </c>
      <c r="B4771" t="s">
        <v>26951</v>
      </c>
      <c r="C4771" t="s">
        <v>12223</v>
      </c>
      <c r="D4771" t="s">
        <v>12222</v>
      </c>
      <c r="E4771" s="2" t="s">
        <v>517</v>
      </c>
      <c r="F4771" t="s">
        <v>12221</v>
      </c>
      <c r="G4771" t="str">
        <f>HYPERLINK("http://www.sisaweek.com/news/articleView.html?idxno=145676")</f>
        <v>http://www.sisaweek.com/news/articleView.html?idxno=145676</v>
      </c>
      <c r="H4771">
        <v>0.314</v>
      </c>
    </row>
    <row r="4772" spans="1:8" x14ac:dyDescent="0.3">
      <c r="A4772" t="s">
        <v>9678</v>
      </c>
      <c r="B4772" t="s">
        <v>26951</v>
      </c>
      <c r="C4772" t="s">
        <v>12225</v>
      </c>
      <c r="D4772" t="s">
        <v>12224</v>
      </c>
      <c r="E4772" s="2" t="s">
        <v>517</v>
      </c>
      <c r="F4772" t="s">
        <v>205</v>
      </c>
      <c r="G4772" t="str">
        <f>HYPERLINK("https://www.kyongbuk.co.kr/news/articleView.html?idxno=4030546")</f>
        <v>https://www.kyongbuk.co.kr/news/articleView.html?idxno=4030546</v>
      </c>
      <c r="H4772">
        <v>0.434</v>
      </c>
    </row>
    <row r="4773" spans="1:8" x14ac:dyDescent="0.3">
      <c r="A4773" t="s">
        <v>9678</v>
      </c>
      <c r="B4773" t="s">
        <v>26951</v>
      </c>
      <c r="C4773" t="s">
        <v>12228</v>
      </c>
      <c r="D4773" t="s">
        <v>12227</v>
      </c>
      <c r="E4773" s="2" t="s">
        <v>517</v>
      </c>
      <c r="F4773" t="s">
        <v>12226</v>
      </c>
      <c r="G4773" t="str">
        <f>HYPERLINK("http://www.christiantoday.co.kr/news/308080")</f>
        <v>http://www.christiantoday.co.kr/news/308080</v>
      </c>
      <c r="H4773">
        <v>0.6</v>
      </c>
    </row>
    <row r="4774" spans="1:8" x14ac:dyDescent="0.3">
      <c r="A4774" t="s">
        <v>9678</v>
      </c>
      <c r="B4774" t="s">
        <v>26951</v>
      </c>
      <c r="C4774" t="s">
        <v>12230</v>
      </c>
      <c r="D4774" t="s">
        <v>12229</v>
      </c>
      <c r="E4774" s="2" t="s">
        <v>517</v>
      </c>
      <c r="F4774" t="s">
        <v>5087</v>
      </c>
      <c r="G4774" t="str">
        <f>HYPERLINK("http://www.bulkwang.co.kr/news/articleView.html?idxno=39239")</f>
        <v>http://www.bulkwang.co.kr/news/articleView.html?idxno=39239</v>
      </c>
      <c r="H4774">
        <v>0.441</v>
      </c>
    </row>
    <row r="4775" spans="1:8" x14ac:dyDescent="0.3">
      <c r="A4775" t="s">
        <v>9678</v>
      </c>
      <c r="B4775" t="s">
        <v>26951</v>
      </c>
      <c r="C4775" t="s">
        <v>12233</v>
      </c>
      <c r="D4775" t="s">
        <v>12232</v>
      </c>
      <c r="E4775" s="2" t="s">
        <v>517</v>
      </c>
      <c r="F4775" t="s">
        <v>12231</v>
      </c>
      <c r="G4775" t="str">
        <f>HYPERLINK("https://n.news.naver.com/mnews/article/214/0001364670?sid=100")</f>
        <v>https://n.news.naver.com/mnews/article/214/0001364670?sid=100</v>
      </c>
      <c r="H4775">
        <v>0.41099999999999998</v>
      </c>
    </row>
    <row r="4776" spans="1:8" x14ac:dyDescent="0.3">
      <c r="A4776" t="s">
        <v>9678</v>
      </c>
      <c r="B4776" t="s">
        <v>26951</v>
      </c>
      <c r="C4776" t="s">
        <v>12236</v>
      </c>
      <c r="D4776" t="s">
        <v>12235</v>
      </c>
      <c r="E4776" s="2" t="s">
        <v>517</v>
      </c>
      <c r="F4776" t="s">
        <v>12234</v>
      </c>
      <c r="G4776" t="str">
        <f>HYPERLINK("https://sports.hankooki.com/news/articleView.html?idxno=6887830")</f>
        <v>https://sports.hankooki.com/news/articleView.html?idxno=6887830</v>
      </c>
      <c r="H4776">
        <v>0.46800000000000003</v>
      </c>
    </row>
    <row r="4777" spans="1:8" x14ac:dyDescent="0.3">
      <c r="A4777" t="s">
        <v>9678</v>
      </c>
      <c r="B4777" t="s">
        <v>26951</v>
      </c>
      <c r="C4777" t="s">
        <v>12239</v>
      </c>
      <c r="D4777" t="s">
        <v>12238</v>
      </c>
      <c r="E4777" s="2" t="s">
        <v>517</v>
      </c>
      <c r="F4777" t="s">
        <v>12237</v>
      </c>
      <c r="G4777" t="str">
        <f>HYPERLINK("https://n.news.naver.com/mnews/article/006/0000130405?sid=102")</f>
        <v>https://n.news.naver.com/mnews/article/006/0000130405?sid=102</v>
      </c>
      <c r="H4777">
        <v>0.105</v>
      </c>
    </row>
    <row r="4778" spans="1:8" x14ac:dyDescent="0.3">
      <c r="A4778" t="s">
        <v>9678</v>
      </c>
      <c r="B4778" t="s">
        <v>26951</v>
      </c>
      <c r="C4778" t="s">
        <v>12241</v>
      </c>
      <c r="D4778" t="s">
        <v>12240</v>
      </c>
      <c r="E4778" s="2" t="s">
        <v>517</v>
      </c>
      <c r="F4778" t="s">
        <v>10750</v>
      </c>
      <c r="G4778" t="str">
        <f>HYPERLINK("https://n.news.naver.com/mnews/article/052/0001774190?sid=102")</f>
        <v>https://n.news.naver.com/mnews/article/052/0001774190?sid=102</v>
      </c>
      <c r="H4778">
        <v>0.16600000000000001</v>
      </c>
    </row>
    <row r="4779" spans="1:8" x14ac:dyDescent="0.3">
      <c r="A4779" t="s">
        <v>9678</v>
      </c>
      <c r="B4779" t="s">
        <v>26951</v>
      </c>
      <c r="C4779" t="s">
        <v>12243</v>
      </c>
      <c r="D4779" t="s">
        <v>12242</v>
      </c>
      <c r="E4779" s="2" t="s">
        <v>517</v>
      </c>
      <c r="F4779" t="s">
        <v>11867</v>
      </c>
      <c r="G4779" t="str">
        <f>HYPERLINK("https://n.news.naver.com/mnews/article/018/0006053386?sid=101")</f>
        <v>https://n.news.naver.com/mnews/article/018/0006053386?sid=101</v>
      </c>
      <c r="H4779">
        <v>0.24299999999999999</v>
      </c>
    </row>
    <row r="4780" spans="1:8" x14ac:dyDescent="0.3">
      <c r="A4780" t="s">
        <v>9678</v>
      </c>
      <c r="B4780" t="s">
        <v>26951</v>
      </c>
      <c r="C4780" t="s">
        <v>12246</v>
      </c>
      <c r="D4780" t="s">
        <v>12245</v>
      </c>
      <c r="E4780" s="2" t="s">
        <v>517</v>
      </c>
      <c r="F4780" t="s">
        <v>12244</v>
      </c>
      <c r="G4780" t="str">
        <f>HYPERLINK("https://www.sciencetimes.co.kr/news/%eb%b2%8c%eb%93%a4%ec%9d%98-%ec%a0%84%ec%9f%81-%ed%86%a0%ec%a2%85-%ea%bf%80%eb%b2%8c%ec%9d%b4-%ec%b9%a8%ec%9e%85%ec%9e%90-%eb%a7%90%eb%b2%8c%ec%97%90-%eb%8c%80%ed%95%9c-%eb%b0%a9/")</f>
        <v>https://www.sciencetimes.co.kr/news/%eb%b2%8c%eb%93%a4%ec%9d%98-%ec%a0%84%ec%9f%81-%ed%86%a0%ec%a2%85-%ea%bf%80%eb%b2%8c%ec%9d%b4-%ec%b9%a8%ec%9e%85%ec%9e%90-%eb%a7%90%eb%b2%8c%ec%97%90-%eb%8c%80%ed%95%9c-%eb%b0%a9/</v>
      </c>
      <c r="H4780">
        <v>0.56499999999999995</v>
      </c>
    </row>
    <row r="4781" spans="1:8" x14ac:dyDescent="0.3">
      <c r="A4781" t="s">
        <v>9678</v>
      </c>
      <c r="B4781" t="s">
        <v>26951</v>
      </c>
      <c r="C4781" t="s">
        <v>12249</v>
      </c>
      <c r="D4781" t="s">
        <v>12248</v>
      </c>
      <c r="E4781" s="2" t="s">
        <v>517</v>
      </c>
      <c r="F4781" t="s">
        <v>12247</v>
      </c>
      <c r="G4781" t="str">
        <f>HYPERLINK("https://n.news.naver.com/mnews/article/016/0002297695?sid=103")</f>
        <v>https://n.news.naver.com/mnews/article/016/0002297695?sid=103</v>
      </c>
      <c r="H4781">
        <v>0.24</v>
      </c>
    </row>
    <row r="4782" spans="1:8" x14ac:dyDescent="0.3">
      <c r="A4782" t="s">
        <v>9678</v>
      </c>
      <c r="B4782" t="s">
        <v>26951</v>
      </c>
      <c r="C4782" t="s">
        <v>12251</v>
      </c>
      <c r="D4782" t="s">
        <v>12250</v>
      </c>
      <c r="E4782" s="2" t="s">
        <v>517</v>
      </c>
      <c r="F4782" t="s">
        <v>12038</v>
      </c>
      <c r="G4782" t="str">
        <f>HYPERLINK("https://n.news.naver.com/mnews/article/016/0002483844?sid=103")</f>
        <v>https://n.news.naver.com/mnews/article/016/0002483844?sid=103</v>
      </c>
      <c r="H4782">
        <v>0.26800000000000002</v>
      </c>
    </row>
    <row r="4783" spans="1:8" x14ac:dyDescent="0.3">
      <c r="A4783" t="s">
        <v>9678</v>
      </c>
      <c r="B4783" t="s">
        <v>26951</v>
      </c>
      <c r="C4783" t="s">
        <v>12255</v>
      </c>
      <c r="D4783" t="s">
        <v>12254</v>
      </c>
      <c r="E4783" s="2" t="s">
        <v>538</v>
      </c>
      <c r="F4783" t="s">
        <v>12253</v>
      </c>
      <c r="G4783" t="str">
        <f>HYPERLINK("https://www.siminilbo.co.kr/news/newsview.php?ncode=1160287430027181")</f>
        <v>https://www.siminilbo.co.kr/news/newsview.php?ncode=1160287430027181</v>
      </c>
      <c r="H4783">
        <v>0.35699999999999998</v>
      </c>
    </row>
    <row r="4784" spans="1:8" x14ac:dyDescent="0.3">
      <c r="A4784" t="s">
        <v>9678</v>
      </c>
      <c r="B4784" t="s">
        <v>26951</v>
      </c>
      <c r="C4784" t="s">
        <v>12257</v>
      </c>
      <c r="D4784" t="s">
        <v>12256</v>
      </c>
      <c r="E4784" s="2" t="s">
        <v>538</v>
      </c>
      <c r="F4784" t="s">
        <v>8101</v>
      </c>
      <c r="G4784" t="str">
        <f>HYPERLINK("http://www.cctimes.kr/news/articleView.html?idxno=850327")</f>
        <v>http://www.cctimes.kr/news/articleView.html?idxno=850327</v>
      </c>
      <c r="H4784">
        <v>0.77600000000000002</v>
      </c>
    </row>
    <row r="4785" spans="1:8" x14ac:dyDescent="0.3">
      <c r="A4785" t="s">
        <v>9678</v>
      </c>
      <c r="B4785" t="s">
        <v>26951</v>
      </c>
      <c r="C4785" t="s">
        <v>12258</v>
      </c>
      <c r="D4785" t="s">
        <v>10600</v>
      </c>
      <c r="E4785" s="2" t="s">
        <v>538</v>
      </c>
      <c r="F4785" t="s">
        <v>9786</v>
      </c>
      <c r="G4785" t="str">
        <f>HYPERLINK("https://www.newspim.com/news/view/20241025000633")</f>
        <v>https://www.newspim.com/news/view/20241025000633</v>
      </c>
      <c r="H4785">
        <v>6.8000000000000005E-2</v>
      </c>
    </row>
    <row r="4786" spans="1:8" x14ac:dyDescent="0.3">
      <c r="A4786" t="s">
        <v>9678</v>
      </c>
      <c r="B4786" t="s">
        <v>26951</v>
      </c>
      <c r="C4786" t="s">
        <v>12261</v>
      </c>
      <c r="D4786" t="s">
        <v>12260</v>
      </c>
      <c r="E4786" s="2" t="s">
        <v>538</v>
      </c>
      <c r="F4786" t="s">
        <v>12259</v>
      </c>
      <c r="G4786" t="str">
        <f>HYPERLINK("https://www.newsfreezone.co.kr/news/articleView.html?idxno=509039")</f>
        <v>https://www.newsfreezone.co.kr/news/articleView.html?idxno=509039</v>
      </c>
      <c r="H4786">
        <v>0.55600000000000005</v>
      </c>
    </row>
    <row r="4787" spans="1:8" x14ac:dyDescent="0.3">
      <c r="A4787" t="s">
        <v>9678</v>
      </c>
      <c r="B4787" t="s">
        <v>26951</v>
      </c>
      <c r="C4787" t="s">
        <v>12263</v>
      </c>
      <c r="D4787" t="s">
        <v>12262</v>
      </c>
      <c r="E4787" s="2" t="s">
        <v>538</v>
      </c>
      <c r="F4787" t="s">
        <v>9809</v>
      </c>
      <c r="G4787" t="str">
        <f>HYPERLINK("https://www.jemin.com/news/articleView.html?idxno=813016")</f>
        <v>https://www.jemin.com/news/articleView.html?idxno=813016</v>
      </c>
      <c r="H4787">
        <v>0.67200000000000004</v>
      </c>
    </row>
    <row r="4788" spans="1:8" x14ac:dyDescent="0.3">
      <c r="A4788" t="s">
        <v>9678</v>
      </c>
      <c r="B4788" t="s">
        <v>26951</v>
      </c>
      <c r="C4788" t="s">
        <v>12266</v>
      </c>
      <c r="D4788" t="s">
        <v>12265</v>
      </c>
      <c r="E4788" s="2" t="s">
        <v>538</v>
      </c>
      <c r="F4788" t="s">
        <v>12264</v>
      </c>
      <c r="G4788" t="str">
        <f>HYPERLINK("http://www.asiaa.co.kr/news/articleView.html?idxno=117416")</f>
        <v>http://www.asiaa.co.kr/news/articleView.html?idxno=117416</v>
      </c>
      <c r="H4788">
        <v>0.41099999999999998</v>
      </c>
    </row>
    <row r="4789" spans="1:8" x14ac:dyDescent="0.3">
      <c r="A4789" t="s">
        <v>9678</v>
      </c>
      <c r="B4789" t="s">
        <v>26951</v>
      </c>
      <c r="C4789" t="s">
        <v>12268</v>
      </c>
      <c r="D4789" t="s">
        <v>12267</v>
      </c>
      <c r="E4789" s="2" t="s">
        <v>538</v>
      </c>
      <c r="F4789" t="s">
        <v>6930</v>
      </c>
      <c r="G4789" t="str">
        <f>HYPERLINK("https://n.news.naver.com/mnews/article/032/0002886784?sid=102")</f>
        <v>https://n.news.naver.com/mnews/article/032/0002886784?sid=102</v>
      </c>
      <c r="H4789">
        <v>0.254</v>
      </c>
    </row>
    <row r="4790" spans="1:8" x14ac:dyDescent="0.3">
      <c r="A4790" t="s">
        <v>9678</v>
      </c>
      <c r="B4790" t="s">
        <v>26951</v>
      </c>
      <c r="C4790" t="s">
        <v>12270</v>
      </c>
      <c r="D4790" t="s">
        <v>12269</v>
      </c>
      <c r="E4790" s="2" t="s">
        <v>538</v>
      </c>
      <c r="F4790" t="s">
        <v>1151</v>
      </c>
      <c r="G4790" t="str">
        <f>HYPERLINK("https://n.news.naver.com/mnews/article/011/0003319197?sid=102")</f>
        <v>https://n.news.naver.com/mnews/article/011/0003319197?sid=102</v>
      </c>
      <c r="H4790">
        <v>7.8E-2</v>
      </c>
    </row>
    <row r="4791" spans="1:8" x14ac:dyDescent="0.3">
      <c r="A4791" t="s">
        <v>9678</v>
      </c>
      <c r="B4791" t="s">
        <v>26951</v>
      </c>
      <c r="C4791" t="s">
        <v>12273</v>
      </c>
      <c r="D4791" t="s">
        <v>12272</v>
      </c>
      <c r="E4791" s="2" t="s">
        <v>538</v>
      </c>
      <c r="F4791" t="s">
        <v>12271</v>
      </c>
      <c r="G4791" t="str">
        <f>HYPERLINK("https://www.apnews.kr/news/articleView.html?idxno=3036701")</f>
        <v>https://www.apnews.kr/news/articleView.html?idxno=3036701</v>
      </c>
      <c r="H4791">
        <v>0.42299999999999999</v>
      </c>
    </row>
    <row r="4792" spans="1:8" x14ac:dyDescent="0.3">
      <c r="A4792" t="s">
        <v>9678</v>
      </c>
      <c r="B4792" t="s">
        <v>26951</v>
      </c>
      <c r="C4792" t="s">
        <v>12276</v>
      </c>
      <c r="D4792" t="s">
        <v>12275</v>
      </c>
      <c r="E4792" s="2" t="s">
        <v>538</v>
      </c>
      <c r="F4792" t="s">
        <v>12274</v>
      </c>
      <c r="G4792" t="str">
        <f>HYPERLINK("https://news.bbsi.co.kr/news/articleView.html?idxno=4007378")</f>
        <v>https://news.bbsi.co.kr/news/articleView.html?idxno=4007378</v>
      </c>
      <c r="H4792">
        <v>0.36399999999999999</v>
      </c>
    </row>
    <row r="4793" spans="1:8" x14ac:dyDescent="0.3">
      <c r="A4793" t="s">
        <v>9678</v>
      </c>
      <c r="B4793" t="s">
        <v>26951</v>
      </c>
      <c r="C4793" t="s">
        <v>12278</v>
      </c>
      <c r="D4793" t="s">
        <v>12277</v>
      </c>
      <c r="E4793" s="2" t="s">
        <v>538</v>
      </c>
      <c r="F4793" t="s">
        <v>10302</v>
      </c>
      <c r="G4793" t="str">
        <f>HYPERLINK("https://ch.yes24.com/Article/View/55281")</f>
        <v>https://ch.yes24.com/Article/View/55281</v>
      </c>
      <c r="H4793">
        <v>0.42899999999999999</v>
      </c>
    </row>
    <row r="4794" spans="1:8" x14ac:dyDescent="0.3">
      <c r="A4794" t="s">
        <v>9678</v>
      </c>
      <c r="B4794" t="s">
        <v>26951</v>
      </c>
      <c r="C4794" t="s">
        <v>12280</v>
      </c>
      <c r="D4794" t="s">
        <v>12279</v>
      </c>
      <c r="E4794" s="2" t="s">
        <v>538</v>
      </c>
      <c r="F4794" t="s">
        <v>11989</v>
      </c>
      <c r="G4794" t="str">
        <f>HYPERLINK("http://jmagazine.joins.com/forbes/view/310322")</f>
        <v>http://jmagazine.joins.com/forbes/view/310322</v>
      </c>
      <c r="H4794">
        <v>0.38500000000000001</v>
      </c>
    </row>
    <row r="4795" spans="1:8" x14ac:dyDescent="0.3">
      <c r="A4795" t="s">
        <v>9678</v>
      </c>
      <c r="B4795" t="s">
        <v>26951</v>
      </c>
      <c r="C4795" t="s">
        <v>12283</v>
      </c>
      <c r="D4795" t="s">
        <v>12282</v>
      </c>
      <c r="E4795" s="2" t="s">
        <v>538</v>
      </c>
      <c r="F4795" t="s">
        <v>10120</v>
      </c>
      <c r="G4795" t="str">
        <f>HYPERLINK("https://n.news.naver.com/mnews/article/052/0002194941?sid=102")</f>
        <v>https://n.news.naver.com/mnews/article/052/0002194941?sid=102</v>
      </c>
      <c r="H4795">
        <v>0.25600000000000001</v>
      </c>
    </row>
    <row r="4796" spans="1:8" x14ac:dyDescent="0.3">
      <c r="A4796" t="s">
        <v>9678</v>
      </c>
      <c r="B4796" t="s">
        <v>26951</v>
      </c>
      <c r="C4796" t="s">
        <v>12286</v>
      </c>
      <c r="D4796" t="s">
        <v>12285</v>
      </c>
      <c r="E4796" s="2" t="s">
        <v>538</v>
      </c>
      <c r="F4796" t="s">
        <v>12284</v>
      </c>
      <c r="G4796" t="str">
        <f>HYPERLINK("http://www.betanews.net:8080/article/1034659.html")</f>
        <v>http://www.betanews.net:8080/article/1034659.html</v>
      </c>
      <c r="H4796">
        <v>0.307</v>
      </c>
    </row>
    <row r="4797" spans="1:8" x14ac:dyDescent="0.3">
      <c r="A4797" t="s">
        <v>9678</v>
      </c>
      <c r="B4797" t="s">
        <v>26951</v>
      </c>
      <c r="C4797" t="s">
        <v>12288</v>
      </c>
      <c r="D4797" t="s">
        <v>12287</v>
      </c>
      <c r="E4797" s="2" t="s">
        <v>538</v>
      </c>
      <c r="F4797" t="s">
        <v>10333</v>
      </c>
      <c r="G4797" t="str">
        <f>HYPERLINK("https://www.dailymedi.com/news/news_view.php?wr_id=925822")</f>
        <v>https://www.dailymedi.com/news/news_view.php?wr_id=925822</v>
      </c>
      <c r="H4797">
        <v>0.65100000000000002</v>
      </c>
    </row>
    <row r="4798" spans="1:8" x14ac:dyDescent="0.3">
      <c r="A4798" t="s">
        <v>9678</v>
      </c>
      <c r="B4798" t="s">
        <v>26951</v>
      </c>
      <c r="C4798" t="s">
        <v>12293</v>
      </c>
      <c r="D4798" t="s">
        <v>12292</v>
      </c>
      <c r="E4798" s="2" t="s">
        <v>538</v>
      </c>
      <c r="F4798" t="s">
        <v>12291</v>
      </c>
      <c r="G4798" t="str">
        <f>HYPERLINK("https://n.news.naver.com/mnews/article/022/0004047245?sid=105")</f>
        <v>https://n.news.naver.com/mnews/article/022/0004047245?sid=105</v>
      </c>
      <c r="H4798">
        <v>0.28000000000000003</v>
      </c>
    </row>
    <row r="4799" spans="1:8" x14ac:dyDescent="0.3">
      <c r="A4799" t="s">
        <v>9678</v>
      </c>
      <c r="B4799" t="s">
        <v>26951</v>
      </c>
      <c r="C4799" t="s">
        <v>12295</v>
      </c>
      <c r="D4799" t="s">
        <v>12294</v>
      </c>
      <c r="E4799" s="2" t="s">
        <v>538</v>
      </c>
      <c r="F4799" t="s">
        <v>817</v>
      </c>
      <c r="G4799" t="str">
        <f>HYPERLINK("https://n.news.naver.com/mnews/article/016/0002483844?sid=103")</f>
        <v>https://n.news.naver.com/mnews/article/016/0002483844?sid=103</v>
      </c>
      <c r="H4799">
        <v>0.248</v>
      </c>
    </row>
    <row r="4800" spans="1:8" x14ac:dyDescent="0.3">
      <c r="A4800" t="s">
        <v>9678</v>
      </c>
      <c r="B4800" t="s">
        <v>26951</v>
      </c>
      <c r="C4800" t="s">
        <v>12297</v>
      </c>
      <c r="D4800" t="s">
        <v>12296</v>
      </c>
      <c r="E4800" s="2" t="s">
        <v>538</v>
      </c>
      <c r="F4800" t="s">
        <v>11376</v>
      </c>
      <c r="G4800" t="str">
        <f>HYPERLINK("https://www.dongponews.net/news/articleView.html?idxno=52925")</f>
        <v>https://www.dongponews.net/news/articleView.html?idxno=52925</v>
      </c>
      <c r="H4800">
        <v>0.14000000000000001</v>
      </c>
    </row>
    <row r="4801" spans="1:8" x14ac:dyDescent="0.3">
      <c r="A4801" t="s">
        <v>9678</v>
      </c>
      <c r="B4801" t="s">
        <v>26951</v>
      </c>
      <c r="C4801" t="s">
        <v>12299</v>
      </c>
      <c r="D4801" t="s">
        <v>12298</v>
      </c>
      <c r="E4801" s="2" t="s">
        <v>538</v>
      </c>
      <c r="F4801" t="s">
        <v>11705</v>
      </c>
      <c r="G4801" t="str">
        <f>HYPERLINK("https://n.news.naver.com/mnews/article/028/0002361007?sid=102")</f>
        <v>https://n.news.naver.com/mnews/article/028/0002361007?sid=102</v>
      </c>
      <c r="H4801">
        <v>0.28799999999999998</v>
      </c>
    </row>
    <row r="4802" spans="1:8" x14ac:dyDescent="0.3">
      <c r="A4802" t="s">
        <v>9678</v>
      </c>
      <c r="B4802" t="s">
        <v>26951</v>
      </c>
      <c r="C4802" t="s">
        <v>12301</v>
      </c>
      <c r="D4802" t="s">
        <v>12300</v>
      </c>
      <c r="E4802" s="2" t="s">
        <v>538</v>
      </c>
      <c r="F4802" t="s">
        <v>7159</v>
      </c>
      <c r="G4802" t="str">
        <f>HYPERLINK("http://www.fntoday.co.kr/news/articleView.html?idxno=355080")</f>
        <v>http://www.fntoday.co.kr/news/articleView.html?idxno=355080</v>
      </c>
      <c r="H4802">
        <v>0.25700000000000001</v>
      </c>
    </row>
    <row r="4803" spans="1:8" x14ac:dyDescent="0.3">
      <c r="A4803" t="s">
        <v>9678</v>
      </c>
      <c r="B4803" t="s">
        <v>26951</v>
      </c>
      <c r="C4803" t="s">
        <v>12304</v>
      </c>
      <c r="D4803" t="s">
        <v>12303</v>
      </c>
      <c r="E4803" s="2" t="s">
        <v>538</v>
      </c>
      <c r="F4803" t="s">
        <v>12302</v>
      </c>
      <c r="G4803" t="str">
        <f>HYPERLINK("https://n.news.naver.com/mnews/article/052/0002212674?sid=100")</f>
        <v>https://n.news.naver.com/mnews/article/052/0002212674?sid=100</v>
      </c>
      <c r="H4803">
        <v>0.32700000000000001</v>
      </c>
    </row>
    <row r="4804" spans="1:8" x14ac:dyDescent="0.3">
      <c r="A4804" t="s">
        <v>9678</v>
      </c>
      <c r="B4804" t="s">
        <v>26951</v>
      </c>
      <c r="C4804" t="s">
        <v>12307</v>
      </c>
      <c r="D4804" t="s">
        <v>12306</v>
      </c>
      <c r="E4804" s="2" t="s">
        <v>538</v>
      </c>
      <c r="F4804" t="s">
        <v>12305</v>
      </c>
      <c r="G4804" t="str">
        <f>HYPERLINK("http://www.kyongbuk.co.kr/news/articleView.html?idxno=2085975")</f>
        <v>http://www.kyongbuk.co.kr/news/articleView.html?idxno=2085975</v>
      </c>
      <c r="H4804">
        <v>0.47599999999999998</v>
      </c>
    </row>
    <row r="4805" spans="1:8" x14ac:dyDescent="0.3">
      <c r="A4805" t="s">
        <v>9678</v>
      </c>
      <c r="B4805" t="s">
        <v>26951</v>
      </c>
      <c r="C4805" t="s">
        <v>12309</v>
      </c>
      <c r="D4805" t="s">
        <v>12308</v>
      </c>
      <c r="E4805" s="2" t="s">
        <v>538</v>
      </c>
      <c r="F4805" t="s">
        <v>5887</v>
      </c>
      <c r="G4805" t="str">
        <f>HYPERLINK("http://www.pennmike.com/news/articleView.html?idxno=31216")</f>
        <v>http://www.pennmike.com/news/articleView.html?idxno=31216</v>
      </c>
      <c r="H4805">
        <v>0.71799999999999997</v>
      </c>
    </row>
    <row r="4806" spans="1:8" x14ac:dyDescent="0.3">
      <c r="A4806" t="s">
        <v>9678</v>
      </c>
      <c r="B4806" t="s">
        <v>26951</v>
      </c>
      <c r="C4806" t="s">
        <v>12312</v>
      </c>
      <c r="D4806" t="s">
        <v>12311</v>
      </c>
      <c r="E4806" s="2" t="s">
        <v>538</v>
      </c>
      <c r="F4806" t="s">
        <v>11330</v>
      </c>
      <c r="G4806" t="str">
        <f>HYPERLINK("http://news.bbsi.co.kr/news/articleView.html?idxno=896316")</f>
        <v>http://news.bbsi.co.kr/news/articleView.html?idxno=896316</v>
      </c>
      <c r="H4806">
        <v>0.44900000000000001</v>
      </c>
    </row>
    <row r="4807" spans="1:8" x14ac:dyDescent="0.3">
      <c r="A4807" t="s">
        <v>9678</v>
      </c>
      <c r="B4807" t="s">
        <v>26951</v>
      </c>
      <c r="C4807" t="s">
        <v>12315</v>
      </c>
      <c r="D4807" t="s">
        <v>12314</v>
      </c>
      <c r="E4807" s="2" t="s">
        <v>538</v>
      </c>
      <c r="F4807" t="s">
        <v>12313</v>
      </c>
      <c r="G4807" t="str">
        <f>HYPERLINK("https://n.news.naver.com/mnews/article/056/0011967442?sid=100")</f>
        <v>https://n.news.naver.com/mnews/article/056/0011967442?sid=100</v>
      </c>
      <c r="H4807">
        <v>0.27700000000000002</v>
      </c>
    </row>
    <row r="4808" spans="1:8" x14ac:dyDescent="0.3">
      <c r="A4808" t="s">
        <v>9678</v>
      </c>
      <c r="B4808" t="s">
        <v>26951</v>
      </c>
      <c r="C4808" t="s">
        <v>12318</v>
      </c>
      <c r="D4808" t="s">
        <v>12317</v>
      </c>
      <c r="E4808" s="2" t="s">
        <v>538</v>
      </c>
      <c r="F4808" t="s">
        <v>12316</v>
      </c>
      <c r="G4808" t="str">
        <f>HYPERLINK("http://www.bizwnews.com/news/articleView.html?idxno=103873")</f>
        <v>http://www.bizwnews.com/news/articleView.html?idxno=103873</v>
      </c>
      <c r="H4808">
        <v>0.65700000000000003</v>
      </c>
    </row>
    <row r="4809" spans="1:8" x14ac:dyDescent="0.3">
      <c r="A4809" t="s">
        <v>9678</v>
      </c>
      <c r="B4809" t="s">
        <v>26951</v>
      </c>
      <c r="C4809" t="s">
        <v>12320</v>
      </c>
      <c r="D4809" t="s">
        <v>12319</v>
      </c>
      <c r="E4809" s="2" t="s">
        <v>538</v>
      </c>
      <c r="F4809" t="s">
        <v>6043</v>
      </c>
      <c r="G4809" t="str">
        <f>HYPERLINK("http://www.gjdream.com/news/articleView.html?idxno=653945")</f>
        <v>http://www.gjdream.com/news/articleView.html?idxno=653945</v>
      </c>
      <c r="H4809">
        <v>0.188</v>
      </c>
    </row>
    <row r="4810" spans="1:8" x14ac:dyDescent="0.3">
      <c r="A4810" t="s">
        <v>9678</v>
      </c>
      <c r="B4810" t="s">
        <v>26951</v>
      </c>
      <c r="C4810" t="s">
        <v>12322</v>
      </c>
      <c r="D4810" t="s">
        <v>12321</v>
      </c>
      <c r="E4810" s="2" t="s">
        <v>538</v>
      </c>
      <c r="F4810" t="s">
        <v>10764</v>
      </c>
      <c r="G4810" t="str">
        <f>HYPERLINK("https://www.socialvalue.kr/news/view/1065566701557032")</f>
        <v>https://www.socialvalue.kr/news/view/1065566701557032</v>
      </c>
      <c r="H4810">
        <v>0.48499999999999999</v>
      </c>
    </row>
    <row r="4811" spans="1:8" x14ac:dyDescent="0.3">
      <c r="A4811" t="s">
        <v>9678</v>
      </c>
      <c r="B4811" t="s">
        <v>26951</v>
      </c>
      <c r="C4811" t="s">
        <v>12324</v>
      </c>
      <c r="D4811" t="s">
        <v>12323</v>
      </c>
      <c r="E4811" s="2" t="s">
        <v>538</v>
      </c>
      <c r="F4811" t="s">
        <v>10471</v>
      </c>
      <c r="G4811" t="str">
        <f>HYPERLINK("https://www.viva100.com/article/20250612500237")</f>
        <v>https://www.viva100.com/article/20250612500237</v>
      </c>
      <c r="H4811">
        <v>0.55000000000000004</v>
      </c>
    </row>
    <row r="4812" spans="1:8" x14ac:dyDescent="0.3">
      <c r="A4812" t="s">
        <v>9678</v>
      </c>
      <c r="B4812" t="s">
        <v>26951</v>
      </c>
      <c r="C4812" t="s">
        <v>12327</v>
      </c>
      <c r="D4812" t="s">
        <v>12326</v>
      </c>
      <c r="E4812" s="2" t="s">
        <v>538</v>
      </c>
      <c r="F4812" t="s">
        <v>12325</v>
      </c>
      <c r="G4812" t="str">
        <f>HYPERLINK("https://www.lecturernews.com/news/articleView.html?idxno=145081")</f>
        <v>https://www.lecturernews.com/news/articleView.html?idxno=145081</v>
      </c>
      <c r="H4812">
        <v>0.34599999999999997</v>
      </c>
    </row>
    <row r="4813" spans="1:8" x14ac:dyDescent="0.3">
      <c r="A4813" t="s">
        <v>9678</v>
      </c>
      <c r="B4813" t="s">
        <v>26951</v>
      </c>
      <c r="C4813" t="s">
        <v>12330</v>
      </c>
      <c r="D4813" t="s">
        <v>12329</v>
      </c>
      <c r="E4813" s="2" t="s">
        <v>538</v>
      </c>
      <c r="F4813" t="s">
        <v>12328</v>
      </c>
      <c r="G4813" t="str">
        <f>HYPERLINK("https://news.bbsi.co.kr/news/articleView.html?idxno=4036950")</f>
        <v>https://news.bbsi.co.kr/news/articleView.html?idxno=4036950</v>
      </c>
      <c r="H4813">
        <v>0.41699999999999998</v>
      </c>
    </row>
    <row r="4814" spans="1:8" x14ac:dyDescent="0.3">
      <c r="A4814" t="s">
        <v>9678</v>
      </c>
      <c r="B4814" t="s">
        <v>26951</v>
      </c>
      <c r="C4814" t="s">
        <v>12333</v>
      </c>
      <c r="D4814" t="s">
        <v>12332</v>
      </c>
      <c r="E4814" s="2" t="s">
        <v>538</v>
      </c>
      <c r="F4814" t="s">
        <v>12331</v>
      </c>
      <c r="G4814" t="str">
        <f>HYPERLINK("https://www.asiatoday.co.kr/view.php?key=20230905001736385")</f>
        <v>https://www.asiatoday.co.kr/view.php?key=20230905001736385</v>
      </c>
      <c r="H4814">
        <v>0.11799999999999999</v>
      </c>
    </row>
    <row r="4815" spans="1:8" x14ac:dyDescent="0.3">
      <c r="A4815" t="s">
        <v>9678</v>
      </c>
      <c r="B4815" t="s">
        <v>26951</v>
      </c>
      <c r="C4815" t="s">
        <v>12335</v>
      </c>
      <c r="D4815" t="s">
        <v>12334</v>
      </c>
      <c r="E4815" s="2" t="s">
        <v>538</v>
      </c>
      <c r="F4815" t="s">
        <v>1579</v>
      </c>
      <c r="G4815" t="str">
        <f>HYPERLINK("https://www.dailysecu.com/news/articleView.html?idxno=166774")</f>
        <v>https://www.dailysecu.com/news/articleView.html?idxno=166774</v>
      </c>
      <c r="H4815">
        <v>0.36399999999999999</v>
      </c>
    </row>
    <row r="4816" spans="1:8" x14ac:dyDescent="0.3">
      <c r="A4816" t="s">
        <v>9678</v>
      </c>
      <c r="B4816" t="s">
        <v>26951</v>
      </c>
      <c r="C4816" t="s">
        <v>12337</v>
      </c>
      <c r="D4816" t="s">
        <v>12336</v>
      </c>
      <c r="E4816" s="2" t="s">
        <v>538</v>
      </c>
      <c r="F4816" t="s">
        <v>10845</v>
      </c>
      <c r="G4816" t="str">
        <f>HYPERLINK("https://www.pennmike.com/news/articleView.html?idxno=103004")</f>
        <v>https://www.pennmike.com/news/articleView.html?idxno=103004</v>
      </c>
      <c r="H4816">
        <v>0.64200000000000002</v>
      </c>
    </row>
    <row r="4817" spans="1:8" x14ac:dyDescent="0.3">
      <c r="A4817" t="s">
        <v>9678</v>
      </c>
      <c r="B4817" t="s">
        <v>26951</v>
      </c>
      <c r="C4817" t="s">
        <v>12339</v>
      </c>
      <c r="D4817" t="s">
        <v>12338</v>
      </c>
      <c r="E4817" s="2" t="s">
        <v>538</v>
      </c>
      <c r="F4817" t="s">
        <v>9935</v>
      </c>
      <c r="G4817" t="str">
        <f>HYPERLINK("https://n.news.naver.com/mnews/article/036/0000034517?sid=103")</f>
        <v>https://n.news.naver.com/mnews/article/036/0000034517?sid=103</v>
      </c>
      <c r="H4817">
        <v>0.12</v>
      </c>
    </row>
    <row r="4818" spans="1:8" x14ac:dyDescent="0.3">
      <c r="A4818" t="s">
        <v>9678</v>
      </c>
      <c r="B4818" t="s">
        <v>26951</v>
      </c>
      <c r="C4818" t="s">
        <v>12342</v>
      </c>
      <c r="D4818" t="s">
        <v>12341</v>
      </c>
      <c r="E4818" s="2" t="s">
        <v>538</v>
      </c>
      <c r="F4818" t="s">
        <v>12340</v>
      </c>
      <c r="G4818" t="str">
        <f>HYPERLINK("http://www.gokorea.kr/news/articleView.html?idxno=327201")</f>
        <v>http://www.gokorea.kr/news/articleView.html?idxno=327201</v>
      </c>
      <c r="H4818">
        <v>0.20599999999999999</v>
      </c>
    </row>
    <row r="4819" spans="1:8" x14ac:dyDescent="0.3">
      <c r="A4819" t="s">
        <v>9678</v>
      </c>
      <c r="B4819" t="s">
        <v>26951</v>
      </c>
      <c r="C4819" t="s">
        <v>12347</v>
      </c>
      <c r="D4819" t="s">
        <v>12346</v>
      </c>
      <c r="E4819" s="2" t="s">
        <v>538</v>
      </c>
      <c r="F4819" t="s">
        <v>12345</v>
      </c>
      <c r="G4819" t="str">
        <f>HYPERLINK("https://www.huffingtonpost.kr/news/articleView.html?idxno=205591")</f>
        <v>https://www.huffingtonpost.kr/news/articleView.html?idxno=205591</v>
      </c>
      <c r="H4819">
        <v>0.56200000000000006</v>
      </c>
    </row>
    <row r="4820" spans="1:8" x14ac:dyDescent="0.3">
      <c r="A4820" t="s">
        <v>9678</v>
      </c>
      <c r="B4820" t="s">
        <v>26951</v>
      </c>
      <c r="C4820" t="s">
        <v>12349</v>
      </c>
      <c r="D4820" t="s">
        <v>12348</v>
      </c>
      <c r="E4820" s="2" t="s">
        <v>538</v>
      </c>
      <c r="F4820" t="s">
        <v>7465</v>
      </c>
      <c r="G4820" t="str">
        <f>HYPERLINK("https://n.news.naver.com/mnews/article/006/0000049430?sid=100")</f>
        <v>https://n.news.naver.com/mnews/article/006/0000049430?sid=100</v>
      </c>
      <c r="H4820">
        <v>0.105</v>
      </c>
    </row>
    <row r="4821" spans="1:8" x14ac:dyDescent="0.3">
      <c r="A4821" t="s">
        <v>9678</v>
      </c>
      <c r="B4821" t="s">
        <v>26951</v>
      </c>
      <c r="C4821" t="s">
        <v>12352</v>
      </c>
      <c r="D4821" t="s">
        <v>12351</v>
      </c>
      <c r="E4821" s="2" t="s">
        <v>538</v>
      </c>
      <c r="F4821" t="s">
        <v>12350</v>
      </c>
      <c r="G4821" t="str">
        <f>HYPERLINK("http://www.christiantoday.co.kr/view.htm?id=276894")</f>
        <v>http://www.christiantoday.co.kr/view.htm?id=276894</v>
      </c>
      <c r="H4821">
        <v>0.59699999999999998</v>
      </c>
    </row>
    <row r="4822" spans="1:8" x14ac:dyDescent="0.3">
      <c r="A4822" t="s">
        <v>9678</v>
      </c>
      <c r="B4822" t="s">
        <v>26951</v>
      </c>
      <c r="C4822" t="s">
        <v>12355</v>
      </c>
      <c r="D4822" t="s">
        <v>12354</v>
      </c>
      <c r="E4822" s="2" t="s">
        <v>538</v>
      </c>
      <c r="F4822" t="s">
        <v>12353</v>
      </c>
      <c r="G4822" t="str">
        <f>HYPERLINK("http://www.fntoday.co.kr/news/articleView.html?idxno=294988")</f>
        <v>http://www.fntoday.co.kr/news/articleView.html?idxno=294988</v>
      </c>
      <c r="H4822">
        <v>0.56599999999999995</v>
      </c>
    </row>
    <row r="4823" spans="1:8" x14ac:dyDescent="0.3">
      <c r="A4823" t="s">
        <v>9678</v>
      </c>
      <c r="B4823" t="s">
        <v>26951</v>
      </c>
      <c r="C4823" t="s">
        <v>12357</v>
      </c>
      <c r="D4823" t="s">
        <v>12356</v>
      </c>
      <c r="E4823" s="2" t="s">
        <v>538</v>
      </c>
      <c r="F4823" t="s">
        <v>9255</v>
      </c>
      <c r="G4823" t="str">
        <f>HYPERLINK("https://www.ggilbo.com/news/articleView.html?idxno=1095503")</f>
        <v>https://www.ggilbo.com/news/articleView.html?idxno=1095503</v>
      </c>
      <c r="H4823">
        <v>0.32500000000000001</v>
      </c>
    </row>
    <row r="4824" spans="1:8" x14ac:dyDescent="0.3">
      <c r="A4824" t="s">
        <v>9678</v>
      </c>
      <c r="B4824" t="s">
        <v>26951</v>
      </c>
      <c r="C4824" t="s">
        <v>12360</v>
      </c>
      <c r="D4824" t="s">
        <v>12359</v>
      </c>
      <c r="E4824" s="2" t="s">
        <v>538</v>
      </c>
      <c r="F4824" t="s">
        <v>12358</v>
      </c>
      <c r="G4824" t="str">
        <f>HYPERLINK("https://m.entertain.naver.com/article/076/0001961418")</f>
        <v>https://m.entertain.naver.com/article/076/0001961418</v>
      </c>
      <c r="H4824">
        <v>0.61399999999999999</v>
      </c>
    </row>
    <row r="4825" spans="1:8" x14ac:dyDescent="0.3">
      <c r="A4825" t="s">
        <v>9678</v>
      </c>
      <c r="B4825" t="s">
        <v>26951</v>
      </c>
      <c r="C4825" t="s">
        <v>12363</v>
      </c>
      <c r="D4825" t="s">
        <v>12362</v>
      </c>
      <c r="E4825" s="2" t="s">
        <v>538</v>
      </c>
      <c r="F4825" t="s">
        <v>12361</v>
      </c>
      <c r="G4825" t="str">
        <f>HYPERLINK("http://www.econotalking.kr/news/articleView.html?idxno=132278")</f>
        <v>http://www.econotalking.kr/news/articleView.html?idxno=132278</v>
      </c>
      <c r="H4825">
        <v>2.8000000000000001E-2</v>
      </c>
    </row>
    <row r="4826" spans="1:8" x14ac:dyDescent="0.3">
      <c r="A4826" t="s">
        <v>9678</v>
      </c>
      <c r="B4826" t="s">
        <v>26951</v>
      </c>
      <c r="C4826" t="s">
        <v>12366</v>
      </c>
      <c r="D4826" t="s">
        <v>12365</v>
      </c>
      <c r="E4826" s="2" t="s">
        <v>538</v>
      </c>
      <c r="F4826" t="s">
        <v>12364</v>
      </c>
      <c r="G4826" t="str">
        <f>HYPERLINK("https://www.viva100.com/article/20250611500988")</f>
        <v>https://www.viva100.com/article/20250611500988</v>
      </c>
      <c r="H4826">
        <v>0.374</v>
      </c>
    </row>
    <row r="4827" spans="1:8" x14ac:dyDescent="0.3">
      <c r="A4827" t="s">
        <v>9678</v>
      </c>
      <c r="B4827" t="s">
        <v>26951</v>
      </c>
      <c r="C4827" t="s">
        <v>12368</v>
      </c>
      <c r="D4827" t="s">
        <v>12367</v>
      </c>
      <c r="E4827" s="2" t="s">
        <v>538</v>
      </c>
      <c r="F4827" t="s">
        <v>1978</v>
      </c>
      <c r="G4827" t="str">
        <f>HYPERLINK("https://www.newscj.com/news/articleView.html?idxno=3284751")</f>
        <v>https://www.newscj.com/news/articleView.html?idxno=3284751</v>
      </c>
      <c r="H4827">
        <v>0.35</v>
      </c>
    </row>
    <row r="4828" spans="1:8" x14ac:dyDescent="0.3">
      <c r="A4828" t="s">
        <v>9678</v>
      </c>
      <c r="B4828" t="s">
        <v>26951</v>
      </c>
      <c r="C4828" t="s">
        <v>12371</v>
      </c>
      <c r="D4828" t="s">
        <v>12370</v>
      </c>
      <c r="E4828" s="2" t="s">
        <v>538</v>
      </c>
      <c r="F4828" t="s">
        <v>12369</v>
      </c>
      <c r="G4828" t="str">
        <f>HYPERLINK("https://www.cnet.co.kr/view/100159962")</f>
        <v>https://www.cnet.co.kr/view/100159962</v>
      </c>
      <c r="H4828">
        <v>0.35099999999999998</v>
      </c>
    </row>
    <row r="4829" spans="1:8" x14ac:dyDescent="0.3">
      <c r="A4829" t="s">
        <v>9678</v>
      </c>
      <c r="B4829" t="s">
        <v>26951</v>
      </c>
      <c r="C4829" t="s">
        <v>12373</v>
      </c>
      <c r="D4829" t="s">
        <v>12372</v>
      </c>
      <c r="E4829" s="2" t="s">
        <v>538</v>
      </c>
      <c r="F4829" t="s">
        <v>8528</v>
      </c>
      <c r="G4829" t="str">
        <f>HYPERLINK("https://www.ftimes.kr/news/articleView.html?idxno=31301")</f>
        <v>https://www.ftimes.kr/news/articleView.html?idxno=31301</v>
      </c>
      <c r="H4829">
        <v>0.72599999999999998</v>
      </c>
    </row>
    <row r="4830" spans="1:8" x14ac:dyDescent="0.3">
      <c r="A4830" t="s">
        <v>9678</v>
      </c>
      <c r="B4830" t="s">
        <v>26951</v>
      </c>
      <c r="C4830" t="s">
        <v>12375</v>
      </c>
      <c r="D4830" t="s">
        <v>12374</v>
      </c>
      <c r="E4830" s="2" t="s">
        <v>538</v>
      </c>
      <c r="F4830" t="s">
        <v>7640</v>
      </c>
      <c r="G4830" t="str">
        <f>HYPERLINK("https://www.akomnews.com/bbs/board.php?bo_table=news&amp;wr_id=63298")</f>
        <v>https://www.akomnews.com/bbs/board.php?bo_table=news&amp;wr_id=63298</v>
      </c>
      <c r="H4830">
        <v>0.59899999999999998</v>
      </c>
    </row>
    <row r="4831" spans="1:8" x14ac:dyDescent="0.3">
      <c r="A4831" t="s">
        <v>9678</v>
      </c>
      <c r="B4831" t="s">
        <v>26951</v>
      </c>
      <c r="C4831" t="s">
        <v>12377</v>
      </c>
      <c r="D4831" t="s">
        <v>12376</v>
      </c>
      <c r="E4831" s="2" t="s">
        <v>538</v>
      </c>
      <c r="F4831" t="s">
        <v>10021</v>
      </c>
      <c r="G4831" t="str">
        <f>HYPERLINK("https://www.joongangenews.com/news/articleView.html?idxno=430873")</f>
        <v>https://www.joongangenews.com/news/articleView.html?idxno=430873</v>
      </c>
      <c r="H4831">
        <v>0.33600000000000002</v>
      </c>
    </row>
    <row r="4832" spans="1:8" x14ac:dyDescent="0.3">
      <c r="A4832" t="s">
        <v>9678</v>
      </c>
      <c r="B4832" t="s">
        <v>26951</v>
      </c>
      <c r="C4832" t="s">
        <v>12380</v>
      </c>
      <c r="D4832" t="s">
        <v>12379</v>
      </c>
      <c r="E4832" s="2" t="s">
        <v>538</v>
      </c>
      <c r="F4832" t="s">
        <v>7827</v>
      </c>
      <c r="G4832" t="str">
        <f>HYPERLINK("https://n.news.naver.com/mnews/article/022/0004047293?sid=104")</f>
        <v>https://n.news.naver.com/mnews/article/022/0004047293?sid=104</v>
      </c>
      <c r="H4832">
        <v>0.28899999999999998</v>
      </c>
    </row>
    <row r="4833" spans="1:8" x14ac:dyDescent="0.3">
      <c r="A4833" t="s">
        <v>9678</v>
      </c>
      <c r="B4833" t="s">
        <v>26951</v>
      </c>
      <c r="C4833" t="s">
        <v>12383</v>
      </c>
      <c r="D4833" t="s">
        <v>12382</v>
      </c>
      <c r="E4833" s="2" t="s">
        <v>538</v>
      </c>
      <c r="F4833" t="s">
        <v>12381</v>
      </c>
      <c r="G4833" t="str">
        <f>HYPERLINK("https://n.news.naver.com/mnews/article/052/0002195144?sid=100")</f>
        <v>https://n.news.naver.com/mnews/article/052/0002195144?sid=100</v>
      </c>
      <c r="H4833">
        <v>0.22</v>
      </c>
    </row>
    <row r="4834" spans="1:8" x14ac:dyDescent="0.3">
      <c r="A4834" t="s">
        <v>9678</v>
      </c>
      <c r="B4834" t="s">
        <v>26951</v>
      </c>
      <c r="C4834" t="s">
        <v>12385</v>
      </c>
      <c r="D4834" t="s">
        <v>12384</v>
      </c>
      <c r="E4834" s="2" t="s">
        <v>538</v>
      </c>
      <c r="F4834" t="s">
        <v>11533</v>
      </c>
      <c r="G4834" t="str">
        <f>HYPERLINK("https://www.huffingtonpost.kr/news/articleView.html?idxno=236583")</f>
        <v>https://www.huffingtonpost.kr/news/articleView.html?idxno=236583</v>
      </c>
      <c r="H4834">
        <v>0.29499999999999998</v>
      </c>
    </row>
    <row r="4835" spans="1:8" x14ac:dyDescent="0.3">
      <c r="A4835" t="s">
        <v>9678</v>
      </c>
      <c r="B4835" t="s">
        <v>26951</v>
      </c>
      <c r="C4835" t="s">
        <v>12388</v>
      </c>
      <c r="D4835" t="s">
        <v>12387</v>
      </c>
      <c r="E4835" s="2" t="s">
        <v>538</v>
      </c>
      <c r="F4835" t="s">
        <v>12386</v>
      </c>
      <c r="G4835" t="str">
        <f>HYPERLINK("https://news.bbsi.co.kr/news/articleView.html?idxno=3109767")</f>
        <v>https://news.bbsi.co.kr/news/articleView.html?idxno=3109767</v>
      </c>
      <c r="H4835">
        <v>0.38300000000000001</v>
      </c>
    </row>
    <row r="4836" spans="1:8" x14ac:dyDescent="0.3">
      <c r="A4836" t="s">
        <v>9678</v>
      </c>
      <c r="B4836" t="s">
        <v>26951</v>
      </c>
      <c r="C4836" t="s">
        <v>12390</v>
      </c>
      <c r="D4836" t="s">
        <v>12389</v>
      </c>
      <c r="E4836" s="2" t="s">
        <v>538</v>
      </c>
      <c r="F4836" t="s">
        <v>10021</v>
      </c>
      <c r="G4836" t="str">
        <f>HYPERLINK("https://www.jemin.com/news/articleView.html?idxno=795249")</f>
        <v>https://www.jemin.com/news/articleView.html?idxno=795249</v>
      </c>
      <c r="H4836">
        <v>0.41199999999999998</v>
      </c>
    </row>
    <row r="4837" spans="1:8" x14ac:dyDescent="0.3">
      <c r="A4837" t="s">
        <v>9678</v>
      </c>
      <c r="B4837" t="s">
        <v>26951</v>
      </c>
      <c r="C4837" t="s">
        <v>12394</v>
      </c>
      <c r="D4837" t="s">
        <v>12393</v>
      </c>
      <c r="E4837" s="2" t="s">
        <v>538</v>
      </c>
      <c r="F4837" t="s">
        <v>12392</v>
      </c>
      <c r="G4837" t="str">
        <f>HYPERLINK("http://www.topdaily.kr/news/articleView.html?idxno=64751")</f>
        <v>http://www.topdaily.kr/news/articleView.html?idxno=64751</v>
      </c>
      <c r="H4837">
        <v>0.13100000000000001</v>
      </c>
    </row>
    <row r="4838" spans="1:8" x14ac:dyDescent="0.3">
      <c r="A4838" t="s">
        <v>9678</v>
      </c>
      <c r="B4838" t="s">
        <v>26951</v>
      </c>
      <c r="C4838" t="s">
        <v>12396</v>
      </c>
      <c r="D4838" t="s">
        <v>12395</v>
      </c>
      <c r="E4838" s="2" t="s">
        <v>538</v>
      </c>
      <c r="F4838" t="s">
        <v>1642</v>
      </c>
      <c r="G4838" t="str">
        <f>HYPERLINK("http://www.sisafocus.co.kr/news/articleView.html?idxno=337024")</f>
        <v>http://www.sisafocus.co.kr/news/articleView.html?idxno=337024</v>
      </c>
      <c r="H4838">
        <v>0.187</v>
      </c>
    </row>
    <row r="4839" spans="1:8" x14ac:dyDescent="0.3">
      <c r="A4839" t="s">
        <v>9678</v>
      </c>
      <c r="B4839" t="s">
        <v>26951</v>
      </c>
      <c r="C4839" t="s">
        <v>12399</v>
      </c>
      <c r="D4839" t="s">
        <v>12398</v>
      </c>
      <c r="E4839" s="2" t="s">
        <v>538</v>
      </c>
      <c r="F4839" t="s">
        <v>12397</v>
      </c>
      <c r="G4839" t="str">
        <f>HYPERLINK("http://www.laborplus.co.kr/news/articleView.html?idxno=31681")</f>
        <v>http://www.laborplus.co.kr/news/articleView.html?idxno=31681</v>
      </c>
      <c r="H4839">
        <v>0.21099999999999999</v>
      </c>
    </row>
    <row r="4840" spans="1:8" x14ac:dyDescent="0.3">
      <c r="A4840" t="s">
        <v>9678</v>
      </c>
      <c r="B4840" t="s">
        <v>26951</v>
      </c>
      <c r="C4840" t="s">
        <v>12401</v>
      </c>
      <c r="D4840" t="s">
        <v>12400</v>
      </c>
      <c r="E4840" s="2" t="s">
        <v>538</v>
      </c>
      <c r="F4840" t="s">
        <v>10471</v>
      </c>
      <c r="G4840" t="str">
        <f>HYPERLINK("https://www.jemin.com/news/articleView.html?idxno=813548")</f>
        <v>https://www.jemin.com/news/articleView.html?idxno=813548</v>
      </c>
      <c r="H4840">
        <v>0.57699999999999996</v>
      </c>
    </row>
    <row r="4841" spans="1:8" x14ac:dyDescent="0.3">
      <c r="A4841" t="s">
        <v>9678</v>
      </c>
      <c r="B4841" t="s">
        <v>26951</v>
      </c>
      <c r="C4841" t="s">
        <v>12404</v>
      </c>
      <c r="D4841" t="s">
        <v>12403</v>
      </c>
      <c r="E4841" s="2" t="s">
        <v>538</v>
      </c>
      <c r="F4841" t="s">
        <v>12402</v>
      </c>
      <c r="G4841" t="str">
        <f>HYPERLINK("https://www.foodneconomy.com/news/articleView.html?idxno=334337")</f>
        <v>https://www.foodneconomy.com/news/articleView.html?idxno=334337</v>
      </c>
      <c r="H4841">
        <v>0.47699999999999998</v>
      </c>
    </row>
    <row r="4842" spans="1:8" x14ac:dyDescent="0.3">
      <c r="A4842" t="s">
        <v>9678</v>
      </c>
      <c r="B4842" t="s">
        <v>26951</v>
      </c>
      <c r="C4842" t="s">
        <v>12407</v>
      </c>
      <c r="D4842" t="s">
        <v>12406</v>
      </c>
      <c r="E4842" s="2" t="s">
        <v>538</v>
      </c>
      <c r="F4842" t="s">
        <v>12405</v>
      </c>
      <c r="G4842" t="str">
        <f>HYPERLINK("http://ilyo.co.kr/?ac=article_view&amp;entry_id=133952")</f>
        <v>http://ilyo.co.kr/?ac=article_view&amp;entry_id=133952</v>
      </c>
      <c r="H4842">
        <v>0.153</v>
      </c>
    </row>
    <row r="4843" spans="1:8" x14ac:dyDescent="0.3">
      <c r="A4843" t="s">
        <v>9678</v>
      </c>
      <c r="B4843" t="s">
        <v>26951</v>
      </c>
      <c r="C4843" t="s">
        <v>12413</v>
      </c>
      <c r="D4843" t="s">
        <v>12412</v>
      </c>
      <c r="E4843" s="2" t="s">
        <v>538</v>
      </c>
      <c r="F4843" t="s">
        <v>12411</v>
      </c>
      <c r="G4843" t="str">
        <f>HYPERLINK("https://www.sisamagazine.co.kr/news/articleView.html?idxno=467164")</f>
        <v>https://www.sisamagazine.co.kr/news/articleView.html?idxno=467164</v>
      </c>
      <c r="H4843">
        <v>0.23400000000000001</v>
      </c>
    </row>
    <row r="4844" spans="1:8" x14ac:dyDescent="0.3">
      <c r="A4844" t="s">
        <v>9678</v>
      </c>
      <c r="B4844" t="s">
        <v>26951</v>
      </c>
      <c r="C4844" t="s">
        <v>12416</v>
      </c>
      <c r="D4844" t="s">
        <v>12415</v>
      </c>
      <c r="E4844" s="2" t="s">
        <v>538</v>
      </c>
      <c r="F4844" t="s">
        <v>12414</v>
      </c>
      <c r="G4844" t="str">
        <f>HYPERLINK("http://www.naeil.com/news_view/?id_art=105429")</f>
        <v>http://www.naeil.com/news_view/?id_art=105429</v>
      </c>
      <c r="H4844">
        <v>0.55400000000000005</v>
      </c>
    </row>
    <row r="4845" spans="1:8" x14ac:dyDescent="0.3">
      <c r="A4845" t="s">
        <v>9678</v>
      </c>
      <c r="B4845" t="s">
        <v>26951</v>
      </c>
      <c r="C4845" t="s">
        <v>12418</v>
      </c>
      <c r="D4845" t="s">
        <v>12417</v>
      </c>
      <c r="E4845" s="2" t="s">
        <v>538</v>
      </c>
      <c r="F4845" t="s">
        <v>7465</v>
      </c>
      <c r="G4845" t="str">
        <f>HYPERLINK("https://www.joongboo.com/news/articleView.html?idxno=363696140")</f>
        <v>https://www.joongboo.com/news/articleView.html?idxno=363696140</v>
      </c>
      <c r="H4845">
        <v>0.16500000000000001</v>
      </c>
    </row>
    <row r="4846" spans="1:8" x14ac:dyDescent="0.3">
      <c r="A4846" t="s">
        <v>9678</v>
      </c>
      <c r="B4846" t="s">
        <v>26951</v>
      </c>
      <c r="C4846" t="s">
        <v>12420</v>
      </c>
      <c r="D4846" t="s">
        <v>12419</v>
      </c>
      <c r="E4846" s="2" t="s">
        <v>538</v>
      </c>
      <c r="F4846" t="s">
        <v>1822</v>
      </c>
      <c r="G4846" t="str">
        <f>HYPERLINK("http://www.breaknews.com/sub_read.html?uid=435512&amp;section=sc4")</f>
        <v>http://www.breaknews.com/sub_read.html?uid=435512&amp;section=sc4</v>
      </c>
      <c r="H4846">
        <v>0.374</v>
      </c>
    </row>
    <row r="4847" spans="1:8" x14ac:dyDescent="0.3">
      <c r="A4847" t="s">
        <v>9678</v>
      </c>
      <c r="B4847" t="s">
        <v>26951</v>
      </c>
      <c r="C4847" t="s">
        <v>12422</v>
      </c>
      <c r="D4847" t="s">
        <v>12421</v>
      </c>
      <c r="E4847" s="2" t="s">
        <v>538</v>
      </c>
      <c r="F4847" t="s">
        <v>11313</v>
      </c>
      <c r="G4847" t="str">
        <f>HYPERLINK("http://www.ggilbo.com/news/articleView.html?idxno=982263")</f>
        <v>http://www.ggilbo.com/news/articleView.html?idxno=982263</v>
      </c>
      <c r="H4847">
        <v>0.45800000000000002</v>
      </c>
    </row>
    <row r="4848" spans="1:8" x14ac:dyDescent="0.3">
      <c r="A4848" t="s">
        <v>9678</v>
      </c>
      <c r="B4848" t="s">
        <v>26951</v>
      </c>
      <c r="C4848" t="s">
        <v>12424</v>
      </c>
      <c r="D4848" t="s">
        <v>12423</v>
      </c>
      <c r="E4848" s="2" t="s">
        <v>538</v>
      </c>
      <c r="F4848" t="s">
        <v>8607</v>
      </c>
      <c r="G4848" t="str">
        <f>HYPERLINK("https://www.marieclairekorea.com/fashion/2025/07/2026ss-paris-fashion-week-2/?utm_source=naver&amp;utm_medium=partnership")</f>
        <v>https://www.marieclairekorea.com/fashion/2025/07/2026ss-paris-fashion-week-2/?utm_source=naver&amp;utm_medium=partnership</v>
      </c>
      <c r="H4848">
        <v>0.496</v>
      </c>
    </row>
    <row r="4849" spans="1:8" x14ac:dyDescent="0.3">
      <c r="A4849" t="s">
        <v>9678</v>
      </c>
      <c r="B4849" t="s">
        <v>26951</v>
      </c>
      <c r="C4849" t="s">
        <v>12427</v>
      </c>
      <c r="D4849" t="s">
        <v>12426</v>
      </c>
      <c r="E4849" s="2" t="s">
        <v>538</v>
      </c>
      <c r="F4849" t="s">
        <v>12425</v>
      </c>
      <c r="G4849" t="str">
        <f>HYPERLINK("http://www.naeil.com/news_view/?id_art=356605")</f>
        <v>http://www.naeil.com/news_view/?id_art=356605</v>
      </c>
      <c r="H4849">
        <v>0.34300000000000003</v>
      </c>
    </row>
    <row r="4850" spans="1:8" x14ac:dyDescent="0.3">
      <c r="A4850" t="s">
        <v>9678</v>
      </c>
      <c r="B4850" t="s">
        <v>26951</v>
      </c>
      <c r="C4850" t="s">
        <v>12429</v>
      </c>
      <c r="D4850" t="s">
        <v>12428</v>
      </c>
      <c r="E4850" s="2" t="s">
        <v>394</v>
      </c>
      <c r="F4850" t="s">
        <v>10471</v>
      </c>
      <c r="G4850" t="str">
        <f>HYPERLINK("http://www.enewstoday.co.kr/news/articleView.html?idxno=1094548")</f>
        <v>http://www.enewstoday.co.kr/news/articleView.html?idxno=1094548</v>
      </c>
      <c r="H4850">
        <v>0.309</v>
      </c>
    </row>
    <row r="4851" spans="1:8" x14ac:dyDescent="0.3">
      <c r="A4851" t="s">
        <v>9678</v>
      </c>
      <c r="B4851" t="s">
        <v>26951</v>
      </c>
      <c r="C4851" t="s">
        <v>7191</v>
      </c>
      <c r="D4851" t="s">
        <v>7190</v>
      </c>
      <c r="E4851" s="2" t="s">
        <v>394</v>
      </c>
      <c r="F4851" t="s">
        <v>197</v>
      </c>
      <c r="G4851" t="str">
        <f>HYPERLINK("https://n.news.naver.com/mnews/article/214/0001431026?sid=100")</f>
        <v>https://n.news.naver.com/mnews/article/214/0001431026?sid=100</v>
      </c>
      <c r="H4851">
        <v>0.26500000000000001</v>
      </c>
    </row>
    <row r="4852" spans="1:8" x14ac:dyDescent="0.3">
      <c r="A4852" t="s">
        <v>9678</v>
      </c>
      <c r="B4852" t="s">
        <v>26951</v>
      </c>
      <c r="C4852" t="s">
        <v>12431</v>
      </c>
      <c r="D4852" t="s">
        <v>12430</v>
      </c>
      <c r="E4852" s="2" t="s">
        <v>394</v>
      </c>
      <c r="F4852" t="s">
        <v>7192</v>
      </c>
      <c r="G4852" t="str">
        <f>HYPERLINK("https://n.news.naver.com/mnews/article/028/0001972547?sid=103")</f>
        <v>https://n.news.naver.com/mnews/article/028/0001972547?sid=103</v>
      </c>
      <c r="H4852">
        <v>0.34899999999999998</v>
      </c>
    </row>
    <row r="4853" spans="1:8" x14ac:dyDescent="0.3">
      <c r="A4853" t="s">
        <v>9678</v>
      </c>
      <c r="B4853" t="s">
        <v>26951</v>
      </c>
      <c r="C4853" t="s">
        <v>12434</v>
      </c>
      <c r="D4853" t="s">
        <v>12433</v>
      </c>
      <c r="E4853" s="2" t="s">
        <v>394</v>
      </c>
      <c r="F4853" t="s">
        <v>12432</v>
      </c>
      <c r="G4853" t="str">
        <f>HYPERLINK("http://www.bzeronews.com/news/articleView.html?idxno=323339")</f>
        <v>http://www.bzeronews.com/news/articleView.html?idxno=323339</v>
      </c>
      <c r="H4853">
        <v>0.47899999999999998</v>
      </c>
    </row>
    <row r="4854" spans="1:8" x14ac:dyDescent="0.3">
      <c r="A4854" t="s">
        <v>9678</v>
      </c>
      <c r="B4854" t="s">
        <v>26951</v>
      </c>
      <c r="C4854" t="s">
        <v>12436</v>
      </c>
      <c r="D4854" t="s">
        <v>12435</v>
      </c>
      <c r="E4854" s="2" t="s">
        <v>394</v>
      </c>
      <c r="F4854" t="s">
        <v>171</v>
      </c>
      <c r="G4854" t="str">
        <f>HYPERLINK("https://www.asiatoday.co.kr/view.php?key=20250619000950583")</f>
        <v>https://www.asiatoday.co.kr/view.php?key=20250619000950583</v>
      </c>
      <c r="H4854">
        <v>0.09</v>
      </c>
    </row>
    <row r="4855" spans="1:8" x14ac:dyDescent="0.3">
      <c r="A4855" t="s">
        <v>9678</v>
      </c>
      <c r="B4855" t="s">
        <v>26951</v>
      </c>
      <c r="C4855" t="s">
        <v>12438</v>
      </c>
      <c r="D4855" t="s">
        <v>12437</v>
      </c>
      <c r="E4855" s="2" t="s">
        <v>394</v>
      </c>
      <c r="F4855" t="s">
        <v>817</v>
      </c>
      <c r="G4855" t="str">
        <f>HYPERLINK("https://www.asiatoday.co.kr/view.php?key=20250619000950583")</f>
        <v>https://www.asiatoday.co.kr/view.php?key=20250619000950583</v>
      </c>
      <c r="H4855">
        <v>0.1</v>
      </c>
    </row>
    <row r="4856" spans="1:8" x14ac:dyDescent="0.3">
      <c r="A4856" t="s">
        <v>9678</v>
      </c>
      <c r="B4856" t="s">
        <v>26951</v>
      </c>
      <c r="C4856" t="s">
        <v>12441</v>
      </c>
      <c r="D4856" t="s">
        <v>12440</v>
      </c>
      <c r="E4856" s="2" t="s">
        <v>394</v>
      </c>
      <c r="F4856" t="s">
        <v>12439</v>
      </c>
      <c r="G4856" t="str">
        <f>HYPERLINK("http://www.gameple.co.kr/news/articleView.html?idxno=200308")</f>
        <v>http://www.gameple.co.kr/news/articleView.html?idxno=200308</v>
      </c>
      <c r="H4856">
        <v>0.23499999999999999</v>
      </c>
    </row>
    <row r="4857" spans="1:8" x14ac:dyDescent="0.3">
      <c r="A4857" t="s">
        <v>9678</v>
      </c>
      <c r="B4857" t="s">
        <v>26951</v>
      </c>
      <c r="C4857" t="s">
        <v>12443</v>
      </c>
      <c r="D4857" t="s">
        <v>12442</v>
      </c>
      <c r="E4857" s="2" t="s">
        <v>394</v>
      </c>
      <c r="F4857" t="s">
        <v>7465</v>
      </c>
      <c r="G4857" t="str">
        <f>HYPERLINK("https://n.news.naver.com/mnews/article/214/0001430963?sid=100")</f>
        <v>https://n.news.naver.com/mnews/article/214/0001430963?sid=100</v>
      </c>
      <c r="H4857">
        <v>3.3000000000000002E-2</v>
      </c>
    </row>
    <row r="4858" spans="1:8" x14ac:dyDescent="0.3">
      <c r="A4858" t="s">
        <v>9678</v>
      </c>
      <c r="B4858" t="s">
        <v>26951</v>
      </c>
      <c r="C4858" t="s">
        <v>12445</v>
      </c>
      <c r="D4858" t="s">
        <v>12444</v>
      </c>
      <c r="E4858" s="2" t="s">
        <v>394</v>
      </c>
      <c r="F4858" t="s">
        <v>10132</v>
      </c>
      <c r="G4858" t="str">
        <f>HYPERLINK("https://www.jemin.com/news/articleView.html?idxno=816407")</f>
        <v>https://www.jemin.com/news/articleView.html?idxno=816407</v>
      </c>
      <c r="H4858">
        <v>0.73099999999999998</v>
      </c>
    </row>
    <row r="4859" spans="1:8" x14ac:dyDescent="0.3">
      <c r="A4859" t="s">
        <v>9678</v>
      </c>
      <c r="B4859" t="s">
        <v>26951</v>
      </c>
      <c r="C4859" t="s">
        <v>12450</v>
      </c>
      <c r="D4859" t="s">
        <v>12449</v>
      </c>
      <c r="E4859" s="2" t="s">
        <v>394</v>
      </c>
      <c r="F4859" t="s">
        <v>12448</v>
      </c>
      <c r="G4859" t="str">
        <f>HYPERLINK("https://www.pennmike.com/news/articleView.html?idxno=103237")</f>
        <v>https://www.pennmike.com/news/articleView.html?idxno=103237</v>
      </c>
      <c r="H4859">
        <v>0.20200000000000001</v>
      </c>
    </row>
    <row r="4860" spans="1:8" x14ac:dyDescent="0.3">
      <c r="A4860" t="s">
        <v>9678</v>
      </c>
      <c r="B4860" t="s">
        <v>26951</v>
      </c>
      <c r="C4860" t="s">
        <v>12452</v>
      </c>
      <c r="D4860" t="s">
        <v>12451</v>
      </c>
      <c r="E4860" s="2" t="s">
        <v>394</v>
      </c>
      <c r="F4860" t="s">
        <v>10120</v>
      </c>
      <c r="G4860" t="str">
        <f>HYPERLINK("https://n.news.naver.com/mnews/article/006/0000130669?sid=102")</f>
        <v>https://n.news.naver.com/mnews/article/006/0000130669?sid=102</v>
      </c>
      <c r="H4860">
        <v>0.24</v>
      </c>
    </row>
    <row r="4861" spans="1:8" x14ac:dyDescent="0.3">
      <c r="A4861" t="s">
        <v>9678</v>
      </c>
      <c r="B4861" t="s">
        <v>26951</v>
      </c>
      <c r="C4861" t="s">
        <v>12455</v>
      </c>
      <c r="D4861" t="s">
        <v>12454</v>
      </c>
      <c r="E4861" s="2" t="s">
        <v>394</v>
      </c>
      <c r="F4861" t="s">
        <v>12453</v>
      </c>
      <c r="G4861" t="str">
        <f>HYPERLINK("https://news.bbsi.co.kr/news/articleView.html?idxno=4036624")</f>
        <v>https://news.bbsi.co.kr/news/articleView.html?idxno=4036624</v>
      </c>
      <c r="H4861">
        <v>0.49199999999999999</v>
      </c>
    </row>
    <row r="4862" spans="1:8" x14ac:dyDescent="0.3">
      <c r="A4862" t="s">
        <v>9678</v>
      </c>
      <c r="B4862" t="s">
        <v>26951</v>
      </c>
      <c r="C4862" t="s">
        <v>12457</v>
      </c>
      <c r="D4862" t="s">
        <v>12456</v>
      </c>
      <c r="E4862" s="2" t="s">
        <v>394</v>
      </c>
      <c r="F4862" t="s">
        <v>3673</v>
      </c>
      <c r="G4862" t="str">
        <f>HYPERLINK("https://n.news.naver.com/mnews/article/018/0005804534?sid=101")</f>
        <v>https://n.news.naver.com/mnews/article/018/0005804534?sid=101</v>
      </c>
      <c r="H4862">
        <v>0.432</v>
      </c>
    </row>
    <row r="4863" spans="1:8" x14ac:dyDescent="0.3">
      <c r="A4863" t="s">
        <v>9678</v>
      </c>
      <c r="B4863" t="s">
        <v>26951</v>
      </c>
      <c r="C4863" t="s">
        <v>12460</v>
      </c>
      <c r="D4863" t="s">
        <v>12459</v>
      </c>
      <c r="E4863" s="2" t="s">
        <v>394</v>
      </c>
      <c r="F4863" t="s">
        <v>12458</v>
      </c>
      <c r="G4863" t="str">
        <f>HYPERLINK("https://www.ftimes.kr/news/articleView.html?idxno=31424")</f>
        <v>https://www.ftimes.kr/news/articleView.html?idxno=31424</v>
      </c>
      <c r="H4863">
        <v>0.69899999999999995</v>
      </c>
    </row>
    <row r="4864" spans="1:8" x14ac:dyDescent="0.3">
      <c r="A4864" t="s">
        <v>9678</v>
      </c>
      <c r="B4864" t="s">
        <v>26951</v>
      </c>
      <c r="C4864" t="s">
        <v>12462</v>
      </c>
      <c r="D4864" t="s">
        <v>12461</v>
      </c>
      <c r="E4864" s="2" t="s">
        <v>394</v>
      </c>
      <c r="F4864" t="s">
        <v>9366</v>
      </c>
      <c r="G4864" t="str">
        <f>HYPERLINK("https://www.huffingtonpost.kr/news/articleView.html?idxno=234673")</f>
        <v>https://www.huffingtonpost.kr/news/articleView.html?idxno=234673</v>
      </c>
      <c r="H4864">
        <v>0.34100000000000003</v>
      </c>
    </row>
    <row r="4865" spans="1:8" x14ac:dyDescent="0.3">
      <c r="A4865" t="s">
        <v>9678</v>
      </c>
      <c r="B4865" t="s">
        <v>26951</v>
      </c>
      <c r="C4865" t="s">
        <v>12465</v>
      </c>
      <c r="D4865" t="s">
        <v>12464</v>
      </c>
      <c r="E4865" s="2" t="s">
        <v>394</v>
      </c>
      <c r="F4865" t="s">
        <v>12463</v>
      </c>
      <c r="G4865" t="str">
        <f>HYPERLINK("https://n.news.naver.com/mnews/article/014/0005370944?sid=102")</f>
        <v>https://n.news.naver.com/mnews/article/014/0005370944?sid=102</v>
      </c>
      <c r="H4865">
        <v>0.16500000000000001</v>
      </c>
    </row>
    <row r="4866" spans="1:8" x14ac:dyDescent="0.3">
      <c r="A4866" t="s">
        <v>9678</v>
      </c>
      <c r="B4866" t="s">
        <v>26951</v>
      </c>
      <c r="C4866" t="s">
        <v>12468</v>
      </c>
      <c r="D4866" t="s">
        <v>12467</v>
      </c>
      <c r="E4866" s="2" t="s">
        <v>394</v>
      </c>
      <c r="F4866" t="s">
        <v>12466</v>
      </c>
      <c r="G4866" t="str">
        <f>HYPERLINK("http://www.lecturernews.com/news/articleView.html?idxno=85527")</f>
        <v>http://www.lecturernews.com/news/articleView.html?idxno=85527</v>
      </c>
      <c r="H4866">
        <v>0.438</v>
      </c>
    </row>
    <row r="4867" spans="1:8" x14ac:dyDescent="0.3">
      <c r="A4867" t="s">
        <v>9678</v>
      </c>
      <c r="B4867" t="s">
        <v>26951</v>
      </c>
      <c r="C4867" t="s">
        <v>12471</v>
      </c>
      <c r="D4867" t="s">
        <v>12470</v>
      </c>
      <c r="E4867" s="2" t="s">
        <v>394</v>
      </c>
      <c r="F4867" t="s">
        <v>12469</v>
      </c>
      <c r="G4867" t="str">
        <f>HYPERLINK("https://sports.hankooki.com/news/articleView.html?idxno=6829726")</f>
        <v>https://sports.hankooki.com/news/articleView.html?idxno=6829726</v>
      </c>
      <c r="H4867">
        <v>0.33700000000000002</v>
      </c>
    </row>
    <row r="4868" spans="1:8" x14ac:dyDescent="0.3">
      <c r="A4868" t="s">
        <v>9678</v>
      </c>
      <c r="B4868" t="s">
        <v>26951</v>
      </c>
      <c r="C4868" t="s">
        <v>12474</v>
      </c>
      <c r="D4868" t="s">
        <v>12473</v>
      </c>
      <c r="E4868" s="2" t="s">
        <v>394</v>
      </c>
      <c r="F4868" t="s">
        <v>12472</v>
      </c>
      <c r="G4868" t="str">
        <f>HYPERLINK("https://www.m-joongang.com/news/articleView.html?idxno=401265")</f>
        <v>https://www.m-joongang.com/news/articleView.html?idxno=401265</v>
      </c>
      <c r="H4868">
        <v>0.502</v>
      </c>
    </row>
    <row r="4869" spans="1:8" x14ac:dyDescent="0.3">
      <c r="A4869" t="s">
        <v>9678</v>
      </c>
      <c r="B4869" t="s">
        <v>26951</v>
      </c>
      <c r="C4869" t="s">
        <v>12477</v>
      </c>
      <c r="D4869" t="s">
        <v>12476</v>
      </c>
      <c r="E4869" s="2" t="s">
        <v>394</v>
      </c>
      <c r="F4869" t="s">
        <v>12475</v>
      </c>
      <c r="G4869" t="str">
        <f>HYPERLINK("https://n.news.naver.com/mnews/article/036/0000005850?sid=114")</f>
        <v>https://n.news.naver.com/mnews/article/036/0000005850?sid=114</v>
      </c>
      <c r="H4869">
        <v>0.38900000000000001</v>
      </c>
    </row>
    <row r="4870" spans="1:8" x14ac:dyDescent="0.3">
      <c r="A4870" t="s">
        <v>9678</v>
      </c>
      <c r="B4870" t="s">
        <v>26951</v>
      </c>
      <c r="C4870" t="s">
        <v>12480</v>
      </c>
      <c r="D4870" t="s">
        <v>12479</v>
      </c>
      <c r="E4870" s="2" t="s">
        <v>394</v>
      </c>
      <c r="F4870" t="s">
        <v>12478</v>
      </c>
      <c r="G4870" t="str">
        <f>HYPERLINK("https://www.m-economynews.com/news/article.html?no=54784")</f>
        <v>https://www.m-economynews.com/news/article.html?no=54784</v>
      </c>
      <c r="H4870">
        <v>0.39500000000000002</v>
      </c>
    </row>
    <row r="4871" spans="1:8" x14ac:dyDescent="0.3">
      <c r="A4871" t="s">
        <v>9678</v>
      </c>
      <c r="B4871" t="s">
        <v>26951</v>
      </c>
      <c r="C4871" t="s">
        <v>12483</v>
      </c>
      <c r="D4871" t="s">
        <v>12482</v>
      </c>
      <c r="E4871" s="2" t="s">
        <v>394</v>
      </c>
      <c r="F4871" t="s">
        <v>12481</v>
      </c>
      <c r="G4871" t="str">
        <f>HYPERLINK("https://n.news.naver.com/mnews/article/214/0001433081?sid=101")</f>
        <v>https://n.news.naver.com/mnews/article/214/0001433081?sid=101</v>
      </c>
      <c r="H4871">
        <v>0.1</v>
      </c>
    </row>
    <row r="4872" spans="1:8" x14ac:dyDescent="0.3">
      <c r="A4872" t="s">
        <v>9678</v>
      </c>
      <c r="B4872" t="s">
        <v>26951</v>
      </c>
      <c r="C4872" t="s">
        <v>12484</v>
      </c>
      <c r="D4872" t="s">
        <v>12482</v>
      </c>
      <c r="E4872" s="2" t="s">
        <v>394</v>
      </c>
      <c r="F4872" t="s">
        <v>2498</v>
      </c>
      <c r="G4872" t="str">
        <f>HYPERLINK("https://n.news.naver.com/mnews/article/214/0001433081?sid=101")</f>
        <v>https://n.news.naver.com/mnews/article/214/0001433081?sid=101</v>
      </c>
      <c r="H4872">
        <v>0.1</v>
      </c>
    </row>
    <row r="4873" spans="1:8" x14ac:dyDescent="0.3">
      <c r="A4873" t="s">
        <v>9678</v>
      </c>
      <c r="B4873" t="s">
        <v>26951</v>
      </c>
      <c r="C4873" t="s">
        <v>12487</v>
      </c>
      <c r="D4873" t="s">
        <v>12486</v>
      </c>
      <c r="E4873" s="2" t="s">
        <v>394</v>
      </c>
      <c r="F4873" t="s">
        <v>12485</v>
      </c>
      <c r="G4873" t="str">
        <f>HYPERLINK("https://n.news.naver.com/mnews/article/057/0001894285?sid=102")</f>
        <v>https://n.news.naver.com/mnews/article/057/0001894285?sid=102</v>
      </c>
      <c r="H4873">
        <v>0.24399999999999999</v>
      </c>
    </row>
    <row r="4874" spans="1:8" x14ac:dyDescent="0.3">
      <c r="A4874" t="s">
        <v>9678</v>
      </c>
      <c r="B4874" t="s">
        <v>26951</v>
      </c>
      <c r="C4874" t="s">
        <v>12490</v>
      </c>
      <c r="D4874" t="s">
        <v>12489</v>
      </c>
      <c r="E4874" s="2" t="s">
        <v>394</v>
      </c>
      <c r="F4874" t="s">
        <v>12488</v>
      </c>
      <c r="G4874" t="str">
        <f>HYPERLINK("http://www.ifs.or.kr/bbs/board.php?bo_table=News&amp;wr_id=55083")</f>
        <v>http://www.ifs.or.kr/bbs/board.php?bo_table=News&amp;wr_id=55083</v>
      </c>
      <c r="H4874">
        <v>0.43</v>
      </c>
    </row>
    <row r="4875" spans="1:8" x14ac:dyDescent="0.3">
      <c r="A4875" t="s">
        <v>9678</v>
      </c>
      <c r="B4875" t="s">
        <v>26951</v>
      </c>
      <c r="C4875" t="s">
        <v>12492</v>
      </c>
      <c r="D4875" t="s">
        <v>12491</v>
      </c>
      <c r="E4875" s="2" t="s">
        <v>394</v>
      </c>
      <c r="F4875" t="s">
        <v>10021</v>
      </c>
      <c r="G4875" t="str">
        <f>HYPERLINK("https://www.joongangenews.com/news/articleView.html?idxno=427976")</f>
        <v>https://www.joongangenews.com/news/articleView.html?idxno=427976</v>
      </c>
      <c r="H4875">
        <v>0.59399999999999997</v>
      </c>
    </row>
    <row r="4876" spans="1:8" x14ac:dyDescent="0.3">
      <c r="A4876" t="s">
        <v>9678</v>
      </c>
      <c r="B4876" t="s">
        <v>26951</v>
      </c>
      <c r="C4876" t="s">
        <v>12494</v>
      </c>
      <c r="D4876" t="s">
        <v>12493</v>
      </c>
      <c r="E4876" s="2" t="s">
        <v>394</v>
      </c>
      <c r="F4876" t="s">
        <v>10341</v>
      </c>
      <c r="G4876" t="str">
        <f>HYPERLINK("https://n.news.naver.com/mnews/article/052/0002212986?sid=102")</f>
        <v>https://n.news.naver.com/mnews/article/052/0002212986?sid=102</v>
      </c>
      <c r="H4876">
        <v>0.251</v>
      </c>
    </row>
    <row r="4877" spans="1:8" x14ac:dyDescent="0.3">
      <c r="A4877" t="s">
        <v>9678</v>
      </c>
      <c r="B4877" t="s">
        <v>26951</v>
      </c>
      <c r="C4877" t="s">
        <v>12497</v>
      </c>
      <c r="D4877" t="s">
        <v>12496</v>
      </c>
      <c r="E4877" s="2" t="s">
        <v>394</v>
      </c>
      <c r="F4877" t="s">
        <v>12495</v>
      </c>
      <c r="G4877" t="str">
        <f>HYPERLINK("http://www.greened.kr/news/articleView.html?idxno=288005")</f>
        <v>http://www.greened.kr/news/articleView.html?idxno=288005</v>
      </c>
      <c r="H4877">
        <v>0.36299999999999999</v>
      </c>
    </row>
    <row r="4878" spans="1:8" x14ac:dyDescent="0.3">
      <c r="A4878" t="s">
        <v>9678</v>
      </c>
      <c r="B4878" t="s">
        <v>26951</v>
      </c>
      <c r="C4878" t="s">
        <v>12499</v>
      </c>
      <c r="D4878" t="s">
        <v>12498</v>
      </c>
      <c r="E4878" s="2" t="s">
        <v>394</v>
      </c>
      <c r="F4878" t="s">
        <v>148</v>
      </c>
      <c r="G4878" t="str">
        <f>HYPERLINK("http://jmagazine.joins.com/monthly/view/319286")</f>
        <v>http://jmagazine.joins.com/monthly/view/319286</v>
      </c>
      <c r="H4878">
        <v>0.248</v>
      </c>
    </row>
    <row r="4879" spans="1:8" x14ac:dyDescent="0.3">
      <c r="A4879" t="s">
        <v>9678</v>
      </c>
      <c r="B4879" t="s">
        <v>26951</v>
      </c>
      <c r="C4879" t="s">
        <v>12502</v>
      </c>
      <c r="D4879" t="s">
        <v>12501</v>
      </c>
      <c r="E4879" s="2" t="s">
        <v>394</v>
      </c>
      <c r="F4879" t="s">
        <v>12500</v>
      </c>
      <c r="G4879" t="str">
        <f>HYPERLINK("http://jmagazine.joins.com/monthly/view/317253")</f>
        <v>http://jmagazine.joins.com/monthly/view/317253</v>
      </c>
      <c r="H4879">
        <v>0.44400000000000001</v>
      </c>
    </row>
    <row r="4880" spans="1:8" x14ac:dyDescent="0.3">
      <c r="A4880" t="s">
        <v>9678</v>
      </c>
      <c r="B4880" t="s">
        <v>26951</v>
      </c>
      <c r="C4880" t="s">
        <v>12504</v>
      </c>
      <c r="D4880" t="s">
        <v>12503</v>
      </c>
      <c r="E4880" s="2" t="s">
        <v>394</v>
      </c>
      <c r="F4880" t="s">
        <v>10191</v>
      </c>
      <c r="G4880" t="str">
        <f>HYPERLINK("http://www.apsk.co.kr/news/articleView.html?idxno=42187")</f>
        <v>http://www.apsk.co.kr/news/articleView.html?idxno=42187</v>
      </c>
      <c r="H4880">
        <v>0.49</v>
      </c>
    </row>
    <row r="4881" spans="1:8" x14ac:dyDescent="0.3">
      <c r="A4881" t="s">
        <v>9678</v>
      </c>
      <c r="B4881" t="s">
        <v>26951</v>
      </c>
      <c r="C4881" t="s">
        <v>12507</v>
      </c>
      <c r="D4881" t="s">
        <v>12506</v>
      </c>
      <c r="E4881" s="2" t="s">
        <v>394</v>
      </c>
      <c r="F4881" t="s">
        <v>12505</v>
      </c>
      <c r="G4881" t="str">
        <f>HYPERLINK("http://www.sctoday.co.kr/news/articleView.html?idxno=45379")</f>
        <v>http://www.sctoday.co.kr/news/articleView.html?idxno=45379</v>
      </c>
      <c r="H4881">
        <v>0.435</v>
      </c>
    </row>
    <row r="4882" spans="1:8" x14ac:dyDescent="0.3">
      <c r="A4882" t="s">
        <v>9678</v>
      </c>
      <c r="B4882" t="s">
        <v>26951</v>
      </c>
      <c r="C4882" t="s">
        <v>12509</v>
      </c>
      <c r="D4882" t="s">
        <v>12508</v>
      </c>
      <c r="E4882" s="2" t="s">
        <v>394</v>
      </c>
      <c r="F4882" t="s">
        <v>8342</v>
      </c>
      <c r="G4882" t="str">
        <f>HYPERLINK("https://www.idaegu.co.kr/news/articleView.html?idxno=514589")</f>
        <v>https://www.idaegu.co.kr/news/articleView.html?idxno=514589</v>
      </c>
      <c r="H4882">
        <v>0.90700000000000003</v>
      </c>
    </row>
    <row r="4883" spans="1:8" x14ac:dyDescent="0.3">
      <c r="A4883" t="s">
        <v>9678</v>
      </c>
      <c r="B4883" t="s">
        <v>26951</v>
      </c>
      <c r="C4883" t="s">
        <v>12513</v>
      </c>
      <c r="D4883" t="s">
        <v>12512</v>
      </c>
      <c r="E4883" s="2" t="s">
        <v>394</v>
      </c>
      <c r="F4883" t="s">
        <v>12511</v>
      </c>
      <c r="G4883" t="str">
        <f>HYPERLINK("http://www.jjn.co.kr/news/articleView.html?idxno=921018")</f>
        <v>http://www.jjn.co.kr/news/articleView.html?idxno=921018</v>
      </c>
      <c r="H4883">
        <v>0.45600000000000002</v>
      </c>
    </row>
    <row r="4884" spans="1:8" x14ac:dyDescent="0.3">
      <c r="A4884" t="s">
        <v>9678</v>
      </c>
      <c r="B4884" t="s">
        <v>26951</v>
      </c>
      <c r="C4884" t="s">
        <v>12517</v>
      </c>
      <c r="D4884" t="s">
        <v>12516</v>
      </c>
      <c r="E4884" s="2" t="s">
        <v>394</v>
      </c>
      <c r="F4884" t="s">
        <v>12515</v>
      </c>
      <c r="G4884" t="str">
        <f>HYPERLINK("http://www.mediapen.com/news/articleView.html?idxno=114716")</f>
        <v>http://www.mediapen.com/news/articleView.html?idxno=114716</v>
      </c>
      <c r="H4884">
        <v>0.69399999999999995</v>
      </c>
    </row>
    <row r="4885" spans="1:8" x14ac:dyDescent="0.3">
      <c r="A4885" t="s">
        <v>9678</v>
      </c>
      <c r="B4885" t="s">
        <v>26951</v>
      </c>
      <c r="C4885" t="s">
        <v>12520</v>
      </c>
      <c r="D4885" t="s">
        <v>12519</v>
      </c>
      <c r="E4885" s="2" t="s">
        <v>394</v>
      </c>
      <c r="F4885" t="s">
        <v>12518</v>
      </c>
      <c r="G4885" t="str">
        <f>HYPERLINK("http://www.bizhankook.com/article/23403")</f>
        <v>http://www.bizhankook.com/article/23403</v>
      </c>
      <c r="H4885">
        <v>0.63400000000000001</v>
      </c>
    </row>
    <row r="4886" spans="1:8" x14ac:dyDescent="0.3">
      <c r="A4886" t="s">
        <v>9678</v>
      </c>
      <c r="B4886" t="s">
        <v>26951</v>
      </c>
      <c r="C4886" t="s">
        <v>12523</v>
      </c>
      <c r="D4886" t="s">
        <v>12522</v>
      </c>
      <c r="E4886" s="2" t="s">
        <v>394</v>
      </c>
      <c r="F4886" t="s">
        <v>12521</v>
      </c>
      <c r="G4886" t="str">
        <f>HYPERLINK("https://n.news.naver.com/mnews/article/469/0000680831?sid=102")</f>
        <v>https://n.news.naver.com/mnews/article/469/0000680831?sid=102</v>
      </c>
      <c r="H4886">
        <v>0.24</v>
      </c>
    </row>
    <row r="4887" spans="1:8" x14ac:dyDescent="0.3">
      <c r="A4887" t="s">
        <v>9678</v>
      </c>
      <c r="B4887" t="s">
        <v>26951</v>
      </c>
      <c r="C4887" t="s">
        <v>12526</v>
      </c>
      <c r="D4887" t="s">
        <v>12525</v>
      </c>
      <c r="E4887" s="2" t="s">
        <v>394</v>
      </c>
      <c r="F4887" t="s">
        <v>12524</v>
      </c>
      <c r="G4887" t="str">
        <f>HYPERLINK("https://n.news.naver.com/mnews/article/016/0002486145?sid=102")</f>
        <v>https://n.news.naver.com/mnews/article/016/0002486145?sid=102</v>
      </c>
      <c r="H4887">
        <v>0.245</v>
      </c>
    </row>
    <row r="4888" spans="1:8" x14ac:dyDescent="0.3">
      <c r="A4888" t="s">
        <v>9678</v>
      </c>
      <c r="B4888" t="s">
        <v>26951</v>
      </c>
      <c r="C4888" t="s">
        <v>12530</v>
      </c>
      <c r="D4888" t="s">
        <v>12529</v>
      </c>
      <c r="E4888" s="2" t="s">
        <v>394</v>
      </c>
      <c r="F4888" t="s">
        <v>2498</v>
      </c>
      <c r="G4888" t="str">
        <f>HYPERLINK("https://n.news.naver.com/mnews/article/057/0001891882?sid=100")</f>
        <v>https://n.news.naver.com/mnews/article/057/0001891882?sid=100</v>
      </c>
      <c r="H4888">
        <v>0.23300000000000001</v>
      </c>
    </row>
    <row r="4889" spans="1:8" x14ac:dyDescent="0.3">
      <c r="A4889" t="s">
        <v>9678</v>
      </c>
      <c r="B4889" t="s">
        <v>26951</v>
      </c>
      <c r="C4889" t="s">
        <v>12533</v>
      </c>
      <c r="D4889" t="s">
        <v>12532</v>
      </c>
      <c r="E4889" s="2" t="s">
        <v>394</v>
      </c>
      <c r="F4889" t="s">
        <v>12531</v>
      </c>
      <c r="G4889" t="str">
        <f>HYPERLINK("http://www.lecturernews.com/news/articleView.html?idxno=76324")</f>
        <v>http://www.lecturernews.com/news/articleView.html?idxno=76324</v>
      </c>
      <c r="H4889">
        <v>0.47499999999999998</v>
      </c>
    </row>
    <row r="4890" spans="1:8" x14ac:dyDescent="0.3">
      <c r="A4890" t="s">
        <v>9678</v>
      </c>
      <c r="B4890" t="s">
        <v>26951</v>
      </c>
      <c r="C4890" t="s">
        <v>12535</v>
      </c>
      <c r="D4890" t="s">
        <v>12534</v>
      </c>
      <c r="E4890" s="2" t="s">
        <v>394</v>
      </c>
      <c r="F4890" t="s">
        <v>12495</v>
      </c>
      <c r="G4890" t="str">
        <f>HYPERLINK("http://www.gobalnews.com/news/articleView.html?idxno=30939")</f>
        <v>http://www.gobalnews.com/news/articleView.html?idxno=30939</v>
      </c>
      <c r="H4890">
        <v>1.2E-2</v>
      </c>
    </row>
    <row r="4891" spans="1:8" x14ac:dyDescent="0.3">
      <c r="A4891" t="s">
        <v>9678</v>
      </c>
      <c r="B4891" t="s">
        <v>26951</v>
      </c>
      <c r="C4891" t="s">
        <v>12537</v>
      </c>
      <c r="D4891" t="s">
        <v>12536</v>
      </c>
      <c r="E4891" s="2" t="s">
        <v>394</v>
      </c>
      <c r="F4891" t="s">
        <v>8111</v>
      </c>
      <c r="G4891" t="str">
        <f>HYPERLINK("https://n.news.naver.com/mnews/article/214/0001430551?sid=104")</f>
        <v>https://n.news.naver.com/mnews/article/214/0001430551?sid=104</v>
      </c>
      <c r="H4891">
        <v>0.186</v>
      </c>
    </row>
    <row r="4892" spans="1:8" x14ac:dyDescent="0.3">
      <c r="A4892" t="s">
        <v>9678</v>
      </c>
      <c r="B4892" t="s">
        <v>26951</v>
      </c>
      <c r="C4892" t="s">
        <v>12539</v>
      </c>
      <c r="D4892" t="s">
        <v>12538</v>
      </c>
      <c r="E4892" s="2" t="s">
        <v>394</v>
      </c>
      <c r="F4892" t="s">
        <v>1378</v>
      </c>
      <c r="G4892" t="str">
        <f>HYPERLINK("https://n.news.naver.com/mnews/article/008/0004004560?sid=103")</f>
        <v>https://n.news.naver.com/mnews/article/008/0004004560?sid=103</v>
      </c>
      <c r="H4892">
        <v>0.25900000000000001</v>
      </c>
    </row>
    <row r="4893" spans="1:8" x14ac:dyDescent="0.3">
      <c r="A4893" t="s">
        <v>9678</v>
      </c>
      <c r="B4893" t="s">
        <v>26951</v>
      </c>
      <c r="C4893" t="s">
        <v>12542</v>
      </c>
      <c r="D4893" t="s">
        <v>12541</v>
      </c>
      <c r="E4893" s="2" t="s">
        <v>394</v>
      </c>
      <c r="F4893" t="s">
        <v>12540</v>
      </c>
      <c r="G4893" t="str">
        <f>HYPERLINK("https://www.pointe.co.kr/news/articleView.html?idxno=47105")</f>
        <v>https://www.pointe.co.kr/news/articleView.html?idxno=47105</v>
      </c>
      <c r="H4893">
        <v>0.59599999999999997</v>
      </c>
    </row>
    <row r="4894" spans="1:8" x14ac:dyDescent="0.3">
      <c r="A4894" t="s">
        <v>9678</v>
      </c>
      <c r="B4894" t="s">
        <v>26951</v>
      </c>
      <c r="C4894" t="s">
        <v>12544</v>
      </c>
      <c r="D4894" t="s">
        <v>12543</v>
      </c>
      <c r="E4894" s="2" t="s">
        <v>394</v>
      </c>
      <c r="F4894" t="s">
        <v>12531</v>
      </c>
      <c r="G4894" t="str">
        <f>HYPERLINK("http://www.breaknews.com/1129258")</f>
        <v>http://www.breaknews.com/1129258</v>
      </c>
      <c r="H4894">
        <v>0.20899999999999999</v>
      </c>
    </row>
    <row r="4895" spans="1:8" x14ac:dyDescent="0.3">
      <c r="A4895" t="s">
        <v>9678</v>
      </c>
      <c r="B4895" t="s">
        <v>26951</v>
      </c>
      <c r="C4895" t="s">
        <v>12547</v>
      </c>
      <c r="D4895" t="s">
        <v>12546</v>
      </c>
      <c r="E4895" s="2" t="s">
        <v>394</v>
      </c>
      <c r="F4895" t="s">
        <v>12545</v>
      </c>
      <c r="G4895" t="str">
        <f>HYPERLINK("http://www.sisamagazine.co.kr/news/articleView.html?idxno=311814")</f>
        <v>http://www.sisamagazine.co.kr/news/articleView.html?idxno=311814</v>
      </c>
      <c r="H4895">
        <v>0.28899999999999998</v>
      </c>
    </row>
    <row r="4896" spans="1:8" x14ac:dyDescent="0.3">
      <c r="A4896" t="s">
        <v>9678</v>
      </c>
      <c r="B4896" t="s">
        <v>26951</v>
      </c>
      <c r="C4896" t="s">
        <v>12549</v>
      </c>
      <c r="D4896" t="s">
        <v>12548</v>
      </c>
      <c r="E4896" s="2" t="s">
        <v>394</v>
      </c>
      <c r="F4896" t="s">
        <v>10132</v>
      </c>
      <c r="G4896" t="str">
        <f>HYPERLINK("https://n.news.naver.com/mnews/article/081/0003549941?sid=103")</f>
        <v>https://n.news.naver.com/mnews/article/081/0003549941?sid=103</v>
      </c>
      <c r="H4896">
        <v>0.28499999999999998</v>
      </c>
    </row>
    <row r="4897" spans="1:8" x14ac:dyDescent="0.3">
      <c r="A4897" t="s">
        <v>9678</v>
      </c>
      <c r="B4897" t="s">
        <v>26951</v>
      </c>
      <c r="C4897" t="s">
        <v>12552</v>
      </c>
      <c r="D4897" t="s">
        <v>12551</v>
      </c>
      <c r="E4897" s="2" t="s">
        <v>394</v>
      </c>
      <c r="F4897" t="s">
        <v>12550</v>
      </c>
      <c r="G4897" t="str">
        <f>HYPERLINK("https://www.allurekorea.com/2021/12/13/%ec%96%b4%eb%96%bb%ea%b2%8c-%ec%a7%80%eb%83%88%ec%96%b4%ec%9a%94-21%eb%aa%85%ec%9d%98-%ec%82%ac%eb%9e%8c%eb%93%a4%ec%9d%98-2021%eb%85%84-%ec%9d%b4%ec%95%bc%ea%b8%b0/?utm_source=naver&amp;utm_medium=partnership")</f>
        <v>https://www.allurekorea.com/2021/12/13/%ec%96%b4%eb%96%bb%ea%b2%8c-%ec%a7%80%eb%83%88%ec%96%b4%ec%9a%94-21%eb%aa%85%ec%9d%98-%ec%82%ac%eb%9e%8c%eb%93%a4%ec%9d%98-2021%eb%85%84-%ec%9d%b4%ec%95%bc%ea%b8%b0/?utm_source=naver&amp;utm_medium=partnership</v>
      </c>
      <c r="H4897">
        <v>0.60299999999999998</v>
      </c>
    </row>
    <row r="4898" spans="1:8" x14ac:dyDescent="0.3">
      <c r="A4898" t="s">
        <v>9678</v>
      </c>
      <c r="B4898" t="s">
        <v>26951</v>
      </c>
      <c r="C4898" t="s">
        <v>12556</v>
      </c>
      <c r="D4898" t="s">
        <v>12555</v>
      </c>
      <c r="E4898" s="2" t="s">
        <v>394</v>
      </c>
      <c r="F4898" t="s">
        <v>12554</v>
      </c>
      <c r="G4898" t="str">
        <f>HYPERLINK("https://www.forbeskorea.co.kr/news/articleView.html?idxno=400031")</f>
        <v>https://www.forbeskorea.co.kr/news/articleView.html?idxno=400031</v>
      </c>
      <c r="H4898">
        <v>0.49</v>
      </c>
    </row>
    <row r="4899" spans="1:8" x14ac:dyDescent="0.3">
      <c r="A4899" t="s">
        <v>9678</v>
      </c>
      <c r="B4899" t="s">
        <v>26951</v>
      </c>
      <c r="C4899" t="s">
        <v>12558</v>
      </c>
      <c r="D4899" t="s">
        <v>12557</v>
      </c>
      <c r="E4899" s="2" t="s">
        <v>394</v>
      </c>
      <c r="F4899" t="s">
        <v>1378</v>
      </c>
      <c r="G4899" t="str">
        <f>HYPERLINK("https://n.news.naver.com/mnews/article/008/0004004560?sid=103")</f>
        <v>https://n.news.naver.com/mnews/article/008/0004004560?sid=103</v>
      </c>
      <c r="H4899">
        <v>0.24099999999999999</v>
      </c>
    </row>
    <row r="4900" spans="1:8" x14ac:dyDescent="0.3">
      <c r="A4900" t="s">
        <v>9678</v>
      </c>
      <c r="B4900" t="s">
        <v>26951</v>
      </c>
      <c r="C4900" t="s">
        <v>12561</v>
      </c>
      <c r="D4900" t="s">
        <v>12560</v>
      </c>
      <c r="E4900" s="2" t="s">
        <v>394</v>
      </c>
      <c r="F4900" t="s">
        <v>12559</v>
      </c>
      <c r="G4900" t="str">
        <f>HYPERLINK("http://www.thedrive.co.kr/news/newsview.php?ncode=1065591120903766")</f>
        <v>http://www.thedrive.co.kr/news/newsview.php?ncode=1065591120903766</v>
      </c>
      <c r="H4900">
        <v>0.40699999999999997</v>
      </c>
    </row>
    <row r="4901" spans="1:8" x14ac:dyDescent="0.3">
      <c r="A4901" t="s">
        <v>9678</v>
      </c>
      <c r="B4901" t="s">
        <v>26951</v>
      </c>
      <c r="C4901" t="s">
        <v>12564</v>
      </c>
      <c r="D4901" t="s">
        <v>12563</v>
      </c>
      <c r="E4901" s="2" t="s">
        <v>394</v>
      </c>
      <c r="F4901" t="s">
        <v>12562</v>
      </c>
      <c r="G4901" t="str">
        <f>HYPERLINK("https://n.news.naver.com/mnews/article/081/0003549941?sid=103")</f>
        <v>https://n.news.naver.com/mnews/article/081/0003549941?sid=103</v>
      </c>
      <c r="H4901">
        <v>0.16</v>
      </c>
    </row>
    <row r="4902" spans="1:8" x14ac:dyDescent="0.3">
      <c r="A4902" t="s">
        <v>9678</v>
      </c>
      <c r="B4902" t="s">
        <v>26951</v>
      </c>
      <c r="C4902" t="s">
        <v>12566</v>
      </c>
      <c r="D4902" t="s">
        <v>12565</v>
      </c>
      <c r="E4902" s="2" t="s">
        <v>394</v>
      </c>
      <c r="F4902" t="s">
        <v>1799</v>
      </c>
      <c r="G4902" t="str">
        <f>HYPERLINK("https://n.news.naver.com/mnews/article/214/0001432958?sid=100")</f>
        <v>https://n.news.naver.com/mnews/article/214/0001432958?sid=100</v>
      </c>
      <c r="H4902">
        <v>0.41599999999999998</v>
      </c>
    </row>
    <row r="4903" spans="1:8" x14ac:dyDescent="0.3">
      <c r="A4903" t="s">
        <v>9678</v>
      </c>
      <c r="B4903" t="s">
        <v>26951</v>
      </c>
      <c r="C4903" t="s">
        <v>12568</v>
      </c>
      <c r="D4903" t="s">
        <v>12567</v>
      </c>
      <c r="E4903" s="2" t="s">
        <v>394</v>
      </c>
      <c r="F4903" t="s">
        <v>5087</v>
      </c>
      <c r="G4903" t="str">
        <f>HYPERLINK("https://www.jemin.com/news/articleView.html?idxno=816199")</f>
        <v>https://www.jemin.com/news/articleView.html?idxno=816199</v>
      </c>
      <c r="H4903">
        <v>0.82</v>
      </c>
    </row>
    <row r="4904" spans="1:8" x14ac:dyDescent="0.3">
      <c r="A4904" t="s">
        <v>9678</v>
      </c>
      <c r="B4904" t="s">
        <v>26951</v>
      </c>
      <c r="C4904" t="s">
        <v>9017</v>
      </c>
      <c r="D4904" t="s">
        <v>9016</v>
      </c>
      <c r="E4904" s="2" t="s">
        <v>394</v>
      </c>
      <c r="F4904" t="s">
        <v>2868</v>
      </c>
      <c r="G4904" t="str">
        <f>HYPERLINK("http://www.newsmaker.or.kr/news/articleView.html?idxno=139072")</f>
        <v>http://www.newsmaker.or.kr/news/articleView.html?idxno=139072</v>
      </c>
      <c r="H4904">
        <v>6.3E-2</v>
      </c>
    </row>
    <row r="4905" spans="1:8" x14ac:dyDescent="0.3">
      <c r="A4905" t="s">
        <v>9678</v>
      </c>
      <c r="B4905" t="s">
        <v>26951</v>
      </c>
      <c r="C4905" t="s">
        <v>12571</v>
      </c>
      <c r="D4905" t="s">
        <v>12570</v>
      </c>
      <c r="E4905" s="2" t="s">
        <v>394</v>
      </c>
      <c r="F4905" t="s">
        <v>373</v>
      </c>
      <c r="G4905" t="str">
        <f>HYPERLINK("https://www.kgnews.co.kr/news/article.html?no=851625")</f>
        <v>https://www.kgnews.co.kr/news/article.html?no=851625</v>
      </c>
      <c r="H4905">
        <v>0.76100000000000001</v>
      </c>
    </row>
    <row r="4906" spans="1:8" x14ac:dyDescent="0.3">
      <c r="A4906" t="s">
        <v>9678</v>
      </c>
      <c r="B4906" t="s">
        <v>26951</v>
      </c>
      <c r="C4906" t="s">
        <v>12574</v>
      </c>
      <c r="D4906" t="s">
        <v>12573</v>
      </c>
      <c r="E4906" s="2" t="s">
        <v>394</v>
      </c>
      <c r="F4906" t="s">
        <v>12572</v>
      </c>
      <c r="G4906" t="str">
        <f>HYPERLINK("http://www.asiatoday.co.kr/view.php?key=20200521010012087")</f>
        <v>http://www.asiatoday.co.kr/view.php?key=20200521010012087</v>
      </c>
      <c r="H4906">
        <v>0.115</v>
      </c>
    </row>
    <row r="4907" spans="1:8" x14ac:dyDescent="0.3">
      <c r="A4907" t="s">
        <v>9678</v>
      </c>
      <c r="B4907" t="s">
        <v>26951</v>
      </c>
      <c r="C4907" t="s">
        <v>12577</v>
      </c>
      <c r="D4907" t="s">
        <v>12576</v>
      </c>
      <c r="E4907" s="2" t="s">
        <v>394</v>
      </c>
      <c r="F4907" t="s">
        <v>12575</v>
      </c>
      <c r="G4907" t="str">
        <f>HYPERLINK("https://www.nspna.com/news/?mode=view&amp;newsid=761333")</f>
        <v>https://www.nspna.com/news/?mode=view&amp;newsid=761333</v>
      </c>
      <c r="H4907">
        <v>0.81599999999999995</v>
      </c>
    </row>
    <row r="4908" spans="1:8" x14ac:dyDescent="0.3">
      <c r="A4908" t="s">
        <v>9678</v>
      </c>
      <c r="B4908" t="s">
        <v>26951</v>
      </c>
      <c r="C4908" t="s">
        <v>12580</v>
      </c>
      <c r="D4908" t="s">
        <v>12579</v>
      </c>
      <c r="E4908" s="2" t="s">
        <v>394</v>
      </c>
      <c r="F4908" t="s">
        <v>12578</v>
      </c>
      <c r="G4908" t="str">
        <f>HYPERLINK("http://www.seoulwire.com/news/articleView.html?idxno=13375")</f>
        <v>http://www.seoulwire.com/news/articleView.html?idxno=13375</v>
      </c>
      <c r="H4908">
        <v>0.62</v>
      </c>
    </row>
    <row r="4909" spans="1:8" x14ac:dyDescent="0.3">
      <c r="A4909" t="s">
        <v>9678</v>
      </c>
      <c r="B4909" t="s">
        <v>26951</v>
      </c>
      <c r="C4909" t="s">
        <v>12582</v>
      </c>
      <c r="D4909" t="s">
        <v>12581</v>
      </c>
      <c r="E4909" s="2" t="s">
        <v>394</v>
      </c>
      <c r="F4909" t="s">
        <v>11181</v>
      </c>
      <c r="G4909" t="str">
        <f>HYPERLINK("http://www.newsfarm.co.kr/news/articleView.html?idxno=75990")</f>
        <v>http://www.newsfarm.co.kr/news/articleView.html?idxno=75990</v>
      </c>
      <c r="H4909">
        <v>0.624</v>
      </c>
    </row>
    <row r="4910" spans="1:8" x14ac:dyDescent="0.3">
      <c r="A4910" t="s">
        <v>9678</v>
      </c>
      <c r="B4910" t="s">
        <v>26951</v>
      </c>
      <c r="C4910" t="s">
        <v>12584</v>
      </c>
      <c r="D4910" t="s">
        <v>12583</v>
      </c>
      <c r="E4910" s="2" t="s">
        <v>394</v>
      </c>
      <c r="F4910" t="s">
        <v>9912</v>
      </c>
      <c r="G4910" t="str">
        <f>HYPERLINK("http://www.munhwanews.com/news/articleView.html?idxno=83850")</f>
        <v>http://www.munhwanews.com/news/articleView.html?idxno=83850</v>
      </c>
      <c r="H4910">
        <v>0.50900000000000001</v>
      </c>
    </row>
    <row r="4911" spans="1:8" x14ac:dyDescent="0.3">
      <c r="A4911" t="s">
        <v>9678</v>
      </c>
      <c r="B4911" t="s">
        <v>26951</v>
      </c>
      <c r="C4911" t="s">
        <v>12586</v>
      </c>
      <c r="D4911" t="s">
        <v>12585</v>
      </c>
      <c r="E4911" s="2" t="s">
        <v>394</v>
      </c>
      <c r="F4911" t="s">
        <v>9730</v>
      </c>
      <c r="G4911" t="str">
        <f>HYPERLINK("https://n.news.naver.com/mnews/article/081/0003549941?sid=103")</f>
        <v>https://n.news.naver.com/mnews/article/081/0003549941?sid=103</v>
      </c>
      <c r="H4911">
        <v>0.247</v>
      </c>
    </row>
    <row r="4912" spans="1:8" x14ac:dyDescent="0.3">
      <c r="A4912" t="s">
        <v>9678</v>
      </c>
      <c r="B4912" t="s">
        <v>26951</v>
      </c>
      <c r="C4912" t="s">
        <v>12588</v>
      </c>
      <c r="D4912" t="s">
        <v>12587</v>
      </c>
      <c r="E4912" s="2" t="s">
        <v>394</v>
      </c>
      <c r="F4912" t="s">
        <v>171</v>
      </c>
      <c r="G4912" t="str">
        <f>HYPERLINK("https://n.news.naver.com/mnews/article/014/0005364617?sid=102")</f>
        <v>https://n.news.naver.com/mnews/article/014/0005364617?sid=102</v>
      </c>
      <c r="H4912">
        <v>0.22</v>
      </c>
    </row>
    <row r="4913" spans="1:8" x14ac:dyDescent="0.3">
      <c r="A4913" t="s">
        <v>9678</v>
      </c>
      <c r="B4913" t="s">
        <v>26951</v>
      </c>
      <c r="C4913" t="s">
        <v>12591</v>
      </c>
      <c r="D4913" t="s">
        <v>12590</v>
      </c>
      <c r="E4913" s="2" t="s">
        <v>394</v>
      </c>
      <c r="F4913" t="s">
        <v>12589</v>
      </c>
      <c r="G4913" t="str">
        <f>HYPERLINK("https://weekly.cnbnews.com/news/article.html?no=181716")</f>
        <v>https://weekly.cnbnews.com/news/article.html?no=181716</v>
      </c>
      <c r="H4913">
        <v>0.48599999999999999</v>
      </c>
    </row>
    <row r="4914" spans="1:8" x14ac:dyDescent="0.3">
      <c r="A4914" t="s">
        <v>9678</v>
      </c>
      <c r="B4914" t="s">
        <v>26951</v>
      </c>
      <c r="C4914" t="s">
        <v>12594</v>
      </c>
      <c r="D4914" t="s">
        <v>12593</v>
      </c>
      <c r="E4914" s="2" t="s">
        <v>394</v>
      </c>
      <c r="F4914" t="s">
        <v>12592</v>
      </c>
      <c r="G4914" t="str">
        <f>HYPERLINK("http://www.pennmike.com/news/articleView.html?idxno=28601")</f>
        <v>http://www.pennmike.com/news/articleView.html?idxno=28601</v>
      </c>
      <c r="H4914">
        <v>0.60099999999999998</v>
      </c>
    </row>
    <row r="4915" spans="1:8" x14ac:dyDescent="0.3">
      <c r="A4915" t="s">
        <v>9678</v>
      </c>
      <c r="B4915" t="s">
        <v>26951</v>
      </c>
      <c r="C4915" t="s">
        <v>12597</v>
      </c>
      <c r="D4915" t="s">
        <v>12596</v>
      </c>
      <c r="E4915" s="2" t="s">
        <v>418</v>
      </c>
      <c r="F4915" t="s">
        <v>12595</v>
      </c>
      <c r="G4915" t="str">
        <f>HYPERLINK("https://n.news.naver.com/mnews/article/079/0004040073?sid=102")</f>
        <v>https://n.news.naver.com/mnews/article/079/0004040073?sid=102</v>
      </c>
      <c r="H4915">
        <v>0.26</v>
      </c>
    </row>
    <row r="4916" spans="1:8" x14ac:dyDescent="0.3">
      <c r="A4916" t="s">
        <v>9678</v>
      </c>
      <c r="B4916" t="s">
        <v>26951</v>
      </c>
      <c r="C4916" t="s">
        <v>12599</v>
      </c>
      <c r="D4916" t="s">
        <v>12598</v>
      </c>
      <c r="E4916" s="2" t="s">
        <v>418</v>
      </c>
      <c r="F4916" t="s">
        <v>1914</v>
      </c>
      <c r="G4916" t="str">
        <f>HYPERLINK("https://www.m-joongang.com/news/articleView.html?idxno=401265")</f>
        <v>https://www.m-joongang.com/news/articleView.html?idxno=401265</v>
      </c>
      <c r="H4916">
        <v>0.73499999999999999</v>
      </c>
    </row>
    <row r="4917" spans="1:8" x14ac:dyDescent="0.3">
      <c r="A4917" t="s">
        <v>9678</v>
      </c>
      <c r="B4917" t="s">
        <v>26951</v>
      </c>
      <c r="C4917" t="s">
        <v>12602</v>
      </c>
      <c r="D4917" t="s">
        <v>12601</v>
      </c>
      <c r="E4917" s="2" t="s">
        <v>418</v>
      </c>
      <c r="F4917" t="s">
        <v>11264</v>
      </c>
      <c r="G4917" t="str">
        <f>HYPERLINK("https://n.news.naver.com/mnews/article/088/0000882531?sid=102")</f>
        <v>https://n.news.naver.com/mnews/article/088/0000882531?sid=102</v>
      </c>
      <c r="H4917">
        <v>0.221</v>
      </c>
    </row>
    <row r="4918" spans="1:8" x14ac:dyDescent="0.3">
      <c r="A4918" t="s">
        <v>9678</v>
      </c>
      <c r="B4918" t="s">
        <v>26951</v>
      </c>
      <c r="C4918" t="s">
        <v>12604</v>
      </c>
      <c r="D4918" t="s">
        <v>12603</v>
      </c>
      <c r="E4918" s="2" t="s">
        <v>418</v>
      </c>
      <c r="F4918" t="s">
        <v>10954</v>
      </c>
      <c r="G4918" t="str">
        <f>HYPERLINK("https://n.news.naver.com/mnews/article/006/0000126990?sid=102")</f>
        <v>https://n.news.naver.com/mnews/article/006/0000126990?sid=102</v>
      </c>
      <c r="H4918">
        <v>0.16600000000000001</v>
      </c>
    </row>
    <row r="4919" spans="1:8" x14ac:dyDescent="0.3">
      <c r="A4919" t="s">
        <v>9678</v>
      </c>
      <c r="B4919" t="s">
        <v>26951</v>
      </c>
      <c r="C4919" t="s">
        <v>12607</v>
      </c>
      <c r="D4919" t="s">
        <v>12606</v>
      </c>
      <c r="E4919" s="2" t="s">
        <v>418</v>
      </c>
      <c r="F4919" t="s">
        <v>12605</v>
      </c>
      <c r="G4919" t="str">
        <f>HYPERLINK("http://www.sisaweek.com/news/curationView.html?idxno=155236")</f>
        <v>http://www.sisaweek.com/news/curationView.html?idxno=155236</v>
      </c>
      <c r="H4919">
        <v>0.376</v>
      </c>
    </row>
    <row r="4920" spans="1:8" x14ac:dyDescent="0.3">
      <c r="A4920" t="s">
        <v>9678</v>
      </c>
      <c r="B4920" t="s">
        <v>26951</v>
      </c>
      <c r="C4920" t="s">
        <v>12610</v>
      </c>
      <c r="D4920" t="s">
        <v>12609</v>
      </c>
      <c r="E4920" s="2" t="s">
        <v>418</v>
      </c>
      <c r="F4920" t="s">
        <v>12608</v>
      </c>
      <c r="G4920" t="str">
        <f>HYPERLINK("http://www.ifs.or.kr/bbs/board.php?bo_table=YTT_board&amp;wr_id=50689")</f>
        <v>http://www.ifs.or.kr/bbs/board.php?bo_table=YTT_board&amp;wr_id=50689</v>
      </c>
      <c r="H4920">
        <v>0.59699999999999998</v>
      </c>
    </row>
    <row r="4921" spans="1:8" x14ac:dyDescent="0.3">
      <c r="A4921" t="s">
        <v>9678</v>
      </c>
      <c r="B4921" t="s">
        <v>26951</v>
      </c>
      <c r="C4921" t="s">
        <v>12612</v>
      </c>
      <c r="D4921" t="s">
        <v>12611</v>
      </c>
      <c r="E4921" s="2" t="s">
        <v>418</v>
      </c>
      <c r="F4921" t="s">
        <v>9860</v>
      </c>
      <c r="G4921" t="str">
        <f>HYPERLINK("http://www.ntoday.co.kr/news/articleView.html?idxno=68166")</f>
        <v>http://www.ntoday.co.kr/news/articleView.html?idxno=68166</v>
      </c>
      <c r="H4921">
        <v>4.5999999999999999E-2</v>
      </c>
    </row>
    <row r="4922" spans="1:8" x14ac:dyDescent="0.3">
      <c r="A4922" t="s">
        <v>9678</v>
      </c>
      <c r="B4922" t="s">
        <v>26951</v>
      </c>
      <c r="C4922" t="s">
        <v>12614</v>
      </c>
      <c r="D4922" t="s">
        <v>12613</v>
      </c>
      <c r="E4922" s="2" t="s">
        <v>418</v>
      </c>
      <c r="F4922" t="s">
        <v>805</v>
      </c>
      <c r="G4922" t="str">
        <f>HYPERLINK("http://www.joongboo.com/news/articleView.html?idxno=363601559")</f>
        <v>http://www.joongboo.com/news/articleView.html?idxno=363601559</v>
      </c>
      <c r="H4922">
        <v>5.6000000000000001E-2</v>
      </c>
    </row>
    <row r="4923" spans="1:8" x14ac:dyDescent="0.3">
      <c r="A4923" t="s">
        <v>9678</v>
      </c>
      <c r="B4923" t="s">
        <v>26951</v>
      </c>
      <c r="C4923" t="s">
        <v>12616</v>
      </c>
      <c r="D4923" t="s">
        <v>12615</v>
      </c>
      <c r="E4923" s="2" t="s">
        <v>418</v>
      </c>
      <c r="F4923" t="s">
        <v>11071</v>
      </c>
      <c r="G4923" t="str">
        <f>HYPERLINK("https://www.huffingtonpost.kr/news/articleView.html?idxno=236680")</f>
        <v>https://www.huffingtonpost.kr/news/articleView.html?idxno=236680</v>
      </c>
      <c r="H4923">
        <v>0.77400000000000002</v>
      </c>
    </row>
    <row r="4924" spans="1:8" x14ac:dyDescent="0.3">
      <c r="A4924" t="s">
        <v>9678</v>
      </c>
      <c r="B4924" t="s">
        <v>26951</v>
      </c>
      <c r="C4924" t="s">
        <v>12618</v>
      </c>
      <c r="D4924" t="s">
        <v>12617</v>
      </c>
      <c r="E4924" s="2" t="s">
        <v>418</v>
      </c>
      <c r="F4924" t="s">
        <v>1266</v>
      </c>
      <c r="G4924" t="str">
        <f>HYPERLINK("https://www.jemin.com/news/articleView.html?idxno=783927")</f>
        <v>https://www.jemin.com/news/articleView.html?idxno=783927</v>
      </c>
      <c r="H4924">
        <v>0.01</v>
      </c>
    </row>
    <row r="4925" spans="1:8" x14ac:dyDescent="0.3">
      <c r="A4925" t="s">
        <v>9678</v>
      </c>
      <c r="B4925" t="s">
        <v>26951</v>
      </c>
      <c r="C4925" t="s">
        <v>12621</v>
      </c>
      <c r="D4925" t="s">
        <v>12620</v>
      </c>
      <c r="E4925" s="2" t="s">
        <v>418</v>
      </c>
      <c r="F4925" t="s">
        <v>12619</v>
      </c>
      <c r="G4925" t="str">
        <f>HYPERLINK("https://www.tokenpost.kr/article-174347")</f>
        <v>https://www.tokenpost.kr/article-174347</v>
      </c>
      <c r="H4925">
        <v>0.52700000000000002</v>
      </c>
    </row>
    <row r="4926" spans="1:8" x14ac:dyDescent="0.3">
      <c r="A4926" t="s">
        <v>9678</v>
      </c>
      <c r="B4926" t="s">
        <v>26951</v>
      </c>
      <c r="C4926" t="s">
        <v>12624</v>
      </c>
      <c r="D4926" t="s">
        <v>12623</v>
      </c>
      <c r="E4926" s="2" t="s">
        <v>418</v>
      </c>
      <c r="F4926" t="s">
        <v>12622</v>
      </c>
      <c r="G4926" t="str">
        <f>HYPERLINK("https://ilyo.co.kr/?ac=article_view&amp;entry_id=491328")</f>
        <v>https://ilyo.co.kr/?ac=article_view&amp;entry_id=491328</v>
      </c>
      <c r="H4926">
        <v>6.4000000000000001E-2</v>
      </c>
    </row>
    <row r="4927" spans="1:8" x14ac:dyDescent="0.3">
      <c r="A4927" t="s">
        <v>9678</v>
      </c>
      <c r="B4927" t="s">
        <v>26951</v>
      </c>
      <c r="C4927" t="s">
        <v>12626</v>
      </c>
      <c r="D4927" t="s">
        <v>12625</v>
      </c>
      <c r="E4927" s="2" t="s">
        <v>418</v>
      </c>
      <c r="F4927" t="s">
        <v>3235</v>
      </c>
      <c r="G4927" t="str">
        <f>HYPERLINK("https://www.joongangenews.com/news/articleView.html?idxno=424915")</f>
        <v>https://www.joongangenews.com/news/articleView.html?idxno=424915</v>
      </c>
      <c r="H4927">
        <v>0.40600000000000003</v>
      </c>
    </row>
    <row r="4928" spans="1:8" x14ac:dyDescent="0.3">
      <c r="A4928" t="s">
        <v>9678</v>
      </c>
      <c r="B4928" t="s">
        <v>26951</v>
      </c>
      <c r="C4928" t="s">
        <v>12628</v>
      </c>
      <c r="D4928" t="s">
        <v>12627</v>
      </c>
      <c r="E4928" s="2" t="s">
        <v>418</v>
      </c>
      <c r="F4928" t="s">
        <v>3420</v>
      </c>
      <c r="G4928" t="str">
        <f>HYPERLINK("https://n.news.naver.com/mnews/article/008/0005208683?sid=102")</f>
        <v>https://n.news.naver.com/mnews/article/008/0005208683?sid=102</v>
      </c>
      <c r="H4928">
        <v>0.28499999999999998</v>
      </c>
    </row>
    <row r="4929" spans="1:8" x14ac:dyDescent="0.3">
      <c r="A4929" t="s">
        <v>9678</v>
      </c>
      <c r="B4929" t="s">
        <v>26951</v>
      </c>
      <c r="C4929" t="s">
        <v>12630</v>
      </c>
      <c r="D4929" t="s">
        <v>12629</v>
      </c>
      <c r="E4929" s="2" t="s">
        <v>418</v>
      </c>
      <c r="F4929" t="s">
        <v>7346</v>
      </c>
      <c r="G4929" t="str">
        <f>HYPERLINK("https://n.news.naver.com/mnews/article/006/0000120326?sid=102")</f>
        <v>https://n.news.naver.com/mnews/article/006/0000120326?sid=102</v>
      </c>
      <c r="H4929">
        <v>0.29799999999999999</v>
      </c>
    </row>
    <row r="4930" spans="1:8" x14ac:dyDescent="0.3">
      <c r="A4930" t="s">
        <v>9678</v>
      </c>
      <c r="B4930" t="s">
        <v>26951</v>
      </c>
      <c r="C4930" t="s">
        <v>12632</v>
      </c>
      <c r="D4930" t="s">
        <v>12631</v>
      </c>
      <c r="E4930" s="2" t="s">
        <v>418</v>
      </c>
      <c r="F4930" t="s">
        <v>10120</v>
      </c>
      <c r="G4930" t="str">
        <f>HYPERLINK("https://n.news.naver.com/mnews/article/006/0000130669?sid=102")</f>
        <v>https://n.news.naver.com/mnews/article/006/0000130669?sid=102</v>
      </c>
      <c r="H4930">
        <v>0.22800000000000001</v>
      </c>
    </row>
    <row r="4931" spans="1:8" x14ac:dyDescent="0.3">
      <c r="A4931" t="s">
        <v>9678</v>
      </c>
      <c r="B4931" t="s">
        <v>26951</v>
      </c>
      <c r="C4931" t="s">
        <v>12634</v>
      </c>
      <c r="D4931" t="s">
        <v>12633</v>
      </c>
      <c r="E4931" s="2" t="s">
        <v>418</v>
      </c>
      <c r="F4931" t="s">
        <v>5548</v>
      </c>
      <c r="G4931" t="str">
        <f>HYPERLINK("https://sports.hankooki.com/news/articleView.html?idxno=6882617")</f>
        <v>https://sports.hankooki.com/news/articleView.html?idxno=6882617</v>
      </c>
      <c r="H4931">
        <v>0.42799999999999999</v>
      </c>
    </row>
    <row r="4932" spans="1:8" x14ac:dyDescent="0.3">
      <c r="A4932" t="s">
        <v>9678</v>
      </c>
      <c r="B4932" t="s">
        <v>26951</v>
      </c>
      <c r="C4932" t="s">
        <v>12636</v>
      </c>
      <c r="D4932" t="s">
        <v>12635</v>
      </c>
      <c r="E4932" s="2" t="s">
        <v>418</v>
      </c>
      <c r="F4932" t="s">
        <v>5087</v>
      </c>
      <c r="G4932" t="str">
        <f>HYPERLINK("https://www.huffingtonpost.kr/news/articleView.html?idxno=236680")</f>
        <v>https://www.huffingtonpost.kr/news/articleView.html?idxno=236680</v>
      </c>
      <c r="H4932">
        <v>0.76900000000000002</v>
      </c>
    </row>
    <row r="4933" spans="1:8" x14ac:dyDescent="0.3">
      <c r="A4933" t="s">
        <v>9678</v>
      </c>
      <c r="B4933" t="s">
        <v>26951</v>
      </c>
      <c r="C4933" t="s">
        <v>12638</v>
      </c>
      <c r="D4933" t="s">
        <v>12637</v>
      </c>
      <c r="E4933" s="2" t="s">
        <v>418</v>
      </c>
      <c r="F4933" t="s">
        <v>9491</v>
      </c>
      <c r="G4933" t="str">
        <f>HYPERLINK("https://n.news.naver.com/mnews/article/082/0000210562?sid=102")</f>
        <v>https://n.news.naver.com/mnews/article/082/0000210562?sid=102</v>
      </c>
      <c r="H4933">
        <v>0.73199999999999998</v>
      </c>
    </row>
    <row r="4934" spans="1:8" x14ac:dyDescent="0.3">
      <c r="A4934" t="s">
        <v>9678</v>
      </c>
      <c r="B4934" t="s">
        <v>26951</v>
      </c>
      <c r="C4934" t="s">
        <v>12640</v>
      </c>
      <c r="D4934" t="s">
        <v>12639</v>
      </c>
      <c r="E4934" s="2" t="s">
        <v>418</v>
      </c>
      <c r="F4934" t="s">
        <v>10021</v>
      </c>
      <c r="G4934" t="str">
        <f>HYPERLINK("https://n.news.naver.com/mnews/article/081/0003549941?sid=103")</f>
        <v>https://n.news.naver.com/mnews/article/081/0003549941?sid=103</v>
      </c>
      <c r="H4934">
        <v>0.19800000000000001</v>
      </c>
    </row>
    <row r="4935" spans="1:8" x14ac:dyDescent="0.3">
      <c r="A4935" t="s">
        <v>9678</v>
      </c>
      <c r="B4935" t="s">
        <v>26951</v>
      </c>
      <c r="C4935" t="s">
        <v>12643</v>
      </c>
      <c r="D4935" t="s">
        <v>12642</v>
      </c>
      <c r="E4935" s="2" t="s">
        <v>418</v>
      </c>
      <c r="F4935" t="s">
        <v>12641</v>
      </c>
      <c r="G4935" t="str">
        <f>HYPERLINK("https://www.etoday.co.kr/news/view/2483889")</f>
        <v>https://www.etoday.co.kr/news/view/2483889</v>
      </c>
      <c r="H4935">
        <v>0.19600000000000001</v>
      </c>
    </row>
    <row r="4936" spans="1:8" x14ac:dyDescent="0.3">
      <c r="A4936" t="s">
        <v>9678</v>
      </c>
      <c r="B4936" t="s">
        <v>26951</v>
      </c>
      <c r="C4936" t="s">
        <v>12645</v>
      </c>
      <c r="D4936" t="s">
        <v>12644</v>
      </c>
      <c r="E4936" s="2" t="s">
        <v>418</v>
      </c>
      <c r="F4936" t="s">
        <v>12259</v>
      </c>
      <c r="G4936" t="str">
        <f>HYPERLINK("http://jmagazine.joins.com/monthly/view/327011")</f>
        <v>http://jmagazine.joins.com/monthly/view/327011</v>
      </c>
      <c r="H4936">
        <v>0.44800000000000001</v>
      </c>
    </row>
    <row r="4937" spans="1:8" x14ac:dyDescent="0.3">
      <c r="A4937" t="s">
        <v>9678</v>
      </c>
      <c r="B4937" t="s">
        <v>26951</v>
      </c>
      <c r="C4937" t="s">
        <v>12647</v>
      </c>
      <c r="D4937" t="s">
        <v>3750</v>
      </c>
      <c r="E4937" s="2" t="s">
        <v>418</v>
      </c>
      <c r="F4937" t="s">
        <v>12646</v>
      </c>
      <c r="G4937" t="str">
        <f>HYPERLINK("https://weekly.hankooki.com/news/articleView.html?idxno=7117239")</f>
        <v>https://weekly.hankooki.com/news/articleView.html?idxno=7117239</v>
      </c>
      <c r="H4937">
        <v>0.39400000000000002</v>
      </c>
    </row>
    <row r="4938" spans="1:8" x14ac:dyDescent="0.3">
      <c r="A4938" t="s">
        <v>9678</v>
      </c>
      <c r="B4938" t="s">
        <v>26951</v>
      </c>
      <c r="C4938" t="s">
        <v>12652</v>
      </c>
      <c r="D4938" t="s">
        <v>12651</v>
      </c>
      <c r="E4938" s="2" t="s">
        <v>418</v>
      </c>
      <c r="F4938" t="s">
        <v>12650</v>
      </c>
      <c r="G4938" t="str">
        <f>HYPERLINK("http://www.breaknews.com/985405")</f>
        <v>http://www.breaknews.com/985405</v>
      </c>
      <c r="H4938">
        <v>0.495</v>
      </c>
    </row>
    <row r="4939" spans="1:8" x14ac:dyDescent="0.3">
      <c r="A4939" t="s">
        <v>9678</v>
      </c>
      <c r="B4939" t="s">
        <v>26951</v>
      </c>
      <c r="C4939" t="s">
        <v>12654</v>
      </c>
      <c r="D4939" t="s">
        <v>12653</v>
      </c>
      <c r="E4939" s="2" t="s">
        <v>418</v>
      </c>
      <c r="F4939" t="s">
        <v>1543</v>
      </c>
      <c r="G4939" t="str">
        <f>HYPERLINK("http://www.newsfreezone.co.kr/news/articleView.html?idxno=237617")</f>
        <v>http://www.newsfreezone.co.kr/news/articleView.html?idxno=237617</v>
      </c>
      <c r="H4939">
        <v>0.59899999999999998</v>
      </c>
    </row>
    <row r="4940" spans="1:8" x14ac:dyDescent="0.3">
      <c r="A4940" t="s">
        <v>9678</v>
      </c>
      <c r="B4940" t="s">
        <v>26951</v>
      </c>
      <c r="C4940" t="s">
        <v>12656</v>
      </c>
      <c r="D4940" t="s">
        <v>12655</v>
      </c>
      <c r="E4940" s="2" t="s">
        <v>418</v>
      </c>
      <c r="F4940" t="s">
        <v>12182</v>
      </c>
      <c r="G4940" t="str">
        <f>HYPERLINK("http://www.enewstoday.co.kr/news/articleView.html?idxno=2291114")</f>
        <v>http://www.enewstoday.co.kr/news/articleView.html?idxno=2291114</v>
      </c>
      <c r="H4940">
        <v>0.69399999999999995</v>
      </c>
    </row>
    <row r="4941" spans="1:8" x14ac:dyDescent="0.3">
      <c r="A4941" t="s">
        <v>9678</v>
      </c>
      <c r="B4941" t="s">
        <v>26951</v>
      </c>
      <c r="C4941" t="s">
        <v>12659</v>
      </c>
      <c r="D4941" t="s">
        <v>12658</v>
      </c>
      <c r="E4941" s="2" t="s">
        <v>418</v>
      </c>
      <c r="F4941" t="s">
        <v>12657</v>
      </c>
      <c r="G4941" t="str">
        <f>HYPERLINK("http://www.civicnews.com/news/articleView.html?idxno=6926")</f>
        <v>http://www.civicnews.com/news/articleView.html?idxno=6926</v>
      </c>
      <c r="H4941">
        <v>0.59899999999999998</v>
      </c>
    </row>
    <row r="4942" spans="1:8" x14ac:dyDescent="0.3">
      <c r="A4942" t="s">
        <v>9678</v>
      </c>
      <c r="B4942" t="s">
        <v>26951</v>
      </c>
      <c r="C4942" t="s">
        <v>12663</v>
      </c>
      <c r="D4942" t="s">
        <v>12662</v>
      </c>
      <c r="E4942" s="2" t="s">
        <v>418</v>
      </c>
      <c r="F4942" t="s">
        <v>12661</v>
      </c>
      <c r="G4942" t="str">
        <f>HYPERLINK("https://www.kfenews.co.kr/news/articleView.html?idxno=639430")</f>
        <v>https://www.kfenews.co.kr/news/articleView.html?idxno=639430</v>
      </c>
      <c r="H4942">
        <v>0.96299999999999997</v>
      </c>
    </row>
    <row r="4943" spans="1:8" x14ac:dyDescent="0.3">
      <c r="A4943" t="s">
        <v>9678</v>
      </c>
      <c r="B4943" t="s">
        <v>26951</v>
      </c>
      <c r="C4943" t="s">
        <v>12665</v>
      </c>
      <c r="D4943" t="s">
        <v>12664</v>
      </c>
      <c r="E4943" s="2" t="s">
        <v>418</v>
      </c>
      <c r="F4943" t="s">
        <v>9897</v>
      </c>
      <c r="G4943" t="str">
        <f>HYPERLINK("https://n.news.naver.com/mnews/article/081/0003549941?sid=103")</f>
        <v>https://n.news.naver.com/mnews/article/081/0003549941?sid=103</v>
      </c>
      <c r="H4943">
        <v>0.23</v>
      </c>
    </row>
    <row r="4944" spans="1:8" x14ac:dyDescent="0.3">
      <c r="A4944" t="s">
        <v>9678</v>
      </c>
      <c r="B4944" t="s">
        <v>26951</v>
      </c>
      <c r="C4944" t="s">
        <v>12667</v>
      </c>
      <c r="D4944" t="s">
        <v>12666</v>
      </c>
      <c r="E4944" s="2" t="s">
        <v>418</v>
      </c>
      <c r="F4944" t="s">
        <v>12657</v>
      </c>
      <c r="G4944" t="str">
        <f>HYPERLINK("http://www.industrynews.co.kr/news/articleView.html?idxno=63722")</f>
        <v>http://www.industrynews.co.kr/news/articleView.html?idxno=63722</v>
      </c>
      <c r="H4944">
        <v>0.56399999999999995</v>
      </c>
    </row>
    <row r="4945" spans="1:8" x14ac:dyDescent="0.3">
      <c r="A4945" t="s">
        <v>9678</v>
      </c>
      <c r="B4945" t="s">
        <v>26951</v>
      </c>
      <c r="C4945" t="s">
        <v>12669</v>
      </c>
      <c r="D4945" t="s">
        <v>12668</v>
      </c>
      <c r="E4945" s="2" t="s">
        <v>418</v>
      </c>
      <c r="F4945" t="s">
        <v>10973</v>
      </c>
      <c r="G4945" t="str">
        <f>HYPERLINK("https://www.etoday.co.kr/news/view/2479627")</f>
        <v>https://www.etoday.co.kr/news/view/2479627</v>
      </c>
      <c r="H4945">
        <v>0.29799999999999999</v>
      </c>
    </row>
    <row r="4946" spans="1:8" x14ac:dyDescent="0.3">
      <c r="A4946" t="s">
        <v>9678</v>
      </c>
      <c r="B4946" t="s">
        <v>26951</v>
      </c>
      <c r="C4946" t="s">
        <v>12671</v>
      </c>
      <c r="D4946" t="s">
        <v>12670</v>
      </c>
      <c r="E4946" s="2" t="s">
        <v>418</v>
      </c>
      <c r="F4946" t="s">
        <v>11757</v>
      </c>
      <c r="G4946" t="str">
        <f>HYPERLINK("https://n.news.naver.com/mnews/article/006/0000125364?sid=100")</f>
        <v>https://n.news.naver.com/mnews/article/006/0000125364?sid=100</v>
      </c>
      <c r="H4946">
        <v>0.24299999999999999</v>
      </c>
    </row>
    <row r="4947" spans="1:8" x14ac:dyDescent="0.3">
      <c r="A4947" t="s">
        <v>9678</v>
      </c>
      <c r="B4947" t="s">
        <v>26951</v>
      </c>
      <c r="C4947" t="s">
        <v>12674</v>
      </c>
      <c r="D4947" t="s">
        <v>12673</v>
      </c>
      <c r="E4947" s="2" t="s">
        <v>418</v>
      </c>
      <c r="F4947" t="s">
        <v>12672</v>
      </c>
      <c r="G4947" t="str">
        <f>HYPERLINK("http://www.enewstoday.co.kr/news/articleView.html?idxno=2291114")</f>
        <v>http://www.enewstoday.co.kr/news/articleView.html?idxno=2291114</v>
      </c>
      <c r="H4947">
        <v>0.751</v>
      </c>
    </row>
    <row r="4948" spans="1:8" x14ac:dyDescent="0.3">
      <c r="A4948" t="s">
        <v>9678</v>
      </c>
      <c r="B4948" t="s">
        <v>26951</v>
      </c>
      <c r="C4948" t="s">
        <v>12677</v>
      </c>
      <c r="D4948" t="s">
        <v>12676</v>
      </c>
      <c r="E4948" s="2" t="s">
        <v>418</v>
      </c>
      <c r="F4948" t="s">
        <v>12675</v>
      </c>
      <c r="G4948" t="str">
        <f>HYPERLINK("https://news.ifm.kr/news/articleView.html?idxno=444162")</f>
        <v>https://news.ifm.kr/news/articleView.html?idxno=444162</v>
      </c>
      <c r="H4948">
        <v>0.435</v>
      </c>
    </row>
    <row r="4949" spans="1:8" x14ac:dyDescent="0.3">
      <c r="A4949" t="s">
        <v>9678</v>
      </c>
      <c r="B4949" t="s">
        <v>26951</v>
      </c>
      <c r="C4949" t="s">
        <v>12680</v>
      </c>
      <c r="D4949" t="s">
        <v>12679</v>
      </c>
      <c r="E4949" s="2" t="s">
        <v>418</v>
      </c>
      <c r="F4949" t="s">
        <v>12678</v>
      </c>
      <c r="G4949" t="str">
        <f>HYPERLINK("http://www.gndomin.com/news/articleView.html?idxno=438144")</f>
        <v>http://www.gndomin.com/news/articleView.html?idxno=438144</v>
      </c>
      <c r="H4949">
        <v>0.84899999999999998</v>
      </c>
    </row>
    <row r="4950" spans="1:8" x14ac:dyDescent="0.3">
      <c r="A4950" t="s">
        <v>9678</v>
      </c>
      <c r="B4950" t="s">
        <v>26951</v>
      </c>
      <c r="C4950" t="s">
        <v>12682</v>
      </c>
      <c r="D4950" t="s">
        <v>12681</v>
      </c>
      <c r="E4950" s="2" t="s">
        <v>418</v>
      </c>
      <c r="F4950" t="s">
        <v>5087</v>
      </c>
      <c r="G4950" t="str">
        <f>HYPERLINK("http://www.breaknews.com/1125542")</f>
        <v>http://www.breaknews.com/1125542</v>
      </c>
      <c r="H4950">
        <v>0.46200000000000002</v>
      </c>
    </row>
    <row r="4951" spans="1:8" x14ac:dyDescent="0.3">
      <c r="A4951" t="s">
        <v>9678</v>
      </c>
      <c r="B4951" t="s">
        <v>26951</v>
      </c>
      <c r="C4951" t="s">
        <v>12684</v>
      </c>
      <c r="D4951" t="s">
        <v>12683</v>
      </c>
      <c r="E4951" s="2" t="s">
        <v>418</v>
      </c>
      <c r="F4951" t="s">
        <v>588</v>
      </c>
      <c r="G4951" t="str">
        <f>HYPERLINK("https://sports.hankooki.com/news/articleView.html?idxno=6901130")</f>
        <v>https://sports.hankooki.com/news/articleView.html?idxno=6901130</v>
      </c>
      <c r="H4951">
        <v>0.76</v>
      </c>
    </row>
    <row r="4952" spans="1:8" x14ac:dyDescent="0.3">
      <c r="A4952" t="s">
        <v>9678</v>
      </c>
      <c r="B4952" t="s">
        <v>26951</v>
      </c>
      <c r="C4952" t="s">
        <v>12687</v>
      </c>
      <c r="D4952" t="s">
        <v>12686</v>
      </c>
      <c r="E4952" s="2" t="s">
        <v>418</v>
      </c>
      <c r="F4952" t="s">
        <v>12685</v>
      </c>
      <c r="G4952" t="str">
        <f>HYPERLINK("https://n.news.naver.com/mnews/article/277/0003480962?sid=103")</f>
        <v>https://n.news.naver.com/mnews/article/277/0003480962?sid=103</v>
      </c>
      <c r="H4952">
        <v>0.27600000000000002</v>
      </c>
    </row>
    <row r="4953" spans="1:8" x14ac:dyDescent="0.3">
      <c r="A4953" t="s">
        <v>9678</v>
      </c>
      <c r="B4953" t="s">
        <v>26951</v>
      </c>
      <c r="C4953" t="s">
        <v>12690</v>
      </c>
      <c r="D4953" t="s">
        <v>12689</v>
      </c>
      <c r="E4953" s="2" t="s">
        <v>418</v>
      </c>
      <c r="F4953" t="s">
        <v>12688</v>
      </c>
      <c r="G4953" t="str">
        <f>HYPERLINK("https://n.news.naver.com/mnews/article/469/0000706538?sid=103")</f>
        <v>https://n.news.naver.com/mnews/article/469/0000706538?sid=103</v>
      </c>
      <c r="H4953">
        <v>0.32800000000000001</v>
      </c>
    </row>
    <row r="4954" spans="1:8" x14ac:dyDescent="0.3">
      <c r="A4954" t="s">
        <v>9678</v>
      </c>
      <c r="B4954" t="s">
        <v>26951</v>
      </c>
      <c r="C4954" t="s">
        <v>12692</v>
      </c>
      <c r="D4954" t="s">
        <v>12691</v>
      </c>
      <c r="E4954" s="2" t="s">
        <v>418</v>
      </c>
      <c r="F4954" t="s">
        <v>12182</v>
      </c>
      <c r="G4954" t="str">
        <f>HYPERLINK("https://www.newsgn.com/news/articleView.html?idxno=488322")</f>
        <v>https://www.newsgn.com/news/articleView.html?idxno=488322</v>
      </c>
      <c r="H4954">
        <v>0.93500000000000005</v>
      </c>
    </row>
    <row r="4955" spans="1:8" x14ac:dyDescent="0.3">
      <c r="A4955" t="s">
        <v>9678</v>
      </c>
      <c r="B4955" t="s">
        <v>26951</v>
      </c>
      <c r="C4955" t="s">
        <v>12694</v>
      </c>
      <c r="D4955" t="s">
        <v>12693</v>
      </c>
      <c r="E4955" s="2" t="s">
        <v>418</v>
      </c>
      <c r="F4955" t="s">
        <v>1378</v>
      </c>
      <c r="G4955" t="str">
        <f>HYPERLINK("https://n.news.naver.com/mnews/article/008/0004004560?sid=103")</f>
        <v>https://n.news.naver.com/mnews/article/008/0004004560?sid=103</v>
      </c>
      <c r="H4955">
        <v>0.248</v>
      </c>
    </row>
    <row r="4956" spans="1:8" x14ac:dyDescent="0.3">
      <c r="A4956" t="s">
        <v>9678</v>
      </c>
      <c r="B4956" t="s">
        <v>26951</v>
      </c>
      <c r="C4956" t="s">
        <v>12696</v>
      </c>
      <c r="D4956" t="s">
        <v>12695</v>
      </c>
      <c r="E4956" s="2" t="s">
        <v>418</v>
      </c>
      <c r="F4956" t="s">
        <v>10764</v>
      </c>
      <c r="G4956" t="str">
        <f>HYPERLINK("https://n.news.naver.com/mnews/article/008/0005214940?sid=102")</f>
        <v>https://n.news.naver.com/mnews/article/008/0005214940?sid=102</v>
      </c>
      <c r="H4956">
        <v>0.21099999999999999</v>
      </c>
    </row>
    <row r="4957" spans="1:8" x14ac:dyDescent="0.3">
      <c r="A4957" t="s">
        <v>9678</v>
      </c>
      <c r="B4957" t="s">
        <v>26951</v>
      </c>
      <c r="C4957" t="s">
        <v>12699</v>
      </c>
      <c r="D4957" t="s">
        <v>12698</v>
      </c>
      <c r="E4957" s="2" t="s">
        <v>418</v>
      </c>
      <c r="F4957" t="s">
        <v>12697</v>
      </c>
      <c r="G4957" t="str">
        <f>HYPERLINK("https://www.jemin.com/news/articleView.html?idxno=811950")</f>
        <v>https://www.jemin.com/news/articleView.html?idxno=811950</v>
      </c>
      <c r="H4957">
        <v>0.54700000000000004</v>
      </c>
    </row>
    <row r="4958" spans="1:8" x14ac:dyDescent="0.3">
      <c r="A4958" t="s">
        <v>9678</v>
      </c>
      <c r="B4958" t="s">
        <v>26951</v>
      </c>
      <c r="C4958" t="s">
        <v>12701</v>
      </c>
      <c r="D4958" t="s">
        <v>12700</v>
      </c>
      <c r="E4958" s="2" t="s">
        <v>418</v>
      </c>
      <c r="F4958" t="s">
        <v>2498</v>
      </c>
      <c r="G4958" t="str">
        <f>HYPERLINK("http://www.mhj21.com/167694")</f>
        <v>http://www.mhj21.com/167694</v>
      </c>
      <c r="H4958">
        <v>0.69799999999999995</v>
      </c>
    </row>
    <row r="4959" spans="1:8" x14ac:dyDescent="0.3">
      <c r="A4959" t="s">
        <v>9678</v>
      </c>
      <c r="B4959" t="s">
        <v>26951</v>
      </c>
      <c r="C4959" t="s">
        <v>12704</v>
      </c>
      <c r="D4959" t="s">
        <v>12703</v>
      </c>
      <c r="E4959" s="2" t="s">
        <v>418</v>
      </c>
      <c r="F4959" t="s">
        <v>12702</v>
      </c>
      <c r="G4959" t="str">
        <f>HYPERLINK("https://www.fortunekorea.co.kr/news/articleView.html?idxno=30197")</f>
        <v>https://www.fortunekorea.co.kr/news/articleView.html?idxno=30197</v>
      </c>
      <c r="H4959">
        <v>0.61799999999999999</v>
      </c>
    </row>
    <row r="4960" spans="1:8" x14ac:dyDescent="0.3">
      <c r="A4960" t="s">
        <v>9678</v>
      </c>
      <c r="B4960" t="s">
        <v>26951</v>
      </c>
      <c r="C4960" t="s">
        <v>12707</v>
      </c>
      <c r="D4960" t="s">
        <v>12706</v>
      </c>
      <c r="E4960" s="2" t="s">
        <v>418</v>
      </c>
      <c r="F4960" t="s">
        <v>12705</v>
      </c>
      <c r="G4960" t="str">
        <f>HYPERLINK("http://www.ikoreanspirit.com/news/articleView.html?idxno=80449")</f>
        <v>http://www.ikoreanspirit.com/news/articleView.html?idxno=80449</v>
      </c>
      <c r="H4960">
        <v>0.876</v>
      </c>
    </row>
    <row r="4961" spans="1:8" x14ac:dyDescent="0.3">
      <c r="A4961" t="s">
        <v>9678</v>
      </c>
      <c r="B4961" t="s">
        <v>26951</v>
      </c>
      <c r="C4961" t="s">
        <v>12710</v>
      </c>
      <c r="D4961" t="s">
        <v>12709</v>
      </c>
      <c r="E4961" s="2" t="s">
        <v>418</v>
      </c>
      <c r="F4961" t="s">
        <v>12708</v>
      </c>
      <c r="G4961" t="str">
        <f>HYPERLINK("https://n.news.naver.com/mnews/article/028/0002684652?sid=110")</f>
        <v>https://n.news.naver.com/mnews/article/028/0002684652?sid=110</v>
      </c>
      <c r="H4961">
        <v>0.33400000000000002</v>
      </c>
    </row>
    <row r="4962" spans="1:8" x14ac:dyDescent="0.3">
      <c r="A4962" t="s">
        <v>9678</v>
      </c>
      <c r="B4962" t="s">
        <v>26951</v>
      </c>
      <c r="C4962" t="s">
        <v>12712</v>
      </c>
      <c r="D4962" t="s">
        <v>12711</v>
      </c>
      <c r="E4962" s="2" t="s">
        <v>418</v>
      </c>
      <c r="F4962" t="s">
        <v>10161</v>
      </c>
      <c r="G4962" t="str">
        <f>HYPERLINK("http://www.ggilbo.com/news/articleView.html?idxno=998045")</f>
        <v>http://www.ggilbo.com/news/articleView.html?idxno=998045</v>
      </c>
      <c r="H4962">
        <v>0.71199999999999997</v>
      </c>
    </row>
    <row r="4963" spans="1:8" x14ac:dyDescent="0.3">
      <c r="A4963" t="s">
        <v>9678</v>
      </c>
      <c r="B4963" t="s">
        <v>26951</v>
      </c>
      <c r="C4963" t="s">
        <v>12715</v>
      </c>
      <c r="D4963" t="s">
        <v>12714</v>
      </c>
      <c r="E4963" s="2" t="s">
        <v>418</v>
      </c>
      <c r="F4963" t="s">
        <v>12713</v>
      </c>
      <c r="G4963" t="str">
        <f>HYPERLINK("https://www.newspim.com/news/view/20250619000937")</f>
        <v>https://www.newspim.com/news/view/20250619000937</v>
      </c>
      <c r="H4963">
        <v>0.39900000000000002</v>
      </c>
    </row>
    <row r="4964" spans="1:8" x14ac:dyDescent="0.3">
      <c r="A4964" t="s">
        <v>9678</v>
      </c>
      <c r="B4964" t="s">
        <v>26951</v>
      </c>
      <c r="C4964" t="s">
        <v>12718</v>
      </c>
      <c r="D4964" t="s">
        <v>12717</v>
      </c>
      <c r="E4964" s="2" t="s">
        <v>418</v>
      </c>
      <c r="F4964" t="s">
        <v>12716</v>
      </c>
      <c r="G4964" t="str">
        <f>HYPERLINK("http://ch.yes24.com/Article/View/44234")</f>
        <v>http://ch.yes24.com/Article/View/44234</v>
      </c>
      <c r="H4964">
        <v>0.27300000000000002</v>
      </c>
    </row>
    <row r="4965" spans="1:8" x14ac:dyDescent="0.3">
      <c r="A4965" t="s">
        <v>9678</v>
      </c>
      <c r="B4965" t="s">
        <v>26951</v>
      </c>
      <c r="C4965" t="s">
        <v>12720</v>
      </c>
      <c r="D4965" t="s">
        <v>12719</v>
      </c>
      <c r="E4965" s="2" t="s">
        <v>418</v>
      </c>
      <c r="F4965" t="s">
        <v>1327</v>
      </c>
      <c r="G4965" t="str">
        <f>HYPERLINK("http://www.sisaon.co.kr/news/articleView.html?idxno=170170")</f>
        <v>http://www.sisaon.co.kr/news/articleView.html?idxno=170170</v>
      </c>
      <c r="H4965">
        <v>0.39800000000000002</v>
      </c>
    </row>
    <row r="4966" spans="1:8" x14ac:dyDescent="0.3">
      <c r="A4966" t="s">
        <v>9678</v>
      </c>
      <c r="B4966" t="s">
        <v>26951</v>
      </c>
      <c r="C4966" t="s">
        <v>12723</v>
      </c>
      <c r="D4966" t="s">
        <v>12722</v>
      </c>
      <c r="E4966" s="2" t="s">
        <v>418</v>
      </c>
      <c r="F4966" t="s">
        <v>12721</v>
      </c>
      <c r="G4966" t="str">
        <f>HYPERLINK("http://www.ilemonde.com/news/articleView.html?idxno=20801")</f>
        <v>http://www.ilemonde.com/news/articleView.html?idxno=20801</v>
      </c>
      <c r="H4966">
        <v>0.41</v>
      </c>
    </row>
    <row r="4967" spans="1:8" x14ac:dyDescent="0.3">
      <c r="A4967" t="s">
        <v>9678</v>
      </c>
      <c r="B4967" t="s">
        <v>26951</v>
      </c>
      <c r="C4967" t="s">
        <v>12725</v>
      </c>
      <c r="D4967" t="s">
        <v>12724</v>
      </c>
      <c r="E4967" s="2" t="s">
        <v>418</v>
      </c>
      <c r="F4967" t="s">
        <v>6406</v>
      </c>
      <c r="G4967" t="str">
        <f>HYPERLINK("http://www.hellodd.com/news/articleView.html?idxno=104135")</f>
        <v>http://www.hellodd.com/news/articleView.html?idxno=104135</v>
      </c>
      <c r="H4967">
        <v>0.41099999999999998</v>
      </c>
    </row>
    <row r="4968" spans="1:8" x14ac:dyDescent="0.3">
      <c r="A4968" t="s">
        <v>9678</v>
      </c>
      <c r="B4968" t="s">
        <v>26951</v>
      </c>
      <c r="C4968" t="s">
        <v>12729</v>
      </c>
      <c r="D4968" t="s">
        <v>12728</v>
      </c>
      <c r="E4968" s="2" t="s">
        <v>418</v>
      </c>
      <c r="F4968" t="s">
        <v>9957</v>
      </c>
      <c r="G4968" t="str">
        <f>HYPERLINK("https://www.joongangenews.com/news/articleView.html?idxno=424812")</f>
        <v>https://www.joongangenews.com/news/articleView.html?idxno=424812</v>
      </c>
      <c r="H4968">
        <v>0.45800000000000002</v>
      </c>
    </row>
    <row r="4969" spans="1:8" x14ac:dyDescent="0.3">
      <c r="A4969" t="s">
        <v>9678</v>
      </c>
      <c r="B4969" t="s">
        <v>26951</v>
      </c>
      <c r="C4969" t="s">
        <v>12732</v>
      </c>
      <c r="D4969" t="s">
        <v>12731</v>
      </c>
      <c r="E4969" s="2" t="s">
        <v>418</v>
      </c>
      <c r="F4969" t="s">
        <v>12730</v>
      </c>
      <c r="G4969" t="str">
        <f>HYPERLINK("http://www.100ssd.co.kr/news/articleView.html?idxno=71311")</f>
        <v>http://www.100ssd.co.kr/news/articleView.html?idxno=71311</v>
      </c>
      <c r="H4969">
        <v>0.49</v>
      </c>
    </row>
    <row r="4970" spans="1:8" x14ac:dyDescent="0.3">
      <c r="A4970" t="s">
        <v>9678</v>
      </c>
      <c r="B4970" t="s">
        <v>26951</v>
      </c>
      <c r="C4970" t="s">
        <v>12735</v>
      </c>
      <c r="D4970" t="s">
        <v>12734</v>
      </c>
      <c r="E4970" s="2" t="s">
        <v>418</v>
      </c>
      <c r="F4970" t="s">
        <v>12733</v>
      </c>
      <c r="G4970" t="str">
        <f>HYPERLINK("https://www.greened.kr/news/articleView.html?idxno=319538")</f>
        <v>https://www.greened.kr/news/articleView.html?idxno=319538</v>
      </c>
      <c r="H4970">
        <v>0.17499999999999999</v>
      </c>
    </row>
    <row r="4971" spans="1:8" x14ac:dyDescent="0.3">
      <c r="A4971" t="s">
        <v>9678</v>
      </c>
      <c r="B4971" t="s">
        <v>26951</v>
      </c>
      <c r="C4971" t="s">
        <v>12738</v>
      </c>
      <c r="D4971" t="s">
        <v>12737</v>
      </c>
      <c r="E4971" s="2" t="s">
        <v>418</v>
      </c>
      <c r="F4971" t="s">
        <v>12736</v>
      </c>
      <c r="G4971" t="str">
        <f>HYPERLINK("https://n.news.naver.com/mnews/article/081/0002156698?sid=100")</f>
        <v>https://n.news.naver.com/mnews/article/081/0002156698?sid=100</v>
      </c>
      <c r="H4971">
        <v>0.25700000000000001</v>
      </c>
    </row>
    <row r="4972" spans="1:8" x14ac:dyDescent="0.3">
      <c r="A4972" t="s">
        <v>9678</v>
      </c>
      <c r="B4972" t="s">
        <v>26951</v>
      </c>
      <c r="C4972" t="s">
        <v>12740</v>
      </c>
      <c r="D4972" t="s">
        <v>12739</v>
      </c>
      <c r="E4972" s="2" t="s">
        <v>418</v>
      </c>
      <c r="F4972" t="s">
        <v>11533</v>
      </c>
      <c r="G4972" t="str">
        <f>HYPERLINK("http://www.newstof.com/news/articleView.html?idxno=2064")</f>
        <v>http://www.newstof.com/news/articleView.html?idxno=2064</v>
      </c>
      <c r="H4972">
        <v>0.38800000000000001</v>
      </c>
    </row>
    <row r="4973" spans="1:8" x14ac:dyDescent="0.3">
      <c r="A4973" t="s">
        <v>9678</v>
      </c>
      <c r="B4973" t="s">
        <v>26951</v>
      </c>
      <c r="C4973" t="s">
        <v>12743</v>
      </c>
      <c r="D4973" t="s">
        <v>12742</v>
      </c>
      <c r="E4973" s="2" t="s">
        <v>418</v>
      </c>
      <c r="F4973" t="s">
        <v>12741</v>
      </c>
      <c r="G4973" t="str">
        <f>HYPERLINK("http://www.pdjournal.com/news/articleView.html?idxno=53981")</f>
        <v>http://www.pdjournal.com/news/articleView.html?idxno=53981</v>
      </c>
      <c r="H4973">
        <v>0.57799999999999996</v>
      </c>
    </row>
    <row r="4974" spans="1:8" x14ac:dyDescent="0.3">
      <c r="A4974" t="s">
        <v>9678</v>
      </c>
      <c r="B4974" t="s">
        <v>26951</v>
      </c>
      <c r="C4974" t="s">
        <v>12746</v>
      </c>
      <c r="D4974" t="s">
        <v>12745</v>
      </c>
      <c r="E4974" s="2" t="s">
        <v>418</v>
      </c>
      <c r="F4974" t="s">
        <v>12744</v>
      </c>
      <c r="G4974" t="str">
        <f>HYPERLINK("http://www.aptn.co.kr/news/articleView.html?idxno=109603")</f>
        <v>http://www.aptn.co.kr/news/articleView.html?idxno=109603</v>
      </c>
      <c r="H4974">
        <v>0.35199999999999998</v>
      </c>
    </row>
    <row r="4975" spans="1:8" x14ac:dyDescent="0.3">
      <c r="A4975" t="s">
        <v>9678</v>
      </c>
      <c r="B4975" t="s">
        <v>26951</v>
      </c>
      <c r="C4975" t="s">
        <v>12748</v>
      </c>
      <c r="D4975" t="s">
        <v>12747</v>
      </c>
      <c r="E4975" s="2" t="s">
        <v>418</v>
      </c>
      <c r="F4975" t="s">
        <v>1579</v>
      </c>
      <c r="G4975" t="str">
        <f>HYPERLINK("http://www.namdonews.com/news/articleView.html?idxno=823955")</f>
        <v>http://www.namdonews.com/news/articleView.html?idxno=823955</v>
      </c>
      <c r="H4975">
        <v>0.29499999999999998</v>
      </c>
    </row>
    <row r="4976" spans="1:8" x14ac:dyDescent="0.3">
      <c r="A4976" t="s">
        <v>9678</v>
      </c>
      <c r="B4976" t="s">
        <v>26951</v>
      </c>
      <c r="C4976" t="s">
        <v>12751</v>
      </c>
      <c r="D4976" t="s">
        <v>12750</v>
      </c>
      <c r="E4976" s="2" t="s">
        <v>418</v>
      </c>
      <c r="F4976" t="s">
        <v>12749</v>
      </c>
      <c r="G4976" t="str">
        <f>HYPERLINK("http://www.newspim.com/news/view/20170412000182")</f>
        <v>http://www.newspim.com/news/view/20170412000182</v>
      </c>
      <c r="H4976">
        <v>0.36299999999999999</v>
      </c>
    </row>
    <row r="4977" spans="1:8" x14ac:dyDescent="0.3">
      <c r="A4977" t="s">
        <v>9678</v>
      </c>
      <c r="B4977" t="s">
        <v>26951</v>
      </c>
      <c r="C4977" t="s">
        <v>12754</v>
      </c>
      <c r="D4977" t="s">
        <v>12753</v>
      </c>
      <c r="E4977" s="2" t="s">
        <v>418</v>
      </c>
      <c r="F4977" t="s">
        <v>12752</v>
      </c>
      <c r="G4977" t="str">
        <f>HYPERLINK("https://news.unn.net/news/articleView.html?idxno=579798")</f>
        <v>https://news.unn.net/news/articleView.html?idxno=579798</v>
      </c>
      <c r="H4977">
        <v>0.65400000000000003</v>
      </c>
    </row>
    <row r="4978" spans="1:8" x14ac:dyDescent="0.3">
      <c r="A4978" t="s">
        <v>9678</v>
      </c>
      <c r="B4978" t="s">
        <v>26951</v>
      </c>
      <c r="C4978" t="s">
        <v>12756</v>
      </c>
      <c r="D4978" t="s">
        <v>12755</v>
      </c>
      <c r="E4978" s="2" t="s">
        <v>418</v>
      </c>
      <c r="F4978" t="s">
        <v>7630</v>
      </c>
      <c r="G4978" t="str">
        <f>HYPERLINK("http://www.srtimes.kr/news/articleView.html?idxno=137762")</f>
        <v>http://www.srtimes.kr/news/articleView.html?idxno=137762</v>
      </c>
      <c r="H4978">
        <v>0.48199999999999998</v>
      </c>
    </row>
    <row r="4979" spans="1:8" x14ac:dyDescent="0.3">
      <c r="A4979" t="s">
        <v>9678</v>
      </c>
      <c r="B4979" t="s">
        <v>26951</v>
      </c>
      <c r="C4979" t="s">
        <v>12758</v>
      </c>
      <c r="D4979" t="s">
        <v>12757</v>
      </c>
      <c r="E4979" s="2" t="s">
        <v>418</v>
      </c>
      <c r="F4979" t="s">
        <v>2763</v>
      </c>
      <c r="G4979" t="str">
        <f>HYPERLINK("https://n.news.naver.com/mnews/article/016/0002493230?sid=100")</f>
        <v>https://n.news.naver.com/mnews/article/016/0002493230?sid=100</v>
      </c>
      <c r="H4979">
        <v>0.24199999999999999</v>
      </c>
    </row>
    <row r="4980" spans="1:8" x14ac:dyDescent="0.3">
      <c r="A4980" t="s">
        <v>9678</v>
      </c>
      <c r="B4980" t="s">
        <v>26951</v>
      </c>
      <c r="C4980" t="s">
        <v>12760</v>
      </c>
      <c r="D4980" t="s">
        <v>12759</v>
      </c>
      <c r="E4980" s="2" t="s">
        <v>418</v>
      </c>
      <c r="F4980" t="s">
        <v>11938</v>
      </c>
      <c r="G4980" t="str">
        <f>HYPERLINK("http://www.knnews.co.kr/news/articleView.php?idxno=1295581")</f>
        <v>http://www.knnews.co.kr/news/articleView.php?idxno=1295581</v>
      </c>
      <c r="H4980">
        <v>0.371</v>
      </c>
    </row>
    <row r="4981" spans="1:8" x14ac:dyDescent="0.3">
      <c r="A4981" t="s">
        <v>9678</v>
      </c>
      <c r="B4981" t="s">
        <v>26951</v>
      </c>
      <c r="C4981" t="s">
        <v>12763</v>
      </c>
      <c r="D4981" t="s">
        <v>12762</v>
      </c>
      <c r="E4981" s="2" t="s">
        <v>418</v>
      </c>
      <c r="F4981" t="s">
        <v>12761</v>
      </c>
      <c r="G4981" t="str">
        <f>HYPERLINK("http://bravo.etoday.co.kr/view/atc_view.php?varAtcId=12660")</f>
        <v>http://bravo.etoday.co.kr/view/atc_view.php?varAtcId=12660</v>
      </c>
      <c r="H4981">
        <v>0.57599999999999996</v>
      </c>
    </row>
    <row r="4982" spans="1:8" x14ac:dyDescent="0.3">
      <c r="A4982" t="s">
        <v>9678</v>
      </c>
      <c r="B4982" t="s">
        <v>26951</v>
      </c>
      <c r="C4982" t="s">
        <v>12765</v>
      </c>
      <c r="D4982" t="s">
        <v>12764</v>
      </c>
      <c r="E4982" s="2" t="s">
        <v>418</v>
      </c>
      <c r="F4982" t="s">
        <v>10206</v>
      </c>
      <c r="G4982" t="str">
        <f>HYPERLINK("http://journal.kobeta.com/?post_type=post&amp;p=57162")</f>
        <v>http://journal.kobeta.com/?post_type=post&amp;p=57162</v>
      </c>
      <c r="H4982">
        <v>0.33400000000000002</v>
      </c>
    </row>
    <row r="4983" spans="1:8" x14ac:dyDescent="0.3">
      <c r="A4983" t="s">
        <v>9678</v>
      </c>
      <c r="B4983" t="s">
        <v>26951</v>
      </c>
      <c r="C4983" t="s">
        <v>12767</v>
      </c>
      <c r="D4983" t="s">
        <v>12766</v>
      </c>
      <c r="E4983" s="2" t="s">
        <v>452</v>
      </c>
      <c r="F4983" t="s">
        <v>7293</v>
      </c>
      <c r="G4983" t="str">
        <f>HYPERLINK("https://www.ilovepc.co.kr/news/articleView.html?idxno=52816")</f>
        <v>https://www.ilovepc.co.kr/news/articleView.html?idxno=52816</v>
      </c>
      <c r="H4983">
        <v>0.35699999999999998</v>
      </c>
    </row>
    <row r="4984" spans="1:8" x14ac:dyDescent="0.3">
      <c r="A4984" t="s">
        <v>9678</v>
      </c>
      <c r="B4984" t="s">
        <v>26951</v>
      </c>
      <c r="C4984" t="s">
        <v>12769</v>
      </c>
      <c r="D4984" t="s">
        <v>12768</v>
      </c>
      <c r="E4984" s="2" t="s">
        <v>452</v>
      </c>
      <c r="F4984" t="s">
        <v>10471</v>
      </c>
      <c r="G4984" t="str">
        <f>HYPERLINK("https://n.news.naver.com/mnews/article/008/0005210537?sid=102")</f>
        <v>https://n.news.naver.com/mnews/article/008/0005210537?sid=102</v>
      </c>
      <c r="H4984">
        <v>0.28100000000000003</v>
      </c>
    </row>
    <row r="4985" spans="1:8" x14ac:dyDescent="0.3">
      <c r="A4985" t="s">
        <v>9678</v>
      </c>
      <c r="B4985" t="s">
        <v>26951</v>
      </c>
      <c r="C4985" t="s">
        <v>12772</v>
      </c>
      <c r="D4985" t="s">
        <v>12771</v>
      </c>
      <c r="E4985" s="2" t="s">
        <v>452</v>
      </c>
      <c r="F4985" t="s">
        <v>12770</v>
      </c>
      <c r="G4985" t="str">
        <f>HYPERLINK("https://www.etoday.co.kr/news/view/2479595")</f>
        <v>https://www.etoday.co.kr/news/view/2479595</v>
      </c>
      <c r="H4985">
        <v>0.59299999999999997</v>
      </c>
    </row>
    <row r="4986" spans="1:8" x14ac:dyDescent="0.3">
      <c r="A4986" t="s">
        <v>9678</v>
      </c>
      <c r="B4986" t="s">
        <v>26951</v>
      </c>
      <c r="C4986" t="s">
        <v>12775</v>
      </c>
      <c r="D4986" t="s">
        <v>12774</v>
      </c>
      <c r="E4986" s="2" t="s">
        <v>452</v>
      </c>
      <c r="F4986" t="s">
        <v>12773</v>
      </c>
      <c r="G4986" t="str">
        <f>HYPERLINK("http://www.srtimes.kr/news/articleView.html?idxno=179567")</f>
        <v>http://www.srtimes.kr/news/articleView.html?idxno=179567</v>
      </c>
      <c r="H4986">
        <v>0.23599999999999999</v>
      </c>
    </row>
    <row r="4987" spans="1:8" x14ac:dyDescent="0.3">
      <c r="A4987" t="s">
        <v>9678</v>
      </c>
      <c r="B4987" t="s">
        <v>26951</v>
      </c>
      <c r="C4987" t="s">
        <v>12777</v>
      </c>
      <c r="D4987" t="s">
        <v>12776</v>
      </c>
      <c r="E4987" s="2" t="s">
        <v>452</v>
      </c>
      <c r="F4987" t="s">
        <v>11115</v>
      </c>
      <c r="G4987" t="str">
        <f>HYPERLINK("https://sports.hankooki.com/news/articleView.html?idxno=6901000")</f>
        <v>https://sports.hankooki.com/news/articleView.html?idxno=6901000</v>
      </c>
      <c r="H4987">
        <v>0.63</v>
      </c>
    </row>
    <row r="4988" spans="1:8" x14ac:dyDescent="0.3">
      <c r="A4988" t="s">
        <v>9678</v>
      </c>
      <c r="B4988" t="s">
        <v>26951</v>
      </c>
      <c r="C4988" t="s">
        <v>12780</v>
      </c>
      <c r="D4988" t="s">
        <v>12779</v>
      </c>
      <c r="E4988" s="2" t="s">
        <v>452</v>
      </c>
      <c r="F4988" t="s">
        <v>12778</v>
      </c>
      <c r="G4988" t="str">
        <f>HYPERLINK("https://www.thebilliards.kr/news/articleView.html?idxno=26704")</f>
        <v>https://www.thebilliards.kr/news/articleView.html?idxno=26704</v>
      </c>
      <c r="H4988">
        <v>0.158</v>
      </c>
    </row>
    <row r="4989" spans="1:8" x14ac:dyDescent="0.3">
      <c r="A4989" t="s">
        <v>9678</v>
      </c>
      <c r="B4989" t="s">
        <v>26951</v>
      </c>
      <c r="C4989" t="s">
        <v>12782</v>
      </c>
      <c r="D4989" t="s">
        <v>12781</v>
      </c>
      <c r="E4989" s="2" t="s">
        <v>452</v>
      </c>
      <c r="F4989" t="s">
        <v>10467</v>
      </c>
      <c r="G4989" t="str">
        <f>HYPERLINK("http://www.gjdream.com/v2/week/view.html?news_type=404&amp;mode=view&amp;uid=466745")</f>
        <v>http://www.gjdream.com/v2/week/view.html?news_type=404&amp;mode=view&amp;uid=466745</v>
      </c>
      <c r="H4989">
        <v>0.504</v>
      </c>
    </row>
    <row r="4990" spans="1:8" x14ac:dyDescent="0.3">
      <c r="A4990" t="s">
        <v>9678</v>
      </c>
      <c r="B4990" t="s">
        <v>26951</v>
      </c>
      <c r="C4990" t="s">
        <v>12785</v>
      </c>
      <c r="D4990" t="s">
        <v>12784</v>
      </c>
      <c r="E4990" s="2" t="s">
        <v>452</v>
      </c>
      <c r="F4990" t="s">
        <v>12783</v>
      </c>
      <c r="G4990" t="str">
        <f>HYPERLINK("http://www.rightknow.co.kr/news/articleView.html?idxno=31393")</f>
        <v>http://www.rightknow.co.kr/news/articleView.html?idxno=31393</v>
      </c>
      <c r="H4990">
        <v>0.66300000000000003</v>
      </c>
    </row>
    <row r="4991" spans="1:8" x14ac:dyDescent="0.3">
      <c r="A4991" t="s">
        <v>9678</v>
      </c>
      <c r="B4991" t="s">
        <v>26951</v>
      </c>
      <c r="C4991" t="s">
        <v>12788</v>
      </c>
      <c r="D4991" t="s">
        <v>12787</v>
      </c>
      <c r="E4991" s="2" t="s">
        <v>452</v>
      </c>
      <c r="F4991" t="s">
        <v>12786</v>
      </c>
      <c r="G4991" t="str">
        <f>HYPERLINK("https://www.mediafine.co.kr/news/articleView.html?idxno=68271")</f>
        <v>https://www.mediafine.co.kr/news/articleView.html?idxno=68271</v>
      </c>
      <c r="H4991">
        <v>0.69699999999999995</v>
      </c>
    </row>
    <row r="4992" spans="1:8" x14ac:dyDescent="0.3">
      <c r="A4992" t="s">
        <v>9678</v>
      </c>
      <c r="B4992" t="s">
        <v>26951</v>
      </c>
      <c r="C4992" t="s">
        <v>12791</v>
      </c>
      <c r="D4992" t="s">
        <v>12790</v>
      </c>
      <c r="E4992" s="2" t="s">
        <v>452</v>
      </c>
      <c r="F4992" t="s">
        <v>12789</v>
      </c>
      <c r="G4992" t="str">
        <f>HYPERLINK("https://www.pressman.kr/news/articleView.html?idxno=90834")</f>
        <v>https://www.pressman.kr/news/articleView.html?idxno=90834</v>
      </c>
      <c r="H4992">
        <v>0.33800000000000002</v>
      </c>
    </row>
    <row r="4993" spans="1:8" x14ac:dyDescent="0.3">
      <c r="A4993" t="s">
        <v>9678</v>
      </c>
      <c r="B4993" t="s">
        <v>26951</v>
      </c>
      <c r="C4993" t="s">
        <v>12793</v>
      </c>
      <c r="D4993" t="s">
        <v>12792</v>
      </c>
      <c r="E4993" s="2" t="s">
        <v>452</v>
      </c>
      <c r="F4993" t="s">
        <v>10111</v>
      </c>
      <c r="G4993" t="str">
        <f>HYPERLINK("https://n.news.naver.com/mnews/article/008/0005214940?sid=102")</f>
        <v>https://n.news.naver.com/mnews/article/008/0005214940?sid=102</v>
      </c>
      <c r="H4993">
        <v>0.22500000000000001</v>
      </c>
    </row>
    <row r="4994" spans="1:8" x14ac:dyDescent="0.3">
      <c r="A4994" t="s">
        <v>9678</v>
      </c>
      <c r="B4994" t="s">
        <v>26951</v>
      </c>
      <c r="C4994" t="s">
        <v>12796</v>
      </c>
      <c r="D4994" t="s">
        <v>12795</v>
      </c>
      <c r="E4994" s="2" t="s">
        <v>452</v>
      </c>
      <c r="F4994" t="s">
        <v>12794</v>
      </c>
      <c r="G4994" t="str">
        <f>HYPERLINK("https://n.news.naver.com/mnews/article/028/0002724108?sid=103")</f>
        <v>https://n.news.naver.com/mnews/article/028/0002724108?sid=103</v>
      </c>
      <c r="H4994">
        <v>0.27900000000000003</v>
      </c>
    </row>
    <row r="4995" spans="1:8" x14ac:dyDescent="0.3">
      <c r="A4995" t="s">
        <v>9678</v>
      </c>
      <c r="B4995" t="s">
        <v>26951</v>
      </c>
      <c r="C4995" t="s">
        <v>12798</v>
      </c>
      <c r="D4995" t="s">
        <v>12797</v>
      </c>
      <c r="E4995" s="2" t="s">
        <v>452</v>
      </c>
      <c r="F4995" t="s">
        <v>8383</v>
      </c>
      <c r="G4995" t="str">
        <f>HYPERLINK("https://n.news.naver.com/mnews/article/016/0002493062?sid=103")</f>
        <v>https://n.news.naver.com/mnews/article/016/0002493062?sid=103</v>
      </c>
      <c r="H4995">
        <v>0.17899999999999999</v>
      </c>
    </row>
    <row r="4996" spans="1:8" x14ac:dyDescent="0.3">
      <c r="A4996" t="s">
        <v>9678</v>
      </c>
      <c r="B4996" t="s">
        <v>26951</v>
      </c>
      <c r="C4996" t="s">
        <v>12801</v>
      </c>
      <c r="D4996" t="s">
        <v>12800</v>
      </c>
      <c r="E4996" s="2" t="s">
        <v>452</v>
      </c>
      <c r="F4996" t="s">
        <v>12799</v>
      </c>
      <c r="G4996" t="str">
        <f>HYPERLINK("http://www.dynews.co.kr/news/articleView.html?idxno=795930")</f>
        <v>http://www.dynews.co.kr/news/articleView.html?idxno=795930</v>
      </c>
      <c r="H4996">
        <v>0.66700000000000004</v>
      </c>
    </row>
    <row r="4997" spans="1:8" x14ac:dyDescent="0.3">
      <c r="A4997" t="s">
        <v>9678</v>
      </c>
      <c r="B4997" t="s">
        <v>26951</v>
      </c>
      <c r="C4997" t="s">
        <v>12803</v>
      </c>
      <c r="D4997" t="s">
        <v>12802</v>
      </c>
      <c r="E4997" s="2" t="s">
        <v>452</v>
      </c>
      <c r="F4997" t="s">
        <v>9912</v>
      </c>
      <c r="G4997" t="str">
        <f>HYPERLINK("http://www.lecturernews.com/news/articleView.html?idxno=100277")</f>
        <v>http://www.lecturernews.com/news/articleView.html?idxno=100277</v>
      </c>
      <c r="H4997">
        <v>0.48899999999999999</v>
      </c>
    </row>
    <row r="4998" spans="1:8" x14ac:dyDescent="0.3">
      <c r="A4998" t="s">
        <v>9678</v>
      </c>
      <c r="B4998" t="s">
        <v>26951</v>
      </c>
      <c r="C4998" t="s">
        <v>12806</v>
      </c>
      <c r="D4998" t="s">
        <v>12805</v>
      </c>
      <c r="E4998" s="2" t="s">
        <v>452</v>
      </c>
      <c r="F4998" t="s">
        <v>12804</v>
      </c>
      <c r="G4998" t="str">
        <f>HYPERLINK("http://www.hidomin.com/news/articleView.html?idxno=583708")</f>
        <v>http://www.hidomin.com/news/articleView.html?idxno=583708</v>
      </c>
      <c r="H4998">
        <v>0.77800000000000002</v>
      </c>
    </row>
    <row r="4999" spans="1:8" x14ac:dyDescent="0.3">
      <c r="A4999" t="s">
        <v>9678</v>
      </c>
      <c r="B4999" t="s">
        <v>26951</v>
      </c>
      <c r="C4999" t="s">
        <v>12809</v>
      </c>
      <c r="D4999" t="s">
        <v>12808</v>
      </c>
      <c r="E4999" s="2" t="s">
        <v>452</v>
      </c>
      <c r="F4999" t="s">
        <v>12807</v>
      </c>
      <c r="G4999" t="str">
        <f>HYPERLINK("http://www.greened.kr/news/articleView.html?idxno=298916")</f>
        <v>http://www.greened.kr/news/articleView.html?idxno=298916</v>
      </c>
      <c r="H4999">
        <v>0.184</v>
      </c>
    </row>
    <row r="5000" spans="1:8" x14ac:dyDescent="0.3">
      <c r="A5000" t="s">
        <v>9678</v>
      </c>
      <c r="B5000" t="s">
        <v>26951</v>
      </c>
      <c r="C5000" t="s">
        <v>12811</v>
      </c>
      <c r="D5000" t="s">
        <v>12810</v>
      </c>
      <c r="E5000" s="2" t="s">
        <v>452</v>
      </c>
      <c r="F5000" t="s">
        <v>10917</v>
      </c>
      <c r="G5000" t="str">
        <f>HYPERLINK("https://radio.ytn.co.kr/program/?f=2&amp;id=94778&amp;s_mcd=0206&amp;s_hcd=15")</f>
        <v>https://radio.ytn.co.kr/program/?f=2&amp;id=94778&amp;s_mcd=0206&amp;s_hcd=15</v>
      </c>
      <c r="H5000">
        <v>0.498</v>
      </c>
    </row>
    <row r="5001" spans="1:8" x14ac:dyDescent="0.3">
      <c r="A5001" t="s">
        <v>9678</v>
      </c>
      <c r="B5001" t="s">
        <v>26951</v>
      </c>
      <c r="C5001" t="s">
        <v>12813</v>
      </c>
      <c r="D5001" t="s">
        <v>12812</v>
      </c>
      <c r="E5001" s="2" t="s">
        <v>452</v>
      </c>
      <c r="F5001" t="s">
        <v>1378</v>
      </c>
      <c r="G5001" t="str">
        <f>HYPERLINK("https://n.news.naver.com/mnews/article/008/0004004560?sid=103")</f>
        <v>https://n.news.naver.com/mnews/article/008/0004004560?sid=103</v>
      </c>
      <c r="H5001">
        <v>0.249</v>
      </c>
    </row>
    <row r="5002" spans="1:8" x14ac:dyDescent="0.3">
      <c r="A5002" t="s">
        <v>9678</v>
      </c>
      <c r="B5002" t="s">
        <v>26951</v>
      </c>
      <c r="C5002" t="s">
        <v>12815</v>
      </c>
      <c r="D5002" t="s">
        <v>12814</v>
      </c>
      <c r="E5002" s="2" t="s">
        <v>452</v>
      </c>
      <c r="F5002" t="s">
        <v>5548</v>
      </c>
      <c r="G5002" t="str">
        <f>HYPERLINK("https://www.lecturernews.com/news/articleView.html?idxno=151569")</f>
        <v>https://www.lecturernews.com/news/articleView.html?idxno=151569</v>
      </c>
      <c r="H5002">
        <v>0.54600000000000004</v>
      </c>
    </row>
    <row r="5003" spans="1:8" x14ac:dyDescent="0.3">
      <c r="A5003" t="s">
        <v>9678</v>
      </c>
      <c r="B5003" t="s">
        <v>26951</v>
      </c>
      <c r="C5003" t="s">
        <v>12817</v>
      </c>
      <c r="D5003" t="s">
        <v>12816</v>
      </c>
      <c r="E5003" s="2" t="s">
        <v>452</v>
      </c>
      <c r="F5003" t="s">
        <v>5548</v>
      </c>
      <c r="G5003" t="str">
        <f>HYPERLINK("https://sports.hankooki.com/news/articleView.html?idxno=6901002")</f>
        <v>https://sports.hankooki.com/news/articleView.html?idxno=6901002</v>
      </c>
      <c r="H5003">
        <v>0.68799999999999994</v>
      </c>
    </row>
    <row r="5004" spans="1:8" x14ac:dyDescent="0.3">
      <c r="A5004" t="s">
        <v>9678</v>
      </c>
      <c r="B5004" t="s">
        <v>26951</v>
      </c>
      <c r="C5004" t="s">
        <v>12820</v>
      </c>
      <c r="D5004" t="s">
        <v>12819</v>
      </c>
      <c r="E5004" s="2" t="s">
        <v>452</v>
      </c>
      <c r="F5004" t="s">
        <v>12818</v>
      </c>
      <c r="G5004" t="str">
        <f>HYPERLINK("https://www.pennmike.com/news/articleView.html?idxno=102649")</f>
        <v>https://www.pennmike.com/news/articleView.html?idxno=102649</v>
      </c>
      <c r="H5004">
        <v>0.44400000000000001</v>
      </c>
    </row>
    <row r="5005" spans="1:8" x14ac:dyDescent="0.3">
      <c r="A5005" t="s">
        <v>9678</v>
      </c>
      <c r="B5005" t="s">
        <v>26951</v>
      </c>
      <c r="C5005" t="s">
        <v>12822</v>
      </c>
      <c r="D5005" t="s">
        <v>12821</v>
      </c>
      <c r="E5005" s="2" t="s">
        <v>452</v>
      </c>
      <c r="F5005" t="s">
        <v>5548</v>
      </c>
      <c r="G5005" t="str">
        <f>HYPERLINK("https://sports.hankooki.com/news/articleView.html?idxno=6886057")</f>
        <v>https://sports.hankooki.com/news/articleView.html?idxno=6886057</v>
      </c>
      <c r="H5005">
        <v>0.47599999999999998</v>
      </c>
    </row>
    <row r="5006" spans="1:8" x14ac:dyDescent="0.3">
      <c r="A5006" t="s">
        <v>9678</v>
      </c>
      <c r="B5006" t="s">
        <v>26951</v>
      </c>
      <c r="C5006" t="s">
        <v>12824</v>
      </c>
      <c r="D5006" t="s">
        <v>12823</v>
      </c>
      <c r="E5006" s="2" t="s">
        <v>452</v>
      </c>
      <c r="F5006" t="s">
        <v>10120</v>
      </c>
      <c r="G5006" t="str">
        <f>HYPERLINK("https://n.news.naver.com/mnews/article/006/0000130669?sid=102")</f>
        <v>https://n.news.naver.com/mnews/article/006/0000130669?sid=102</v>
      </c>
      <c r="H5006">
        <v>0.246</v>
      </c>
    </row>
    <row r="5007" spans="1:8" x14ac:dyDescent="0.3">
      <c r="A5007" t="s">
        <v>9678</v>
      </c>
      <c r="B5007" t="s">
        <v>26951</v>
      </c>
      <c r="C5007" t="s">
        <v>12826</v>
      </c>
      <c r="D5007" t="s">
        <v>12825</v>
      </c>
      <c r="E5007" s="2" t="s">
        <v>452</v>
      </c>
      <c r="F5007" t="s">
        <v>588</v>
      </c>
      <c r="G5007" t="str">
        <f>HYPERLINK("https://www.pennmike.com/news/articleView.html?idxno=103122")</f>
        <v>https://www.pennmike.com/news/articleView.html?idxno=103122</v>
      </c>
      <c r="H5007">
        <v>0.78900000000000003</v>
      </c>
    </row>
    <row r="5008" spans="1:8" x14ac:dyDescent="0.3">
      <c r="A5008" t="s">
        <v>9678</v>
      </c>
      <c r="B5008" t="s">
        <v>26951</v>
      </c>
      <c r="C5008" t="s">
        <v>12830</v>
      </c>
      <c r="D5008" t="s">
        <v>12829</v>
      </c>
      <c r="E5008" s="2" t="s">
        <v>452</v>
      </c>
      <c r="F5008" t="s">
        <v>3235</v>
      </c>
      <c r="G5008" t="str">
        <f>HYPERLINK("https://sports.hankooki.com/news/articleView.html?idxno=6878309")</f>
        <v>https://sports.hankooki.com/news/articleView.html?idxno=6878309</v>
      </c>
      <c r="H5008">
        <v>0.64500000000000002</v>
      </c>
    </row>
    <row r="5009" spans="1:8" x14ac:dyDescent="0.3">
      <c r="A5009" t="s">
        <v>9678</v>
      </c>
      <c r="B5009" t="s">
        <v>26951</v>
      </c>
      <c r="C5009" t="s">
        <v>12832</v>
      </c>
      <c r="D5009" t="s">
        <v>12831</v>
      </c>
      <c r="E5009" s="2" t="s">
        <v>452</v>
      </c>
      <c r="F5009" t="s">
        <v>5265</v>
      </c>
      <c r="G5009" t="str">
        <f>HYPERLINK("https://www.newspim.com/news/view/20250616000664")</f>
        <v>https://www.newspim.com/news/view/20250616000664</v>
      </c>
      <c r="H5009">
        <v>0.79600000000000004</v>
      </c>
    </row>
    <row r="5010" spans="1:8" x14ac:dyDescent="0.3">
      <c r="A5010" t="s">
        <v>9678</v>
      </c>
      <c r="B5010" t="s">
        <v>26951</v>
      </c>
      <c r="C5010" t="s">
        <v>12834</v>
      </c>
      <c r="D5010" t="s">
        <v>12833</v>
      </c>
      <c r="E5010" s="2" t="s">
        <v>452</v>
      </c>
      <c r="F5010" t="s">
        <v>11407</v>
      </c>
      <c r="G5010" t="str">
        <f>HYPERLINK("https://n.news.naver.com/mnews/article/214/0001433505?sid=102")</f>
        <v>https://n.news.naver.com/mnews/article/214/0001433505?sid=102</v>
      </c>
      <c r="H5010">
        <v>0.27100000000000002</v>
      </c>
    </row>
    <row r="5011" spans="1:8" x14ac:dyDescent="0.3">
      <c r="A5011" t="s">
        <v>9678</v>
      </c>
      <c r="B5011" t="s">
        <v>26951</v>
      </c>
      <c r="C5011" t="s">
        <v>12836</v>
      </c>
      <c r="D5011" t="s">
        <v>12835</v>
      </c>
      <c r="E5011" s="2" t="s">
        <v>452</v>
      </c>
      <c r="F5011" t="s">
        <v>9929</v>
      </c>
      <c r="G5011" t="str">
        <f>HYPERLINK("https://www.etoday.co.kr/news/view/2383207")</f>
        <v>https://www.etoday.co.kr/news/view/2383207</v>
      </c>
      <c r="H5011">
        <v>0.51500000000000001</v>
      </c>
    </row>
    <row r="5012" spans="1:8" x14ac:dyDescent="0.3">
      <c r="A5012" t="s">
        <v>9678</v>
      </c>
      <c r="B5012" t="s">
        <v>26951</v>
      </c>
      <c r="C5012" t="s">
        <v>12839</v>
      </c>
      <c r="D5012" t="s">
        <v>12838</v>
      </c>
      <c r="E5012" s="2" t="s">
        <v>452</v>
      </c>
      <c r="F5012" t="s">
        <v>12837</v>
      </c>
      <c r="G5012" t="str">
        <f>HYPERLINK("http://www.kbmaeil.com/news/articleView.html?idxno=1001780")</f>
        <v>http://www.kbmaeil.com/news/articleView.html?idxno=1001780</v>
      </c>
      <c r="H5012">
        <v>0.42699999999999999</v>
      </c>
    </row>
    <row r="5013" spans="1:8" x14ac:dyDescent="0.3">
      <c r="A5013" t="s">
        <v>9678</v>
      </c>
      <c r="B5013" t="s">
        <v>26951</v>
      </c>
      <c r="C5013" t="s">
        <v>12845</v>
      </c>
      <c r="D5013" t="s">
        <v>12844</v>
      </c>
      <c r="E5013" s="2" t="s">
        <v>452</v>
      </c>
      <c r="F5013" t="s">
        <v>12843</v>
      </c>
      <c r="G5013" t="str">
        <f>HYPERLINK("https://n.news.naver.com/mnews/article/016/0002422858?sid=101")</f>
        <v>https://n.news.naver.com/mnews/article/016/0002422858?sid=101</v>
      </c>
      <c r="H5013">
        <v>0.223</v>
      </c>
    </row>
    <row r="5014" spans="1:8" x14ac:dyDescent="0.3">
      <c r="A5014" t="s">
        <v>9678</v>
      </c>
      <c r="B5014" t="s">
        <v>26951</v>
      </c>
      <c r="C5014" t="s">
        <v>12847</v>
      </c>
      <c r="D5014" t="s">
        <v>12846</v>
      </c>
      <c r="E5014" s="2" t="s">
        <v>452</v>
      </c>
      <c r="F5014" t="s">
        <v>10021</v>
      </c>
      <c r="G5014" t="str">
        <f>HYPERLINK("https://www.ilovepc.co.kr/news/articleView.html?idxno=55051")</f>
        <v>https://www.ilovepc.co.kr/news/articleView.html?idxno=55051</v>
      </c>
      <c r="H5014">
        <v>0.245</v>
      </c>
    </row>
    <row r="5015" spans="1:8" x14ac:dyDescent="0.3">
      <c r="A5015" t="s">
        <v>9678</v>
      </c>
      <c r="B5015" t="s">
        <v>26951</v>
      </c>
      <c r="C5015" t="s">
        <v>12850</v>
      </c>
      <c r="D5015" t="s">
        <v>12849</v>
      </c>
      <c r="E5015" s="2" t="s">
        <v>452</v>
      </c>
      <c r="F5015" t="s">
        <v>12848</v>
      </c>
      <c r="G5015" t="str">
        <f>HYPERLINK("https://n.news.naver.com/mnews/article/014/0005370797?sid=103")</f>
        <v>https://n.news.naver.com/mnews/article/014/0005370797?sid=103</v>
      </c>
      <c r="H5015">
        <v>0.315</v>
      </c>
    </row>
    <row r="5016" spans="1:8" x14ac:dyDescent="0.3">
      <c r="A5016" t="s">
        <v>9678</v>
      </c>
      <c r="B5016" t="s">
        <v>26951</v>
      </c>
      <c r="C5016" t="s">
        <v>12852</v>
      </c>
      <c r="D5016" t="s">
        <v>12851</v>
      </c>
      <c r="E5016" s="2" t="s">
        <v>452</v>
      </c>
      <c r="F5016" t="s">
        <v>12310</v>
      </c>
      <c r="G5016" t="str">
        <f>HYPERLINK("https://www.greened.kr/news/articleView.html?idxno=327965")</f>
        <v>https://www.greened.kr/news/articleView.html?idxno=327965</v>
      </c>
      <c r="H5016">
        <v>0.57999999999999996</v>
      </c>
    </row>
    <row r="5017" spans="1:8" x14ac:dyDescent="0.3">
      <c r="A5017" t="s">
        <v>9678</v>
      </c>
      <c r="B5017" t="s">
        <v>26951</v>
      </c>
      <c r="C5017" t="s">
        <v>12855</v>
      </c>
      <c r="D5017" t="s">
        <v>12854</v>
      </c>
      <c r="E5017" s="2" t="s">
        <v>452</v>
      </c>
      <c r="F5017" t="s">
        <v>12853</v>
      </c>
      <c r="G5017" t="str">
        <f>HYPERLINK("http://www.cnews.co.kr/uhtml/read.jsp?idxno=201905161013254890454")</f>
        <v>http://www.cnews.co.kr/uhtml/read.jsp?idxno=201905161013254890454</v>
      </c>
      <c r="H5017">
        <v>0.53100000000000003</v>
      </c>
    </row>
    <row r="5018" spans="1:8" x14ac:dyDescent="0.3">
      <c r="A5018" t="s">
        <v>9678</v>
      </c>
      <c r="B5018" t="s">
        <v>26951</v>
      </c>
      <c r="C5018" t="s">
        <v>12857</v>
      </c>
      <c r="D5018" t="s">
        <v>12856</v>
      </c>
      <c r="E5018" s="2" t="s">
        <v>452</v>
      </c>
      <c r="F5018" t="s">
        <v>10301</v>
      </c>
      <c r="G5018" t="str">
        <f>HYPERLINK("http://www.ftoday.co.kr/news/articleView.html?idxno=313832")</f>
        <v>http://www.ftoday.co.kr/news/articleView.html?idxno=313832</v>
      </c>
      <c r="H5018">
        <v>0.51500000000000001</v>
      </c>
    </row>
    <row r="5019" spans="1:8" x14ac:dyDescent="0.3">
      <c r="A5019" t="s">
        <v>9678</v>
      </c>
      <c r="B5019" t="s">
        <v>26951</v>
      </c>
      <c r="C5019" t="s">
        <v>12859</v>
      </c>
      <c r="D5019" t="s">
        <v>12858</v>
      </c>
      <c r="E5019" s="2" t="s">
        <v>452</v>
      </c>
      <c r="F5019" t="s">
        <v>1722</v>
      </c>
      <c r="G5019" t="str">
        <f>HYPERLINK("http://www.civicnews.com/news/articleView.html?idxno=20871")</f>
        <v>http://www.civicnews.com/news/articleView.html?idxno=20871</v>
      </c>
      <c r="H5019">
        <v>0.38700000000000001</v>
      </c>
    </row>
    <row r="5020" spans="1:8" x14ac:dyDescent="0.3">
      <c r="A5020" t="s">
        <v>9678</v>
      </c>
      <c r="B5020" t="s">
        <v>26951</v>
      </c>
      <c r="C5020" t="s">
        <v>12862</v>
      </c>
      <c r="D5020" t="s">
        <v>12861</v>
      </c>
      <c r="E5020" s="2" t="s">
        <v>452</v>
      </c>
      <c r="F5020" t="s">
        <v>12860</v>
      </c>
      <c r="G5020" t="str">
        <f>HYPERLINK("http://www.lak.co.kr/news/boardview.php?id=14947")</f>
        <v>http://www.lak.co.kr/news/boardview.php?id=14947</v>
      </c>
      <c r="H5020">
        <v>0.34799999999999998</v>
      </c>
    </row>
    <row r="5021" spans="1:8" x14ac:dyDescent="0.3">
      <c r="A5021" t="s">
        <v>9678</v>
      </c>
      <c r="B5021" t="s">
        <v>26951</v>
      </c>
      <c r="C5021" t="s">
        <v>12865</v>
      </c>
      <c r="D5021" t="s">
        <v>12864</v>
      </c>
      <c r="E5021" s="2" t="s">
        <v>452</v>
      </c>
      <c r="F5021" t="s">
        <v>12863</v>
      </c>
      <c r="G5021" t="str">
        <f>HYPERLINK("https://www.gokorea.kr/news/articleView.html?idxno=824565")</f>
        <v>https://www.gokorea.kr/news/articleView.html?idxno=824565</v>
      </c>
      <c r="H5021">
        <v>0.43</v>
      </c>
    </row>
    <row r="5022" spans="1:8" x14ac:dyDescent="0.3">
      <c r="A5022" t="s">
        <v>9678</v>
      </c>
      <c r="B5022" t="s">
        <v>26951</v>
      </c>
      <c r="C5022" t="s">
        <v>12868</v>
      </c>
      <c r="D5022" t="s">
        <v>12867</v>
      </c>
      <c r="E5022" s="2" t="s">
        <v>452</v>
      </c>
      <c r="F5022" t="s">
        <v>12866</v>
      </c>
      <c r="G5022" t="str">
        <f>HYPERLINK("https://www.golfjournal.co.kr/news/articleView.html?idxno=10440")</f>
        <v>https://www.golfjournal.co.kr/news/articleView.html?idxno=10440</v>
      </c>
      <c r="H5022">
        <v>0.32900000000000001</v>
      </c>
    </row>
    <row r="5023" spans="1:8" x14ac:dyDescent="0.3">
      <c r="A5023" t="s">
        <v>9678</v>
      </c>
      <c r="B5023" t="s">
        <v>26951</v>
      </c>
      <c r="C5023" t="s">
        <v>12873</v>
      </c>
      <c r="D5023" t="s">
        <v>12872</v>
      </c>
      <c r="E5023" s="2" t="s">
        <v>452</v>
      </c>
      <c r="F5023" t="s">
        <v>7465</v>
      </c>
      <c r="G5023" t="str">
        <f>HYPERLINK("http://ppss.kr/archives/165267")</f>
        <v>http://ppss.kr/archives/165267</v>
      </c>
      <c r="H5023">
        <v>0.252</v>
      </c>
    </row>
    <row r="5024" spans="1:8" x14ac:dyDescent="0.3">
      <c r="A5024" t="s">
        <v>9678</v>
      </c>
      <c r="B5024" t="s">
        <v>26951</v>
      </c>
      <c r="C5024" t="s">
        <v>12875</v>
      </c>
      <c r="D5024" t="s">
        <v>12874</v>
      </c>
      <c r="E5024" s="2" t="s">
        <v>452</v>
      </c>
      <c r="F5024" t="s">
        <v>12353</v>
      </c>
      <c r="G5024" t="str">
        <f>HYPERLINK("http://www.fntoday.co.kr/news/articleView.html?idxno=294988")</f>
        <v>http://www.fntoday.co.kr/news/articleView.html?idxno=294988</v>
      </c>
      <c r="H5024">
        <v>0.66600000000000004</v>
      </c>
    </row>
    <row r="5025" spans="1:8" x14ac:dyDescent="0.3">
      <c r="A5025" t="s">
        <v>9678</v>
      </c>
      <c r="B5025" t="s">
        <v>26951</v>
      </c>
      <c r="C5025" t="s">
        <v>12877</v>
      </c>
      <c r="D5025" t="s">
        <v>12876</v>
      </c>
      <c r="E5025" s="2" t="s">
        <v>452</v>
      </c>
      <c r="F5025" t="s">
        <v>10229</v>
      </c>
      <c r="G5025" t="str">
        <f>HYPERLINK("https://www.jemin.com/news/articleView.html?idxno=814663")</f>
        <v>https://www.jemin.com/news/articleView.html?idxno=814663</v>
      </c>
      <c r="H5025">
        <v>0.622</v>
      </c>
    </row>
    <row r="5026" spans="1:8" x14ac:dyDescent="0.3">
      <c r="A5026" t="s">
        <v>9678</v>
      </c>
      <c r="B5026" t="s">
        <v>26951</v>
      </c>
      <c r="C5026" t="s">
        <v>12879</v>
      </c>
      <c r="D5026" t="s">
        <v>12878</v>
      </c>
      <c r="E5026" s="2" t="s">
        <v>452</v>
      </c>
      <c r="F5026" t="s">
        <v>11393</v>
      </c>
      <c r="G5026" t="str">
        <f>HYPERLINK("https://n.news.naver.com/mnews/article/014/0005363644?sid=102")</f>
        <v>https://n.news.naver.com/mnews/article/014/0005363644?sid=102</v>
      </c>
      <c r="H5026">
        <v>0.20399999999999999</v>
      </c>
    </row>
    <row r="5027" spans="1:8" x14ac:dyDescent="0.3">
      <c r="A5027" t="s">
        <v>9678</v>
      </c>
      <c r="B5027" t="s">
        <v>26951</v>
      </c>
      <c r="C5027" t="s">
        <v>12881</v>
      </c>
      <c r="D5027" t="s">
        <v>12880</v>
      </c>
      <c r="E5027" s="2" t="s">
        <v>452</v>
      </c>
      <c r="F5027" t="s">
        <v>9127</v>
      </c>
      <c r="G5027" t="str">
        <f>HYPERLINK("https://n.news.naver.com/mnews/article/079/0003661222?sid=102")</f>
        <v>https://n.news.naver.com/mnews/article/079/0003661222?sid=102</v>
      </c>
      <c r="H5027">
        <v>0.29399999999999998</v>
      </c>
    </row>
    <row r="5028" spans="1:8" x14ac:dyDescent="0.3">
      <c r="A5028" t="s">
        <v>9678</v>
      </c>
      <c r="B5028" t="s">
        <v>26951</v>
      </c>
      <c r="C5028" t="s">
        <v>12883</v>
      </c>
      <c r="D5028" t="s">
        <v>12882</v>
      </c>
      <c r="E5028" s="2" t="s">
        <v>452</v>
      </c>
      <c r="F5028" t="s">
        <v>10184</v>
      </c>
      <c r="G5028" t="str">
        <f>HYPERLINK("https://www.financialpost.co.kr/news/articleView.html?idxno=223417")</f>
        <v>https://www.financialpost.co.kr/news/articleView.html?idxno=223417</v>
      </c>
      <c r="H5028">
        <v>0.59399999999999997</v>
      </c>
    </row>
    <row r="5029" spans="1:8" x14ac:dyDescent="0.3">
      <c r="A5029" t="s">
        <v>9678</v>
      </c>
      <c r="B5029" t="s">
        <v>26951</v>
      </c>
      <c r="C5029" t="s">
        <v>12885</v>
      </c>
      <c r="D5029" t="s">
        <v>12884</v>
      </c>
      <c r="E5029" s="2" t="s">
        <v>452</v>
      </c>
      <c r="F5029" t="s">
        <v>5087</v>
      </c>
      <c r="G5029" t="str">
        <f>HYPERLINK("https://n.news.naver.com/mnews/article/008/0005207941?sid=102")</f>
        <v>https://n.news.naver.com/mnews/article/008/0005207941?sid=102</v>
      </c>
      <c r="H5029">
        <v>0.27</v>
      </c>
    </row>
    <row r="5030" spans="1:8" x14ac:dyDescent="0.3">
      <c r="A5030" t="s">
        <v>9678</v>
      </c>
      <c r="B5030" t="s">
        <v>26951</v>
      </c>
      <c r="C5030" t="s">
        <v>12887</v>
      </c>
      <c r="D5030" t="s">
        <v>12886</v>
      </c>
      <c r="E5030" s="2" t="s">
        <v>452</v>
      </c>
      <c r="F5030" t="s">
        <v>10184</v>
      </c>
      <c r="G5030" t="str">
        <f>HYPERLINK("https://n.news.naver.com/mnews/article/214/0001140970?sid=100")</f>
        <v>https://n.news.naver.com/mnews/article/214/0001140970?sid=100</v>
      </c>
      <c r="H5030">
        <v>0.56399999999999995</v>
      </c>
    </row>
    <row r="5031" spans="1:8" x14ac:dyDescent="0.3">
      <c r="A5031" t="s">
        <v>9678</v>
      </c>
      <c r="B5031" t="s">
        <v>26951</v>
      </c>
      <c r="C5031" t="s">
        <v>12889</v>
      </c>
      <c r="D5031" t="s">
        <v>12888</v>
      </c>
      <c r="E5031" s="2" t="s">
        <v>452</v>
      </c>
      <c r="F5031" t="s">
        <v>7949</v>
      </c>
      <c r="G5031" t="str">
        <f>HYPERLINK("http://www.fntoday.co.kr/news/articleView.html?idxno=355973")</f>
        <v>http://www.fntoday.co.kr/news/articleView.html?idxno=355973</v>
      </c>
      <c r="H5031">
        <v>0.35</v>
      </c>
    </row>
    <row r="5032" spans="1:8" x14ac:dyDescent="0.3">
      <c r="A5032" t="s">
        <v>9678</v>
      </c>
      <c r="B5032" t="s">
        <v>26951</v>
      </c>
      <c r="C5032" t="s">
        <v>12892</v>
      </c>
      <c r="D5032" t="s">
        <v>12891</v>
      </c>
      <c r="E5032" s="2" t="s">
        <v>452</v>
      </c>
      <c r="F5032" t="s">
        <v>12890</v>
      </c>
      <c r="G5032" t="str">
        <f>HYPERLINK("https://n.news.naver.com/mnews/article/028/0002753752?sid=103")</f>
        <v>https://n.news.naver.com/mnews/article/028/0002753752?sid=103</v>
      </c>
      <c r="H5032">
        <v>0.28199999999999997</v>
      </c>
    </row>
    <row r="5033" spans="1:8" x14ac:dyDescent="0.3">
      <c r="A5033" t="s">
        <v>9678</v>
      </c>
      <c r="B5033" t="s">
        <v>26951</v>
      </c>
      <c r="C5033" t="s">
        <v>12895</v>
      </c>
      <c r="D5033" t="s">
        <v>12894</v>
      </c>
      <c r="E5033" s="2" t="s">
        <v>452</v>
      </c>
      <c r="F5033" t="s">
        <v>12893</v>
      </c>
      <c r="G5033" t="str">
        <f>HYPERLINK("http://news.lghellovision.net/news/articleView.html?idxno=505807")</f>
        <v>http://news.lghellovision.net/news/articleView.html?idxno=505807</v>
      </c>
      <c r="H5033">
        <v>0.48599999999999999</v>
      </c>
    </row>
    <row r="5034" spans="1:8" x14ac:dyDescent="0.3">
      <c r="A5034" t="s">
        <v>9678</v>
      </c>
      <c r="B5034" t="s">
        <v>26951</v>
      </c>
      <c r="C5034" t="s">
        <v>12897</v>
      </c>
      <c r="D5034" t="s">
        <v>12896</v>
      </c>
      <c r="E5034" s="2" t="s">
        <v>452</v>
      </c>
      <c r="F5034" t="s">
        <v>9127</v>
      </c>
      <c r="G5034" t="str">
        <f>HYPERLINK("https://n.news.naver.com/mnews/article/002/0002388607?sid=102")</f>
        <v>https://n.news.naver.com/mnews/article/002/0002388607?sid=102</v>
      </c>
      <c r="H5034">
        <v>0.29099999999999998</v>
      </c>
    </row>
    <row r="5035" spans="1:8" x14ac:dyDescent="0.3">
      <c r="A5035" t="s">
        <v>9678</v>
      </c>
      <c r="B5035" t="s">
        <v>26951</v>
      </c>
      <c r="C5035" t="s">
        <v>12900</v>
      </c>
      <c r="D5035" t="s">
        <v>12899</v>
      </c>
      <c r="E5035" s="2" t="s">
        <v>452</v>
      </c>
      <c r="F5035" t="s">
        <v>12898</v>
      </c>
      <c r="G5035" t="str">
        <f>HYPERLINK("https://www.lecturernews.com/news/articleView.html?idxno=169312")</f>
        <v>https://www.lecturernews.com/news/articleView.html?idxno=169312</v>
      </c>
      <c r="H5035">
        <v>0.51700000000000002</v>
      </c>
    </row>
    <row r="5036" spans="1:8" x14ac:dyDescent="0.3">
      <c r="A5036" t="s">
        <v>9678</v>
      </c>
      <c r="B5036" t="s">
        <v>26951</v>
      </c>
      <c r="C5036" t="s">
        <v>12902</v>
      </c>
      <c r="D5036" t="s">
        <v>12901</v>
      </c>
      <c r="E5036" s="2" t="s">
        <v>452</v>
      </c>
      <c r="F5036" t="s">
        <v>7002</v>
      </c>
      <c r="G5036" t="str">
        <f>HYPERLINK("https://n.news.naver.com/mnews/article/082/0001292586?sid=103")</f>
        <v>https://n.news.naver.com/mnews/article/082/0001292586?sid=103</v>
      </c>
      <c r="H5036">
        <v>0.215</v>
      </c>
    </row>
    <row r="5037" spans="1:8" x14ac:dyDescent="0.3">
      <c r="A5037" t="s">
        <v>9678</v>
      </c>
      <c r="B5037" t="s">
        <v>26951</v>
      </c>
      <c r="C5037" t="s">
        <v>12904</v>
      </c>
      <c r="D5037" t="s">
        <v>12903</v>
      </c>
      <c r="E5037" s="2" t="s">
        <v>452</v>
      </c>
      <c r="F5037" t="s">
        <v>3349</v>
      </c>
      <c r="G5037" t="str">
        <f>HYPERLINK("https://news.bbsi.co.kr/news/articleView.html?idxno=3159697")</f>
        <v>https://news.bbsi.co.kr/news/articleView.html?idxno=3159697</v>
      </c>
      <c r="H5037">
        <v>0.54700000000000004</v>
      </c>
    </row>
    <row r="5038" spans="1:8" x14ac:dyDescent="0.3">
      <c r="A5038" t="s">
        <v>9678</v>
      </c>
      <c r="B5038" t="s">
        <v>26951</v>
      </c>
      <c r="C5038" t="s">
        <v>12906</v>
      </c>
      <c r="D5038" t="s">
        <v>12905</v>
      </c>
      <c r="E5038" s="2" t="s">
        <v>452</v>
      </c>
      <c r="F5038" t="s">
        <v>8010</v>
      </c>
      <c r="G5038" t="str">
        <f>HYPERLINK("https://n.news.naver.com/mnews/article/028/0002749771?sid=102")</f>
        <v>https://n.news.naver.com/mnews/article/028/0002749771?sid=102</v>
      </c>
      <c r="H5038">
        <v>0.28100000000000003</v>
      </c>
    </row>
    <row r="5039" spans="1:8" x14ac:dyDescent="0.3">
      <c r="A5039" t="s">
        <v>9678</v>
      </c>
      <c r="B5039" t="s">
        <v>26951</v>
      </c>
      <c r="C5039" t="s">
        <v>12908</v>
      </c>
      <c r="D5039" t="s">
        <v>12907</v>
      </c>
      <c r="E5039" s="2" t="s">
        <v>452</v>
      </c>
      <c r="F5039" t="s">
        <v>11486</v>
      </c>
      <c r="G5039" t="str">
        <f>HYPERLINK("http://www.readersnews.com/news/articleView.html?idxno=90308")</f>
        <v>http://www.readersnews.com/news/articleView.html?idxno=90308</v>
      </c>
      <c r="H5039">
        <v>0.47</v>
      </c>
    </row>
    <row r="5040" spans="1:8" x14ac:dyDescent="0.3">
      <c r="A5040" t="s">
        <v>9678</v>
      </c>
      <c r="B5040" t="s">
        <v>26951</v>
      </c>
      <c r="C5040" t="s">
        <v>12910</v>
      </c>
      <c r="D5040" t="s">
        <v>12909</v>
      </c>
      <c r="E5040" s="2" t="s">
        <v>452</v>
      </c>
      <c r="F5040" t="s">
        <v>1151</v>
      </c>
      <c r="G5040" t="str">
        <f>HYPERLINK("http://www.newspenguin.com/news/articleView.html?idxno=19899")</f>
        <v>http://www.newspenguin.com/news/articleView.html?idxno=19899</v>
      </c>
      <c r="H5040">
        <v>0.09</v>
      </c>
    </row>
    <row r="5041" spans="1:8" x14ac:dyDescent="0.3">
      <c r="A5041" t="s">
        <v>9678</v>
      </c>
      <c r="B5041" t="s">
        <v>26951</v>
      </c>
      <c r="C5041" t="s">
        <v>12912</v>
      </c>
      <c r="D5041" t="s">
        <v>12911</v>
      </c>
      <c r="E5041" s="2" t="s">
        <v>452</v>
      </c>
      <c r="F5041" t="s">
        <v>11505</v>
      </c>
      <c r="G5041" t="str">
        <f>HYPERLINK("https://www.econovill.com/news/articleView.html?idxno=696555")</f>
        <v>https://www.econovill.com/news/articleView.html?idxno=696555</v>
      </c>
      <c r="H5041">
        <v>0.46</v>
      </c>
    </row>
    <row r="5042" spans="1:8" x14ac:dyDescent="0.3">
      <c r="A5042" t="s">
        <v>9678</v>
      </c>
      <c r="B5042" t="s">
        <v>26951</v>
      </c>
      <c r="C5042" t="s">
        <v>12915</v>
      </c>
      <c r="D5042" t="s">
        <v>12914</v>
      </c>
      <c r="E5042" s="2" t="s">
        <v>452</v>
      </c>
      <c r="F5042" t="s">
        <v>12913</v>
      </c>
      <c r="G5042" t="str">
        <f>HYPERLINK("http://www.jbsori.com/news/articleView.html?idxno=15700")</f>
        <v>http://www.jbsori.com/news/articleView.html?idxno=15700</v>
      </c>
      <c r="H5042">
        <v>0.377</v>
      </c>
    </row>
    <row r="5043" spans="1:8" x14ac:dyDescent="0.3">
      <c r="A5043" t="s">
        <v>9678</v>
      </c>
      <c r="B5043" t="s">
        <v>26951</v>
      </c>
      <c r="C5043" t="s">
        <v>12917</v>
      </c>
      <c r="D5043" t="s">
        <v>12916</v>
      </c>
      <c r="E5043" s="2" t="s">
        <v>452</v>
      </c>
      <c r="F5043" t="s">
        <v>119</v>
      </c>
      <c r="G5043" t="str">
        <f>HYPERLINK("https://www.joongangenews.com/news/articleView.html?idxno=430078")</f>
        <v>https://www.joongangenews.com/news/articleView.html?idxno=430078</v>
      </c>
      <c r="H5043">
        <v>0.495</v>
      </c>
    </row>
    <row r="5044" spans="1:8" x14ac:dyDescent="0.3">
      <c r="A5044" t="s">
        <v>9678</v>
      </c>
      <c r="B5044" t="s">
        <v>26951</v>
      </c>
      <c r="C5044" t="s">
        <v>12920</v>
      </c>
      <c r="D5044" t="s">
        <v>12919</v>
      </c>
      <c r="E5044" s="2" t="s">
        <v>452</v>
      </c>
      <c r="F5044" t="s">
        <v>12918</v>
      </c>
      <c r="G5044" t="str">
        <f>HYPERLINK("https://www.lecturernews.com/news/articleView.html?idxno=160965")</f>
        <v>https://www.lecturernews.com/news/articleView.html?idxno=160965</v>
      </c>
      <c r="H5044">
        <v>0.376</v>
      </c>
    </row>
    <row r="5045" spans="1:8" x14ac:dyDescent="0.3">
      <c r="A5045" t="s">
        <v>9678</v>
      </c>
      <c r="B5045" t="s">
        <v>26951</v>
      </c>
      <c r="C5045" t="s">
        <v>12923</v>
      </c>
      <c r="D5045" t="s">
        <v>12922</v>
      </c>
      <c r="E5045" s="2" t="s">
        <v>452</v>
      </c>
      <c r="F5045" t="s">
        <v>12921</v>
      </c>
      <c r="G5045" t="str">
        <f>HYPERLINK("http://www.etoday.co.kr/news/section/newsview.php?idxno=1308053")</f>
        <v>http://www.etoday.co.kr/news/section/newsview.php?idxno=1308053</v>
      </c>
      <c r="H5045">
        <v>0.44600000000000001</v>
      </c>
    </row>
    <row r="5046" spans="1:8" x14ac:dyDescent="0.3">
      <c r="A5046" t="s">
        <v>9678</v>
      </c>
      <c r="B5046" t="s">
        <v>26951</v>
      </c>
      <c r="C5046" t="s">
        <v>12926</v>
      </c>
      <c r="D5046" t="s">
        <v>12925</v>
      </c>
      <c r="E5046" s="2" t="s">
        <v>452</v>
      </c>
      <c r="F5046" t="s">
        <v>12924</v>
      </c>
      <c r="G5046" t="str">
        <f>HYPERLINK("https://www.goodkyung.com/news/articleView.html?idxno=265693")</f>
        <v>https://www.goodkyung.com/news/articleView.html?idxno=265693</v>
      </c>
      <c r="H5046">
        <v>0.624</v>
      </c>
    </row>
    <row r="5047" spans="1:8" x14ac:dyDescent="0.3">
      <c r="A5047" t="s">
        <v>9678</v>
      </c>
      <c r="B5047" t="s">
        <v>26951</v>
      </c>
      <c r="C5047" t="s">
        <v>12929</v>
      </c>
      <c r="D5047" t="s">
        <v>12928</v>
      </c>
      <c r="E5047" s="2" t="s">
        <v>452</v>
      </c>
      <c r="F5047" t="s">
        <v>12927</v>
      </c>
      <c r="G5047" t="str">
        <f>HYPERLINK("https://www.jemin.com/news/articleView.html?idxno=817928")</f>
        <v>https://www.jemin.com/news/articleView.html?idxno=817928</v>
      </c>
      <c r="H5047">
        <v>0.161</v>
      </c>
    </row>
    <row r="5048" spans="1:8" x14ac:dyDescent="0.3">
      <c r="A5048" t="s">
        <v>9678</v>
      </c>
      <c r="B5048" t="s">
        <v>26951</v>
      </c>
      <c r="C5048" t="s">
        <v>12931</v>
      </c>
      <c r="D5048" t="s">
        <v>12930</v>
      </c>
      <c r="E5048" s="2" t="s">
        <v>452</v>
      </c>
      <c r="F5048" t="s">
        <v>11379</v>
      </c>
      <c r="G5048" t="str">
        <f>HYPERLINK("https://n.news.naver.com/mnews/article/006/0000130656?sid=103")</f>
        <v>https://n.news.naver.com/mnews/article/006/0000130656?sid=103</v>
      </c>
      <c r="H5048">
        <v>0.36599999999999999</v>
      </c>
    </row>
    <row r="5049" spans="1:8" x14ac:dyDescent="0.3">
      <c r="A5049" t="s">
        <v>9678</v>
      </c>
      <c r="B5049" t="s">
        <v>26951</v>
      </c>
      <c r="C5049" t="s">
        <v>12934</v>
      </c>
      <c r="D5049" t="s">
        <v>12933</v>
      </c>
      <c r="E5049" s="2" t="s">
        <v>452</v>
      </c>
      <c r="F5049" t="s">
        <v>12932</v>
      </c>
      <c r="G5049" t="str">
        <f>HYPERLINK("http://www.apsk.co.kr/news/articleView.html?idxno=2835")</f>
        <v>http://www.apsk.co.kr/news/articleView.html?idxno=2835</v>
      </c>
      <c r="H5049">
        <v>0.442</v>
      </c>
    </row>
    <row r="5050" spans="1:8" x14ac:dyDescent="0.3">
      <c r="A5050" t="s">
        <v>9678</v>
      </c>
      <c r="B5050" t="s">
        <v>26951</v>
      </c>
      <c r="C5050" t="s">
        <v>12937</v>
      </c>
      <c r="D5050" t="s">
        <v>12936</v>
      </c>
      <c r="E5050" s="2" t="s">
        <v>452</v>
      </c>
      <c r="F5050" t="s">
        <v>12935</v>
      </c>
      <c r="G5050" t="str">
        <f>HYPERLINK("https://www.yeongnam.com/web/view.php?key=20240129010003711")</f>
        <v>https://www.yeongnam.com/web/view.php?key=20240129010003711</v>
      </c>
      <c r="H5050">
        <v>0.46700000000000003</v>
      </c>
    </row>
    <row r="5051" spans="1:8" x14ac:dyDescent="0.3">
      <c r="A5051" t="s">
        <v>9678</v>
      </c>
      <c r="B5051" t="s">
        <v>26951</v>
      </c>
      <c r="C5051" t="s">
        <v>12939</v>
      </c>
      <c r="D5051" t="s">
        <v>12938</v>
      </c>
      <c r="E5051" s="2" t="s">
        <v>452</v>
      </c>
      <c r="F5051" t="s">
        <v>5724</v>
      </c>
      <c r="G5051" t="str">
        <f>HYPERLINK("https://n.news.naver.com/mnews/article/005/0001786727?sid=103")</f>
        <v>https://n.news.naver.com/mnews/article/005/0001786727?sid=103</v>
      </c>
      <c r="H5051">
        <v>0.14000000000000001</v>
      </c>
    </row>
    <row r="5052" spans="1:8" x14ac:dyDescent="0.3">
      <c r="A5052" t="s">
        <v>9678</v>
      </c>
      <c r="B5052" t="s">
        <v>26951</v>
      </c>
      <c r="C5052" t="s">
        <v>12941</v>
      </c>
      <c r="D5052" t="s">
        <v>12940</v>
      </c>
      <c r="E5052" s="2" t="s">
        <v>452</v>
      </c>
      <c r="F5052" t="s">
        <v>817</v>
      </c>
      <c r="G5052" t="str">
        <f>HYPERLINK("https://n.news.naver.com/mnews/article/014/0005363644?sid=102")</f>
        <v>https://n.news.naver.com/mnews/article/014/0005363644?sid=102</v>
      </c>
      <c r="H5052">
        <v>0.247</v>
      </c>
    </row>
    <row r="5053" spans="1:8" x14ac:dyDescent="0.3">
      <c r="A5053" t="s">
        <v>9678</v>
      </c>
      <c r="B5053" t="s">
        <v>26951</v>
      </c>
      <c r="C5053" t="s">
        <v>12944</v>
      </c>
      <c r="D5053" t="s">
        <v>12943</v>
      </c>
      <c r="E5053" s="2" t="s">
        <v>452</v>
      </c>
      <c r="F5053" t="s">
        <v>12942</v>
      </c>
      <c r="G5053" t="str">
        <f>HYPERLINK("https://www.yeongnam.com/web/view.php?key=20250529024171748")</f>
        <v>https://www.yeongnam.com/web/view.php?key=20250529024171748</v>
      </c>
      <c r="H5053">
        <v>0.49099999999999999</v>
      </c>
    </row>
    <row r="5054" spans="1:8" x14ac:dyDescent="0.3">
      <c r="A5054" t="s">
        <v>9678</v>
      </c>
      <c r="B5054" t="s">
        <v>26951</v>
      </c>
      <c r="C5054" t="s">
        <v>12946</v>
      </c>
      <c r="D5054" t="s">
        <v>12945</v>
      </c>
      <c r="E5054" s="2" t="s">
        <v>452</v>
      </c>
      <c r="F5054" t="s">
        <v>6469</v>
      </c>
      <c r="G5054" t="str">
        <f>HYPERLINK("https://www.newsnjoy.or.kr/news/articleView.html?idxno=303851")</f>
        <v>https://www.newsnjoy.or.kr/news/articleView.html?idxno=303851</v>
      </c>
      <c r="H5054">
        <v>0.45800000000000002</v>
      </c>
    </row>
    <row r="5055" spans="1:8" x14ac:dyDescent="0.3">
      <c r="A5055" t="s">
        <v>9678</v>
      </c>
      <c r="B5055" t="s">
        <v>26951</v>
      </c>
      <c r="C5055" t="s">
        <v>12948</v>
      </c>
      <c r="D5055" t="s">
        <v>12947</v>
      </c>
      <c r="E5055" s="2" t="s">
        <v>452</v>
      </c>
      <c r="F5055" t="s">
        <v>441</v>
      </c>
      <c r="G5055" t="str">
        <f>HYPERLINK("https://n.news.naver.com/mnews/article/214/0001300673?sid=100")</f>
        <v>https://n.news.naver.com/mnews/article/214/0001300673?sid=100</v>
      </c>
      <c r="H5055">
        <v>0.26600000000000001</v>
      </c>
    </row>
    <row r="5056" spans="1:8" x14ac:dyDescent="0.3">
      <c r="A5056" t="s">
        <v>9678</v>
      </c>
      <c r="B5056" t="s">
        <v>26951</v>
      </c>
      <c r="C5056" t="s">
        <v>12952</v>
      </c>
      <c r="D5056" t="s">
        <v>12951</v>
      </c>
      <c r="E5056" s="2" t="s">
        <v>452</v>
      </c>
      <c r="F5056" t="s">
        <v>12950</v>
      </c>
      <c r="G5056" t="str">
        <f>HYPERLINK("https://n.news.naver.com/mnews/article/036/0000011797?sid=102")</f>
        <v>https://n.news.naver.com/mnews/article/036/0000011797?sid=102</v>
      </c>
      <c r="H5056">
        <v>0.28999999999999998</v>
      </c>
    </row>
    <row r="5057" spans="1:8" x14ac:dyDescent="0.3">
      <c r="A5057" t="s">
        <v>9678</v>
      </c>
      <c r="B5057" t="s">
        <v>26951</v>
      </c>
      <c r="C5057" t="s">
        <v>12955</v>
      </c>
      <c r="D5057" t="s">
        <v>12954</v>
      </c>
      <c r="E5057" s="2" t="s">
        <v>452</v>
      </c>
      <c r="F5057" t="s">
        <v>12953</v>
      </c>
      <c r="G5057" t="str">
        <f>HYPERLINK("https://n.news.naver.com/mnews/article/028/0002753752?sid=103")</f>
        <v>https://n.news.naver.com/mnews/article/028/0002753752?sid=103</v>
      </c>
      <c r="H5057">
        <v>0.31900000000000001</v>
      </c>
    </row>
    <row r="5058" spans="1:8" x14ac:dyDescent="0.3">
      <c r="A5058" t="s">
        <v>9678</v>
      </c>
      <c r="B5058" t="s">
        <v>26951</v>
      </c>
      <c r="C5058" t="s">
        <v>12957</v>
      </c>
      <c r="D5058" t="s">
        <v>12956</v>
      </c>
      <c r="E5058" s="2" t="s">
        <v>267</v>
      </c>
      <c r="F5058" t="s">
        <v>8111</v>
      </c>
      <c r="G5058" t="str">
        <f>HYPERLINK("https://n.news.naver.com/mnews/article/036/0000051847?sid=104")</f>
        <v>https://n.news.naver.com/mnews/article/036/0000051847?sid=104</v>
      </c>
      <c r="H5058">
        <v>0.28399999999999997</v>
      </c>
    </row>
    <row r="5059" spans="1:8" x14ac:dyDescent="0.3">
      <c r="A5059" t="s">
        <v>9678</v>
      </c>
      <c r="B5059" t="s">
        <v>26951</v>
      </c>
      <c r="C5059" t="s">
        <v>12959</v>
      </c>
      <c r="D5059" t="s">
        <v>12958</v>
      </c>
      <c r="E5059" s="2" t="s">
        <v>267</v>
      </c>
      <c r="F5059" t="s">
        <v>11938</v>
      </c>
      <c r="G5059" t="str">
        <f>HYPERLINK("https://www.econovill.com/news/articleView.html?idxno=701624")</f>
        <v>https://www.econovill.com/news/articleView.html?idxno=701624</v>
      </c>
      <c r="H5059">
        <v>0.42399999999999999</v>
      </c>
    </row>
    <row r="5060" spans="1:8" x14ac:dyDescent="0.3">
      <c r="A5060" t="s">
        <v>9678</v>
      </c>
      <c r="B5060" t="s">
        <v>26951</v>
      </c>
      <c r="C5060" t="s">
        <v>12961</v>
      </c>
      <c r="D5060" t="s">
        <v>12960</v>
      </c>
      <c r="E5060" s="2" t="s">
        <v>267</v>
      </c>
      <c r="F5060" t="s">
        <v>3885</v>
      </c>
      <c r="G5060" t="str">
        <f>HYPERLINK("https://www.dailysportshankook.co.kr/news/articleView.html?idxno=400701")</f>
        <v>https://www.dailysportshankook.co.kr/news/articleView.html?idxno=400701</v>
      </c>
      <c r="H5060">
        <v>0.316</v>
      </c>
    </row>
    <row r="5061" spans="1:8" x14ac:dyDescent="0.3">
      <c r="A5061" t="s">
        <v>9678</v>
      </c>
      <c r="B5061" t="s">
        <v>26951</v>
      </c>
      <c r="C5061" t="s">
        <v>12963</v>
      </c>
      <c r="D5061" t="s">
        <v>12962</v>
      </c>
      <c r="E5061" s="2" t="s">
        <v>267</v>
      </c>
      <c r="F5061" t="s">
        <v>920</v>
      </c>
      <c r="G5061" t="str">
        <f>HYPERLINK("https://sports.hankooki.com/news/articleView.html?idxno=6901699")</f>
        <v>https://sports.hankooki.com/news/articleView.html?idxno=6901699</v>
      </c>
      <c r="H5061">
        <v>0.56599999999999995</v>
      </c>
    </row>
    <row r="5062" spans="1:8" x14ac:dyDescent="0.3">
      <c r="A5062" t="s">
        <v>9678</v>
      </c>
      <c r="B5062" t="s">
        <v>26951</v>
      </c>
      <c r="C5062" t="s">
        <v>12967</v>
      </c>
      <c r="D5062" t="s">
        <v>12966</v>
      </c>
      <c r="E5062" s="2" t="s">
        <v>267</v>
      </c>
      <c r="F5062" t="s">
        <v>12965</v>
      </c>
      <c r="G5062" t="str">
        <f>HYPERLINK("https://www.yeongnam.com/web/view.php?key=20250426025432583")</f>
        <v>https://www.yeongnam.com/web/view.php?key=20250426025432583</v>
      </c>
      <c r="H5062">
        <v>0.248</v>
      </c>
    </row>
    <row r="5063" spans="1:8" x14ac:dyDescent="0.3">
      <c r="A5063" t="s">
        <v>9678</v>
      </c>
      <c r="B5063" t="s">
        <v>26951</v>
      </c>
      <c r="C5063" t="s">
        <v>12970</v>
      </c>
      <c r="D5063" t="s">
        <v>12969</v>
      </c>
      <c r="E5063" s="2" t="s">
        <v>267</v>
      </c>
      <c r="F5063" t="s">
        <v>12968</v>
      </c>
      <c r="G5063" t="str">
        <f>HYPERLINK("https://n.news.naver.com/mnews/article/088/0000160333?sid=102")</f>
        <v>https://n.news.naver.com/mnews/article/088/0000160333?sid=102</v>
      </c>
      <c r="H5063">
        <v>0.31900000000000001</v>
      </c>
    </row>
    <row r="5064" spans="1:8" x14ac:dyDescent="0.3">
      <c r="A5064" t="s">
        <v>9678</v>
      </c>
      <c r="B5064" t="s">
        <v>26951</v>
      </c>
      <c r="C5064" t="s">
        <v>12974</v>
      </c>
      <c r="D5064" t="s">
        <v>12973</v>
      </c>
      <c r="E5064" s="2" t="s">
        <v>267</v>
      </c>
      <c r="F5064" t="s">
        <v>12972</v>
      </c>
      <c r="G5064" t="str">
        <f>HYPERLINK("http://www.idaegu.co.kr/news/articleView.html?idxno=348434")</f>
        <v>http://www.idaegu.co.kr/news/articleView.html?idxno=348434</v>
      </c>
      <c r="H5064">
        <v>0.55800000000000005</v>
      </c>
    </row>
    <row r="5065" spans="1:8" x14ac:dyDescent="0.3">
      <c r="A5065" t="s">
        <v>9678</v>
      </c>
      <c r="B5065" t="s">
        <v>26951</v>
      </c>
      <c r="C5065" t="s">
        <v>12976</v>
      </c>
      <c r="D5065" t="s">
        <v>12975</v>
      </c>
      <c r="E5065" s="2" t="s">
        <v>267</v>
      </c>
      <c r="F5065" t="s">
        <v>12082</v>
      </c>
      <c r="G5065" t="str">
        <f>HYPERLINK("http://www.bigtanews.co.kr/news/articleView.html?idxno=5384")</f>
        <v>http://www.bigtanews.co.kr/news/articleView.html?idxno=5384</v>
      </c>
      <c r="H5065">
        <v>0.32</v>
      </c>
    </row>
    <row r="5066" spans="1:8" x14ac:dyDescent="0.3">
      <c r="A5066" t="s">
        <v>9678</v>
      </c>
      <c r="B5066" t="s">
        <v>26951</v>
      </c>
      <c r="C5066" t="s">
        <v>12979</v>
      </c>
      <c r="D5066" t="s">
        <v>12978</v>
      </c>
      <c r="E5066" s="2" t="s">
        <v>267</v>
      </c>
      <c r="F5066" t="s">
        <v>12977</v>
      </c>
      <c r="G5066" t="str">
        <f>HYPERLINK("http://www.pdjournal.com/news/articleView.html?idxno=73305")</f>
        <v>http://www.pdjournal.com/news/articleView.html?idxno=73305</v>
      </c>
      <c r="H5066">
        <v>0.41499999999999998</v>
      </c>
    </row>
    <row r="5067" spans="1:8" x14ac:dyDescent="0.3">
      <c r="A5067" t="s">
        <v>9678</v>
      </c>
      <c r="B5067" t="s">
        <v>26951</v>
      </c>
      <c r="C5067" t="s">
        <v>12982</v>
      </c>
      <c r="D5067" t="s">
        <v>12981</v>
      </c>
      <c r="E5067" s="2" t="s">
        <v>267</v>
      </c>
      <c r="F5067" t="s">
        <v>12980</v>
      </c>
      <c r="G5067" t="str">
        <f>HYPERLINK("https://n.news.naver.com/mnews/article/469/0000873578?sid=103")</f>
        <v>https://n.news.naver.com/mnews/article/469/0000873578?sid=103</v>
      </c>
      <c r="H5067">
        <v>0.23699999999999999</v>
      </c>
    </row>
    <row r="5068" spans="1:8" x14ac:dyDescent="0.3">
      <c r="A5068" t="s">
        <v>9678</v>
      </c>
      <c r="B5068" t="s">
        <v>26951</v>
      </c>
      <c r="C5068" t="s">
        <v>12985</v>
      </c>
      <c r="D5068" t="s">
        <v>12984</v>
      </c>
      <c r="E5068" s="2" t="s">
        <v>267</v>
      </c>
      <c r="F5068" t="s">
        <v>12983</v>
      </c>
      <c r="G5068" t="str">
        <f>HYPERLINK("http://www.dtnews24.com/news/articleView.html?idxno=792830")</f>
        <v>http://www.dtnews24.com/news/articleView.html?idxno=792830</v>
      </c>
      <c r="H5068">
        <v>0.38900000000000001</v>
      </c>
    </row>
    <row r="5069" spans="1:8" x14ac:dyDescent="0.3">
      <c r="A5069" t="s">
        <v>9678</v>
      </c>
      <c r="B5069" t="s">
        <v>26951</v>
      </c>
      <c r="C5069" t="s">
        <v>12987</v>
      </c>
      <c r="D5069" t="s">
        <v>12986</v>
      </c>
      <c r="E5069" s="2" t="s">
        <v>267</v>
      </c>
      <c r="F5069" t="s">
        <v>1109</v>
      </c>
      <c r="G5069" t="str">
        <f>HYPERLINK("https://n.news.naver.com/mnews/article/214/0001430088?sid=104")</f>
        <v>https://n.news.naver.com/mnews/article/214/0001430088?sid=104</v>
      </c>
      <c r="H5069">
        <v>0.27700000000000002</v>
      </c>
    </row>
    <row r="5070" spans="1:8" x14ac:dyDescent="0.3">
      <c r="A5070" t="s">
        <v>9678</v>
      </c>
      <c r="B5070" t="s">
        <v>26951</v>
      </c>
      <c r="C5070" t="s">
        <v>12990</v>
      </c>
      <c r="D5070" t="s">
        <v>12989</v>
      </c>
      <c r="E5070" s="2" t="s">
        <v>267</v>
      </c>
      <c r="F5070" t="s">
        <v>12988</v>
      </c>
      <c r="G5070" t="str">
        <f>HYPERLINK("http://www.dynews.co.kr/news/articleView.html?idxno=805207")</f>
        <v>http://www.dynews.co.kr/news/articleView.html?idxno=805207</v>
      </c>
      <c r="H5070">
        <v>0.53200000000000003</v>
      </c>
    </row>
    <row r="5071" spans="1:8" x14ac:dyDescent="0.3">
      <c r="A5071" t="s">
        <v>9678</v>
      </c>
      <c r="B5071" t="s">
        <v>26951</v>
      </c>
      <c r="C5071" t="s">
        <v>12993</v>
      </c>
      <c r="D5071" t="s">
        <v>12992</v>
      </c>
      <c r="E5071" s="2" t="s">
        <v>267</v>
      </c>
      <c r="F5071" t="s">
        <v>12991</v>
      </c>
      <c r="G5071" t="str">
        <f>HYPERLINK("https://n.news.naver.com/mnews/article/662/0000070861?sid=104")</f>
        <v>https://n.news.naver.com/mnews/article/662/0000070861?sid=104</v>
      </c>
      <c r="H5071">
        <v>0.21099999999999999</v>
      </c>
    </row>
    <row r="5072" spans="1:8" x14ac:dyDescent="0.3">
      <c r="A5072" t="s">
        <v>9678</v>
      </c>
      <c r="B5072" t="s">
        <v>26951</v>
      </c>
      <c r="C5072" t="s">
        <v>12996</v>
      </c>
      <c r="D5072" t="s">
        <v>12995</v>
      </c>
      <c r="E5072" s="2" t="s">
        <v>267</v>
      </c>
      <c r="F5072" t="s">
        <v>12994</v>
      </c>
      <c r="G5072" t="str">
        <f>HYPERLINK("https://n.news.naver.com/mnews/article/469/0000873375?sid=103")</f>
        <v>https://n.news.naver.com/mnews/article/469/0000873375?sid=103</v>
      </c>
      <c r="H5072">
        <v>0.32100000000000001</v>
      </c>
    </row>
    <row r="5073" spans="1:8" x14ac:dyDescent="0.3">
      <c r="A5073" t="s">
        <v>9678</v>
      </c>
      <c r="B5073" t="s">
        <v>26951</v>
      </c>
      <c r="C5073" t="s">
        <v>12998</v>
      </c>
      <c r="D5073" t="s">
        <v>12997</v>
      </c>
      <c r="E5073" s="2" t="s">
        <v>267</v>
      </c>
      <c r="F5073" t="s">
        <v>10577</v>
      </c>
      <c r="G5073" t="str">
        <f>HYPERLINK("http://www.dtnews24.com/news/articleView.html?idxno=785451")</f>
        <v>http://www.dtnews24.com/news/articleView.html?idxno=785451</v>
      </c>
      <c r="H5073">
        <v>0.38700000000000001</v>
      </c>
    </row>
    <row r="5074" spans="1:8" x14ac:dyDescent="0.3">
      <c r="A5074" t="s">
        <v>9678</v>
      </c>
      <c r="B5074" t="s">
        <v>26951</v>
      </c>
      <c r="C5074" t="s">
        <v>13001</v>
      </c>
      <c r="D5074" t="s">
        <v>13000</v>
      </c>
      <c r="E5074" s="2" t="s">
        <v>267</v>
      </c>
      <c r="F5074" t="s">
        <v>12999</v>
      </c>
      <c r="G5074" t="str">
        <f>HYPERLINK("https://www.allurekorea.com/2021/12/13/%ec%96%b4%eb%96%bb%ea%b2%8c-%ec%a7%80%eb%83%88%ec%96%b4%ec%9a%94-21%eb%aa%85%ec%9d%98-%ec%82%ac%eb%9e%8c%eb%93%a4%ec%9d%98-2021%eb%85%84-%ec%9d%b4%ec%95%bc%ea%b8%b0/?utm_source=naver&amp;utm_medium=partnership")</f>
        <v>https://www.allurekorea.com/2021/12/13/%ec%96%b4%eb%96%bb%ea%b2%8c-%ec%a7%80%eb%83%88%ec%96%b4%ec%9a%94-21%eb%aa%85%ec%9d%98-%ec%82%ac%eb%9e%8c%eb%93%a4%ec%9d%98-2021%eb%85%84-%ec%9d%b4%ec%95%bc%ea%b8%b0/?utm_source=naver&amp;utm_medium=partnership</v>
      </c>
      <c r="H5074">
        <v>0.502</v>
      </c>
    </row>
    <row r="5075" spans="1:8" x14ac:dyDescent="0.3">
      <c r="A5075" t="s">
        <v>9678</v>
      </c>
      <c r="B5075" t="s">
        <v>26951</v>
      </c>
      <c r="C5075" t="s">
        <v>13004</v>
      </c>
      <c r="D5075" t="s">
        <v>13003</v>
      </c>
      <c r="E5075" s="2" t="s">
        <v>267</v>
      </c>
      <c r="F5075" t="s">
        <v>13002</v>
      </c>
      <c r="G5075" t="str">
        <f>HYPERLINK("http://news.bizwatch.co.kr/article/consumer/2019/03/28/0035/naver")</f>
        <v>http://news.bizwatch.co.kr/article/consumer/2019/03/28/0035/naver</v>
      </c>
      <c r="H5075">
        <v>0.45</v>
      </c>
    </row>
    <row r="5076" spans="1:8" x14ac:dyDescent="0.3">
      <c r="A5076" t="s">
        <v>9678</v>
      </c>
      <c r="B5076" t="s">
        <v>26951</v>
      </c>
      <c r="C5076" t="s">
        <v>13007</v>
      </c>
      <c r="D5076" t="s">
        <v>13006</v>
      </c>
      <c r="E5076" s="2" t="s">
        <v>267</v>
      </c>
      <c r="F5076" t="s">
        <v>13005</v>
      </c>
      <c r="G5076" t="str">
        <f>HYPERLINK("https://n.news.naver.com/mnews/article/008/0004070416?sid=103")</f>
        <v>https://n.news.naver.com/mnews/article/008/0004070416?sid=103</v>
      </c>
      <c r="H5076">
        <v>0.28699999999999998</v>
      </c>
    </row>
    <row r="5077" spans="1:8" x14ac:dyDescent="0.3">
      <c r="A5077" t="s">
        <v>9678</v>
      </c>
      <c r="B5077" t="s">
        <v>26951</v>
      </c>
      <c r="C5077" t="s">
        <v>13010</v>
      </c>
      <c r="D5077" t="s">
        <v>13009</v>
      </c>
      <c r="E5077" s="2" t="s">
        <v>267</v>
      </c>
      <c r="F5077" t="s">
        <v>13008</v>
      </c>
      <c r="G5077" t="str">
        <f>HYPERLINK("https://news.unn.net/news/articleView.html?idxno=579798")</f>
        <v>https://news.unn.net/news/articleView.html?idxno=579798</v>
      </c>
      <c r="H5077">
        <v>0.56399999999999995</v>
      </c>
    </row>
    <row r="5078" spans="1:8" x14ac:dyDescent="0.3">
      <c r="A5078" t="s">
        <v>9678</v>
      </c>
      <c r="B5078" t="s">
        <v>26951</v>
      </c>
      <c r="C5078" t="s">
        <v>13013</v>
      </c>
      <c r="D5078" t="s">
        <v>13012</v>
      </c>
      <c r="E5078" s="2" t="s">
        <v>267</v>
      </c>
      <c r="F5078" t="s">
        <v>13011</v>
      </c>
      <c r="G5078" t="str">
        <f>HYPERLINK("https://www.m-joongang.com/news/articleView.html?idxno=400928")</f>
        <v>https://www.m-joongang.com/news/articleView.html?idxno=400928</v>
      </c>
      <c r="H5078">
        <v>0.60899999999999999</v>
      </c>
    </row>
    <row r="5079" spans="1:8" x14ac:dyDescent="0.3">
      <c r="A5079" t="s">
        <v>9678</v>
      </c>
      <c r="B5079" t="s">
        <v>26951</v>
      </c>
      <c r="C5079" t="s">
        <v>13015</v>
      </c>
      <c r="D5079" t="s">
        <v>13014</v>
      </c>
      <c r="E5079" s="2" t="s">
        <v>267</v>
      </c>
      <c r="F5079" t="s">
        <v>10618</v>
      </c>
      <c r="G5079" t="str">
        <f>HYPERLINK("https://n.news.naver.com/mnews/article/214/0000842764?sid=102")</f>
        <v>https://n.news.naver.com/mnews/article/214/0000842764?sid=102</v>
      </c>
      <c r="H5079">
        <v>0.29799999999999999</v>
      </c>
    </row>
    <row r="5080" spans="1:8" x14ac:dyDescent="0.3">
      <c r="A5080" t="s">
        <v>9678</v>
      </c>
      <c r="B5080" t="s">
        <v>26951</v>
      </c>
      <c r="C5080" t="s">
        <v>13017</v>
      </c>
      <c r="D5080" t="s">
        <v>13016</v>
      </c>
      <c r="E5080" s="2" t="s">
        <v>267</v>
      </c>
      <c r="F5080" t="s">
        <v>5724</v>
      </c>
      <c r="G5080" t="str">
        <f>HYPERLINK("https://n.news.naver.com/mnews/article/028/0002024432?sid=102")</f>
        <v>https://n.news.naver.com/mnews/article/028/0002024432?sid=102</v>
      </c>
      <c r="H5080">
        <v>0.24</v>
      </c>
    </row>
    <row r="5081" spans="1:8" x14ac:dyDescent="0.3">
      <c r="A5081" t="s">
        <v>9678</v>
      </c>
      <c r="B5081" t="s">
        <v>26951</v>
      </c>
      <c r="C5081" t="s">
        <v>13020</v>
      </c>
      <c r="D5081" t="s">
        <v>13019</v>
      </c>
      <c r="E5081" s="2" t="s">
        <v>267</v>
      </c>
      <c r="F5081" t="s">
        <v>13018</v>
      </c>
      <c r="G5081" t="str">
        <f>HYPERLINK("https://n.news.naver.com/mnews/article/052/0002202769?sid=102")</f>
        <v>https://n.news.naver.com/mnews/article/052/0002202769?sid=102</v>
      </c>
      <c r="H5081">
        <v>0.26100000000000001</v>
      </c>
    </row>
    <row r="5082" spans="1:8" x14ac:dyDescent="0.3">
      <c r="A5082" t="s">
        <v>9678</v>
      </c>
      <c r="B5082" t="s">
        <v>26951</v>
      </c>
      <c r="C5082" t="s">
        <v>13023</v>
      </c>
      <c r="D5082" t="s">
        <v>13022</v>
      </c>
      <c r="E5082" s="2" t="s">
        <v>267</v>
      </c>
      <c r="F5082" t="s">
        <v>13021</v>
      </c>
      <c r="G5082" t="str">
        <f>HYPERLINK("https://n.news.naver.com/mnews/article/022/0003733285?sid=103")</f>
        <v>https://n.news.naver.com/mnews/article/022/0003733285?sid=103</v>
      </c>
      <c r="H5082">
        <v>0.27200000000000002</v>
      </c>
    </row>
    <row r="5083" spans="1:8" x14ac:dyDescent="0.3">
      <c r="A5083" t="s">
        <v>9678</v>
      </c>
      <c r="B5083" t="s">
        <v>26951</v>
      </c>
      <c r="C5083" t="s">
        <v>13025</v>
      </c>
      <c r="D5083" t="s">
        <v>13024</v>
      </c>
      <c r="E5083" s="2" t="s">
        <v>267</v>
      </c>
      <c r="F5083" t="s">
        <v>4119</v>
      </c>
      <c r="G5083" t="str">
        <f>HYPERLINK("https://www.jemin.com/news/articleView.html?idxno=817670")</f>
        <v>https://www.jemin.com/news/articleView.html?idxno=817670</v>
      </c>
      <c r="H5083">
        <v>0.70399999999999996</v>
      </c>
    </row>
    <row r="5084" spans="1:8" x14ac:dyDescent="0.3">
      <c r="A5084" t="s">
        <v>9678</v>
      </c>
      <c r="B5084" t="s">
        <v>26951</v>
      </c>
      <c r="C5084" t="s">
        <v>13028</v>
      </c>
      <c r="D5084" t="s">
        <v>13027</v>
      </c>
      <c r="E5084" s="2" t="s">
        <v>267</v>
      </c>
      <c r="F5084" t="s">
        <v>13026</v>
      </c>
      <c r="G5084" t="str">
        <f>HYPERLINK("http://bravo.etoday.co.kr/view/atc_view.php?varAtcId=9348")</f>
        <v>http://bravo.etoday.co.kr/view/atc_view.php?varAtcId=9348</v>
      </c>
      <c r="H5084">
        <v>0.53500000000000003</v>
      </c>
    </row>
    <row r="5085" spans="1:8" x14ac:dyDescent="0.3">
      <c r="A5085" t="s">
        <v>9678</v>
      </c>
      <c r="B5085" t="s">
        <v>26951</v>
      </c>
      <c r="C5085" t="s">
        <v>13030</v>
      </c>
      <c r="D5085" t="s">
        <v>13029</v>
      </c>
      <c r="E5085" s="2" t="s">
        <v>267</v>
      </c>
      <c r="F5085" t="s">
        <v>10605</v>
      </c>
      <c r="G5085" t="str">
        <f>HYPERLINK("http://www.ggilbo.com/news/articleView.html?idxno=785349")</f>
        <v>http://www.ggilbo.com/news/articleView.html?idxno=785349</v>
      </c>
      <c r="H5085">
        <v>0.51600000000000001</v>
      </c>
    </row>
    <row r="5086" spans="1:8" x14ac:dyDescent="0.3">
      <c r="A5086" t="s">
        <v>9678</v>
      </c>
      <c r="B5086" t="s">
        <v>26951</v>
      </c>
      <c r="C5086" t="s">
        <v>13034</v>
      </c>
      <c r="D5086" t="s">
        <v>13033</v>
      </c>
      <c r="E5086" s="2" t="s">
        <v>267</v>
      </c>
      <c r="F5086" t="s">
        <v>1252</v>
      </c>
      <c r="G5086" t="str">
        <f>HYPERLINK("https://n.news.naver.com/mnews/article/079/0003178252?sid=102")</f>
        <v>https://n.news.naver.com/mnews/article/079/0003178252?sid=102</v>
      </c>
      <c r="H5086">
        <v>0.14799999999999999</v>
      </c>
    </row>
    <row r="5087" spans="1:8" x14ac:dyDescent="0.3">
      <c r="A5087" t="s">
        <v>9678</v>
      </c>
      <c r="B5087" t="s">
        <v>26951</v>
      </c>
      <c r="C5087" t="s">
        <v>13037</v>
      </c>
      <c r="D5087" t="s">
        <v>13036</v>
      </c>
      <c r="E5087" s="2" t="s">
        <v>267</v>
      </c>
      <c r="F5087" t="s">
        <v>13035</v>
      </c>
      <c r="G5087" t="str">
        <f>HYPERLINK("https://www.forbeskorea.co.kr/news/articleView.html?idxno=400031")</f>
        <v>https://www.forbeskorea.co.kr/news/articleView.html?idxno=400031</v>
      </c>
      <c r="H5087">
        <v>0.23</v>
      </c>
    </row>
    <row r="5088" spans="1:8" x14ac:dyDescent="0.3">
      <c r="A5088" t="s">
        <v>9678</v>
      </c>
      <c r="B5088" t="s">
        <v>26951</v>
      </c>
      <c r="C5088" t="s">
        <v>13039</v>
      </c>
      <c r="D5088" t="s">
        <v>13038</v>
      </c>
      <c r="E5088" s="2" t="s">
        <v>267</v>
      </c>
      <c r="F5088" t="s">
        <v>7640</v>
      </c>
      <c r="G5088" t="str">
        <f>HYPERLINK("https://n.news.naver.com/mnews/article/008/0005214940?sid=102")</f>
        <v>https://n.news.naver.com/mnews/article/008/0005214940?sid=102</v>
      </c>
      <c r="H5088">
        <v>0.23799999999999999</v>
      </c>
    </row>
    <row r="5089" spans="1:8" x14ac:dyDescent="0.3">
      <c r="A5089" t="s">
        <v>9678</v>
      </c>
      <c r="B5089" t="s">
        <v>26951</v>
      </c>
      <c r="C5089" t="s">
        <v>13041</v>
      </c>
      <c r="D5089" t="s">
        <v>13040</v>
      </c>
      <c r="E5089" s="2" t="s">
        <v>267</v>
      </c>
      <c r="F5089" t="s">
        <v>9749</v>
      </c>
      <c r="G5089" t="str">
        <f>HYPERLINK("https://n.news.naver.com/mnews/article/308/0000036870?sid=102")</f>
        <v>https://n.news.naver.com/mnews/article/308/0000036870?sid=102</v>
      </c>
      <c r="H5089">
        <v>0.22500000000000001</v>
      </c>
    </row>
    <row r="5090" spans="1:8" x14ac:dyDescent="0.3">
      <c r="A5090" t="s">
        <v>9678</v>
      </c>
      <c r="B5090" t="s">
        <v>26951</v>
      </c>
      <c r="C5090" t="s">
        <v>13044</v>
      </c>
      <c r="D5090" t="s">
        <v>13043</v>
      </c>
      <c r="E5090" s="2" t="s">
        <v>267</v>
      </c>
      <c r="F5090" t="s">
        <v>13042</v>
      </c>
      <c r="G5090" t="str">
        <f>HYPERLINK("https://n.news.naver.com/mnews/article/214/0001431273?sid=101")</f>
        <v>https://n.news.naver.com/mnews/article/214/0001431273?sid=101</v>
      </c>
      <c r="H5090">
        <v>0.34</v>
      </c>
    </row>
    <row r="5091" spans="1:8" x14ac:dyDescent="0.3">
      <c r="A5091" t="s">
        <v>9678</v>
      </c>
      <c r="B5091" t="s">
        <v>26951</v>
      </c>
      <c r="C5091" t="s">
        <v>13047</v>
      </c>
      <c r="D5091" t="s">
        <v>13046</v>
      </c>
      <c r="E5091" s="2" t="s">
        <v>267</v>
      </c>
      <c r="F5091" t="s">
        <v>13045</v>
      </c>
      <c r="G5091" t="str">
        <f>HYPERLINK("http://www.asiatoday.co.kr/view.php?key=20170306001816265")</f>
        <v>http://www.asiatoday.co.kr/view.php?key=20170306001816265</v>
      </c>
      <c r="H5091">
        <v>3.5999999999999997E-2</v>
      </c>
    </row>
    <row r="5092" spans="1:8" x14ac:dyDescent="0.3">
      <c r="A5092" t="s">
        <v>9678</v>
      </c>
      <c r="B5092" t="s">
        <v>26951</v>
      </c>
      <c r="C5092" t="s">
        <v>13050</v>
      </c>
      <c r="D5092" t="s">
        <v>13049</v>
      </c>
      <c r="E5092" s="2" t="s">
        <v>267</v>
      </c>
      <c r="F5092" t="s">
        <v>13048</v>
      </c>
      <c r="G5092" t="str">
        <f>HYPERLINK("https://www.incheontoday.com/news/articleView.html?idxno=304630")</f>
        <v>https://www.incheontoday.com/news/articleView.html?idxno=304630</v>
      </c>
      <c r="H5092">
        <v>0.61099999999999999</v>
      </c>
    </row>
    <row r="5093" spans="1:8" x14ac:dyDescent="0.3">
      <c r="A5093" t="s">
        <v>9678</v>
      </c>
      <c r="B5093" t="s">
        <v>26951</v>
      </c>
      <c r="C5093" t="s">
        <v>13054</v>
      </c>
      <c r="D5093" t="s">
        <v>13053</v>
      </c>
      <c r="E5093" s="2" t="s">
        <v>267</v>
      </c>
      <c r="F5093" t="s">
        <v>13052</v>
      </c>
      <c r="G5093" t="str">
        <f>HYPERLINK("http://www.newsworker.co.kr/news/articleView.html?idxno=365111")</f>
        <v>http://www.newsworker.co.kr/news/articleView.html?idxno=365111</v>
      </c>
      <c r="H5093">
        <v>0.311</v>
      </c>
    </row>
    <row r="5094" spans="1:8" x14ac:dyDescent="0.3">
      <c r="A5094" t="s">
        <v>9678</v>
      </c>
      <c r="B5094" t="s">
        <v>26951</v>
      </c>
      <c r="C5094" t="s">
        <v>13059</v>
      </c>
      <c r="D5094" t="s">
        <v>13058</v>
      </c>
      <c r="E5094" s="2" t="s">
        <v>267</v>
      </c>
      <c r="F5094" t="s">
        <v>13057</v>
      </c>
      <c r="G5094" t="str">
        <f>HYPERLINK("https://www.pennmike.com/news/articleView.html?idxno=96632")</f>
        <v>https://www.pennmike.com/news/articleView.html?idxno=96632</v>
      </c>
      <c r="H5094">
        <v>0.39</v>
      </c>
    </row>
    <row r="5095" spans="1:8" x14ac:dyDescent="0.3">
      <c r="A5095" t="s">
        <v>9678</v>
      </c>
      <c r="B5095" t="s">
        <v>26951</v>
      </c>
      <c r="C5095" t="s">
        <v>13062</v>
      </c>
      <c r="D5095" t="s">
        <v>13061</v>
      </c>
      <c r="E5095" s="2" t="s">
        <v>267</v>
      </c>
      <c r="F5095" t="s">
        <v>13060</v>
      </c>
      <c r="G5095" t="str">
        <f>HYPERLINK("https://n.news.naver.com/mnews/article/032/0003377649?sid=102")</f>
        <v>https://n.news.naver.com/mnews/article/032/0003377649?sid=102</v>
      </c>
      <c r="H5095">
        <v>0.155</v>
      </c>
    </row>
    <row r="5096" spans="1:8" x14ac:dyDescent="0.3">
      <c r="A5096" t="s">
        <v>9678</v>
      </c>
      <c r="B5096" t="s">
        <v>26951</v>
      </c>
      <c r="C5096" t="s">
        <v>13065</v>
      </c>
      <c r="D5096" t="s">
        <v>13064</v>
      </c>
      <c r="E5096" s="2" t="s">
        <v>267</v>
      </c>
      <c r="F5096" t="s">
        <v>13063</v>
      </c>
      <c r="G5096" t="str">
        <f>HYPERLINK("http://ch.yes24.com/Article/View/28235")</f>
        <v>http://ch.yes24.com/Article/View/28235</v>
      </c>
      <c r="H5096">
        <v>0.61</v>
      </c>
    </row>
    <row r="5097" spans="1:8" x14ac:dyDescent="0.3">
      <c r="A5097" t="s">
        <v>9678</v>
      </c>
      <c r="B5097" t="s">
        <v>26951</v>
      </c>
      <c r="C5097" t="s">
        <v>13068</v>
      </c>
      <c r="D5097" t="s">
        <v>13067</v>
      </c>
      <c r="E5097" s="2" t="s">
        <v>267</v>
      </c>
      <c r="F5097" t="s">
        <v>13066</v>
      </c>
      <c r="G5097" t="str">
        <f>HYPERLINK("http://www.dailysmart.co.kr/news/articleView.html?idxno=105245")</f>
        <v>http://www.dailysmart.co.kr/news/articleView.html?idxno=105245</v>
      </c>
      <c r="H5097">
        <v>0.52900000000000003</v>
      </c>
    </row>
    <row r="5098" spans="1:8" x14ac:dyDescent="0.3">
      <c r="A5098" t="s">
        <v>9678</v>
      </c>
      <c r="B5098" t="s">
        <v>26951</v>
      </c>
      <c r="C5098" t="s">
        <v>13070</v>
      </c>
      <c r="D5098" t="s">
        <v>13069</v>
      </c>
      <c r="E5098" s="2" t="s">
        <v>267</v>
      </c>
      <c r="F5098" t="s">
        <v>8528</v>
      </c>
      <c r="G5098" t="str">
        <f>HYPERLINK("https://www.huffingtonpost.kr/entry/kangnam_kr_61661f71e4b0f26084eda0c9?utm_id=naver")</f>
        <v>https://www.huffingtonpost.kr/entry/kangnam_kr_61661f71e4b0f26084eda0c9?utm_id=naver</v>
      </c>
      <c r="H5098">
        <v>0.66700000000000004</v>
      </c>
    </row>
    <row r="5099" spans="1:8" x14ac:dyDescent="0.3">
      <c r="A5099" t="s">
        <v>9678</v>
      </c>
      <c r="B5099" t="s">
        <v>26951</v>
      </c>
      <c r="C5099" t="s">
        <v>13074</v>
      </c>
      <c r="D5099" t="s">
        <v>13073</v>
      </c>
      <c r="E5099" s="2" t="s">
        <v>267</v>
      </c>
      <c r="F5099" t="s">
        <v>13072</v>
      </c>
      <c r="G5099" t="str">
        <f>HYPERLINK("https://www.kbmaeil.com/article/20250618500108")</f>
        <v>https://www.kbmaeil.com/article/20250618500108</v>
      </c>
      <c r="H5099">
        <v>0.83899999999999997</v>
      </c>
    </row>
    <row r="5100" spans="1:8" x14ac:dyDescent="0.3">
      <c r="A5100" t="s">
        <v>9678</v>
      </c>
      <c r="B5100" t="s">
        <v>26951</v>
      </c>
      <c r="C5100" t="s">
        <v>13076</v>
      </c>
      <c r="D5100" t="s">
        <v>13075</v>
      </c>
      <c r="E5100" s="2" t="s">
        <v>267</v>
      </c>
      <c r="F5100" t="s">
        <v>9912</v>
      </c>
      <c r="G5100" t="str">
        <f>HYPERLINK("http://www.danbinews.com/news/articleView.html?idxno=25072")</f>
        <v>http://www.danbinews.com/news/articleView.html?idxno=25072</v>
      </c>
      <c r="H5100">
        <v>0.51600000000000001</v>
      </c>
    </row>
    <row r="5101" spans="1:8" x14ac:dyDescent="0.3">
      <c r="A5101" t="s">
        <v>9678</v>
      </c>
      <c r="B5101" t="s">
        <v>26951</v>
      </c>
      <c r="C5101" t="s">
        <v>13077</v>
      </c>
      <c r="D5101" t="s">
        <v>7072</v>
      </c>
      <c r="E5101" s="2" t="s">
        <v>267</v>
      </c>
      <c r="F5101" t="s">
        <v>7182</v>
      </c>
      <c r="G5101" t="str">
        <f>HYPERLINK("https://www.yeongnam.com/web/view.php?key=20250626023447842")</f>
        <v>https://www.yeongnam.com/web/view.php?key=20250626023447842</v>
      </c>
      <c r="H5101">
        <v>0.374</v>
      </c>
    </row>
    <row r="5102" spans="1:8" x14ac:dyDescent="0.3">
      <c r="A5102" t="s">
        <v>9678</v>
      </c>
      <c r="B5102" t="s">
        <v>26951</v>
      </c>
      <c r="C5102" t="s">
        <v>13079</v>
      </c>
      <c r="D5102" t="s">
        <v>13078</v>
      </c>
      <c r="E5102" s="2" t="s">
        <v>267</v>
      </c>
      <c r="F5102" t="s">
        <v>1822</v>
      </c>
      <c r="G5102" t="str">
        <f>HYPERLINK("https://www.nc.press/news/articleView.html?idxno=568819")</f>
        <v>https://www.nc.press/news/articleView.html?idxno=568819</v>
      </c>
      <c r="H5102">
        <v>0.438</v>
      </c>
    </row>
    <row r="5103" spans="1:8" x14ac:dyDescent="0.3">
      <c r="A5103" t="s">
        <v>9678</v>
      </c>
      <c r="B5103" t="s">
        <v>26951</v>
      </c>
      <c r="C5103" t="s">
        <v>13081</v>
      </c>
      <c r="D5103" t="s">
        <v>13080</v>
      </c>
      <c r="E5103" s="2" t="s">
        <v>267</v>
      </c>
      <c r="F5103" t="s">
        <v>11797</v>
      </c>
      <c r="G5103" t="str">
        <f>HYPERLINK("https://www.joongboo.com/news/articleView.html?idxno=363650028")</f>
        <v>https://www.joongboo.com/news/articleView.html?idxno=363650028</v>
      </c>
      <c r="H5103">
        <v>0.44</v>
      </c>
    </row>
    <row r="5104" spans="1:8" x14ac:dyDescent="0.3">
      <c r="A5104" t="s">
        <v>9678</v>
      </c>
      <c r="B5104" t="s">
        <v>26951</v>
      </c>
      <c r="C5104" t="s">
        <v>13084</v>
      </c>
      <c r="D5104" t="s">
        <v>13083</v>
      </c>
      <c r="E5104" s="2" t="s">
        <v>267</v>
      </c>
      <c r="F5104" t="s">
        <v>13082</v>
      </c>
      <c r="G5104" t="str">
        <f>HYPERLINK("http://www.asiatoday.co.kr/view.php?key=20150510001021417")</f>
        <v>http://www.asiatoday.co.kr/view.php?key=20150510001021417</v>
      </c>
      <c r="H5104">
        <v>0.35599999999999998</v>
      </c>
    </row>
    <row r="5105" spans="1:8" x14ac:dyDescent="0.3">
      <c r="A5105" t="s">
        <v>9678</v>
      </c>
      <c r="B5105" t="s">
        <v>26951</v>
      </c>
      <c r="C5105" t="s">
        <v>13087</v>
      </c>
      <c r="D5105" t="s">
        <v>13086</v>
      </c>
      <c r="E5105" s="2" t="s">
        <v>267</v>
      </c>
      <c r="F5105" t="s">
        <v>13085</v>
      </c>
      <c r="G5105" t="str">
        <f>HYPERLINK("https://news.unn.net/news/articleView.html?idxno=579201")</f>
        <v>https://news.unn.net/news/articleView.html?idxno=579201</v>
      </c>
      <c r="H5105">
        <v>0.42899999999999999</v>
      </c>
    </row>
    <row r="5106" spans="1:8" x14ac:dyDescent="0.3">
      <c r="A5106" t="s">
        <v>9678</v>
      </c>
      <c r="B5106" t="s">
        <v>26951</v>
      </c>
      <c r="C5106" t="s">
        <v>13089</v>
      </c>
      <c r="D5106" t="s">
        <v>13088</v>
      </c>
      <c r="E5106" s="2" t="s">
        <v>267</v>
      </c>
      <c r="F5106" t="s">
        <v>7840</v>
      </c>
      <c r="G5106" t="str">
        <f>HYPERLINK("https://www.lecturernews.com/news/articleView.html?idxno=180464")</f>
        <v>https://www.lecturernews.com/news/articleView.html?idxno=180464</v>
      </c>
      <c r="H5106">
        <v>0.36799999999999999</v>
      </c>
    </row>
    <row r="5107" spans="1:8" x14ac:dyDescent="0.3">
      <c r="A5107" t="s">
        <v>9678</v>
      </c>
      <c r="B5107" t="s">
        <v>26951</v>
      </c>
      <c r="C5107" t="s">
        <v>13092</v>
      </c>
      <c r="D5107" t="s">
        <v>13091</v>
      </c>
      <c r="E5107" s="2" t="s">
        <v>267</v>
      </c>
      <c r="F5107" t="s">
        <v>13090</v>
      </c>
      <c r="G5107" t="str">
        <f>HYPERLINK("https://www.greened.kr/news/articleView.html?idxno=317300")</f>
        <v>https://www.greened.kr/news/articleView.html?idxno=317300</v>
      </c>
      <c r="H5107">
        <v>0.49399999999999999</v>
      </c>
    </row>
    <row r="5108" spans="1:8" x14ac:dyDescent="0.3">
      <c r="A5108" t="s">
        <v>9678</v>
      </c>
      <c r="B5108" t="s">
        <v>26951</v>
      </c>
      <c r="C5108" t="s">
        <v>13094</v>
      </c>
      <c r="D5108" t="s">
        <v>13093</v>
      </c>
      <c r="E5108" s="2" t="s">
        <v>267</v>
      </c>
      <c r="F5108" t="s">
        <v>9277</v>
      </c>
      <c r="G5108" t="str">
        <f>HYPERLINK("https://www.apnews.kr/news/articleView.html?idxno=3023482")</f>
        <v>https://www.apnews.kr/news/articleView.html?idxno=3023482</v>
      </c>
      <c r="H5108">
        <v>0.36399999999999999</v>
      </c>
    </row>
    <row r="5109" spans="1:8" x14ac:dyDescent="0.3">
      <c r="A5109" t="s">
        <v>9678</v>
      </c>
      <c r="B5109" t="s">
        <v>26951</v>
      </c>
      <c r="C5109" t="s">
        <v>13097</v>
      </c>
      <c r="D5109" t="s">
        <v>13096</v>
      </c>
      <c r="E5109" s="2" t="s">
        <v>267</v>
      </c>
      <c r="F5109" t="s">
        <v>13095</v>
      </c>
      <c r="G5109" t="str">
        <f>HYPERLINK("http://www.kbiznews.co.kr/news/articleView.html?idxno=111623")</f>
        <v>http://www.kbiznews.co.kr/news/articleView.html?idxno=111623</v>
      </c>
      <c r="H5109">
        <v>0.188</v>
      </c>
    </row>
    <row r="5110" spans="1:8" x14ac:dyDescent="0.3">
      <c r="A5110" t="s">
        <v>9678</v>
      </c>
      <c r="B5110" t="s">
        <v>26951</v>
      </c>
      <c r="C5110" t="s">
        <v>13100</v>
      </c>
      <c r="D5110" t="s">
        <v>13099</v>
      </c>
      <c r="E5110" s="2" t="s">
        <v>267</v>
      </c>
      <c r="F5110" t="s">
        <v>13098</v>
      </c>
      <c r="G5110" t="str">
        <f>HYPERLINK("https://n.news.naver.com/mnews/article/018/0005952822?sid=102")</f>
        <v>https://n.news.naver.com/mnews/article/018/0005952822?sid=102</v>
      </c>
      <c r="H5110">
        <v>0.23799999999999999</v>
      </c>
    </row>
    <row r="5111" spans="1:8" x14ac:dyDescent="0.3">
      <c r="A5111" t="s">
        <v>9678</v>
      </c>
      <c r="B5111" t="s">
        <v>26951</v>
      </c>
      <c r="C5111" t="s">
        <v>13104</v>
      </c>
      <c r="D5111" t="s">
        <v>13103</v>
      </c>
      <c r="E5111" s="2" t="s">
        <v>280</v>
      </c>
      <c r="F5111" t="s">
        <v>12521</v>
      </c>
      <c r="G5111" t="str">
        <f>HYPERLINK("https://www.sisaweek.com/news/articleView.html?idxno=226537")</f>
        <v>https://www.sisaweek.com/news/articleView.html?idxno=226537</v>
      </c>
      <c r="H5111">
        <v>0.28699999999999998</v>
      </c>
    </row>
    <row r="5112" spans="1:8" x14ac:dyDescent="0.3">
      <c r="A5112" t="s">
        <v>9678</v>
      </c>
      <c r="B5112" t="s">
        <v>26951</v>
      </c>
      <c r="C5112" t="s">
        <v>13106</v>
      </c>
      <c r="D5112" t="s">
        <v>13105</v>
      </c>
      <c r="E5112" s="2" t="s">
        <v>280</v>
      </c>
      <c r="F5112" t="s">
        <v>3676</v>
      </c>
      <c r="G5112" t="str">
        <f>HYPERLINK("https://n.news.naver.com/mnews/article/028/0002751256?sid=102")</f>
        <v>https://n.news.naver.com/mnews/article/028/0002751256?sid=102</v>
      </c>
      <c r="H5112">
        <v>0.36799999999999999</v>
      </c>
    </row>
    <row r="5113" spans="1:8" x14ac:dyDescent="0.3">
      <c r="A5113" t="s">
        <v>9678</v>
      </c>
      <c r="B5113" t="s">
        <v>26951</v>
      </c>
      <c r="C5113" t="s">
        <v>13108</v>
      </c>
      <c r="D5113" t="s">
        <v>13107</v>
      </c>
      <c r="E5113" s="2" t="s">
        <v>280</v>
      </c>
      <c r="F5113" t="s">
        <v>2064</v>
      </c>
      <c r="G5113" t="str">
        <f>HYPERLINK("https://www.newscj.com/news/articleView.html?idxno=3288173")</f>
        <v>https://www.newscj.com/news/articleView.html?idxno=3288173</v>
      </c>
      <c r="H5113">
        <v>0.126</v>
      </c>
    </row>
    <row r="5114" spans="1:8" x14ac:dyDescent="0.3">
      <c r="A5114" t="s">
        <v>9678</v>
      </c>
      <c r="B5114" t="s">
        <v>26951</v>
      </c>
      <c r="C5114" t="s">
        <v>13111</v>
      </c>
      <c r="D5114" t="s">
        <v>13110</v>
      </c>
      <c r="E5114" s="2" t="s">
        <v>280</v>
      </c>
      <c r="F5114" t="s">
        <v>13109</v>
      </c>
      <c r="G5114" t="str">
        <f>HYPERLINK("https://www.newsgn.com/news/articleView.html?idxno=490836")</f>
        <v>https://www.newsgn.com/news/articleView.html?idxno=490836</v>
      </c>
      <c r="H5114">
        <v>0.18099999999999999</v>
      </c>
    </row>
    <row r="5115" spans="1:8" x14ac:dyDescent="0.3">
      <c r="A5115" t="s">
        <v>9678</v>
      </c>
      <c r="B5115" t="s">
        <v>26951</v>
      </c>
      <c r="C5115" t="s">
        <v>13114</v>
      </c>
      <c r="D5115" t="s">
        <v>13113</v>
      </c>
      <c r="E5115" s="2" t="s">
        <v>280</v>
      </c>
      <c r="F5115" t="s">
        <v>13112</v>
      </c>
      <c r="G5115" t="str">
        <f>HYPERLINK("https://www.newspim.com/news/view/20250108000879")</f>
        <v>https://www.newspim.com/news/view/20250108000879</v>
      </c>
      <c r="H5115">
        <v>0.47099999999999997</v>
      </c>
    </row>
    <row r="5116" spans="1:8" x14ac:dyDescent="0.3">
      <c r="A5116" t="s">
        <v>9678</v>
      </c>
      <c r="B5116" t="s">
        <v>26951</v>
      </c>
      <c r="C5116" t="s">
        <v>13116</v>
      </c>
      <c r="D5116" t="s">
        <v>13115</v>
      </c>
      <c r="E5116" s="2" t="s">
        <v>280</v>
      </c>
      <c r="F5116" t="s">
        <v>10471</v>
      </c>
      <c r="G5116" t="str">
        <f>HYPERLINK("https://n.news.naver.com/mnews/article/016/0000457491?sid=101")</f>
        <v>https://n.news.naver.com/mnews/article/016/0000457491?sid=101</v>
      </c>
      <c r="H5116">
        <v>0.189</v>
      </c>
    </row>
    <row r="5117" spans="1:8" x14ac:dyDescent="0.3">
      <c r="A5117" t="s">
        <v>9678</v>
      </c>
      <c r="B5117" t="s">
        <v>26951</v>
      </c>
      <c r="C5117" t="s">
        <v>13118</v>
      </c>
      <c r="D5117" t="s">
        <v>13117</v>
      </c>
      <c r="E5117" s="2" t="s">
        <v>280</v>
      </c>
      <c r="F5117" t="s">
        <v>10471</v>
      </c>
      <c r="G5117" t="str">
        <f>HYPERLINK("https://n.news.naver.com/mnews/article/016/0000457491?sid=101")</f>
        <v>https://n.news.naver.com/mnews/article/016/0000457491?sid=101</v>
      </c>
      <c r="H5117">
        <v>0.21299999999999999</v>
      </c>
    </row>
    <row r="5118" spans="1:8" x14ac:dyDescent="0.3">
      <c r="A5118" t="s">
        <v>9678</v>
      </c>
      <c r="B5118" t="s">
        <v>26951</v>
      </c>
      <c r="C5118" t="s">
        <v>13121</v>
      </c>
      <c r="D5118" t="s">
        <v>13120</v>
      </c>
      <c r="E5118" s="2" t="s">
        <v>280</v>
      </c>
      <c r="F5118" t="s">
        <v>13119</v>
      </c>
      <c r="G5118" t="str">
        <f>HYPERLINK("https://www.m-joongang.com/news/articleView.html?idxno=401220")</f>
        <v>https://www.m-joongang.com/news/articleView.html?idxno=401220</v>
      </c>
      <c r="H5118">
        <v>0.29199999999999998</v>
      </c>
    </row>
    <row r="5119" spans="1:8" x14ac:dyDescent="0.3">
      <c r="A5119" t="s">
        <v>9678</v>
      </c>
      <c r="B5119" t="s">
        <v>26951</v>
      </c>
      <c r="C5119" t="s">
        <v>13124</v>
      </c>
      <c r="D5119" t="s">
        <v>13123</v>
      </c>
      <c r="E5119" s="2" t="s">
        <v>280</v>
      </c>
      <c r="F5119" t="s">
        <v>13122</v>
      </c>
      <c r="G5119" t="str">
        <f>HYPERLINK("https://n.news.naver.com/mnews/article/028/0002751765?sid=102")</f>
        <v>https://n.news.naver.com/mnews/article/028/0002751765?sid=102</v>
      </c>
      <c r="H5119">
        <v>0.27800000000000002</v>
      </c>
    </row>
    <row r="5120" spans="1:8" x14ac:dyDescent="0.3">
      <c r="A5120" t="s">
        <v>9678</v>
      </c>
      <c r="B5120" t="s">
        <v>26951</v>
      </c>
      <c r="C5120" t="s">
        <v>13126</v>
      </c>
      <c r="D5120" t="s">
        <v>13125</v>
      </c>
      <c r="E5120" s="2" t="s">
        <v>280</v>
      </c>
      <c r="F5120" t="s">
        <v>11924</v>
      </c>
      <c r="G5120" t="str">
        <f>HYPERLINK("https://www.sjsori.com/news/articleView.html?idxno=80033")</f>
        <v>https://www.sjsori.com/news/articleView.html?idxno=80033</v>
      </c>
      <c r="H5120">
        <v>0.52300000000000002</v>
      </c>
    </row>
    <row r="5121" spans="1:8" x14ac:dyDescent="0.3">
      <c r="A5121" t="s">
        <v>9678</v>
      </c>
      <c r="B5121" t="s">
        <v>26951</v>
      </c>
      <c r="C5121" t="s">
        <v>13129</v>
      </c>
      <c r="D5121" t="s">
        <v>13128</v>
      </c>
      <c r="E5121" s="2" t="s">
        <v>280</v>
      </c>
      <c r="F5121" t="s">
        <v>13127</v>
      </c>
      <c r="G5121" t="str">
        <f>HYPERLINK("https://www.kgnews.co.kr/news/article.html?no=659864")</f>
        <v>https://www.kgnews.co.kr/news/article.html?no=659864</v>
      </c>
      <c r="H5121">
        <v>0.39400000000000002</v>
      </c>
    </row>
    <row r="5122" spans="1:8" x14ac:dyDescent="0.3">
      <c r="A5122" t="s">
        <v>9678</v>
      </c>
      <c r="B5122" t="s">
        <v>26951</v>
      </c>
      <c r="C5122" t="s">
        <v>13133</v>
      </c>
      <c r="D5122" t="s">
        <v>13132</v>
      </c>
      <c r="E5122" s="2" t="s">
        <v>280</v>
      </c>
      <c r="F5122" t="s">
        <v>13131</v>
      </c>
      <c r="G5122" t="str">
        <f>HYPERLINK("https://www.smartfn.co.kr/news/articleView.html?idxno=108712")</f>
        <v>https://www.smartfn.co.kr/news/articleView.html?idxno=108712</v>
      </c>
      <c r="H5122">
        <v>0.38700000000000001</v>
      </c>
    </row>
    <row r="5123" spans="1:8" x14ac:dyDescent="0.3">
      <c r="A5123" t="s">
        <v>9678</v>
      </c>
      <c r="B5123" t="s">
        <v>26951</v>
      </c>
      <c r="C5123" t="s">
        <v>13136</v>
      </c>
      <c r="D5123" t="s">
        <v>13135</v>
      </c>
      <c r="E5123" s="2" t="s">
        <v>280</v>
      </c>
      <c r="F5123" t="s">
        <v>13134</v>
      </c>
      <c r="G5123" t="str">
        <f>HYPERLINK("https://n.news.naver.com/mnews/article/022/0004047810?sid=101")</f>
        <v>https://n.news.naver.com/mnews/article/022/0004047810?sid=101</v>
      </c>
      <c r="H5123">
        <v>0.29299999999999998</v>
      </c>
    </row>
    <row r="5124" spans="1:8" x14ac:dyDescent="0.3">
      <c r="A5124" t="s">
        <v>9678</v>
      </c>
      <c r="B5124" t="s">
        <v>26951</v>
      </c>
      <c r="C5124" t="s">
        <v>13139</v>
      </c>
      <c r="D5124" t="s">
        <v>13138</v>
      </c>
      <c r="E5124" s="2" t="s">
        <v>280</v>
      </c>
      <c r="F5124" t="s">
        <v>13137</v>
      </c>
      <c r="G5124" t="str">
        <f>HYPERLINK("http://www.veritas-a.com/news/articleView.html?idxno=82722")</f>
        <v>http://www.veritas-a.com/news/articleView.html?idxno=82722</v>
      </c>
      <c r="H5124">
        <v>0.38100000000000001</v>
      </c>
    </row>
    <row r="5125" spans="1:8" x14ac:dyDescent="0.3">
      <c r="A5125" t="s">
        <v>9678</v>
      </c>
      <c r="B5125" t="s">
        <v>26951</v>
      </c>
      <c r="C5125" t="s">
        <v>13142</v>
      </c>
      <c r="D5125" t="s">
        <v>13141</v>
      </c>
      <c r="E5125" s="2" t="s">
        <v>280</v>
      </c>
      <c r="F5125" t="s">
        <v>13140</v>
      </c>
      <c r="G5125" t="str">
        <f>HYPERLINK("https://www.joongangenews.com/news/articleView.html?idxno=430855")</f>
        <v>https://www.joongangenews.com/news/articleView.html?idxno=430855</v>
      </c>
      <c r="H5125">
        <v>0.45700000000000002</v>
      </c>
    </row>
    <row r="5126" spans="1:8" x14ac:dyDescent="0.3">
      <c r="A5126" t="s">
        <v>9678</v>
      </c>
      <c r="B5126" t="s">
        <v>26951</v>
      </c>
      <c r="C5126" t="s">
        <v>13144</v>
      </c>
      <c r="D5126" t="s">
        <v>13143</v>
      </c>
      <c r="E5126" s="2" t="s">
        <v>280</v>
      </c>
      <c r="F5126" t="s">
        <v>7471</v>
      </c>
      <c r="G5126" t="str">
        <f>HYPERLINK("https://sports.hankooki.com/news/articleView.html?idxno=6901613")</f>
        <v>https://sports.hankooki.com/news/articleView.html?idxno=6901613</v>
      </c>
      <c r="H5126">
        <v>0.879</v>
      </c>
    </row>
    <row r="5127" spans="1:8" x14ac:dyDescent="0.3">
      <c r="A5127" t="s">
        <v>9678</v>
      </c>
      <c r="B5127" t="s">
        <v>26951</v>
      </c>
      <c r="C5127" t="s">
        <v>13147</v>
      </c>
      <c r="D5127" t="s">
        <v>13146</v>
      </c>
      <c r="E5127" s="2" t="s">
        <v>280</v>
      </c>
      <c r="F5127" t="s">
        <v>13145</v>
      </c>
      <c r="G5127" t="str">
        <f>HYPERLINK("https://n.news.naver.com/mnews/article/088/0000507824?sid=102")</f>
        <v>https://n.news.naver.com/mnews/article/088/0000507824?sid=102</v>
      </c>
      <c r="H5127">
        <v>0.17799999999999999</v>
      </c>
    </row>
    <row r="5128" spans="1:8" x14ac:dyDescent="0.3">
      <c r="A5128" t="s">
        <v>9678</v>
      </c>
      <c r="B5128" t="s">
        <v>26951</v>
      </c>
      <c r="C5128" t="s">
        <v>13150</v>
      </c>
      <c r="D5128" t="s">
        <v>13149</v>
      </c>
      <c r="E5128" s="2" t="s">
        <v>280</v>
      </c>
      <c r="F5128" t="s">
        <v>13148</v>
      </c>
      <c r="G5128" t="str">
        <f>HYPERLINK("https://n.news.naver.com/mnews/article/022/0004047866?sid=102")</f>
        <v>https://n.news.naver.com/mnews/article/022/0004047866?sid=102</v>
      </c>
      <c r="H5128">
        <v>0.30099999999999999</v>
      </c>
    </row>
    <row r="5129" spans="1:8" x14ac:dyDescent="0.3">
      <c r="A5129" t="s">
        <v>9678</v>
      </c>
      <c r="B5129" t="s">
        <v>26951</v>
      </c>
      <c r="C5129" t="s">
        <v>13153</v>
      </c>
      <c r="D5129" t="s">
        <v>13152</v>
      </c>
      <c r="E5129" s="2" t="s">
        <v>280</v>
      </c>
      <c r="F5129" t="s">
        <v>13151</v>
      </c>
      <c r="G5129" t="str">
        <f>HYPERLINK("https://www.viva100.com/article/20250624500060")</f>
        <v>https://www.viva100.com/article/20250624500060</v>
      </c>
      <c r="H5129">
        <v>2.4E-2</v>
      </c>
    </row>
    <row r="5130" spans="1:8" x14ac:dyDescent="0.3">
      <c r="A5130" t="s">
        <v>9678</v>
      </c>
      <c r="B5130" t="s">
        <v>26951</v>
      </c>
      <c r="C5130" t="s">
        <v>13156</v>
      </c>
      <c r="D5130" t="s">
        <v>13155</v>
      </c>
      <c r="E5130" s="2" t="s">
        <v>280</v>
      </c>
      <c r="F5130" t="s">
        <v>13154</v>
      </c>
      <c r="G5130" t="str">
        <f>HYPERLINK("https://n.news.naver.com/mnews/article/006/0000125558?sid=102")</f>
        <v>https://n.news.naver.com/mnews/article/006/0000125558?sid=102</v>
      </c>
      <c r="H5130">
        <v>0.121</v>
      </c>
    </row>
    <row r="5131" spans="1:8" x14ac:dyDescent="0.3">
      <c r="A5131" t="s">
        <v>9678</v>
      </c>
      <c r="B5131" t="s">
        <v>26951</v>
      </c>
      <c r="C5131" t="s">
        <v>13159</v>
      </c>
      <c r="D5131" t="s">
        <v>13158</v>
      </c>
      <c r="E5131" s="2" t="s">
        <v>280</v>
      </c>
      <c r="F5131" t="s">
        <v>13157</v>
      </c>
      <c r="G5131" t="str">
        <f>HYPERLINK("https://n.news.naver.com/mnews/article/214/0001334502?sid=100")</f>
        <v>https://n.news.naver.com/mnews/article/214/0001334502?sid=100</v>
      </c>
      <c r="H5131">
        <v>0.77600000000000002</v>
      </c>
    </row>
    <row r="5132" spans="1:8" x14ac:dyDescent="0.3">
      <c r="A5132" t="s">
        <v>9678</v>
      </c>
      <c r="B5132" t="s">
        <v>26951</v>
      </c>
      <c r="C5132" t="s">
        <v>13161</v>
      </c>
      <c r="D5132" t="s">
        <v>13160</v>
      </c>
      <c r="E5132" s="2" t="s">
        <v>280</v>
      </c>
      <c r="F5132" t="s">
        <v>10301</v>
      </c>
      <c r="G5132" t="str">
        <f>HYPERLINK("https://www.foodneconomy.com/news/articleView.html?idxno=227870")</f>
        <v>https://www.foodneconomy.com/news/articleView.html?idxno=227870</v>
      </c>
      <c r="H5132">
        <v>0.317</v>
      </c>
    </row>
    <row r="5133" spans="1:8" x14ac:dyDescent="0.3">
      <c r="A5133" t="s">
        <v>9678</v>
      </c>
      <c r="B5133" t="s">
        <v>26951</v>
      </c>
      <c r="C5133" t="s">
        <v>13164</v>
      </c>
      <c r="D5133" t="s">
        <v>13163</v>
      </c>
      <c r="E5133" s="2" t="s">
        <v>280</v>
      </c>
      <c r="F5133" t="s">
        <v>13162</v>
      </c>
      <c r="G5133" t="str">
        <f>HYPERLINK("http://www.ikoreanspirit.com/news/articleView.html?idxno=80449")</f>
        <v>http://www.ikoreanspirit.com/news/articleView.html?idxno=80449</v>
      </c>
      <c r="H5133">
        <v>0.86299999999999999</v>
      </c>
    </row>
    <row r="5134" spans="1:8" x14ac:dyDescent="0.3">
      <c r="A5134" t="s">
        <v>9678</v>
      </c>
      <c r="B5134" t="s">
        <v>26951</v>
      </c>
      <c r="C5134" t="s">
        <v>13167</v>
      </c>
      <c r="D5134" t="s">
        <v>13166</v>
      </c>
      <c r="E5134" s="2" t="s">
        <v>280</v>
      </c>
      <c r="F5134" t="s">
        <v>13165</v>
      </c>
      <c r="G5134" t="str">
        <f>HYPERLINK("https://n.news.naver.com/mnews/article/022/0004047866?sid=102")</f>
        <v>https://n.news.naver.com/mnews/article/022/0004047866?sid=102</v>
      </c>
      <c r="H5134">
        <v>0.23400000000000001</v>
      </c>
    </row>
    <row r="5135" spans="1:8" x14ac:dyDescent="0.3">
      <c r="A5135" t="s">
        <v>9678</v>
      </c>
      <c r="B5135" t="s">
        <v>26951</v>
      </c>
      <c r="C5135" t="s">
        <v>13170</v>
      </c>
      <c r="D5135" t="s">
        <v>13169</v>
      </c>
      <c r="E5135" s="2" t="s">
        <v>280</v>
      </c>
      <c r="F5135" t="s">
        <v>10287</v>
      </c>
      <c r="G5135" t="str">
        <f>HYPERLINK("https://www.asiatoday.co.kr/view.php?key=20250619000950583")</f>
        <v>https://www.asiatoday.co.kr/view.php?key=20250619000950583</v>
      </c>
      <c r="H5135">
        <v>9.5000000000000001E-2</v>
      </c>
    </row>
    <row r="5136" spans="1:8" x14ac:dyDescent="0.3">
      <c r="A5136" t="s">
        <v>9678</v>
      </c>
      <c r="B5136" t="s">
        <v>26951</v>
      </c>
      <c r="C5136" t="s">
        <v>13173</v>
      </c>
      <c r="D5136" t="s">
        <v>13172</v>
      </c>
      <c r="E5136" s="2" t="s">
        <v>280</v>
      </c>
      <c r="F5136" t="s">
        <v>10229</v>
      </c>
      <c r="G5136" t="str">
        <f>HYPERLINK("http://www.marketnews.co.kr/news/articleView.html?idxno=65362")</f>
        <v>http://www.marketnews.co.kr/news/articleView.html?idxno=65362</v>
      </c>
      <c r="H5136">
        <v>0.245</v>
      </c>
    </row>
    <row r="5137" spans="1:8" x14ac:dyDescent="0.3">
      <c r="A5137" t="s">
        <v>9678</v>
      </c>
      <c r="B5137" t="s">
        <v>26951</v>
      </c>
      <c r="C5137" t="s">
        <v>13175</v>
      </c>
      <c r="D5137" t="s">
        <v>13174</v>
      </c>
      <c r="E5137" s="2" t="s">
        <v>280</v>
      </c>
      <c r="F5137" t="s">
        <v>3095</v>
      </c>
      <c r="G5137" t="str">
        <f>HYPERLINK("http://www.christiantoday.co.kr/articles/288970/20160210/슈가맨-강성연-깜짝-노래-실력에-임신-사실까지-공개.htm")</f>
        <v>http://www.christiantoday.co.kr/articles/288970/20160210/슈가맨-강성연-깜짝-노래-실력에-임신-사실까지-공개.htm</v>
      </c>
      <c r="H5137">
        <v>0.47499999999999998</v>
      </c>
    </row>
    <row r="5138" spans="1:8" x14ac:dyDescent="0.3">
      <c r="A5138" t="s">
        <v>9678</v>
      </c>
      <c r="B5138" t="s">
        <v>26951</v>
      </c>
      <c r="C5138" t="s">
        <v>13177</v>
      </c>
      <c r="D5138" t="s">
        <v>13176</v>
      </c>
      <c r="E5138" s="2" t="s">
        <v>280</v>
      </c>
      <c r="F5138" t="s">
        <v>13051</v>
      </c>
      <c r="G5138" t="str">
        <f>HYPERLINK("http://www.fsnews.co.kr/news/articleView.html?idxno=37867")</f>
        <v>http://www.fsnews.co.kr/news/articleView.html?idxno=37867</v>
      </c>
      <c r="H5138">
        <v>0.52500000000000002</v>
      </c>
    </row>
    <row r="5139" spans="1:8" x14ac:dyDescent="0.3">
      <c r="A5139" t="s">
        <v>9678</v>
      </c>
      <c r="B5139" t="s">
        <v>26951</v>
      </c>
      <c r="C5139" t="s">
        <v>13179</v>
      </c>
      <c r="D5139" t="s">
        <v>13178</v>
      </c>
      <c r="E5139" s="2" t="s">
        <v>280</v>
      </c>
      <c r="F5139" t="s">
        <v>9922</v>
      </c>
      <c r="G5139" t="str">
        <f>HYPERLINK("https://n.news.naver.com/mnews/article/028/0002624995?sid=103")</f>
        <v>https://n.news.naver.com/mnews/article/028/0002624995?sid=103</v>
      </c>
      <c r="H5139">
        <v>0.28199999999999997</v>
      </c>
    </row>
    <row r="5140" spans="1:8" x14ac:dyDescent="0.3">
      <c r="A5140" t="s">
        <v>9678</v>
      </c>
      <c r="B5140" t="s">
        <v>26951</v>
      </c>
      <c r="C5140" t="s">
        <v>13181</v>
      </c>
      <c r="D5140" t="s">
        <v>13180</v>
      </c>
      <c r="E5140" s="2" t="s">
        <v>280</v>
      </c>
      <c r="F5140" t="s">
        <v>13051</v>
      </c>
      <c r="G5140" t="str">
        <f>HYPERLINK("http://www.breaknews.com/1061032")</f>
        <v>http://www.breaknews.com/1061032</v>
      </c>
      <c r="H5140">
        <v>0.29699999999999999</v>
      </c>
    </row>
    <row r="5141" spans="1:8" x14ac:dyDescent="0.3">
      <c r="A5141" t="s">
        <v>9678</v>
      </c>
      <c r="B5141" t="s">
        <v>26951</v>
      </c>
      <c r="C5141" t="s">
        <v>13183</v>
      </c>
      <c r="D5141" t="s">
        <v>13182</v>
      </c>
      <c r="E5141" s="2" t="s">
        <v>280</v>
      </c>
      <c r="F5141" t="s">
        <v>7749</v>
      </c>
      <c r="G5141" t="str">
        <f>HYPERLINK("https://www.getnews.co.kr/news/articleView.html?idxno=678592")</f>
        <v>https://www.getnews.co.kr/news/articleView.html?idxno=678592</v>
      </c>
      <c r="H5141">
        <v>0.24099999999999999</v>
      </c>
    </row>
    <row r="5142" spans="1:8" x14ac:dyDescent="0.3">
      <c r="A5142" t="s">
        <v>9678</v>
      </c>
      <c r="B5142" t="s">
        <v>26951</v>
      </c>
      <c r="C5142" t="s">
        <v>13185</v>
      </c>
      <c r="D5142" t="s">
        <v>13184</v>
      </c>
      <c r="E5142" s="2" t="s">
        <v>280</v>
      </c>
      <c r="F5142" t="s">
        <v>11533</v>
      </c>
      <c r="G5142" t="str">
        <f>HYPERLINK("https://www.idomin.com/news/articleView.html?idxno=921339")</f>
        <v>https://www.idomin.com/news/articleView.html?idxno=921339</v>
      </c>
      <c r="H5142">
        <v>0.51100000000000001</v>
      </c>
    </row>
    <row r="5143" spans="1:8" x14ac:dyDescent="0.3">
      <c r="A5143" t="s">
        <v>9678</v>
      </c>
      <c r="B5143" t="s">
        <v>26951</v>
      </c>
      <c r="C5143" t="s">
        <v>13187</v>
      </c>
      <c r="D5143" t="s">
        <v>13186</v>
      </c>
      <c r="E5143" s="2" t="s">
        <v>280</v>
      </c>
      <c r="F5143" t="s">
        <v>5342</v>
      </c>
      <c r="G5143" t="str">
        <f>HYPERLINK("https://n.news.naver.com/mnews/article/214/0001401654?sid=100")</f>
        <v>https://n.news.naver.com/mnews/article/214/0001401654?sid=100</v>
      </c>
      <c r="H5143">
        <v>0.20799999999999999</v>
      </c>
    </row>
    <row r="5144" spans="1:8" x14ac:dyDescent="0.3">
      <c r="A5144" t="s">
        <v>9678</v>
      </c>
      <c r="B5144" t="s">
        <v>26951</v>
      </c>
      <c r="C5144" t="s">
        <v>13190</v>
      </c>
      <c r="D5144" t="s">
        <v>13189</v>
      </c>
      <c r="E5144" s="2" t="s">
        <v>280</v>
      </c>
      <c r="F5144" t="s">
        <v>13188</v>
      </c>
      <c r="G5144" t="str">
        <f>HYPERLINK("https://www.newspim.com/news/view/20250626001283")</f>
        <v>https://www.newspim.com/news/view/20250626001283</v>
      </c>
      <c r="H5144">
        <v>0.58399999999999996</v>
      </c>
    </row>
    <row r="5145" spans="1:8" x14ac:dyDescent="0.3">
      <c r="A5145" t="s">
        <v>9678</v>
      </c>
      <c r="B5145" t="s">
        <v>26951</v>
      </c>
      <c r="C5145" t="s">
        <v>13193</v>
      </c>
      <c r="D5145" t="s">
        <v>13192</v>
      </c>
      <c r="E5145" s="2" t="s">
        <v>280</v>
      </c>
      <c r="F5145" t="s">
        <v>13191</v>
      </c>
      <c r="G5145" t="str">
        <f>HYPERLINK("https://www.ftimes.kr/news/articleView.html?idxno=31441")</f>
        <v>https://www.ftimes.kr/news/articleView.html?idxno=31441</v>
      </c>
      <c r="H5145">
        <v>0.45</v>
      </c>
    </row>
    <row r="5146" spans="1:8" x14ac:dyDescent="0.3">
      <c r="A5146" t="s">
        <v>9678</v>
      </c>
      <c r="B5146" t="s">
        <v>26951</v>
      </c>
      <c r="C5146" t="s">
        <v>13196</v>
      </c>
      <c r="D5146" t="s">
        <v>13195</v>
      </c>
      <c r="E5146" s="2" t="s">
        <v>280</v>
      </c>
      <c r="F5146" t="s">
        <v>13194</v>
      </c>
      <c r="G5146" t="str">
        <f>HYPERLINK("http://www.kbmaeil.com/news/articleView.html?idxno=815031")</f>
        <v>http://www.kbmaeil.com/news/articleView.html?idxno=815031</v>
      </c>
      <c r="H5146">
        <v>0.19500000000000001</v>
      </c>
    </row>
    <row r="5147" spans="1:8" x14ac:dyDescent="0.3">
      <c r="A5147" t="s">
        <v>9678</v>
      </c>
      <c r="B5147" t="s">
        <v>26951</v>
      </c>
      <c r="C5147" t="s">
        <v>13198</v>
      </c>
      <c r="D5147" t="s">
        <v>13197</v>
      </c>
      <c r="E5147" s="2" t="s">
        <v>280</v>
      </c>
      <c r="F5147" t="s">
        <v>5342</v>
      </c>
      <c r="G5147" t="str">
        <f>HYPERLINK("https://n.news.naver.com/mnews/article/079/0004036656?sid=103")</f>
        <v>https://n.news.naver.com/mnews/article/079/0004036656?sid=103</v>
      </c>
      <c r="H5147">
        <v>0.28299999999999997</v>
      </c>
    </row>
    <row r="5148" spans="1:8" x14ac:dyDescent="0.3">
      <c r="A5148" t="s">
        <v>9678</v>
      </c>
      <c r="B5148" t="s">
        <v>26951</v>
      </c>
      <c r="C5148" t="s">
        <v>13200</v>
      </c>
      <c r="D5148" t="s">
        <v>13199</v>
      </c>
      <c r="E5148" s="2" t="s">
        <v>280</v>
      </c>
      <c r="F5148" t="s">
        <v>11376</v>
      </c>
      <c r="G5148" t="str">
        <f>HYPERLINK("https://sports.hankooki.com/news/articleView.html?idxno=6901362")</f>
        <v>https://sports.hankooki.com/news/articleView.html?idxno=6901362</v>
      </c>
      <c r="H5148">
        <v>0.28499999999999998</v>
      </c>
    </row>
    <row r="5149" spans="1:8" x14ac:dyDescent="0.3">
      <c r="A5149" t="s">
        <v>9678</v>
      </c>
      <c r="B5149" t="s">
        <v>26951</v>
      </c>
      <c r="C5149" t="s">
        <v>13202</v>
      </c>
      <c r="D5149" t="s">
        <v>13201</v>
      </c>
      <c r="E5149" s="2" t="s">
        <v>280</v>
      </c>
      <c r="F5149" t="s">
        <v>5342</v>
      </c>
      <c r="G5149" t="str">
        <f>HYPERLINK("https://kjmbc.co.kr/NewsArticle/1422610")</f>
        <v>https://kjmbc.co.kr/NewsArticle/1422610</v>
      </c>
      <c r="H5149">
        <v>0.27200000000000002</v>
      </c>
    </row>
    <row r="5150" spans="1:8" x14ac:dyDescent="0.3">
      <c r="A5150" t="s">
        <v>9678</v>
      </c>
      <c r="B5150" t="s">
        <v>26951</v>
      </c>
      <c r="C5150" t="s">
        <v>13204</v>
      </c>
      <c r="D5150" t="s">
        <v>13203</v>
      </c>
      <c r="E5150" s="2" t="s">
        <v>280</v>
      </c>
      <c r="F5150" t="s">
        <v>11107</v>
      </c>
      <c r="G5150" t="str">
        <f>HYPERLINK("http://ch.yes24.com/Article/View/37916")</f>
        <v>http://ch.yes24.com/Article/View/37916</v>
      </c>
      <c r="H5150">
        <v>0.46100000000000002</v>
      </c>
    </row>
    <row r="5151" spans="1:8" x14ac:dyDescent="0.3">
      <c r="A5151" t="s">
        <v>9678</v>
      </c>
      <c r="B5151" t="s">
        <v>26951</v>
      </c>
      <c r="C5151" t="s">
        <v>13206</v>
      </c>
      <c r="D5151" t="s">
        <v>13205</v>
      </c>
      <c r="E5151" s="2" t="s">
        <v>280</v>
      </c>
      <c r="F5151" t="s">
        <v>10673</v>
      </c>
      <c r="G5151" t="str">
        <f>HYPERLINK("http://www.yeongnam.com/mnews/newsview.do?mode=newsView&amp;newskey=20190415.990011536492070")</f>
        <v>http://www.yeongnam.com/mnews/newsview.do?mode=newsView&amp;newskey=20190415.990011536492070</v>
      </c>
      <c r="H5151">
        <v>0.13800000000000001</v>
      </c>
    </row>
    <row r="5152" spans="1:8" x14ac:dyDescent="0.3">
      <c r="A5152" t="s">
        <v>9678</v>
      </c>
      <c r="B5152" t="s">
        <v>26951</v>
      </c>
      <c r="C5152" t="s">
        <v>13209</v>
      </c>
      <c r="D5152" t="s">
        <v>13208</v>
      </c>
      <c r="E5152" s="2" t="s">
        <v>280</v>
      </c>
      <c r="F5152" t="s">
        <v>13207</v>
      </c>
      <c r="G5152" t="str">
        <f>HYPERLINK("http://www.newsworker.co.kr/news/articleView.html?idxno=332422")</f>
        <v>http://www.newsworker.co.kr/news/articleView.html?idxno=332422</v>
      </c>
      <c r="H5152">
        <v>0.31</v>
      </c>
    </row>
    <row r="5153" spans="1:8" x14ac:dyDescent="0.3">
      <c r="A5153" t="s">
        <v>9678</v>
      </c>
      <c r="B5153" t="s">
        <v>26951</v>
      </c>
      <c r="C5153" t="s">
        <v>13211</v>
      </c>
      <c r="D5153" t="s">
        <v>13210</v>
      </c>
      <c r="E5153" s="2" t="s">
        <v>280</v>
      </c>
      <c r="F5153" t="s">
        <v>11072</v>
      </c>
      <c r="G5153" t="str">
        <f>HYPERLINK("http://www.chungnamilbo.co.kr/news/articleView.html?idxno=835074")</f>
        <v>http://www.chungnamilbo.co.kr/news/articleView.html?idxno=835074</v>
      </c>
      <c r="H5153">
        <v>0.65700000000000003</v>
      </c>
    </row>
    <row r="5154" spans="1:8" x14ac:dyDescent="0.3">
      <c r="A5154" t="s">
        <v>9678</v>
      </c>
      <c r="B5154" t="s">
        <v>26951</v>
      </c>
      <c r="C5154" t="s">
        <v>13214</v>
      </c>
      <c r="D5154" t="s">
        <v>13213</v>
      </c>
      <c r="E5154" s="2" t="s">
        <v>280</v>
      </c>
      <c r="F5154" t="s">
        <v>13212</v>
      </c>
      <c r="G5154" t="str">
        <f>HYPERLINK("http://www.newscj.com/article/20221023580121")</f>
        <v>http://www.newscj.com/article/20221023580121</v>
      </c>
      <c r="H5154">
        <v>0.44700000000000001</v>
      </c>
    </row>
    <row r="5155" spans="1:8" x14ac:dyDescent="0.3">
      <c r="A5155" t="s">
        <v>9678</v>
      </c>
      <c r="B5155" t="s">
        <v>26951</v>
      </c>
      <c r="C5155" t="s">
        <v>13217</v>
      </c>
      <c r="D5155" t="s">
        <v>13216</v>
      </c>
      <c r="E5155" s="2" t="s">
        <v>280</v>
      </c>
      <c r="F5155" t="s">
        <v>13215</v>
      </c>
      <c r="G5155" t="str">
        <f>HYPERLINK("https://www.apnews.kr/news/articleView.html?idxno=3012403")</f>
        <v>https://www.apnews.kr/news/articleView.html?idxno=3012403</v>
      </c>
      <c r="H5155">
        <v>0.28999999999999998</v>
      </c>
    </row>
    <row r="5156" spans="1:8" x14ac:dyDescent="0.3">
      <c r="A5156" t="s">
        <v>9678</v>
      </c>
      <c r="B5156" t="s">
        <v>26951</v>
      </c>
      <c r="C5156" t="s">
        <v>13219</v>
      </c>
      <c r="D5156" t="s">
        <v>13218</v>
      </c>
      <c r="E5156" s="2" t="s">
        <v>280</v>
      </c>
      <c r="F5156" t="s">
        <v>1822</v>
      </c>
      <c r="G5156" t="str">
        <f>HYPERLINK("https://www.etoday.co.kr/news/view/2483261")</f>
        <v>https://www.etoday.co.kr/news/view/2483261</v>
      </c>
      <c r="H5156">
        <v>0.30099999999999999</v>
      </c>
    </row>
    <row r="5157" spans="1:8" x14ac:dyDescent="0.3">
      <c r="A5157" t="s">
        <v>9678</v>
      </c>
      <c r="B5157" t="s">
        <v>26951</v>
      </c>
      <c r="C5157" t="s">
        <v>13221</v>
      </c>
      <c r="D5157" t="s">
        <v>13220</v>
      </c>
      <c r="E5157" s="2" t="s">
        <v>280</v>
      </c>
      <c r="F5157" t="s">
        <v>8607</v>
      </c>
      <c r="G5157" t="str">
        <f>HYPERLINK("https://www.pennmike.com/news/articleView.html?idxno=99666")</f>
        <v>https://www.pennmike.com/news/articleView.html?idxno=99666</v>
      </c>
      <c r="H5157">
        <v>0.42</v>
      </c>
    </row>
    <row r="5158" spans="1:8" x14ac:dyDescent="0.3">
      <c r="A5158" t="s">
        <v>9678</v>
      </c>
      <c r="B5158" t="s">
        <v>26951</v>
      </c>
      <c r="C5158" t="s">
        <v>13223</v>
      </c>
      <c r="D5158" t="s">
        <v>13222</v>
      </c>
      <c r="E5158" s="2" t="s">
        <v>280</v>
      </c>
      <c r="F5158" t="s">
        <v>10206</v>
      </c>
      <c r="G5158" t="str">
        <f>HYPERLINK("https://www.sportsw.kr/news/newsview.php?ncode=1065586900400064")</f>
        <v>https://www.sportsw.kr/news/newsview.php?ncode=1065586900400064</v>
      </c>
      <c r="H5158">
        <v>0.23</v>
      </c>
    </row>
    <row r="5159" spans="1:8" x14ac:dyDescent="0.3">
      <c r="A5159" t="s">
        <v>9678</v>
      </c>
      <c r="B5159" t="s">
        <v>26951</v>
      </c>
      <c r="C5159" t="s">
        <v>13225</v>
      </c>
      <c r="D5159" t="s">
        <v>13224</v>
      </c>
      <c r="E5159" s="2" t="s">
        <v>280</v>
      </c>
      <c r="F5159" t="s">
        <v>10322</v>
      </c>
      <c r="G5159" t="str">
        <f>HYPERLINK("https://n.news.naver.com/mnews/article/277/0004846541?sid=105")</f>
        <v>https://n.news.naver.com/mnews/article/277/0004846541?sid=105</v>
      </c>
      <c r="H5159">
        <v>0.34699999999999998</v>
      </c>
    </row>
    <row r="5160" spans="1:8" x14ac:dyDescent="0.3">
      <c r="A5160" t="s">
        <v>9678</v>
      </c>
      <c r="B5160" t="s">
        <v>26951</v>
      </c>
      <c r="C5160" t="s">
        <v>13228</v>
      </c>
      <c r="D5160" t="s">
        <v>13227</v>
      </c>
      <c r="E5160" s="2" t="s">
        <v>313</v>
      </c>
      <c r="F5160" t="s">
        <v>13226</v>
      </c>
      <c r="G5160" t="str">
        <f>HYPERLINK("http://www.jbsori.com/news/articleView.html?idxno=14885")</f>
        <v>http://www.jbsori.com/news/articleView.html?idxno=14885</v>
      </c>
      <c r="H5160">
        <v>0.46600000000000003</v>
      </c>
    </row>
    <row r="5161" spans="1:8" x14ac:dyDescent="0.3">
      <c r="A5161" t="s">
        <v>9678</v>
      </c>
      <c r="B5161" t="s">
        <v>26951</v>
      </c>
      <c r="C5161" t="s">
        <v>13231</v>
      </c>
      <c r="D5161" t="s">
        <v>13230</v>
      </c>
      <c r="E5161" s="2" t="s">
        <v>313</v>
      </c>
      <c r="F5161" t="s">
        <v>13229</v>
      </c>
      <c r="G5161" t="str">
        <f>HYPERLINK("https://www.bizhankook.com/bk/article/29801")</f>
        <v>https://www.bizhankook.com/bk/article/29801</v>
      </c>
      <c r="H5161">
        <v>0.36</v>
      </c>
    </row>
    <row r="5162" spans="1:8" x14ac:dyDescent="0.3">
      <c r="A5162" t="s">
        <v>9678</v>
      </c>
      <c r="B5162" t="s">
        <v>26951</v>
      </c>
      <c r="C5162" t="s">
        <v>13234</v>
      </c>
      <c r="D5162" t="s">
        <v>13233</v>
      </c>
      <c r="E5162" s="2" t="s">
        <v>313</v>
      </c>
      <c r="F5162" t="s">
        <v>13232</v>
      </c>
      <c r="G5162" t="str">
        <f>HYPERLINK("https://www.inews365.com/news/article.html?no=736359")</f>
        <v>https://www.inews365.com/news/article.html?no=736359</v>
      </c>
      <c r="H5162">
        <v>0.57199999999999995</v>
      </c>
    </row>
    <row r="5163" spans="1:8" x14ac:dyDescent="0.3">
      <c r="A5163" t="s">
        <v>9678</v>
      </c>
      <c r="B5163" t="s">
        <v>26951</v>
      </c>
      <c r="C5163" t="s">
        <v>13236</v>
      </c>
      <c r="D5163" t="s">
        <v>13235</v>
      </c>
      <c r="E5163" s="2" t="s">
        <v>313</v>
      </c>
      <c r="F5163" t="s">
        <v>7910</v>
      </c>
      <c r="G5163" t="str">
        <f>HYPERLINK("https://n.news.naver.com/mnews/article/055/0000348206?sid=102")</f>
        <v>https://n.news.naver.com/mnews/article/055/0000348206?sid=102</v>
      </c>
      <c r="H5163">
        <v>0.20499999999999999</v>
      </c>
    </row>
    <row r="5164" spans="1:8" x14ac:dyDescent="0.3">
      <c r="A5164" t="s">
        <v>9678</v>
      </c>
      <c r="B5164" t="s">
        <v>26951</v>
      </c>
      <c r="C5164" t="s">
        <v>13238</v>
      </c>
      <c r="D5164" t="s">
        <v>13237</v>
      </c>
      <c r="E5164" s="2" t="s">
        <v>313</v>
      </c>
      <c r="F5164" t="s">
        <v>9786</v>
      </c>
      <c r="G5164" t="str">
        <f>HYPERLINK("https://sports.hankooki.com/news/articleView.html?idxno=6900595")</f>
        <v>https://sports.hankooki.com/news/articleView.html?idxno=6900595</v>
      </c>
      <c r="H5164">
        <v>0.13300000000000001</v>
      </c>
    </row>
    <row r="5165" spans="1:8" x14ac:dyDescent="0.3">
      <c r="A5165" t="s">
        <v>9678</v>
      </c>
      <c r="B5165" t="s">
        <v>26951</v>
      </c>
      <c r="C5165" t="s">
        <v>13241</v>
      </c>
      <c r="D5165" t="s">
        <v>13240</v>
      </c>
      <c r="E5165" s="2" t="s">
        <v>313</v>
      </c>
      <c r="F5165" t="s">
        <v>13239</v>
      </c>
      <c r="G5165" t="str">
        <f>HYPERLINK("http://www.pdjournal.com/news/articleView.html?idxno=23342")</f>
        <v>http://www.pdjournal.com/news/articleView.html?idxno=23342</v>
      </c>
      <c r="H5165">
        <v>0.497</v>
      </c>
    </row>
    <row r="5166" spans="1:8" x14ac:dyDescent="0.3">
      <c r="A5166" t="s">
        <v>9678</v>
      </c>
      <c r="B5166" t="s">
        <v>26951</v>
      </c>
      <c r="C5166" t="s">
        <v>13244</v>
      </c>
      <c r="D5166" t="s">
        <v>13243</v>
      </c>
      <c r="E5166" s="2" t="s">
        <v>313</v>
      </c>
      <c r="F5166" t="s">
        <v>13242</v>
      </c>
      <c r="G5166" t="str">
        <f>HYPERLINK("https://www.usmbc.co.kr/article/gqA4lifHH5WKTGgr7Fkdb")</f>
        <v>https://www.usmbc.co.kr/article/gqA4lifHH5WKTGgr7Fkdb</v>
      </c>
      <c r="H5166">
        <v>0.45700000000000002</v>
      </c>
    </row>
    <row r="5167" spans="1:8" x14ac:dyDescent="0.3">
      <c r="A5167" t="s">
        <v>9678</v>
      </c>
      <c r="B5167" t="s">
        <v>26951</v>
      </c>
      <c r="C5167" t="s">
        <v>13247</v>
      </c>
      <c r="D5167" t="s">
        <v>13246</v>
      </c>
      <c r="E5167" s="2" t="s">
        <v>313</v>
      </c>
      <c r="F5167" t="s">
        <v>13245</v>
      </c>
      <c r="G5167" t="str">
        <f>HYPERLINK("http://www.outdoornews.co.kr/news/articleView.html?idxno=31458")</f>
        <v>http://www.outdoornews.co.kr/news/articleView.html?idxno=31458</v>
      </c>
      <c r="H5167">
        <v>0.49199999999999999</v>
      </c>
    </row>
    <row r="5168" spans="1:8" x14ac:dyDescent="0.3">
      <c r="A5168" t="s">
        <v>9678</v>
      </c>
      <c r="B5168" t="s">
        <v>26951</v>
      </c>
      <c r="C5168" t="s">
        <v>13250</v>
      </c>
      <c r="D5168" t="s">
        <v>13249</v>
      </c>
      <c r="E5168" s="2" t="s">
        <v>313</v>
      </c>
      <c r="F5168" t="s">
        <v>13248</v>
      </c>
      <c r="G5168" t="str">
        <f>HYPERLINK("https://sports.hankooki.com/news/articleView.html?idxno=6900694")</f>
        <v>https://sports.hankooki.com/news/articleView.html?idxno=6900694</v>
      </c>
      <c r="H5168">
        <v>0.27600000000000002</v>
      </c>
    </row>
    <row r="5169" spans="1:8" x14ac:dyDescent="0.3">
      <c r="A5169" t="s">
        <v>9678</v>
      </c>
      <c r="B5169" t="s">
        <v>26951</v>
      </c>
      <c r="C5169" t="s">
        <v>13252</v>
      </c>
      <c r="D5169" t="s">
        <v>13251</v>
      </c>
      <c r="E5169" s="2" t="s">
        <v>313</v>
      </c>
      <c r="F5169" t="s">
        <v>10471</v>
      </c>
      <c r="G5169" t="str">
        <f>HYPERLINK("https://n.news.naver.com/mnews/article/057/0000602684")</f>
        <v>https://n.news.naver.com/mnews/article/057/0000602684</v>
      </c>
      <c r="H5169">
        <v>0.221</v>
      </c>
    </row>
    <row r="5170" spans="1:8" x14ac:dyDescent="0.3">
      <c r="A5170" t="s">
        <v>9678</v>
      </c>
      <c r="B5170" t="s">
        <v>26951</v>
      </c>
      <c r="C5170" t="s">
        <v>13255</v>
      </c>
      <c r="D5170" t="s">
        <v>13254</v>
      </c>
      <c r="E5170" s="2" t="s">
        <v>313</v>
      </c>
      <c r="F5170" t="s">
        <v>13253</v>
      </c>
      <c r="G5170" t="str">
        <f>HYPERLINK("http://jmagazine.joins.com/monthly/view/319412")</f>
        <v>http://jmagazine.joins.com/monthly/view/319412</v>
      </c>
      <c r="H5170">
        <v>0.58099999999999996</v>
      </c>
    </row>
    <row r="5171" spans="1:8" x14ac:dyDescent="0.3">
      <c r="A5171" t="s">
        <v>9678</v>
      </c>
      <c r="B5171" t="s">
        <v>26951</v>
      </c>
      <c r="C5171" t="s">
        <v>13258</v>
      </c>
      <c r="D5171" t="s">
        <v>13257</v>
      </c>
      <c r="E5171" s="2" t="s">
        <v>313</v>
      </c>
      <c r="F5171" t="s">
        <v>13256</v>
      </c>
      <c r="G5171" t="str">
        <f>HYPERLINK("http://www.notepet.co.kr/news/article/article_view/?idx=33761&amp;groupCode=AB130AD130")</f>
        <v>http://www.notepet.co.kr/news/article/article_view/?idx=33761&amp;groupCode=AB130AD130</v>
      </c>
      <c r="H5171">
        <v>0.33700000000000002</v>
      </c>
    </row>
    <row r="5172" spans="1:8" x14ac:dyDescent="0.3">
      <c r="A5172" t="s">
        <v>9678</v>
      </c>
      <c r="B5172" t="s">
        <v>26951</v>
      </c>
      <c r="C5172" t="s">
        <v>13261</v>
      </c>
      <c r="D5172" t="s">
        <v>13260</v>
      </c>
      <c r="E5172" s="2" t="s">
        <v>313</v>
      </c>
      <c r="F5172" t="s">
        <v>10471</v>
      </c>
      <c r="G5172" t="str">
        <f>HYPERLINK("https://www.vogue.co.kr/2020/03/12/%ea%b7%b8-%eb%82%a8%ec%9e%90%ec%9d%98-%ea%b8%b0%ec%96%b5-%ea%b7%b8-%ec%97%ac%ec%9e%90%ec%9d%98-%eb%a7%9d%ea%b0%81/?utm_source=naver&amp;utm_medium=partnership")</f>
        <v>https://www.vogue.co.kr/2020/03/12/%ea%b7%b8-%eb%82%a8%ec%9e%90%ec%9d%98-%ea%b8%b0%ec%96%b5-%ea%b7%b8-%ec%97%ac%ec%9e%90%ec%9d%98-%eb%a7%9d%ea%b0%81/?utm_source=naver&amp;utm_medium=partnership</v>
      </c>
      <c r="H5172">
        <v>0.56599999999999995</v>
      </c>
    </row>
    <row r="5173" spans="1:8" x14ac:dyDescent="0.3">
      <c r="A5173" t="s">
        <v>9678</v>
      </c>
      <c r="B5173" t="s">
        <v>26951</v>
      </c>
      <c r="C5173" t="s">
        <v>13264</v>
      </c>
      <c r="D5173" t="s">
        <v>13263</v>
      </c>
      <c r="E5173" s="2" t="s">
        <v>313</v>
      </c>
      <c r="F5173" t="s">
        <v>13262</v>
      </c>
      <c r="G5173" t="str">
        <f>HYPERLINK("http://www.gocj.net/news/articleView.html?idxno=79182")</f>
        <v>http://www.gocj.net/news/articleView.html?idxno=79182</v>
      </c>
      <c r="H5173">
        <v>7.5999999999999998E-2</v>
      </c>
    </row>
    <row r="5174" spans="1:8" x14ac:dyDescent="0.3">
      <c r="A5174" t="s">
        <v>9678</v>
      </c>
      <c r="B5174" t="s">
        <v>26951</v>
      </c>
      <c r="C5174" t="s">
        <v>13266</v>
      </c>
      <c r="D5174" t="s">
        <v>13265</v>
      </c>
      <c r="E5174" s="2" t="s">
        <v>313</v>
      </c>
      <c r="F5174" t="s">
        <v>7465</v>
      </c>
      <c r="G5174" t="str">
        <f>HYPERLINK("https://www.christiantoday.co.kr/news/365933")</f>
        <v>https://www.christiantoday.co.kr/news/365933</v>
      </c>
      <c r="H5174">
        <v>0.58099999999999996</v>
      </c>
    </row>
    <row r="5175" spans="1:8" x14ac:dyDescent="0.3">
      <c r="A5175" t="s">
        <v>9678</v>
      </c>
      <c r="B5175" t="s">
        <v>26951</v>
      </c>
      <c r="C5175" t="s">
        <v>13268</v>
      </c>
      <c r="D5175" t="s">
        <v>13267</v>
      </c>
      <c r="E5175" s="2" t="s">
        <v>313</v>
      </c>
      <c r="F5175" t="s">
        <v>119</v>
      </c>
      <c r="G5175" t="str">
        <f>HYPERLINK("http://www.marketnews.co.kr/news/articleView.html?idxno=65362")</f>
        <v>http://www.marketnews.co.kr/news/articleView.html?idxno=65362</v>
      </c>
      <c r="H5175">
        <v>0.26600000000000001</v>
      </c>
    </row>
    <row r="5176" spans="1:8" x14ac:dyDescent="0.3">
      <c r="A5176" t="s">
        <v>9678</v>
      </c>
      <c r="B5176" t="s">
        <v>26951</v>
      </c>
      <c r="C5176" t="s">
        <v>13270</v>
      </c>
      <c r="D5176" t="s">
        <v>13269</v>
      </c>
      <c r="E5176" s="2" t="s">
        <v>313</v>
      </c>
      <c r="F5176" t="s">
        <v>5548</v>
      </c>
      <c r="G5176" t="str">
        <f>HYPERLINK("https://sports.hankooki.com/news/articleView.html?idxno=6886813")</f>
        <v>https://sports.hankooki.com/news/articleView.html?idxno=6886813</v>
      </c>
      <c r="H5176">
        <v>0.53100000000000003</v>
      </c>
    </row>
    <row r="5177" spans="1:8" x14ac:dyDescent="0.3">
      <c r="A5177" t="s">
        <v>9678</v>
      </c>
      <c r="B5177" t="s">
        <v>26951</v>
      </c>
      <c r="C5177" t="s">
        <v>13273</v>
      </c>
      <c r="D5177" t="s">
        <v>13272</v>
      </c>
      <c r="E5177" s="2" t="s">
        <v>313</v>
      </c>
      <c r="F5177" t="s">
        <v>13271</v>
      </c>
      <c r="G5177" t="str">
        <f>HYPERLINK("http://www.consumernews.co.kr/news/articleView.html?idxno=735114")</f>
        <v>http://www.consumernews.co.kr/news/articleView.html?idxno=735114</v>
      </c>
      <c r="H5177">
        <v>9.2999999999999999E-2</v>
      </c>
    </row>
    <row r="5178" spans="1:8" x14ac:dyDescent="0.3">
      <c r="A5178" t="s">
        <v>9678</v>
      </c>
      <c r="B5178" t="s">
        <v>26951</v>
      </c>
      <c r="C5178" t="s">
        <v>13275</v>
      </c>
      <c r="D5178" t="s">
        <v>13274</v>
      </c>
      <c r="E5178" s="2" t="s">
        <v>313</v>
      </c>
      <c r="F5178" t="s">
        <v>10064</v>
      </c>
      <c r="G5178" t="str">
        <f>HYPERLINK("http://www.etoday.co.kr/news/section/newsview.php?idxno=1864521")</f>
        <v>http://www.etoday.co.kr/news/section/newsview.php?idxno=1864521</v>
      </c>
      <c r="H5178">
        <v>0.377</v>
      </c>
    </row>
    <row r="5179" spans="1:8" x14ac:dyDescent="0.3">
      <c r="A5179" t="s">
        <v>9678</v>
      </c>
      <c r="B5179" t="s">
        <v>26951</v>
      </c>
      <c r="C5179" t="s">
        <v>13278</v>
      </c>
      <c r="D5179" t="s">
        <v>13277</v>
      </c>
      <c r="E5179" s="2" t="s">
        <v>313</v>
      </c>
      <c r="F5179" t="s">
        <v>13276</v>
      </c>
      <c r="G5179" t="str">
        <f>HYPERLINK("https://www.foodneconomy.com/news/articleView.html?idxno=318295")</f>
        <v>https://www.foodneconomy.com/news/articleView.html?idxno=318295</v>
      </c>
      <c r="H5179">
        <v>0.40899999999999997</v>
      </c>
    </row>
    <row r="5180" spans="1:8" x14ac:dyDescent="0.3">
      <c r="A5180" t="s">
        <v>9678</v>
      </c>
      <c r="B5180" t="s">
        <v>26951</v>
      </c>
      <c r="C5180" t="s">
        <v>13280</v>
      </c>
      <c r="D5180" t="s">
        <v>13279</v>
      </c>
      <c r="E5180" s="2" t="s">
        <v>313</v>
      </c>
      <c r="F5180" t="s">
        <v>327</v>
      </c>
      <c r="G5180" t="str">
        <f>HYPERLINK("https://www.asiatoday.co.kr/view.php?key=20250619000950583")</f>
        <v>https://www.asiatoday.co.kr/view.php?key=20250619000950583</v>
      </c>
      <c r="H5180">
        <v>0.107</v>
      </c>
    </row>
    <row r="5181" spans="1:8" x14ac:dyDescent="0.3">
      <c r="A5181" t="s">
        <v>9678</v>
      </c>
      <c r="B5181" t="s">
        <v>26951</v>
      </c>
      <c r="C5181" t="s">
        <v>13282</v>
      </c>
      <c r="D5181" t="s">
        <v>13281</v>
      </c>
      <c r="E5181" s="2" t="s">
        <v>313</v>
      </c>
      <c r="F5181" t="s">
        <v>1277</v>
      </c>
      <c r="G5181" t="str">
        <f>HYPERLINK("http://jmagazine.joins.com/monthly/view/331655")</f>
        <v>http://jmagazine.joins.com/monthly/view/331655</v>
      </c>
      <c r="H5181">
        <v>0.71799999999999997</v>
      </c>
    </row>
    <row r="5182" spans="1:8" x14ac:dyDescent="0.3">
      <c r="A5182" t="s">
        <v>9678</v>
      </c>
      <c r="B5182" t="s">
        <v>26951</v>
      </c>
      <c r="C5182" t="s">
        <v>13284</v>
      </c>
      <c r="D5182" t="s">
        <v>13283</v>
      </c>
      <c r="E5182" s="2" t="s">
        <v>313</v>
      </c>
      <c r="F5182" t="s">
        <v>2887</v>
      </c>
      <c r="G5182" t="str">
        <f>HYPERLINK("https://news.koreanbar.or.kr/news/articleView.html?idxno=32089")</f>
        <v>https://news.koreanbar.or.kr/news/articleView.html?idxno=32089</v>
      </c>
      <c r="H5182">
        <v>0.54300000000000004</v>
      </c>
    </row>
    <row r="5183" spans="1:8" x14ac:dyDescent="0.3">
      <c r="A5183" t="s">
        <v>9678</v>
      </c>
      <c r="B5183" t="s">
        <v>26951</v>
      </c>
      <c r="C5183" t="s">
        <v>13286</v>
      </c>
      <c r="D5183" t="s">
        <v>13285</v>
      </c>
      <c r="E5183" s="2" t="s">
        <v>313</v>
      </c>
      <c r="F5183" t="s">
        <v>2917</v>
      </c>
      <c r="G5183" t="str">
        <f>HYPERLINK("https://www.usmbc.co.kr/article/JuHeeg5LvE1svWe-ePA0ck")</f>
        <v>https://www.usmbc.co.kr/article/JuHeeg5LvE1svWe-ePA0ck</v>
      </c>
      <c r="H5183">
        <v>0.66800000000000004</v>
      </c>
    </row>
    <row r="5184" spans="1:8" x14ac:dyDescent="0.3">
      <c r="A5184" t="s">
        <v>9678</v>
      </c>
      <c r="B5184" t="s">
        <v>26951</v>
      </c>
      <c r="C5184" t="s">
        <v>13288</v>
      </c>
      <c r="D5184" t="s">
        <v>13287</v>
      </c>
      <c r="E5184" s="2" t="s">
        <v>313</v>
      </c>
      <c r="F5184" t="s">
        <v>1195</v>
      </c>
      <c r="G5184" t="str">
        <f>HYPERLINK("http://www.cctimes.kr/news/articleView.html?idxno=805239")</f>
        <v>http://www.cctimes.kr/news/articleView.html?idxno=805239</v>
      </c>
      <c r="H5184">
        <v>0.72699999999999998</v>
      </c>
    </row>
    <row r="5185" spans="1:8" x14ac:dyDescent="0.3">
      <c r="A5185" t="s">
        <v>9678</v>
      </c>
      <c r="B5185" t="s">
        <v>26951</v>
      </c>
      <c r="C5185" t="s">
        <v>13291</v>
      </c>
      <c r="D5185" t="s">
        <v>13290</v>
      </c>
      <c r="E5185" s="2" t="s">
        <v>313</v>
      </c>
      <c r="F5185" t="s">
        <v>13289</v>
      </c>
      <c r="G5185" t="str">
        <f>HYPERLINK("https://www.vogue.co.kr/2024/11/20/%ec%95%84%ec%a7%81-%eb%a7%8c%ec%a1%b1%ec%8a%a4%eb%9f%bd%ec%a7%80-%ec%95%8a%ec%95%84%ec%9a%94-%eb%8b%b9%ec%8b%a0%ec%9d%b4-%eb%aa%a8%eb%a5%b4%eb%8a%94-%ec%9e%90%ed%81%ac%eb%ae%88/?utm_source=naver&amp;utm_medium=partnership")</f>
        <v>https://www.vogue.co.kr/2024/11/20/%ec%95%84%ec%a7%81-%eb%a7%8c%ec%a1%b1%ec%8a%a4%eb%9f%bd%ec%a7%80-%ec%95%8a%ec%95%84%ec%9a%94-%eb%8b%b9%ec%8b%a0%ec%9d%b4-%eb%aa%a8%eb%a5%b4%eb%8a%94-%ec%9e%90%ed%81%ac%eb%ae%88/?utm_source=naver&amp;utm_medium=partnership</v>
      </c>
      <c r="H5185">
        <v>0.39900000000000002</v>
      </c>
    </row>
    <row r="5186" spans="1:8" x14ac:dyDescent="0.3">
      <c r="A5186" t="s">
        <v>9678</v>
      </c>
      <c r="B5186" t="s">
        <v>26951</v>
      </c>
      <c r="C5186" t="s">
        <v>13293</v>
      </c>
      <c r="D5186" t="s">
        <v>13292</v>
      </c>
      <c r="E5186" s="2" t="s">
        <v>313</v>
      </c>
      <c r="F5186" t="s">
        <v>11298</v>
      </c>
      <c r="G5186" t="str">
        <f>HYPERLINK("https://www.apnews.kr/news/articleView.html?idxno=3033923")</f>
        <v>https://www.apnews.kr/news/articleView.html?idxno=3033923</v>
      </c>
      <c r="H5186">
        <v>0.48599999999999999</v>
      </c>
    </row>
    <row r="5187" spans="1:8" x14ac:dyDescent="0.3">
      <c r="A5187" t="s">
        <v>9678</v>
      </c>
      <c r="B5187" t="s">
        <v>26951</v>
      </c>
      <c r="C5187" t="s">
        <v>13296</v>
      </c>
      <c r="D5187" t="s">
        <v>13295</v>
      </c>
      <c r="E5187" s="2" t="s">
        <v>313</v>
      </c>
      <c r="F5187" t="s">
        <v>13294</v>
      </c>
      <c r="G5187" t="str">
        <f>HYPERLINK("https://n.news.naver.com/mnews/article/008/0005210896?sid=100")</f>
        <v>https://n.news.naver.com/mnews/article/008/0005210896?sid=100</v>
      </c>
      <c r="H5187">
        <v>0.33700000000000002</v>
      </c>
    </row>
    <row r="5188" spans="1:8" x14ac:dyDescent="0.3">
      <c r="A5188" t="s">
        <v>9678</v>
      </c>
      <c r="B5188" t="s">
        <v>26951</v>
      </c>
      <c r="C5188" t="s">
        <v>13298</v>
      </c>
      <c r="D5188" t="s">
        <v>13297</v>
      </c>
      <c r="E5188" s="2" t="s">
        <v>313</v>
      </c>
      <c r="F5188" t="s">
        <v>10301</v>
      </c>
      <c r="G5188" t="str">
        <f>HYPERLINK("https://www.newsmin.co.kr/news/116407/")</f>
        <v>https://www.newsmin.co.kr/news/116407/</v>
      </c>
      <c r="H5188">
        <v>0.39500000000000002</v>
      </c>
    </row>
    <row r="5189" spans="1:8" x14ac:dyDescent="0.3">
      <c r="A5189" t="s">
        <v>9678</v>
      </c>
      <c r="B5189" t="s">
        <v>26951</v>
      </c>
      <c r="C5189" t="s">
        <v>13301</v>
      </c>
      <c r="D5189" t="s">
        <v>13300</v>
      </c>
      <c r="E5189" s="2" t="s">
        <v>313</v>
      </c>
      <c r="F5189" t="s">
        <v>13299</v>
      </c>
      <c r="G5189" t="str">
        <f>HYPERLINK("https://n.news.naver.com/mnews/article/008/0005210938?sid=102")</f>
        <v>https://n.news.naver.com/mnews/article/008/0005210938?sid=102</v>
      </c>
      <c r="H5189">
        <v>0.27200000000000002</v>
      </c>
    </row>
    <row r="5190" spans="1:8" x14ac:dyDescent="0.3">
      <c r="A5190" t="s">
        <v>9678</v>
      </c>
      <c r="B5190" t="s">
        <v>26951</v>
      </c>
      <c r="C5190" t="s">
        <v>13304</v>
      </c>
      <c r="D5190" t="s">
        <v>13303</v>
      </c>
      <c r="E5190" s="2" t="s">
        <v>313</v>
      </c>
      <c r="F5190" t="s">
        <v>13302</v>
      </c>
      <c r="G5190" t="str">
        <f>HYPERLINK("https://n.news.naver.com/mnews/article/006/0000125558?sid=102")</f>
        <v>https://n.news.naver.com/mnews/article/006/0000125558?sid=102</v>
      </c>
      <c r="H5190">
        <v>0.13</v>
      </c>
    </row>
    <row r="5191" spans="1:8" x14ac:dyDescent="0.3">
      <c r="A5191" t="s">
        <v>9678</v>
      </c>
      <c r="B5191" t="s">
        <v>26951</v>
      </c>
      <c r="C5191" t="s">
        <v>13309</v>
      </c>
      <c r="D5191" t="s">
        <v>13308</v>
      </c>
      <c r="E5191" s="2" t="s">
        <v>313</v>
      </c>
      <c r="F5191" t="s">
        <v>13307</v>
      </c>
      <c r="G5191" t="str">
        <f>HYPERLINK("https://www.ulsanpress.net/news/articleView.html?idxno=553781")</f>
        <v>https://www.ulsanpress.net/news/articleView.html?idxno=553781</v>
      </c>
      <c r="H5191">
        <v>0.64500000000000002</v>
      </c>
    </row>
    <row r="5192" spans="1:8" x14ac:dyDescent="0.3">
      <c r="A5192" t="s">
        <v>9678</v>
      </c>
      <c r="B5192" t="s">
        <v>26951</v>
      </c>
      <c r="C5192" t="s">
        <v>13312</v>
      </c>
      <c r="D5192" t="s">
        <v>13311</v>
      </c>
      <c r="E5192" s="2" t="s">
        <v>313</v>
      </c>
      <c r="F5192" t="s">
        <v>1606</v>
      </c>
      <c r="G5192" t="str">
        <f>HYPERLINK("https://www.m-economynews.com/news/article.html?no=55508")</f>
        <v>https://www.m-economynews.com/news/article.html?no=55508</v>
      </c>
      <c r="H5192">
        <v>0.253</v>
      </c>
    </row>
    <row r="5193" spans="1:8" x14ac:dyDescent="0.3">
      <c r="A5193" t="s">
        <v>9678</v>
      </c>
      <c r="B5193" t="s">
        <v>26951</v>
      </c>
      <c r="C5193" t="s">
        <v>13315</v>
      </c>
      <c r="D5193" t="s">
        <v>13314</v>
      </c>
      <c r="E5193" s="2" t="s">
        <v>313</v>
      </c>
      <c r="F5193" t="s">
        <v>13313</v>
      </c>
      <c r="G5193" t="str">
        <f>HYPERLINK("https://n.news.naver.com/mnews/article/022/0003593265?sid=103")</f>
        <v>https://n.news.naver.com/mnews/article/022/0003593265?sid=103</v>
      </c>
      <c r="H5193">
        <v>0.215</v>
      </c>
    </row>
    <row r="5194" spans="1:8" x14ac:dyDescent="0.3">
      <c r="A5194" t="s">
        <v>9678</v>
      </c>
      <c r="B5194" t="s">
        <v>26951</v>
      </c>
      <c r="C5194" t="s">
        <v>13317</v>
      </c>
      <c r="D5194" t="s">
        <v>13316</v>
      </c>
      <c r="E5194" s="2" t="s">
        <v>313</v>
      </c>
      <c r="F5194" t="s">
        <v>5342</v>
      </c>
      <c r="H5194">
        <v>0.39700000000000002</v>
      </c>
    </row>
    <row r="5195" spans="1:8" x14ac:dyDescent="0.3">
      <c r="A5195" t="s">
        <v>9678</v>
      </c>
      <c r="B5195" t="s">
        <v>26951</v>
      </c>
      <c r="C5195" t="s">
        <v>13320</v>
      </c>
      <c r="D5195" t="s">
        <v>13319</v>
      </c>
      <c r="E5195" s="2" t="s">
        <v>313</v>
      </c>
      <c r="F5195" t="s">
        <v>13318</v>
      </c>
      <c r="G5195" t="str">
        <f>HYPERLINK("http://www.youthdaily.co.kr/news/article.html?no=71816")</f>
        <v>http://www.youthdaily.co.kr/news/article.html?no=71816</v>
      </c>
      <c r="H5195">
        <v>0.17699999999999999</v>
      </c>
    </row>
    <row r="5196" spans="1:8" x14ac:dyDescent="0.3">
      <c r="A5196" t="s">
        <v>9678</v>
      </c>
      <c r="B5196" t="s">
        <v>26951</v>
      </c>
      <c r="C5196" t="s">
        <v>13322</v>
      </c>
      <c r="D5196" t="s">
        <v>13321</v>
      </c>
      <c r="E5196" s="2" t="s">
        <v>313</v>
      </c>
      <c r="F5196" t="s">
        <v>9935</v>
      </c>
      <c r="G5196" t="str">
        <f>HYPERLINK("https://daily.hankooki.com/news/articleView.html?idxno=1052237")</f>
        <v>https://daily.hankooki.com/news/articleView.html?idxno=1052237</v>
      </c>
      <c r="H5196">
        <v>0.45500000000000002</v>
      </c>
    </row>
    <row r="5197" spans="1:8" x14ac:dyDescent="0.3">
      <c r="A5197" t="s">
        <v>9678</v>
      </c>
      <c r="B5197" t="s">
        <v>26951</v>
      </c>
      <c r="C5197" t="s">
        <v>13324</v>
      </c>
      <c r="D5197" t="s">
        <v>13323</v>
      </c>
      <c r="E5197" s="2" t="s">
        <v>313</v>
      </c>
      <c r="F5197" t="s">
        <v>301</v>
      </c>
      <c r="G5197" t="str">
        <f>HYPERLINK("http://www.itdaily.kr/news/articleView.html?idxno=233906")</f>
        <v>http://www.itdaily.kr/news/articleView.html?idxno=233906</v>
      </c>
      <c r="H5197">
        <v>0.36599999999999999</v>
      </c>
    </row>
    <row r="5198" spans="1:8" x14ac:dyDescent="0.3">
      <c r="A5198" t="s">
        <v>9678</v>
      </c>
      <c r="B5198" t="s">
        <v>26951</v>
      </c>
      <c r="C5198" t="s">
        <v>13327</v>
      </c>
      <c r="D5198" t="s">
        <v>13326</v>
      </c>
      <c r="E5198" s="2" t="s">
        <v>313</v>
      </c>
      <c r="F5198" t="s">
        <v>13325</v>
      </c>
      <c r="G5198" t="str">
        <f>HYPERLINK("https://n.news.naver.com/mnews/article/214/0001429654?sid=100")</f>
        <v>https://n.news.naver.com/mnews/article/214/0001429654?sid=100</v>
      </c>
      <c r="H5198">
        <v>0.35499999999999998</v>
      </c>
    </row>
    <row r="5199" spans="1:8" x14ac:dyDescent="0.3">
      <c r="A5199" t="s">
        <v>9678</v>
      </c>
      <c r="B5199" t="s">
        <v>26951</v>
      </c>
      <c r="C5199" t="s">
        <v>13329</v>
      </c>
      <c r="D5199" t="s">
        <v>13328</v>
      </c>
      <c r="E5199" s="2" t="s">
        <v>313</v>
      </c>
      <c r="F5199" t="s">
        <v>5342</v>
      </c>
      <c r="G5199" t="str">
        <f>HYPERLINK("https://www.jemin.com/news/articleView.html?idxno=817466")</f>
        <v>https://www.jemin.com/news/articleView.html?idxno=817466</v>
      </c>
      <c r="H5199">
        <v>0.54600000000000004</v>
      </c>
    </row>
    <row r="5200" spans="1:8" x14ac:dyDescent="0.3">
      <c r="A5200" t="s">
        <v>9678</v>
      </c>
      <c r="B5200" t="s">
        <v>26951</v>
      </c>
      <c r="C5200" t="s">
        <v>13332</v>
      </c>
      <c r="D5200" t="s">
        <v>13331</v>
      </c>
      <c r="E5200" s="2" t="s">
        <v>313</v>
      </c>
      <c r="F5200" t="s">
        <v>13330</v>
      </c>
      <c r="G5200" t="str">
        <f>HYPERLINK("http://www.jjn.co.kr/news/articleView.html?idxno=992849")</f>
        <v>http://www.jjn.co.kr/news/articleView.html?idxno=992849</v>
      </c>
      <c r="H5200">
        <v>0.45400000000000001</v>
      </c>
    </row>
    <row r="5201" spans="1:8" x14ac:dyDescent="0.3">
      <c r="A5201" t="s">
        <v>9678</v>
      </c>
      <c r="B5201" t="s">
        <v>26951</v>
      </c>
      <c r="C5201" t="s">
        <v>13334</v>
      </c>
      <c r="D5201" t="s">
        <v>13333</v>
      </c>
      <c r="E5201" s="2" t="s">
        <v>313</v>
      </c>
      <c r="F5201" t="s">
        <v>10184</v>
      </c>
      <c r="G5201" t="str">
        <f>HYPERLINK("https://n.news.naver.com/mnews/article/088/0000631002?sid=103")</f>
        <v>https://n.news.naver.com/mnews/article/088/0000631002?sid=103</v>
      </c>
      <c r="H5201">
        <v>0.33</v>
      </c>
    </row>
    <row r="5202" spans="1:8" x14ac:dyDescent="0.3">
      <c r="A5202" t="s">
        <v>9678</v>
      </c>
      <c r="B5202" t="s">
        <v>26951</v>
      </c>
      <c r="C5202" t="s">
        <v>13336</v>
      </c>
      <c r="D5202" t="s">
        <v>13335</v>
      </c>
      <c r="E5202" s="2" t="s">
        <v>313</v>
      </c>
      <c r="F5202" t="s">
        <v>9935</v>
      </c>
      <c r="G5202" t="str">
        <f>HYPERLINK("http://www.mediafine.co.kr/news/articleView.html?idxno=5318")</f>
        <v>http://www.mediafine.co.kr/news/articleView.html?idxno=5318</v>
      </c>
      <c r="H5202">
        <v>0.58699999999999997</v>
      </c>
    </row>
    <row r="5203" spans="1:8" x14ac:dyDescent="0.3">
      <c r="A5203" t="s">
        <v>9678</v>
      </c>
      <c r="B5203" t="s">
        <v>26951</v>
      </c>
      <c r="C5203" t="s">
        <v>13339</v>
      </c>
      <c r="D5203" t="s">
        <v>13338</v>
      </c>
      <c r="E5203" s="2" t="s">
        <v>313</v>
      </c>
      <c r="F5203" t="s">
        <v>13337</v>
      </c>
      <c r="G5203" t="str">
        <f>HYPERLINK("http://www.ujeil.com/news/articleView.html?idxno=350913")</f>
        <v>http://www.ujeil.com/news/articleView.html?idxno=350913</v>
      </c>
      <c r="H5203">
        <v>0.45300000000000001</v>
      </c>
    </row>
    <row r="5204" spans="1:8" x14ac:dyDescent="0.3">
      <c r="A5204" t="s">
        <v>9678</v>
      </c>
      <c r="B5204" t="s">
        <v>26951</v>
      </c>
      <c r="C5204" t="s">
        <v>13341</v>
      </c>
      <c r="D5204" t="s">
        <v>13340</v>
      </c>
      <c r="E5204" s="2" t="s">
        <v>313</v>
      </c>
      <c r="F5204" t="s">
        <v>11346</v>
      </c>
      <c r="G5204" t="str">
        <f>HYPERLINK("https://www.viva100.com/article/20250701500252")</f>
        <v>https://www.viva100.com/article/20250701500252</v>
      </c>
      <c r="H5204">
        <v>0.32300000000000001</v>
      </c>
    </row>
    <row r="5205" spans="1:8" x14ac:dyDescent="0.3">
      <c r="A5205" t="s">
        <v>9678</v>
      </c>
      <c r="B5205" t="s">
        <v>26951</v>
      </c>
      <c r="C5205" t="s">
        <v>13343</v>
      </c>
      <c r="D5205" t="s">
        <v>13342</v>
      </c>
      <c r="E5205" s="2" t="s">
        <v>313</v>
      </c>
      <c r="F5205" t="s">
        <v>9935</v>
      </c>
      <c r="G5205" t="str">
        <f>HYPERLINK("http://kor.theasian.asia/archives/133715")</f>
        <v>http://kor.theasian.asia/archives/133715</v>
      </c>
      <c r="H5205">
        <v>0.32700000000000001</v>
      </c>
    </row>
    <row r="5206" spans="1:8" x14ac:dyDescent="0.3">
      <c r="A5206" t="s">
        <v>9678</v>
      </c>
      <c r="B5206" t="s">
        <v>26951</v>
      </c>
      <c r="C5206" t="s">
        <v>13345</v>
      </c>
      <c r="D5206" t="s">
        <v>13344</v>
      </c>
      <c r="E5206" s="2" t="s">
        <v>313</v>
      </c>
      <c r="F5206" t="s">
        <v>10764</v>
      </c>
      <c r="G5206" t="str">
        <f>HYPERLINK("https://www.pennmike.com/news/articleView.html?idxno=103316")</f>
        <v>https://www.pennmike.com/news/articleView.html?idxno=103316</v>
      </c>
      <c r="H5206">
        <v>0.495</v>
      </c>
    </row>
    <row r="5207" spans="1:8" x14ac:dyDescent="0.3">
      <c r="A5207" t="s">
        <v>9678</v>
      </c>
      <c r="B5207" t="s">
        <v>26951</v>
      </c>
      <c r="C5207" t="s">
        <v>13348</v>
      </c>
      <c r="D5207" t="s">
        <v>13347</v>
      </c>
      <c r="E5207" s="2" t="s">
        <v>313</v>
      </c>
      <c r="F5207" t="s">
        <v>13346</v>
      </c>
      <c r="G5207" t="str">
        <f>HYPERLINK("http://www.greenpostkorea.co.kr/news/articleView.html?idxno=127185")</f>
        <v>http://www.greenpostkorea.co.kr/news/articleView.html?idxno=127185</v>
      </c>
      <c r="H5207">
        <v>0.64800000000000002</v>
      </c>
    </row>
    <row r="5208" spans="1:8" x14ac:dyDescent="0.3">
      <c r="A5208" t="s">
        <v>9678</v>
      </c>
      <c r="B5208" t="s">
        <v>26951</v>
      </c>
      <c r="C5208" t="s">
        <v>13351</v>
      </c>
      <c r="D5208" t="s">
        <v>13350</v>
      </c>
      <c r="E5208" s="2" t="s">
        <v>313</v>
      </c>
      <c r="F5208" t="s">
        <v>13349</v>
      </c>
      <c r="G5208" t="str">
        <f>HYPERLINK("http://www.ccdailynews.com/news/articleView.html?idxno=2050772")</f>
        <v>http://www.ccdailynews.com/news/articleView.html?idxno=2050772</v>
      </c>
      <c r="H5208">
        <v>0.30099999999999999</v>
      </c>
    </row>
    <row r="5209" spans="1:8" x14ac:dyDescent="0.3">
      <c r="A5209" t="s">
        <v>9678</v>
      </c>
      <c r="B5209" t="s">
        <v>26951</v>
      </c>
      <c r="C5209" t="s">
        <v>13353</v>
      </c>
      <c r="D5209" t="s">
        <v>13352</v>
      </c>
      <c r="E5209" s="2" t="s">
        <v>313</v>
      </c>
      <c r="F5209" t="s">
        <v>11071</v>
      </c>
      <c r="G5209" t="str">
        <f>HYPERLINK("http://www.sisaon.co.kr/news/articleView.html?idxno=160652")</f>
        <v>http://www.sisaon.co.kr/news/articleView.html?idxno=160652</v>
      </c>
      <c r="H5209">
        <v>0.441</v>
      </c>
    </row>
    <row r="5210" spans="1:8" x14ac:dyDescent="0.3">
      <c r="A5210" t="s">
        <v>9678</v>
      </c>
      <c r="B5210" t="s">
        <v>26951</v>
      </c>
      <c r="C5210" t="s">
        <v>13355</v>
      </c>
      <c r="D5210" t="s">
        <v>13354</v>
      </c>
      <c r="E5210" s="2" t="s">
        <v>313</v>
      </c>
      <c r="F5210" t="s">
        <v>11533</v>
      </c>
      <c r="G5210" t="str">
        <f>HYPERLINK("http://www.inews365.com/news/article.html?no=390374")</f>
        <v>http://www.inews365.com/news/article.html?no=390374</v>
      </c>
      <c r="H5210">
        <v>0.57099999999999995</v>
      </c>
    </row>
    <row r="5211" spans="1:8" x14ac:dyDescent="0.3">
      <c r="A5211" t="s">
        <v>9678</v>
      </c>
      <c r="B5211" t="s">
        <v>26951</v>
      </c>
      <c r="C5211" t="s">
        <v>13357</v>
      </c>
      <c r="D5211" t="s">
        <v>13356</v>
      </c>
      <c r="E5211" s="2" t="s">
        <v>313</v>
      </c>
      <c r="F5211" t="s">
        <v>10021</v>
      </c>
      <c r="G5211" t="str">
        <f>HYPERLINK("https://n.news.naver.com/mnews/article/056/0011973723?sid=103")</f>
        <v>https://n.news.naver.com/mnews/article/056/0011973723?sid=103</v>
      </c>
      <c r="H5211">
        <v>0.20100000000000001</v>
      </c>
    </row>
    <row r="5212" spans="1:8" x14ac:dyDescent="0.3">
      <c r="A5212" t="s">
        <v>9678</v>
      </c>
      <c r="B5212" t="s">
        <v>26951</v>
      </c>
      <c r="C5212" t="s">
        <v>13359</v>
      </c>
      <c r="D5212" t="s">
        <v>13358</v>
      </c>
      <c r="E5212" s="2" t="s">
        <v>313</v>
      </c>
      <c r="F5212" t="s">
        <v>3095</v>
      </c>
      <c r="G5212" t="str">
        <f>HYPERLINK("http://www.lecturernews.com/news/articleView.html?idxno=106165")</f>
        <v>http://www.lecturernews.com/news/articleView.html?idxno=106165</v>
      </c>
      <c r="H5212">
        <v>0.40899999999999997</v>
      </c>
    </row>
    <row r="5213" spans="1:8" x14ac:dyDescent="0.3">
      <c r="A5213" t="s">
        <v>9678</v>
      </c>
      <c r="B5213" t="s">
        <v>26951</v>
      </c>
      <c r="C5213" t="s">
        <v>13362</v>
      </c>
      <c r="D5213" t="s">
        <v>13361</v>
      </c>
      <c r="E5213" s="2" t="s">
        <v>313</v>
      </c>
      <c r="F5213" t="s">
        <v>13360</v>
      </c>
      <c r="G5213" t="str">
        <f>HYPERLINK("http://www.datanet.co.kr/news/articleView.html?idxno=89690")</f>
        <v>http://www.datanet.co.kr/news/articleView.html?idxno=89690</v>
      </c>
      <c r="H5213">
        <v>0.33800000000000002</v>
      </c>
    </row>
    <row r="5214" spans="1:8" x14ac:dyDescent="0.3">
      <c r="A5214" t="s">
        <v>9678</v>
      </c>
      <c r="B5214" t="s">
        <v>26951</v>
      </c>
      <c r="C5214" t="s">
        <v>13364</v>
      </c>
      <c r="D5214" t="s">
        <v>13363</v>
      </c>
      <c r="E5214" s="2" t="s">
        <v>313</v>
      </c>
      <c r="F5214" t="s">
        <v>10750</v>
      </c>
      <c r="G5214" t="str">
        <f>HYPERLINK("http://www.starnewsk.com/news/articleView.html?idxno=46956")</f>
        <v>http://www.starnewsk.com/news/articleView.html?idxno=46956</v>
      </c>
      <c r="H5214">
        <v>0.34799999999999998</v>
      </c>
    </row>
    <row r="5215" spans="1:8" x14ac:dyDescent="0.3">
      <c r="A5215" t="s">
        <v>9678</v>
      </c>
      <c r="B5215" t="s">
        <v>26951</v>
      </c>
      <c r="C5215" t="s">
        <v>13367</v>
      </c>
      <c r="D5215" t="s">
        <v>13366</v>
      </c>
      <c r="E5215" s="2" t="s">
        <v>313</v>
      </c>
      <c r="F5215" t="s">
        <v>13365</v>
      </c>
      <c r="G5215" t="str">
        <f>HYPERLINK("http://www.mygoyang.com/news/articleView.html?idxno=83405")</f>
        <v>http://www.mygoyang.com/news/articleView.html?idxno=83405</v>
      </c>
      <c r="H5215">
        <v>0.36399999999999999</v>
      </c>
    </row>
    <row r="5216" spans="1:8" x14ac:dyDescent="0.3">
      <c r="A5216" t="s">
        <v>9678</v>
      </c>
      <c r="B5216" t="s">
        <v>26951</v>
      </c>
      <c r="C5216" t="s">
        <v>13370</v>
      </c>
      <c r="D5216" t="s">
        <v>13369</v>
      </c>
      <c r="E5216" s="2" t="s">
        <v>313</v>
      </c>
      <c r="F5216" t="s">
        <v>13368</v>
      </c>
      <c r="G5216" t="str">
        <f>HYPERLINK("http://daily.hankooki.com/lpage/economy/201412/dh20141215190424138160.htm")</f>
        <v>http://daily.hankooki.com/lpage/economy/201412/dh20141215190424138160.htm</v>
      </c>
      <c r="H5216">
        <v>0.432</v>
      </c>
    </row>
    <row r="5217" spans="1:8" x14ac:dyDescent="0.3">
      <c r="A5217" t="s">
        <v>9678</v>
      </c>
      <c r="B5217" t="s">
        <v>26951</v>
      </c>
      <c r="C5217" t="s">
        <v>13372</v>
      </c>
      <c r="D5217" t="s">
        <v>13371</v>
      </c>
      <c r="E5217" s="2" t="s">
        <v>313</v>
      </c>
      <c r="F5217" t="s">
        <v>10433</v>
      </c>
      <c r="G5217" t="str">
        <f>HYPERLINK("http://www.betanews.net:8080/article/876537.html")</f>
        <v>http://www.betanews.net:8080/article/876537.html</v>
      </c>
      <c r="H5217">
        <v>0.307</v>
      </c>
    </row>
    <row r="5218" spans="1:8" x14ac:dyDescent="0.3">
      <c r="A5218" t="s">
        <v>9678</v>
      </c>
      <c r="B5218" t="s">
        <v>26951</v>
      </c>
      <c r="C5218" t="s">
        <v>13375</v>
      </c>
      <c r="D5218" t="s">
        <v>13374</v>
      </c>
      <c r="E5218" s="2" t="s">
        <v>313</v>
      </c>
      <c r="F5218" t="s">
        <v>13373</v>
      </c>
      <c r="G5218" t="str">
        <f>HYPERLINK("https://www.newsfreezone.co.kr/news/articleView.html?idxno=535270")</f>
        <v>https://www.newsfreezone.co.kr/news/articleView.html?idxno=535270</v>
      </c>
      <c r="H5218">
        <v>0.751</v>
      </c>
    </row>
    <row r="5219" spans="1:8" x14ac:dyDescent="0.3">
      <c r="A5219" t="s">
        <v>9678</v>
      </c>
      <c r="B5219" t="s">
        <v>26951</v>
      </c>
      <c r="C5219" t="s">
        <v>13378</v>
      </c>
      <c r="D5219" t="s">
        <v>13377</v>
      </c>
      <c r="E5219" s="2" t="s">
        <v>313</v>
      </c>
      <c r="F5219" t="s">
        <v>13376</v>
      </c>
      <c r="G5219" t="str">
        <f>HYPERLINK("https://www.catholictimes.org/article/20240506500150")</f>
        <v>https://www.catholictimes.org/article/20240506500150</v>
      </c>
      <c r="H5219">
        <v>0.34899999999999998</v>
      </c>
    </row>
    <row r="5220" spans="1:8" x14ac:dyDescent="0.3">
      <c r="A5220" t="s">
        <v>9678</v>
      </c>
      <c r="B5220" t="s">
        <v>26951</v>
      </c>
      <c r="C5220" t="s">
        <v>13380</v>
      </c>
      <c r="D5220" t="s">
        <v>13379</v>
      </c>
      <c r="E5220" s="2" t="s">
        <v>313</v>
      </c>
      <c r="F5220" t="s">
        <v>12391</v>
      </c>
      <c r="G5220" t="str">
        <f>HYPERLINK("http://www.lecturernews.com/news/articleView.html?idxno=78899")</f>
        <v>http://www.lecturernews.com/news/articleView.html?idxno=78899</v>
      </c>
      <c r="H5220">
        <v>0.51900000000000002</v>
      </c>
    </row>
    <row r="5221" spans="1:8" x14ac:dyDescent="0.3">
      <c r="A5221" t="s">
        <v>9678</v>
      </c>
      <c r="B5221" t="s">
        <v>26951</v>
      </c>
      <c r="C5221" t="s">
        <v>13383</v>
      </c>
      <c r="D5221" t="s">
        <v>13382</v>
      </c>
      <c r="E5221" s="2" t="s">
        <v>313</v>
      </c>
      <c r="F5221" t="s">
        <v>13381</v>
      </c>
      <c r="G5221" t="str">
        <f>HYPERLINK("https://n.news.naver.com/mnews/article/014/0005370944?sid=102")</f>
        <v>https://n.news.naver.com/mnews/article/014/0005370944?sid=102</v>
      </c>
      <c r="H5221">
        <v>0.224</v>
      </c>
    </row>
    <row r="5222" spans="1:8" x14ac:dyDescent="0.3">
      <c r="A5222" t="s">
        <v>9678</v>
      </c>
      <c r="B5222" t="s">
        <v>26951</v>
      </c>
      <c r="C5222" t="s">
        <v>13385</v>
      </c>
      <c r="D5222" t="s">
        <v>13384</v>
      </c>
      <c r="E5222" s="2" t="s">
        <v>356</v>
      </c>
      <c r="F5222" t="s">
        <v>12350</v>
      </c>
      <c r="G5222" t="str">
        <f>HYPERLINK("https://n.news.naver.com/mnews/article/022/0004047631?sid=101")</f>
        <v>https://n.news.naver.com/mnews/article/022/0004047631?sid=101</v>
      </c>
      <c r="H5222">
        <v>5.6000000000000001E-2</v>
      </c>
    </row>
    <row r="5223" spans="1:8" x14ac:dyDescent="0.3">
      <c r="A5223" t="s">
        <v>9678</v>
      </c>
      <c r="B5223" t="s">
        <v>26951</v>
      </c>
      <c r="C5223" t="s">
        <v>13386</v>
      </c>
      <c r="D5223" t="s">
        <v>11965</v>
      </c>
      <c r="E5223" s="2" t="s">
        <v>356</v>
      </c>
      <c r="F5223" t="s">
        <v>9786</v>
      </c>
      <c r="G5223" t="str">
        <f>HYPERLINK("https://n.news.naver.com/mnews/article/018/0004285408?sid=102")</f>
        <v>https://n.news.naver.com/mnews/article/018/0004285408?sid=102</v>
      </c>
      <c r="H5223">
        <v>6.9000000000000006E-2</v>
      </c>
    </row>
    <row r="5224" spans="1:8" x14ac:dyDescent="0.3">
      <c r="A5224" t="s">
        <v>9678</v>
      </c>
      <c r="B5224" t="s">
        <v>26951</v>
      </c>
      <c r="C5224" t="s">
        <v>13389</v>
      </c>
      <c r="D5224" t="s">
        <v>13388</v>
      </c>
      <c r="E5224" s="2" t="s">
        <v>356</v>
      </c>
      <c r="F5224" t="s">
        <v>13387</v>
      </c>
      <c r="G5224" t="str">
        <f>HYPERLINK("https://www.forbeskorea.co.kr/news/articleView.html?idxno=400326")</f>
        <v>https://www.forbeskorea.co.kr/news/articleView.html?idxno=400326</v>
      </c>
      <c r="H5224">
        <v>0.36599999999999999</v>
      </c>
    </row>
    <row r="5225" spans="1:8" x14ac:dyDescent="0.3">
      <c r="A5225" t="s">
        <v>9678</v>
      </c>
      <c r="B5225" t="s">
        <v>26951</v>
      </c>
      <c r="C5225" t="s">
        <v>13391</v>
      </c>
      <c r="D5225" t="s">
        <v>13390</v>
      </c>
      <c r="E5225" s="2" t="s">
        <v>356</v>
      </c>
      <c r="F5225" t="s">
        <v>2710</v>
      </c>
      <c r="G5225" t="str">
        <f>HYPERLINK("https://n.news.naver.com/mnews/article/018/0006044071?sid=101")</f>
        <v>https://n.news.naver.com/mnews/article/018/0006044071?sid=101</v>
      </c>
      <c r="H5225">
        <v>0.24</v>
      </c>
    </row>
    <row r="5226" spans="1:8" x14ac:dyDescent="0.3">
      <c r="A5226" t="s">
        <v>9678</v>
      </c>
      <c r="B5226" t="s">
        <v>26951</v>
      </c>
      <c r="C5226" t="s">
        <v>13394</v>
      </c>
      <c r="D5226" t="s">
        <v>13393</v>
      </c>
      <c r="E5226" s="2" t="s">
        <v>356</v>
      </c>
      <c r="F5226" t="s">
        <v>13392</v>
      </c>
      <c r="G5226" t="str">
        <f>HYPERLINK("https://www.ibabynews.com/news/articleView.html?idxno=131785")</f>
        <v>https://www.ibabynews.com/news/articleView.html?idxno=131785</v>
      </c>
      <c r="H5226">
        <v>0.248</v>
      </c>
    </row>
    <row r="5227" spans="1:8" x14ac:dyDescent="0.3">
      <c r="A5227" t="s">
        <v>9678</v>
      </c>
      <c r="B5227" t="s">
        <v>26951</v>
      </c>
      <c r="C5227" t="s">
        <v>13396</v>
      </c>
      <c r="D5227" t="s">
        <v>13395</v>
      </c>
      <c r="E5227" s="2" t="s">
        <v>356</v>
      </c>
      <c r="F5227" t="s">
        <v>10703</v>
      </c>
      <c r="G5227" t="str">
        <f>HYPERLINK("https://www.jbnews.com/news/articleView.html?idxno=1479960")</f>
        <v>https://www.jbnews.com/news/articleView.html?idxno=1479960</v>
      </c>
      <c r="H5227">
        <v>0.12</v>
      </c>
    </row>
    <row r="5228" spans="1:8" x14ac:dyDescent="0.3">
      <c r="A5228" t="s">
        <v>9678</v>
      </c>
      <c r="B5228" t="s">
        <v>26951</v>
      </c>
      <c r="C5228" t="s">
        <v>13399</v>
      </c>
      <c r="D5228" t="s">
        <v>13398</v>
      </c>
      <c r="E5228" s="2" t="s">
        <v>356</v>
      </c>
      <c r="F5228" t="s">
        <v>13397</v>
      </c>
      <c r="G5228" t="str">
        <f>HYPERLINK("http://www.ferrotimes.com/news/articleView.html?idxno=41825")</f>
        <v>http://www.ferrotimes.com/news/articleView.html?idxno=41825</v>
      </c>
      <c r="H5228">
        <v>0.47199999999999998</v>
      </c>
    </row>
    <row r="5229" spans="1:8" x14ac:dyDescent="0.3">
      <c r="A5229" t="s">
        <v>9678</v>
      </c>
      <c r="B5229" t="s">
        <v>26951</v>
      </c>
      <c r="C5229" t="s">
        <v>13402</v>
      </c>
      <c r="D5229" t="s">
        <v>13401</v>
      </c>
      <c r="E5229" s="2" t="s">
        <v>356</v>
      </c>
      <c r="F5229" t="s">
        <v>13400</v>
      </c>
      <c r="G5229" t="str">
        <f>HYPERLINK("http://www.kyeongin.com/main/view.php?key=20161016010004749")</f>
        <v>http://www.kyeongin.com/main/view.php?key=20161016010004749</v>
      </c>
      <c r="H5229">
        <v>0.49199999999999999</v>
      </c>
    </row>
    <row r="5230" spans="1:8" x14ac:dyDescent="0.3">
      <c r="A5230" t="s">
        <v>9678</v>
      </c>
      <c r="B5230" t="s">
        <v>26951</v>
      </c>
      <c r="C5230" t="s">
        <v>13405</v>
      </c>
      <c r="D5230" t="s">
        <v>13404</v>
      </c>
      <c r="E5230" s="2" t="s">
        <v>356</v>
      </c>
      <c r="F5230" t="s">
        <v>13403</v>
      </c>
      <c r="G5230" t="str">
        <f>HYPERLINK("https://www.obsnews.co.kr/news/articleView.html?idxno=1476524")</f>
        <v>https://www.obsnews.co.kr/news/articleView.html?idxno=1476524</v>
      </c>
      <c r="H5230">
        <v>0.57199999999999995</v>
      </c>
    </row>
    <row r="5231" spans="1:8" x14ac:dyDescent="0.3">
      <c r="A5231" t="s">
        <v>9678</v>
      </c>
      <c r="B5231" t="s">
        <v>26951</v>
      </c>
      <c r="C5231" t="s">
        <v>13408</v>
      </c>
      <c r="D5231" t="s">
        <v>13407</v>
      </c>
      <c r="E5231" s="2" t="s">
        <v>356</v>
      </c>
      <c r="F5231" t="s">
        <v>13406</v>
      </c>
      <c r="G5231" t="str">
        <f>HYPERLINK("http://www.datanet.co.kr/news/articleView.html?idxno=93352")</f>
        <v>http://www.datanet.co.kr/news/articleView.html?idxno=93352</v>
      </c>
      <c r="H5231">
        <v>0.17</v>
      </c>
    </row>
    <row r="5232" spans="1:8" x14ac:dyDescent="0.3">
      <c r="A5232" t="s">
        <v>9678</v>
      </c>
      <c r="B5232" t="s">
        <v>26951</v>
      </c>
      <c r="C5232" t="s">
        <v>13410</v>
      </c>
      <c r="D5232" t="s">
        <v>13409</v>
      </c>
      <c r="E5232" s="2" t="s">
        <v>356</v>
      </c>
      <c r="F5232" t="s">
        <v>10120</v>
      </c>
      <c r="G5232" t="str">
        <f>HYPERLINK("https://n.news.naver.com/mnews/article/006/0000130669?sid=102")</f>
        <v>https://n.news.naver.com/mnews/article/006/0000130669?sid=102</v>
      </c>
      <c r="H5232">
        <v>0.23100000000000001</v>
      </c>
    </row>
    <row r="5233" spans="1:8" x14ac:dyDescent="0.3">
      <c r="A5233" t="s">
        <v>9678</v>
      </c>
      <c r="B5233" t="s">
        <v>26951</v>
      </c>
      <c r="C5233" t="s">
        <v>13413</v>
      </c>
      <c r="D5233" t="s">
        <v>13412</v>
      </c>
      <c r="E5233" s="2" t="s">
        <v>356</v>
      </c>
      <c r="F5233" t="s">
        <v>13411</v>
      </c>
      <c r="G5233" t="str">
        <f>HYPERLINK("https://n.news.naver.com/mnews/article/088/0000956405?sid=102")</f>
        <v>https://n.news.naver.com/mnews/article/088/0000956405?sid=102</v>
      </c>
      <c r="H5233">
        <v>8.4000000000000005E-2</v>
      </c>
    </row>
    <row r="5234" spans="1:8" x14ac:dyDescent="0.3">
      <c r="A5234" t="s">
        <v>9678</v>
      </c>
      <c r="B5234" t="s">
        <v>26951</v>
      </c>
      <c r="C5234" t="s">
        <v>13415</v>
      </c>
      <c r="D5234" t="s">
        <v>13414</v>
      </c>
      <c r="E5234" s="2" t="s">
        <v>356</v>
      </c>
      <c r="F5234" t="s">
        <v>9962</v>
      </c>
      <c r="G5234" t="str">
        <f>HYPERLINK("https://www.apnews.kr/news/articleView.html?idxno=3036804")</f>
        <v>https://www.apnews.kr/news/articleView.html?idxno=3036804</v>
      </c>
      <c r="H5234">
        <v>0.439</v>
      </c>
    </row>
    <row r="5235" spans="1:8" x14ac:dyDescent="0.3">
      <c r="A5235" t="s">
        <v>9678</v>
      </c>
      <c r="B5235" t="s">
        <v>26951</v>
      </c>
      <c r="C5235" t="s">
        <v>13419</v>
      </c>
      <c r="D5235" t="s">
        <v>13418</v>
      </c>
      <c r="E5235" s="2" t="s">
        <v>356</v>
      </c>
      <c r="F5235" t="s">
        <v>13417</v>
      </c>
      <c r="G5235" t="str">
        <f>HYPERLINK("https://www.ccdn.co.kr/news/articleView.html?idxno=1026666")</f>
        <v>https://www.ccdn.co.kr/news/articleView.html?idxno=1026666</v>
      </c>
      <c r="H5235">
        <v>0.88</v>
      </c>
    </row>
    <row r="5236" spans="1:8" x14ac:dyDescent="0.3">
      <c r="A5236" t="s">
        <v>9678</v>
      </c>
      <c r="B5236" t="s">
        <v>26951</v>
      </c>
      <c r="C5236" t="s">
        <v>13422</v>
      </c>
      <c r="D5236" t="s">
        <v>13421</v>
      </c>
      <c r="E5236" s="2" t="s">
        <v>356</v>
      </c>
      <c r="F5236" t="s">
        <v>13420</v>
      </c>
      <c r="G5236" t="str">
        <f>HYPERLINK("https://n.news.naver.com/mnews/article/214/0001402720?sid=100")</f>
        <v>https://n.news.naver.com/mnews/article/214/0001402720?sid=100</v>
      </c>
      <c r="H5236">
        <v>0.51100000000000001</v>
      </c>
    </row>
    <row r="5237" spans="1:8" x14ac:dyDescent="0.3">
      <c r="A5237" t="s">
        <v>9678</v>
      </c>
      <c r="B5237" t="s">
        <v>26951</v>
      </c>
      <c r="C5237" t="s">
        <v>13424</v>
      </c>
      <c r="D5237" t="s">
        <v>13423</v>
      </c>
      <c r="E5237" s="2" t="s">
        <v>356</v>
      </c>
      <c r="F5237" t="s">
        <v>4119</v>
      </c>
      <c r="G5237" t="str">
        <f>HYPERLINK("https://www.asiatoday.co.kr/view.php?key=20250619000950583")</f>
        <v>https://www.asiatoday.co.kr/view.php?key=20250619000950583</v>
      </c>
      <c r="H5237">
        <v>9.8000000000000004E-2</v>
      </c>
    </row>
    <row r="5238" spans="1:8" x14ac:dyDescent="0.3">
      <c r="A5238" t="s">
        <v>9678</v>
      </c>
      <c r="B5238" t="s">
        <v>26951</v>
      </c>
      <c r="C5238" t="s">
        <v>13427</v>
      </c>
      <c r="D5238" t="s">
        <v>13426</v>
      </c>
      <c r="E5238" s="2" t="s">
        <v>356</v>
      </c>
      <c r="F5238" t="s">
        <v>13425</v>
      </c>
      <c r="G5238" t="str">
        <f>HYPERLINK("http://www.sctoday.co.kr/news/articleView.html?idxno=39661")</f>
        <v>http://www.sctoday.co.kr/news/articleView.html?idxno=39661</v>
      </c>
      <c r="H5238">
        <v>0.48</v>
      </c>
    </row>
    <row r="5239" spans="1:8" x14ac:dyDescent="0.3">
      <c r="A5239" t="s">
        <v>9678</v>
      </c>
      <c r="B5239" t="s">
        <v>26951</v>
      </c>
      <c r="C5239" t="s">
        <v>13430</v>
      </c>
      <c r="D5239" t="s">
        <v>13429</v>
      </c>
      <c r="E5239" s="2" t="s">
        <v>356</v>
      </c>
      <c r="F5239" t="s">
        <v>13428</v>
      </c>
      <c r="G5239" t="str">
        <f>HYPERLINK("https://n.news.naver.com/mnews/article/028/0002751636?sid=102")</f>
        <v>https://n.news.naver.com/mnews/article/028/0002751636?sid=102</v>
      </c>
      <c r="H5239">
        <v>0.248</v>
      </c>
    </row>
    <row r="5240" spans="1:8" x14ac:dyDescent="0.3">
      <c r="A5240" t="s">
        <v>9678</v>
      </c>
      <c r="B5240" t="s">
        <v>26951</v>
      </c>
      <c r="C5240" t="s">
        <v>13433</v>
      </c>
      <c r="D5240" t="s">
        <v>13432</v>
      </c>
      <c r="E5240" s="2" t="s">
        <v>356</v>
      </c>
      <c r="F5240" t="s">
        <v>13431</v>
      </c>
      <c r="G5240" t="str">
        <f>HYPERLINK("https://www.getnews.co.kr/news/articleView.html?idxno=655642")</f>
        <v>https://www.getnews.co.kr/news/articleView.html?idxno=655642</v>
      </c>
      <c r="H5240">
        <v>0.47</v>
      </c>
    </row>
    <row r="5241" spans="1:8" x14ac:dyDescent="0.3">
      <c r="A5241" t="s">
        <v>9678</v>
      </c>
      <c r="B5241" t="s">
        <v>26951</v>
      </c>
      <c r="C5241" t="s">
        <v>13436</v>
      </c>
      <c r="D5241" t="s">
        <v>13435</v>
      </c>
      <c r="E5241" s="2" t="s">
        <v>356</v>
      </c>
      <c r="F5241" t="s">
        <v>13434</v>
      </c>
      <c r="G5241" t="str">
        <f>HYPERLINK("http://www.newspim.com/news/view/20230627000890")</f>
        <v>http://www.newspim.com/news/view/20230627000890</v>
      </c>
      <c r="H5241">
        <v>0.46700000000000003</v>
      </c>
    </row>
    <row r="5242" spans="1:8" x14ac:dyDescent="0.3">
      <c r="A5242" t="s">
        <v>9678</v>
      </c>
      <c r="B5242" t="s">
        <v>26951</v>
      </c>
      <c r="C5242" t="s">
        <v>13439</v>
      </c>
      <c r="D5242" t="s">
        <v>13438</v>
      </c>
      <c r="E5242" s="2" t="s">
        <v>356</v>
      </c>
      <c r="F5242" t="s">
        <v>5416</v>
      </c>
      <c r="G5242" t="str">
        <f>HYPERLINK("https://www.newscj.com/news/articleView.html?idxno=3283660")</f>
        <v>https://www.newscj.com/news/articleView.html?idxno=3283660</v>
      </c>
      <c r="H5242">
        <v>0.96799999999999997</v>
      </c>
    </row>
    <row r="5243" spans="1:8" x14ac:dyDescent="0.3">
      <c r="A5243" t="s">
        <v>9678</v>
      </c>
      <c r="B5243" t="s">
        <v>26951</v>
      </c>
      <c r="C5243" t="s">
        <v>13441</v>
      </c>
      <c r="D5243" t="s">
        <v>13440</v>
      </c>
      <c r="E5243" s="2" t="s">
        <v>356</v>
      </c>
      <c r="F5243" t="s">
        <v>8339</v>
      </c>
      <c r="G5243" t="str">
        <f>HYPERLINK("http://www.iminju.net/news/articleView.html?idxno=131628")</f>
        <v>http://www.iminju.net/news/articleView.html?idxno=131628</v>
      </c>
      <c r="H5243">
        <v>0.68600000000000005</v>
      </c>
    </row>
    <row r="5244" spans="1:8" x14ac:dyDescent="0.3">
      <c r="A5244" t="s">
        <v>9678</v>
      </c>
      <c r="B5244" t="s">
        <v>26951</v>
      </c>
      <c r="C5244" t="s">
        <v>13444</v>
      </c>
      <c r="D5244" t="s">
        <v>13443</v>
      </c>
      <c r="E5244" s="2" t="s">
        <v>356</v>
      </c>
      <c r="F5244" t="s">
        <v>13442</v>
      </c>
      <c r="G5244" t="str">
        <f>HYPERLINK("https://www.pinpointnews.co.kr/news/articleView.html?idxno=350009")</f>
        <v>https://www.pinpointnews.co.kr/news/articleView.html?idxno=350009</v>
      </c>
      <c r="H5244">
        <v>0.89900000000000002</v>
      </c>
    </row>
    <row r="5245" spans="1:8" x14ac:dyDescent="0.3">
      <c r="A5245" t="s">
        <v>9678</v>
      </c>
      <c r="B5245" t="s">
        <v>26951</v>
      </c>
      <c r="C5245" t="s">
        <v>13446</v>
      </c>
      <c r="D5245" t="s">
        <v>13445</v>
      </c>
      <c r="E5245" s="2" t="s">
        <v>356</v>
      </c>
      <c r="F5245" t="s">
        <v>4119</v>
      </c>
      <c r="G5245" t="str">
        <f>HYPERLINK("https://www.jemin.com/news/articleView.html?idxno=816407")</f>
        <v>https://www.jemin.com/news/articleView.html?idxno=816407</v>
      </c>
      <c r="H5245">
        <v>0.57199999999999995</v>
      </c>
    </row>
    <row r="5246" spans="1:8" x14ac:dyDescent="0.3">
      <c r="A5246" t="s">
        <v>9678</v>
      </c>
      <c r="B5246" t="s">
        <v>26951</v>
      </c>
      <c r="C5246" t="s">
        <v>13449</v>
      </c>
      <c r="D5246" t="s">
        <v>13448</v>
      </c>
      <c r="E5246" s="2" t="s">
        <v>356</v>
      </c>
      <c r="F5246" t="s">
        <v>13447</v>
      </c>
      <c r="G5246" t="str">
        <f>HYPERLINK("https://www.dkilbo.com/news/articleView.html?idxno=503378")</f>
        <v>https://www.dkilbo.com/news/articleView.html?idxno=503378</v>
      </c>
      <c r="H5246">
        <v>0.189</v>
      </c>
    </row>
    <row r="5247" spans="1:8" x14ac:dyDescent="0.3">
      <c r="A5247" t="s">
        <v>9678</v>
      </c>
      <c r="B5247" t="s">
        <v>26951</v>
      </c>
      <c r="C5247" t="s">
        <v>13451</v>
      </c>
      <c r="D5247" t="s">
        <v>13450</v>
      </c>
      <c r="E5247" s="2" t="s">
        <v>356</v>
      </c>
      <c r="F5247" t="s">
        <v>9255</v>
      </c>
      <c r="G5247" t="str">
        <f>HYPERLINK("https://www.ggilbo.com/news/articleView.html?idxno=1095503")</f>
        <v>https://www.ggilbo.com/news/articleView.html?idxno=1095503</v>
      </c>
      <c r="H5247">
        <v>0.28699999999999998</v>
      </c>
    </row>
    <row r="5248" spans="1:8" x14ac:dyDescent="0.3">
      <c r="A5248" t="s">
        <v>9678</v>
      </c>
      <c r="B5248" t="s">
        <v>26951</v>
      </c>
      <c r="C5248" t="s">
        <v>13454</v>
      </c>
      <c r="D5248" t="s">
        <v>13453</v>
      </c>
      <c r="E5248" s="2" t="s">
        <v>356</v>
      </c>
      <c r="F5248" t="s">
        <v>13452</v>
      </c>
      <c r="G5248" t="str">
        <f>HYPERLINK("https://n.news.naver.com/mnews/article/032/0003163387?sid=103")</f>
        <v>https://n.news.naver.com/mnews/article/032/0003163387?sid=103</v>
      </c>
      <c r="H5248">
        <v>0.26700000000000002</v>
      </c>
    </row>
    <row r="5249" spans="1:8" x14ac:dyDescent="0.3">
      <c r="A5249" t="s">
        <v>9678</v>
      </c>
      <c r="B5249" t="s">
        <v>26951</v>
      </c>
      <c r="C5249" t="s">
        <v>13456</v>
      </c>
      <c r="D5249" t="s">
        <v>13455</v>
      </c>
      <c r="E5249" s="2" t="s">
        <v>356</v>
      </c>
      <c r="F5249" t="s">
        <v>472</v>
      </c>
      <c r="G5249" t="str">
        <f>HYPERLINK("http://worknworld.kctu.org/news/articleView.html?idxno=404462")</f>
        <v>http://worknworld.kctu.org/news/articleView.html?idxno=404462</v>
      </c>
      <c r="H5249">
        <v>0.60799999999999998</v>
      </c>
    </row>
    <row r="5250" spans="1:8" x14ac:dyDescent="0.3">
      <c r="A5250" t="s">
        <v>9678</v>
      </c>
      <c r="B5250" t="s">
        <v>26951</v>
      </c>
      <c r="C5250" t="s">
        <v>13459</v>
      </c>
      <c r="D5250" t="s">
        <v>13458</v>
      </c>
      <c r="E5250" s="2" t="s">
        <v>356</v>
      </c>
      <c r="F5250" t="s">
        <v>13457</v>
      </c>
      <c r="G5250" t="str">
        <f>HYPERLINK("http://www.4th.kr/news/articleView.html?idxno=2089246")</f>
        <v>http://www.4th.kr/news/articleView.html?idxno=2089246</v>
      </c>
      <c r="H5250">
        <v>0.48499999999999999</v>
      </c>
    </row>
    <row r="5251" spans="1:8" x14ac:dyDescent="0.3">
      <c r="A5251" t="s">
        <v>9678</v>
      </c>
      <c r="B5251" t="s">
        <v>26951</v>
      </c>
      <c r="C5251" t="s">
        <v>13461</v>
      </c>
      <c r="D5251" t="s">
        <v>13460</v>
      </c>
      <c r="E5251" s="2" t="s">
        <v>356</v>
      </c>
      <c r="F5251" t="s">
        <v>9944</v>
      </c>
      <c r="G5251" t="str">
        <f>HYPERLINK("https://n.news.naver.com/mnews/article/028/0002573046?sid=102")</f>
        <v>https://n.news.naver.com/mnews/article/028/0002573046?sid=102</v>
      </c>
      <c r="H5251">
        <v>0.27600000000000002</v>
      </c>
    </row>
    <row r="5252" spans="1:8" x14ac:dyDescent="0.3">
      <c r="A5252" t="s">
        <v>9678</v>
      </c>
      <c r="B5252" t="s">
        <v>26951</v>
      </c>
      <c r="C5252" t="s">
        <v>13465</v>
      </c>
      <c r="D5252" t="s">
        <v>13464</v>
      </c>
      <c r="E5252" s="2" t="s">
        <v>356</v>
      </c>
      <c r="F5252" t="s">
        <v>13463</v>
      </c>
      <c r="G5252" t="str">
        <f>HYPERLINK("https://www.lecturernews.com/news/articleView.html?idxno=180985")</f>
        <v>https://www.lecturernews.com/news/articleView.html?idxno=180985</v>
      </c>
      <c r="H5252">
        <v>0.68200000000000005</v>
      </c>
    </row>
    <row r="5253" spans="1:8" x14ac:dyDescent="0.3">
      <c r="A5253" t="s">
        <v>9678</v>
      </c>
      <c r="B5253" t="s">
        <v>26951</v>
      </c>
      <c r="C5253" t="s">
        <v>13467</v>
      </c>
      <c r="D5253" t="s">
        <v>13466</v>
      </c>
      <c r="E5253" s="2" t="s">
        <v>356</v>
      </c>
      <c r="F5253" t="s">
        <v>2498</v>
      </c>
      <c r="G5253" t="str">
        <f>HYPERLINK("https://n.news.naver.com/mnews/article/214/0001409513?sid=100")</f>
        <v>https://n.news.naver.com/mnews/article/214/0001409513?sid=100</v>
      </c>
      <c r="H5253">
        <v>0.52600000000000002</v>
      </c>
    </row>
    <row r="5254" spans="1:8" x14ac:dyDescent="0.3">
      <c r="A5254" t="s">
        <v>9678</v>
      </c>
      <c r="B5254" t="s">
        <v>26951</v>
      </c>
      <c r="C5254" t="s">
        <v>13469</v>
      </c>
      <c r="D5254" t="s">
        <v>13468</v>
      </c>
      <c r="E5254" s="2" t="s">
        <v>356</v>
      </c>
      <c r="F5254" t="s">
        <v>5342</v>
      </c>
      <c r="G5254" t="str">
        <f>HYPERLINK("http://www.marketnews.co.kr/news/articleView.html?idxno=65362")</f>
        <v>http://www.marketnews.co.kr/news/articleView.html?idxno=65362</v>
      </c>
      <c r="H5254">
        <v>0.23400000000000001</v>
      </c>
    </row>
    <row r="5255" spans="1:8" x14ac:dyDescent="0.3">
      <c r="A5255" t="s">
        <v>9678</v>
      </c>
      <c r="B5255" t="s">
        <v>26951</v>
      </c>
      <c r="C5255" t="s">
        <v>13471</v>
      </c>
      <c r="D5255" t="s">
        <v>13470</v>
      </c>
      <c r="E5255" s="2" t="s">
        <v>356</v>
      </c>
      <c r="F5255" t="s">
        <v>9749</v>
      </c>
      <c r="G5255" t="str">
        <f>HYPERLINK("https://n.news.naver.com/mnews/article/002/0002335505?sid=102")</f>
        <v>https://n.news.naver.com/mnews/article/002/0002335505?sid=102</v>
      </c>
      <c r="H5255">
        <v>0.188</v>
      </c>
    </row>
    <row r="5256" spans="1:8" x14ac:dyDescent="0.3">
      <c r="A5256" t="s">
        <v>9678</v>
      </c>
      <c r="B5256" t="s">
        <v>26951</v>
      </c>
      <c r="C5256" t="s">
        <v>13474</v>
      </c>
      <c r="D5256" t="s">
        <v>13473</v>
      </c>
      <c r="E5256" s="2" t="s">
        <v>356</v>
      </c>
      <c r="F5256" t="s">
        <v>13472</v>
      </c>
      <c r="G5256" t="str">
        <f>HYPERLINK("https://news.bbsi.co.kr/news/articleView.html?idxno=4033863")</f>
        <v>https://news.bbsi.co.kr/news/articleView.html?idxno=4033863</v>
      </c>
      <c r="H5256">
        <v>0.442</v>
      </c>
    </row>
    <row r="5257" spans="1:8" x14ac:dyDescent="0.3">
      <c r="A5257" t="s">
        <v>9678</v>
      </c>
      <c r="B5257" t="s">
        <v>26951</v>
      </c>
      <c r="C5257" t="s">
        <v>13477</v>
      </c>
      <c r="D5257" t="s">
        <v>13476</v>
      </c>
      <c r="E5257" s="2" t="s">
        <v>356</v>
      </c>
      <c r="F5257" t="s">
        <v>13475</v>
      </c>
      <c r="G5257" t="str">
        <f>HYPERLINK("https://n.news.naver.com/mnews/article/469/0000557627?sid=103")</f>
        <v>https://n.news.naver.com/mnews/article/469/0000557627?sid=103</v>
      </c>
      <c r="H5257">
        <v>0.29699999999999999</v>
      </c>
    </row>
    <row r="5258" spans="1:8" x14ac:dyDescent="0.3">
      <c r="A5258" t="s">
        <v>9678</v>
      </c>
      <c r="B5258" t="s">
        <v>26951</v>
      </c>
      <c r="C5258" t="s">
        <v>13479</v>
      </c>
      <c r="D5258" t="s">
        <v>13478</v>
      </c>
      <c r="E5258" s="2" t="s">
        <v>356</v>
      </c>
      <c r="F5258" t="s">
        <v>5342</v>
      </c>
      <c r="G5258" t="str">
        <f>HYPERLINK("https://sports.hankooki.com/news/articleView.html?idxno=6901375")</f>
        <v>https://sports.hankooki.com/news/articleView.html?idxno=6901375</v>
      </c>
      <c r="H5258">
        <v>0.81299999999999994</v>
      </c>
    </row>
    <row r="5259" spans="1:8" x14ac:dyDescent="0.3">
      <c r="A5259" t="s">
        <v>9678</v>
      </c>
      <c r="B5259" t="s">
        <v>26951</v>
      </c>
      <c r="C5259" t="s">
        <v>13481</v>
      </c>
      <c r="D5259" t="s">
        <v>13480</v>
      </c>
      <c r="E5259" s="2" t="s">
        <v>356</v>
      </c>
      <c r="F5259" t="s">
        <v>5342</v>
      </c>
      <c r="G5259" t="str">
        <f>HYPERLINK("https://n.news.naver.com/mnews/article/052/0002204763?sid=102")</f>
        <v>https://n.news.naver.com/mnews/article/052/0002204763?sid=102</v>
      </c>
      <c r="H5259">
        <v>0.28599999999999998</v>
      </c>
    </row>
    <row r="5260" spans="1:8" x14ac:dyDescent="0.3">
      <c r="A5260" t="s">
        <v>9678</v>
      </c>
      <c r="B5260" t="s">
        <v>26951</v>
      </c>
      <c r="C5260" t="s">
        <v>13483</v>
      </c>
      <c r="D5260" t="s">
        <v>13482</v>
      </c>
      <c r="E5260" s="2" t="s">
        <v>356</v>
      </c>
      <c r="F5260" t="s">
        <v>9897</v>
      </c>
      <c r="G5260" t="str">
        <f>HYPERLINK("https://www.dnews.co.kr/uhtml/view.jsp?idxno=202409181401425950914")</f>
        <v>https://www.dnews.co.kr/uhtml/view.jsp?idxno=202409181401425950914</v>
      </c>
      <c r="H5260">
        <v>0.61699999999999999</v>
      </c>
    </row>
    <row r="5261" spans="1:8" x14ac:dyDescent="0.3">
      <c r="A5261" t="s">
        <v>9678</v>
      </c>
      <c r="B5261" t="s">
        <v>26951</v>
      </c>
      <c r="C5261" t="s">
        <v>13485</v>
      </c>
      <c r="D5261" t="s">
        <v>13484</v>
      </c>
      <c r="E5261" s="2" t="s">
        <v>356</v>
      </c>
      <c r="F5261" t="s">
        <v>5342</v>
      </c>
      <c r="G5261" t="str">
        <f>HYPERLINK("http://www.joongdo.co.kr/main/view.php?key=20170927010008809")</f>
        <v>http://www.joongdo.co.kr/main/view.php?key=20170927010008809</v>
      </c>
      <c r="H5261">
        <v>0.40500000000000003</v>
      </c>
    </row>
    <row r="5262" spans="1:8" x14ac:dyDescent="0.3">
      <c r="A5262" t="s">
        <v>9678</v>
      </c>
      <c r="B5262" t="s">
        <v>26951</v>
      </c>
      <c r="C5262" t="s">
        <v>13488</v>
      </c>
      <c r="D5262" t="s">
        <v>13487</v>
      </c>
      <c r="E5262" s="2" t="s">
        <v>356</v>
      </c>
      <c r="F5262" t="s">
        <v>13486</v>
      </c>
      <c r="G5262" t="str">
        <f>HYPERLINK("https://www.m-joongang.com/news/articleView.html?idxno=401266")</f>
        <v>https://www.m-joongang.com/news/articleView.html?idxno=401266</v>
      </c>
      <c r="H5262">
        <v>0.24199999999999999</v>
      </c>
    </row>
    <row r="5263" spans="1:8" x14ac:dyDescent="0.3">
      <c r="A5263" t="s">
        <v>9678</v>
      </c>
      <c r="B5263" t="s">
        <v>26951</v>
      </c>
      <c r="C5263" t="s">
        <v>13490</v>
      </c>
      <c r="D5263" t="s">
        <v>13489</v>
      </c>
      <c r="E5263" s="2" t="s">
        <v>356</v>
      </c>
      <c r="F5263" t="s">
        <v>89</v>
      </c>
      <c r="G5263" t="str">
        <f>HYPERLINK("https://www.greened.kr/news/articleView.html?idxno=322237")</f>
        <v>https://www.greened.kr/news/articleView.html?idxno=322237</v>
      </c>
      <c r="H5263">
        <v>0.48399999999999999</v>
      </c>
    </row>
    <row r="5264" spans="1:8" x14ac:dyDescent="0.3">
      <c r="A5264" t="s">
        <v>9678</v>
      </c>
      <c r="B5264" t="s">
        <v>26951</v>
      </c>
      <c r="C5264" t="s">
        <v>13492</v>
      </c>
      <c r="D5264" t="s">
        <v>13491</v>
      </c>
      <c r="E5264" s="2" t="s">
        <v>356</v>
      </c>
      <c r="F5264" t="s">
        <v>7322</v>
      </c>
      <c r="G5264" t="str">
        <f>HYPERLINK("https://www.huffingtonpost.kr/entry/story_kr_5c6a5a67e4b05c889d2090b4?utm_id=naver")</f>
        <v>https://www.huffingtonpost.kr/entry/story_kr_5c6a5a67e4b05c889d2090b4?utm_id=naver</v>
      </c>
      <c r="H5264">
        <v>0.433</v>
      </c>
    </row>
    <row r="5265" spans="1:8" x14ac:dyDescent="0.3">
      <c r="A5265" t="s">
        <v>9678</v>
      </c>
      <c r="B5265" t="s">
        <v>26951</v>
      </c>
      <c r="C5265" t="s">
        <v>13494</v>
      </c>
      <c r="D5265" t="s">
        <v>13493</v>
      </c>
      <c r="E5265" s="2" t="s">
        <v>356</v>
      </c>
      <c r="F5265" t="s">
        <v>9794</v>
      </c>
      <c r="G5265" t="str">
        <f>HYPERLINK("https://www.newswhoplus.com/news/articleView.html?idxno=30014")</f>
        <v>https://www.newswhoplus.com/news/articleView.html?idxno=30014</v>
      </c>
      <c r="H5265">
        <v>0.61899999999999999</v>
      </c>
    </row>
    <row r="5266" spans="1:8" x14ac:dyDescent="0.3">
      <c r="A5266" t="s">
        <v>9678</v>
      </c>
      <c r="B5266" t="s">
        <v>26951</v>
      </c>
      <c r="C5266" t="s">
        <v>13496</v>
      </c>
      <c r="D5266" t="s">
        <v>13495</v>
      </c>
      <c r="E5266" s="2" t="s">
        <v>356</v>
      </c>
      <c r="F5266" t="s">
        <v>171</v>
      </c>
      <c r="G5266" t="str">
        <f>HYPERLINK("https://www.asiatoday.co.kr/view.php?key=20250619000950583")</f>
        <v>https://www.asiatoday.co.kr/view.php?key=20250619000950583</v>
      </c>
      <c r="H5266">
        <v>8.4000000000000005E-2</v>
      </c>
    </row>
    <row r="5267" spans="1:8" x14ac:dyDescent="0.3">
      <c r="A5267" t="s">
        <v>9678</v>
      </c>
      <c r="B5267" t="s">
        <v>26951</v>
      </c>
      <c r="C5267" t="s">
        <v>13499</v>
      </c>
      <c r="D5267" t="s">
        <v>13498</v>
      </c>
      <c r="E5267" s="2" t="s">
        <v>356</v>
      </c>
      <c r="F5267" t="s">
        <v>13497</v>
      </c>
      <c r="G5267" t="str">
        <f>HYPERLINK("http://www.breaknews.com/976904")</f>
        <v>http://www.breaknews.com/976904</v>
      </c>
      <c r="H5267">
        <v>0.48399999999999999</v>
      </c>
    </row>
    <row r="5268" spans="1:8" x14ac:dyDescent="0.3">
      <c r="A5268" t="s">
        <v>9678</v>
      </c>
      <c r="B5268" t="s">
        <v>26951</v>
      </c>
      <c r="C5268" t="s">
        <v>13501</v>
      </c>
      <c r="D5268" t="s">
        <v>13500</v>
      </c>
      <c r="E5268" s="2" t="s">
        <v>356</v>
      </c>
      <c r="F5268" t="s">
        <v>9935</v>
      </c>
      <c r="G5268" t="str">
        <f>HYPERLINK("http://www.mediafine.co.kr/news/articleView.html?idxno=4505")</f>
        <v>http://www.mediafine.co.kr/news/articleView.html?idxno=4505</v>
      </c>
      <c r="H5268">
        <v>0.501</v>
      </c>
    </row>
    <row r="5269" spans="1:8" x14ac:dyDescent="0.3">
      <c r="A5269" t="s">
        <v>9678</v>
      </c>
      <c r="B5269" t="s">
        <v>26951</v>
      </c>
      <c r="C5269" t="s">
        <v>13503</v>
      </c>
      <c r="D5269" t="s">
        <v>13502</v>
      </c>
      <c r="E5269" s="2" t="s">
        <v>356</v>
      </c>
      <c r="F5269" t="s">
        <v>11806</v>
      </c>
      <c r="G5269" t="str">
        <f>HYPERLINK("https://www.asiatoday.co.kr/view.php?key=20250619000950583")</f>
        <v>https://www.asiatoday.co.kr/view.php?key=20250619000950583</v>
      </c>
      <c r="H5269">
        <v>2.8000000000000001E-2</v>
      </c>
    </row>
    <row r="5270" spans="1:8" x14ac:dyDescent="0.3">
      <c r="A5270" t="s">
        <v>9678</v>
      </c>
      <c r="B5270" t="s">
        <v>26951</v>
      </c>
      <c r="C5270" t="s">
        <v>13505</v>
      </c>
      <c r="D5270" t="s">
        <v>13504</v>
      </c>
      <c r="E5270" s="2" t="s">
        <v>356</v>
      </c>
      <c r="F5270" t="s">
        <v>2064</v>
      </c>
      <c r="G5270" t="str">
        <f>HYPERLINK("https://n.news.naver.com/mnews/article/214/0001433403?sid=100")</f>
        <v>https://n.news.naver.com/mnews/article/214/0001433403?sid=100</v>
      </c>
      <c r="H5270">
        <v>0.43099999999999999</v>
      </c>
    </row>
    <row r="5271" spans="1:8" x14ac:dyDescent="0.3">
      <c r="A5271" t="s">
        <v>9678</v>
      </c>
      <c r="B5271" t="s">
        <v>26951</v>
      </c>
      <c r="C5271" t="s">
        <v>13508</v>
      </c>
      <c r="D5271" t="s">
        <v>13507</v>
      </c>
      <c r="E5271" s="2" t="s">
        <v>356</v>
      </c>
      <c r="F5271" t="s">
        <v>13506</v>
      </c>
      <c r="G5271" t="str">
        <f>HYPERLINK("http://www.gokorea.kr/news/articleView.html?idxno=49355")</f>
        <v>http://www.gokorea.kr/news/articleView.html?idxno=49355</v>
      </c>
      <c r="H5271">
        <v>0.28199999999999997</v>
      </c>
    </row>
    <row r="5272" spans="1:8" x14ac:dyDescent="0.3">
      <c r="A5272" t="s">
        <v>9678</v>
      </c>
      <c r="B5272" t="s">
        <v>26951</v>
      </c>
      <c r="C5272" t="s">
        <v>8399</v>
      </c>
      <c r="D5272" t="s">
        <v>8398</v>
      </c>
      <c r="E5272" s="2" t="s">
        <v>356</v>
      </c>
      <c r="F5272" t="s">
        <v>8397</v>
      </c>
      <c r="G5272" t="str">
        <f>HYPERLINK("https://n.news.naver.com/mnews/article/016/0000913073?sid=101")</f>
        <v>https://n.news.naver.com/mnews/article/016/0000913073?sid=101</v>
      </c>
      <c r="H5272">
        <v>0.41899999999999998</v>
      </c>
    </row>
    <row r="5273" spans="1:8" x14ac:dyDescent="0.3">
      <c r="A5273" t="s">
        <v>9678</v>
      </c>
      <c r="B5273" t="s">
        <v>26951</v>
      </c>
      <c r="C5273" t="s">
        <v>13510</v>
      </c>
      <c r="D5273" t="s">
        <v>13509</v>
      </c>
      <c r="E5273" s="2" t="s">
        <v>356</v>
      </c>
      <c r="F5273" t="s">
        <v>10235</v>
      </c>
      <c r="G5273" t="str">
        <f>HYPERLINK("http://www.newscj.com/article/20221023580121")</f>
        <v>http://www.newscj.com/article/20221023580121</v>
      </c>
      <c r="H5273">
        <v>0.50900000000000001</v>
      </c>
    </row>
    <row r="5274" spans="1:8" x14ac:dyDescent="0.3">
      <c r="A5274" t="s">
        <v>9678</v>
      </c>
      <c r="B5274" t="s">
        <v>26951</v>
      </c>
      <c r="C5274" t="s">
        <v>13513</v>
      </c>
      <c r="D5274" t="s">
        <v>13512</v>
      </c>
      <c r="E5274" s="2" t="s">
        <v>356</v>
      </c>
      <c r="F5274" t="s">
        <v>13511</v>
      </c>
      <c r="G5274" t="str">
        <f>HYPERLINK("https://www.asiatoday.co.kr/view.php?key=20250619000950583")</f>
        <v>https://www.asiatoday.co.kr/view.php?key=20250619000950583</v>
      </c>
      <c r="H5274">
        <v>9.8000000000000004E-2</v>
      </c>
    </row>
    <row r="5275" spans="1:8" x14ac:dyDescent="0.3">
      <c r="A5275" t="s">
        <v>9678</v>
      </c>
      <c r="B5275" t="s">
        <v>26951</v>
      </c>
      <c r="C5275" t="s">
        <v>13515</v>
      </c>
      <c r="D5275" t="s">
        <v>13514</v>
      </c>
      <c r="E5275" s="2" t="s">
        <v>356</v>
      </c>
      <c r="F5275" t="s">
        <v>1109</v>
      </c>
      <c r="G5275" t="str">
        <f>HYPERLINK("https://www.etoday.co.kr/news/view/2480361")</f>
        <v>https://www.etoday.co.kr/news/view/2480361</v>
      </c>
      <c r="H5275">
        <v>0.54600000000000004</v>
      </c>
    </row>
    <row r="5276" spans="1:8" x14ac:dyDescent="0.3">
      <c r="A5276" t="s">
        <v>9678</v>
      </c>
      <c r="B5276" t="s">
        <v>26951</v>
      </c>
      <c r="C5276" t="s">
        <v>13517</v>
      </c>
      <c r="D5276" t="s">
        <v>13516</v>
      </c>
      <c r="E5276" s="2" t="s">
        <v>356</v>
      </c>
      <c r="F5276" t="s">
        <v>8074</v>
      </c>
      <c r="G5276" t="str">
        <f>HYPERLINK("https://www.asiatoday.co.kr/view.php?key=20250619000950583")</f>
        <v>https://www.asiatoday.co.kr/view.php?key=20250619000950583</v>
      </c>
      <c r="H5276">
        <v>9.9000000000000005E-2</v>
      </c>
    </row>
    <row r="5277" spans="1:8" x14ac:dyDescent="0.3">
      <c r="A5277" t="s">
        <v>9678</v>
      </c>
      <c r="B5277" t="s">
        <v>26951</v>
      </c>
      <c r="C5277" t="s">
        <v>13520</v>
      </c>
      <c r="D5277" t="s">
        <v>13519</v>
      </c>
      <c r="E5277" s="2" t="s">
        <v>356</v>
      </c>
      <c r="F5277" t="s">
        <v>13518</v>
      </c>
      <c r="G5277" t="str">
        <f>HYPERLINK("https://ppss.kr/archives/253669")</f>
        <v>https://ppss.kr/archives/253669</v>
      </c>
      <c r="H5277">
        <v>0.27100000000000002</v>
      </c>
    </row>
    <row r="5278" spans="1:8" x14ac:dyDescent="0.3">
      <c r="A5278" t="s">
        <v>9678</v>
      </c>
      <c r="B5278" t="s">
        <v>26951</v>
      </c>
      <c r="C5278" t="s">
        <v>13522</v>
      </c>
      <c r="D5278" t="s">
        <v>13521</v>
      </c>
      <c r="E5278" s="2" t="s">
        <v>356</v>
      </c>
      <c r="F5278" t="s">
        <v>6529</v>
      </c>
      <c r="G5278" t="str">
        <f>HYPERLINK("https://www.meconomynews.com/news/articleView.html?idxno=115248")</f>
        <v>https://www.meconomynews.com/news/articleView.html?idxno=115248</v>
      </c>
      <c r="H5278">
        <v>0.45100000000000001</v>
      </c>
    </row>
    <row r="5279" spans="1:8" x14ac:dyDescent="0.3">
      <c r="A5279" t="s">
        <v>9678</v>
      </c>
      <c r="B5279" t="s">
        <v>26951</v>
      </c>
      <c r="C5279" t="s">
        <v>13525</v>
      </c>
      <c r="D5279" t="s">
        <v>13524</v>
      </c>
      <c r="E5279" s="2" t="s">
        <v>356</v>
      </c>
      <c r="F5279" t="s">
        <v>13523</v>
      </c>
      <c r="G5279" t="str">
        <f>HYPERLINK("https://n.news.naver.com/mnews/article/006/0000130669?sid=102")</f>
        <v>https://n.news.naver.com/mnews/article/006/0000130669?sid=102</v>
      </c>
      <c r="H5279">
        <v>0.28499999999999998</v>
      </c>
    </row>
    <row r="5280" spans="1:8" x14ac:dyDescent="0.3">
      <c r="A5280" t="s">
        <v>9678</v>
      </c>
      <c r="B5280" t="s">
        <v>26951</v>
      </c>
      <c r="C5280" t="s">
        <v>13528</v>
      </c>
      <c r="D5280" t="s">
        <v>13527</v>
      </c>
      <c r="E5280" s="2" t="s">
        <v>356</v>
      </c>
      <c r="F5280" t="s">
        <v>13526</v>
      </c>
      <c r="G5280" t="str">
        <f>HYPERLINK("https://www.apnews.kr/news/articleView.html?idxno=3011644")</f>
        <v>https://www.apnews.kr/news/articleView.html?idxno=3011644</v>
      </c>
      <c r="H5280">
        <v>0.376</v>
      </c>
    </row>
    <row r="5281" spans="1:8" x14ac:dyDescent="0.3">
      <c r="A5281" t="s">
        <v>9678</v>
      </c>
      <c r="B5281" t="s">
        <v>26951</v>
      </c>
      <c r="C5281" t="s">
        <v>13531</v>
      </c>
      <c r="D5281" t="s">
        <v>13530</v>
      </c>
      <c r="E5281" s="2" t="s">
        <v>356</v>
      </c>
      <c r="F5281" t="s">
        <v>13529</v>
      </c>
      <c r="G5281" t="str">
        <f>HYPERLINK("http://www.kukinews.com/news/article.html?no=566678")</f>
        <v>http://www.kukinews.com/news/article.html?no=566678</v>
      </c>
      <c r="H5281">
        <v>0.45600000000000002</v>
      </c>
    </row>
    <row r="5282" spans="1:8" x14ac:dyDescent="0.3">
      <c r="A5282" t="s">
        <v>9678</v>
      </c>
      <c r="B5282" t="s">
        <v>26951</v>
      </c>
      <c r="C5282" t="s">
        <v>13534</v>
      </c>
      <c r="D5282" t="s">
        <v>13533</v>
      </c>
      <c r="E5282" s="2" t="s">
        <v>356</v>
      </c>
      <c r="F5282" t="s">
        <v>13532</v>
      </c>
      <c r="G5282" t="str">
        <f>HYPERLINK("http://www.joongdo.co.kr/main/view.php?key=20190628001335252")</f>
        <v>http://www.joongdo.co.kr/main/view.php?key=20190628001335252</v>
      </c>
      <c r="H5282">
        <v>0.32200000000000001</v>
      </c>
    </row>
    <row r="5283" spans="1:8" x14ac:dyDescent="0.3">
      <c r="A5283" t="s">
        <v>9678</v>
      </c>
      <c r="B5283" t="s">
        <v>26951</v>
      </c>
      <c r="C5283" t="s">
        <v>13536</v>
      </c>
      <c r="D5283" t="s">
        <v>13535</v>
      </c>
      <c r="E5283" s="2" t="s">
        <v>133</v>
      </c>
      <c r="F5283" t="s">
        <v>5724</v>
      </c>
      <c r="G5283" t="str">
        <f>HYPERLINK("https://radio.ytn.co.kr/program/?f=2&amp;id=103427&amp;s_mcd=0214&amp;s_hcd=01")</f>
        <v>https://radio.ytn.co.kr/program/?f=2&amp;id=103427&amp;s_mcd=0214&amp;s_hcd=01</v>
      </c>
      <c r="H5283">
        <v>0.191</v>
      </c>
    </row>
    <row r="5284" spans="1:8" x14ac:dyDescent="0.3">
      <c r="A5284" t="s">
        <v>9678</v>
      </c>
      <c r="B5284" t="s">
        <v>26951</v>
      </c>
      <c r="C5284" t="s">
        <v>13539</v>
      </c>
      <c r="D5284" t="s">
        <v>13538</v>
      </c>
      <c r="E5284" s="2" t="s">
        <v>133</v>
      </c>
      <c r="F5284" t="s">
        <v>13537</v>
      </c>
      <c r="H5284">
        <v>0.67600000000000005</v>
      </c>
    </row>
    <row r="5285" spans="1:8" x14ac:dyDescent="0.3">
      <c r="A5285" t="s">
        <v>9678</v>
      </c>
      <c r="B5285" t="s">
        <v>26951</v>
      </c>
      <c r="C5285" t="s">
        <v>13541</v>
      </c>
      <c r="D5285" t="s">
        <v>13540</v>
      </c>
      <c r="E5285" s="2" t="s">
        <v>133</v>
      </c>
      <c r="F5285" t="s">
        <v>1377</v>
      </c>
      <c r="G5285" t="str">
        <f>HYPERLINK("https://sports.hankooki.com/news/articleView.html?idxno=6902045")</f>
        <v>https://sports.hankooki.com/news/articleView.html?idxno=6902045</v>
      </c>
      <c r="H5285">
        <v>0.438</v>
      </c>
    </row>
    <row r="5286" spans="1:8" x14ac:dyDescent="0.3">
      <c r="A5286" t="s">
        <v>9678</v>
      </c>
      <c r="B5286" t="s">
        <v>26951</v>
      </c>
      <c r="C5286" t="s">
        <v>13544</v>
      </c>
      <c r="D5286" t="s">
        <v>13543</v>
      </c>
      <c r="E5286" s="2" t="s">
        <v>133</v>
      </c>
      <c r="F5286" t="s">
        <v>13542</v>
      </c>
      <c r="G5286" t="str">
        <f>HYPERLINK("http://sports.hankooki.com/lpage/entv/201502/sp20150228080044136730.htm")</f>
        <v>http://sports.hankooki.com/lpage/entv/201502/sp20150228080044136730.htm</v>
      </c>
      <c r="H5286">
        <v>6.3E-2</v>
      </c>
    </row>
    <row r="5287" spans="1:8" x14ac:dyDescent="0.3">
      <c r="A5287" t="s">
        <v>9678</v>
      </c>
      <c r="B5287" t="s">
        <v>26951</v>
      </c>
      <c r="C5287" t="s">
        <v>13547</v>
      </c>
      <c r="D5287" t="s">
        <v>13546</v>
      </c>
      <c r="E5287" s="2" t="s">
        <v>133</v>
      </c>
      <c r="F5287" t="s">
        <v>13545</v>
      </c>
      <c r="G5287" t="str">
        <f>HYPERLINK("https://news.bbsi.co.kr/news/articleView.html?idxno=4036346")</f>
        <v>https://news.bbsi.co.kr/news/articleView.html?idxno=4036346</v>
      </c>
      <c r="H5287">
        <v>0.40500000000000003</v>
      </c>
    </row>
    <row r="5288" spans="1:8" x14ac:dyDescent="0.3">
      <c r="A5288" t="s">
        <v>9678</v>
      </c>
      <c r="B5288" t="s">
        <v>26951</v>
      </c>
      <c r="C5288" t="s">
        <v>13549</v>
      </c>
      <c r="D5288" t="s">
        <v>13548</v>
      </c>
      <c r="E5288" s="2" t="s">
        <v>133</v>
      </c>
      <c r="F5288" t="s">
        <v>9860</v>
      </c>
      <c r="G5288" t="str">
        <f>HYPERLINK("https://www.econovill.com/news/articleView.html?idxno=687937")</f>
        <v>https://www.econovill.com/news/articleView.html?idxno=687937</v>
      </c>
      <c r="H5288">
        <v>0.13600000000000001</v>
      </c>
    </row>
    <row r="5289" spans="1:8" x14ac:dyDescent="0.3">
      <c r="A5289" t="s">
        <v>9678</v>
      </c>
      <c r="B5289" t="s">
        <v>26951</v>
      </c>
      <c r="C5289" t="s">
        <v>13552</v>
      </c>
      <c r="D5289" t="s">
        <v>13551</v>
      </c>
      <c r="E5289" s="2" t="s">
        <v>133</v>
      </c>
      <c r="F5289" t="s">
        <v>13550</v>
      </c>
      <c r="G5289" t="str">
        <f>HYPERLINK("http://www.breaknews.com/1072807")</f>
        <v>http://www.breaknews.com/1072807</v>
      </c>
      <c r="H5289">
        <v>0.222</v>
      </c>
    </row>
    <row r="5290" spans="1:8" x14ac:dyDescent="0.3">
      <c r="A5290" t="s">
        <v>9678</v>
      </c>
      <c r="B5290" t="s">
        <v>26951</v>
      </c>
      <c r="C5290" t="s">
        <v>13554</v>
      </c>
      <c r="D5290" t="s">
        <v>13553</v>
      </c>
      <c r="E5290" s="2" t="s">
        <v>133</v>
      </c>
      <c r="F5290" t="s">
        <v>12310</v>
      </c>
      <c r="G5290" t="str">
        <f>HYPERLINK("https://www.mediajeju.com/news/articleView.html?idxno=358841")</f>
        <v>https://www.mediajeju.com/news/articleView.html?idxno=358841</v>
      </c>
      <c r="H5290">
        <v>0.53100000000000003</v>
      </c>
    </row>
    <row r="5291" spans="1:8" x14ac:dyDescent="0.3">
      <c r="A5291" t="s">
        <v>9678</v>
      </c>
      <c r="B5291" t="s">
        <v>26951</v>
      </c>
      <c r="C5291" t="s">
        <v>13556</v>
      </c>
      <c r="D5291" t="s">
        <v>13555</v>
      </c>
      <c r="E5291" s="2" t="s">
        <v>133</v>
      </c>
      <c r="F5291" t="s">
        <v>7606</v>
      </c>
      <c r="G5291" t="str">
        <f>HYPERLINK("https://n.news.naver.com/mnews/article/277/0005615304?sid=102")</f>
        <v>https://n.news.naver.com/mnews/article/277/0005615304?sid=102</v>
      </c>
      <c r="H5291">
        <v>0.29799999999999999</v>
      </c>
    </row>
    <row r="5292" spans="1:8" x14ac:dyDescent="0.3">
      <c r="A5292" t="s">
        <v>9678</v>
      </c>
      <c r="B5292" t="s">
        <v>26951</v>
      </c>
      <c r="C5292" t="s">
        <v>13558</v>
      </c>
      <c r="D5292" t="s">
        <v>13557</v>
      </c>
      <c r="E5292" s="2" t="s">
        <v>133</v>
      </c>
      <c r="F5292" t="s">
        <v>11504</v>
      </c>
      <c r="G5292" t="str">
        <f>HYPERLINK("http://www.sctoday.co.kr/news/articleView.html?idxno=44517")</f>
        <v>http://www.sctoday.co.kr/news/articleView.html?idxno=44517</v>
      </c>
      <c r="H5292">
        <v>0.496</v>
      </c>
    </row>
    <row r="5293" spans="1:8" x14ac:dyDescent="0.3">
      <c r="A5293" t="s">
        <v>9678</v>
      </c>
      <c r="B5293" t="s">
        <v>26951</v>
      </c>
      <c r="C5293" t="s">
        <v>13560</v>
      </c>
      <c r="D5293" t="s">
        <v>13559</v>
      </c>
      <c r="E5293" s="2" t="s">
        <v>133</v>
      </c>
      <c r="F5293" t="s">
        <v>7322</v>
      </c>
      <c r="G5293" t="str">
        <f>HYPERLINK("http://www.newsfreezone.co.kr/news/articleView.html?idxno=310208")</f>
        <v>http://www.newsfreezone.co.kr/news/articleView.html?idxno=310208</v>
      </c>
      <c r="H5293">
        <v>0.246</v>
      </c>
    </row>
    <row r="5294" spans="1:8" x14ac:dyDescent="0.3">
      <c r="A5294" t="s">
        <v>9678</v>
      </c>
      <c r="B5294" t="s">
        <v>26951</v>
      </c>
      <c r="C5294" t="s">
        <v>13563</v>
      </c>
      <c r="D5294" t="s">
        <v>13562</v>
      </c>
      <c r="E5294" s="2" t="s">
        <v>133</v>
      </c>
      <c r="F5294" t="s">
        <v>13561</v>
      </c>
      <c r="G5294" t="str">
        <f>HYPERLINK("http://www.fortunekorea.co.kr/news/articleView.html?idxno=13235")</f>
        <v>http://www.fortunekorea.co.kr/news/articleView.html?idxno=13235</v>
      </c>
      <c r="H5294">
        <v>0.56000000000000005</v>
      </c>
    </row>
    <row r="5295" spans="1:8" x14ac:dyDescent="0.3">
      <c r="A5295" t="s">
        <v>9678</v>
      </c>
      <c r="B5295" t="s">
        <v>26951</v>
      </c>
      <c r="C5295" t="s">
        <v>13565</v>
      </c>
      <c r="D5295" t="s">
        <v>13564</v>
      </c>
      <c r="E5295" s="2" t="s">
        <v>133</v>
      </c>
      <c r="F5295" t="s">
        <v>197</v>
      </c>
      <c r="G5295" t="str">
        <f>HYPERLINK("https://n.news.naver.com/mnews/article/214/0001432215?sid=102")</f>
        <v>https://n.news.naver.com/mnews/article/214/0001432215?sid=102</v>
      </c>
      <c r="H5295">
        <v>0.28999999999999998</v>
      </c>
    </row>
    <row r="5296" spans="1:8" x14ac:dyDescent="0.3">
      <c r="A5296" t="s">
        <v>9678</v>
      </c>
      <c r="B5296" t="s">
        <v>26951</v>
      </c>
      <c r="C5296" t="s">
        <v>13568</v>
      </c>
      <c r="D5296" t="s">
        <v>13567</v>
      </c>
      <c r="E5296" s="2" t="s">
        <v>133</v>
      </c>
      <c r="F5296" t="s">
        <v>13566</v>
      </c>
      <c r="G5296" t="str">
        <f>HYPERLINK("http://worknworld.kctu.org/news/articleView.html?idxno=507148")</f>
        <v>http://worknworld.kctu.org/news/articleView.html?idxno=507148</v>
      </c>
      <c r="H5296">
        <v>0.751</v>
      </c>
    </row>
    <row r="5297" spans="1:8" x14ac:dyDescent="0.3">
      <c r="A5297" t="s">
        <v>9678</v>
      </c>
      <c r="B5297" t="s">
        <v>26951</v>
      </c>
      <c r="C5297" t="s">
        <v>13570</v>
      </c>
      <c r="D5297" t="s">
        <v>13569</v>
      </c>
      <c r="E5297" s="2" t="s">
        <v>133</v>
      </c>
      <c r="F5297" t="s">
        <v>10161</v>
      </c>
      <c r="G5297" t="str">
        <f>HYPERLINK("https://www.jemin.com/news/articleView.html?idxno=818828")</f>
        <v>https://www.jemin.com/news/articleView.html?idxno=818828</v>
      </c>
      <c r="H5297">
        <v>0.55200000000000005</v>
      </c>
    </row>
    <row r="5298" spans="1:8" x14ac:dyDescent="0.3">
      <c r="A5298" t="s">
        <v>9678</v>
      </c>
      <c r="B5298" t="s">
        <v>26951</v>
      </c>
      <c r="C5298" t="s">
        <v>13573</v>
      </c>
      <c r="D5298" t="s">
        <v>13572</v>
      </c>
      <c r="E5298" s="2" t="s">
        <v>133</v>
      </c>
      <c r="F5298" t="s">
        <v>13571</v>
      </c>
      <c r="G5298" t="str">
        <f>HYPERLINK("http://www.gnmaeil.com/news/articleView.html?idxno=372094")</f>
        <v>http://www.gnmaeil.com/news/articleView.html?idxno=372094</v>
      </c>
      <c r="H5298">
        <v>0.52800000000000002</v>
      </c>
    </row>
    <row r="5299" spans="1:8" x14ac:dyDescent="0.3">
      <c r="A5299" t="s">
        <v>9678</v>
      </c>
      <c r="B5299" t="s">
        <v>26951</v>
      </c>
      <c r="C5299" t="s">
        <v>13576</v>
      </c>
      <c r="D5299" t="s">
        <v>13575</v>
      </c>
      <c r="E5299" s="2" t="s">
        <v>133</v>
      </c>
      <c r="F5299" t="s">
        <v>13574</v>
      </c>
      <c r="G5299" t="str">
        <f>HYPERLINK("https://news.unn.net/news/articleView.html?idxno=580454")</f>
        <v>https://news.unn.net/news/articleView.html?idxno=580454</v>
      </c>
      <c r="H5299">
        <v>0.32100000000000001</v>
      </c>
    </row>
    <row r="5300" spans="1:8" x14ac:dyDescent="0.3">
      <c r="A5300" t="s">
        <v>9678</v>
      </c>
      <c r="B5300" t="s">
        <v>26951</v>
      </c>
      <c r="C5300" t="s">
        <v>13578</v>
      </c>
      <c r="D5300" t="s">
        <v>13577</v>
      </c>
      <c r="E5300" s="2" t="s">
        <v>133</v>
      </c>
      <c r="F5300" t="s">
        <v>9718</v>
      </c>
      <c r="G5300" t="str">
        <f>HYPERLINK("https://n.news.naver.com/mnews/article/214/0001431866?sid=100")</f>
        <v>https://n.news.naver.com/mnews/article/214/0001431866?sid=100</v>
      </c>
      <c r="H5300">
        <v>0.22500000000000001</v>
      </c>
    </row>
    <row r="5301" spans="1:8" x14ac:dyDescent="0.3">
      <c r="A5301" t="s">
        <v>9678</v>
      </c>
      <c r="B5301" t="s">
        <v>26951</v>
      </c>
      <c r="C5301" t="s">
        <v>13580</v>
      </c>
      <c r="D5301" t="s">
        <v>13579</v>
      </c>
      <c r="E5301" s="2" t="s">
        <v>133</v>
      </c>
      <c r="F5301" t="s">
        <v>5001</v>
      </c>
      <c r="G5301" t="str">
        <f>HYPERLINK("https://www.pennmike.com/news/articleView.html?idxno=98325")</f>
        <v>https://www.pennmike.com/news/articleView.html?idxno=98325</v>
      </c>
      <c r="H5301">
        <v>0.44900000000000001</v>
      </c>
    </row>
    <row r="5302" spans="1:8" x14ac:dyDescent="0.3">
      <c r="A5302" t="s">
        <v>9678</v>
      </c>
      <c r="B5302" t="s">
        <v>26951</v>
      </c>
      <c r="C5302" t="s">
        <v>13583</v>
      </c>
      <c r="D5302" t="s">
        <v>13582</v>
      </c>
      <c r="E5302" s="2" t="s">
        <v>133</v>
      </c>
      <c r="F5302" t="s">
        <v>13581</v>
      </c>
      <c r="G5302" t="str">
        <f>HYPERLINK("https://n.news.naver.com/mnews/article/214/0001022426?sid=100")</f>
        <v>https://n.news.naver.com/mnews/article/214/0001022426?sid=100</v>
      </c>
      <c r="H5302">
        <v>0.25700000000000001</v>
      </c>
    </row>
    <row r="5303" spans="1:8" x14ac:dyDescent="0.3">
      <c r="A5303" t="s">
        <v>9678</v>
      </c>
      <c r="B5303" t="s">
        <v>26951</v>
      </c>
      <c r="C5303" t="s">
        <v>13586</v>
      </c>
      <c r="D5303" t="s">
        <v>13585</v>
      </c>
      <c r="E5303" s="2" t="s">
        <v>133</v>
      </c>
      <c r="F5303" t="s">
        <v>13584</v>
      </c>
      <c r="G5303" t="str">
        <f>HYPERLINK("http://www.00news.co.kr/news/articleView.html?idxno=95249")</f>
        <v>http://www.00news.co.kr/news/articleView.html?idxno=95249</v>
      </c>
      <c r="H5303">
        <v>0.85099999999999998</v>
      </c>
    </row>
    <row r="5304" spans="1:8" x14ac:dyDescent="0.3">
      <c r="A5304" t="s">
        <v>9678</v>
      </c>
      <c r="B5304" t="s">
        <v>26951</v>
      </c>
      <c r="C5304" t="s">
        <v>13589</v>
      </c>
      <c r="D5304" t="s">
        <v>13588</v>
      </c>
      <c r="E5304" s="2" t="s">
        <v>133</v>
      </c>
      <c r="F5304" t="s">
        <v>13587</v>
      </c>
      <c r="G5304" t="str">
        <f>HYPERLINK("http://www.lecturernews.com/news/articleView.html?idxno=53947")</f>
        <v>http://www.lecturernews.com/news/articleView.html?idxno=53947</v>
      </c>
      <c r="H5304">
        <v>0.56999999999999995</v>
      </c>
    </row>
    <row r="5305" spans="1:8" x14ac:dyDescent="0.3">
      <c r="A5305" t="s">
        <v>9678</v>
      </c>
      <c r="B5305" t="s">
        <v>26951</v>
      </c>
      <c r="C5305" t="s">
        <v>13591</v>
      </c>
      <c r="D5305" t="s">
        <v>13590</v>
      </c>
      <c r="E5305" s="2" t="s">
        <v>133</v>
      </c>
      <c r="F5305" t="s">
        <v>9738</v>
      </c>
      <c r="G5305" t="str">
        <f>HYPERLINK("https://www.ebn.co.kr/news/articleView.html?idxno=1668318")</f>
        <v>https://www.ebn.co.kr/news/articleView.html?idxno=1668318</v>
      </c>
      <c r="H5305">
        <v>0.53600000000000003</v>
      </c>
    </row>
    <row r="5306" spans="1:8" x14ac:dyDescent="0.3">
      <c r="A5306" t="s">
        <v>9678</v>
      </c>
      <c r="B5306" t="s">
        <v>26951</v>
      </c>
      <c r="C5306" t="s">
        <v>13593</v>
      </c>
      <c r="D5306" t="s">
        <v>13592</v>
      </c>
      <c r="E5306" s="2" t="s">
        <v>133</v>
      </c>
      <c r="F5306" t="s">
        <v>5342</v>
      </c>
      <c r="G5306" t="str">
        <f>HYPERLINK("http://www.newspim.com/common/redirect.jsp?newsId=20130103000178")</f>
        <v>http://www.newspim.com/common/redirect.jsp?newsId=20130103000178</v>
      </c>
      <c r="H5306">
        <v>0.26200000000000001</v>
      </c>
    </row>
    <row r="5307" spans="1:8" x14ac:dyDescent="0.3">
      <c r="A5307" t="s">
        <v>9678</v>
      </c>
      <c r="B5307" t="s">
        <v>26951</v>
      </c>
      <c r="C5307" t="s">
        <v>13595</v>
      </c>
      <c r="D5307" t="s">
        <v>13594</v>
      </c>
      <c r="E5307" s="2" t="s">
        <v>133</v>
      </c>
      <c r="F5307" t="s">
        <v>175</v>
      </c>
      <c r="G5307" t="str">
        <f>HYPERLINK("http://www.pdjournal.com/news/articleView.html?idxno=15265")</f>
        <v>http://www.pdjournal.com/news/articleView.html?idxno=15265</v>
      </c>
      <c r="H5307">
        <v>0.311</v>
      </c>
    </row>
    <row r="5308" spans="1:8" x14ac:dyDescent="0.3">
      <c r="A5308" t="s">
        <v>9678</v>
      </c>
      <c r="B5308" t="s">
        <v>26951</v>
      </c>
      <c r="C5308" t="s">
        <v>13601</v>
      </c>
      <c r="D5308" t="s">
        <v>13600</v>
      </c>
      <c r="E5308" s="2" t="s">
        <v>133</v>
      </c>
      <c r="F5308" t="s">
        <v>13599</v>
      </c>
      <c r="G5308" t="str">
        <f>HYPERLINK("https://www.foodneconomy.com/news/articleView.html?idxno=302286")</f>
        <v>https://www.foodneconomy.com/news/articleView.html?idxno=302286</v>
      </c>
      <c r="H5308">
        <v>0.41199999999999998</v>
      </c>
    </row>
    <row r="5309" spans="1:8" x14ac:dyDescent="0.3">
      <c r="A5309" t="s">
        <v>9678</v>
      </c>
      <c r="B5309" t="s">
        <v>26951</v>
      </c>
      <c r="C5309" t="s">
        <v>13603</v>
      </c>
      <c r="D5309" t="s">
        <v>13602</v>
      </c>
      <c r="E5309" s="2" t="s">
        <v>133</v>
      </c>
      <c r="F5309" t="s">
        <v>3204</v>
      </c>
      <c r="G5309" t="str">
        <f>HYPERLINK("https://www.ggilbo.com/news/articleView.html?idxno=1098098")</f>
        <v>https://www.ggilbo.com/news/articleView.html?idxno=1098098</v>
      </c>
      <c r="H5309">
        <v>0.81</v>
      </c>
    </row>
    <row r="5310" spans="1:8" x14ac:dyDescent="0.3">
      <c r="A5310" t="s">
        <v>9678</v>
      </c>
      <c r="B5310" t="s">
        <v>26951</v>
      </c>
      <c r="C5310" t="s">
        <v>13605</v>
      </c>
      <c r="D5310" t="s">
        <v>13604</v>
      </c>
      <c r="E5310" s="2" t="s">
        <v>133</v>
      </c>
      <c r="F5310" t="s">
        <v>2710</v>
      </c>
      <c r="G5310" t="str">
        <f>HYPERLINK("https://n.news.naver.com/mnews/article/214/0001433247?sid=100")</f>
        <v>https://n.news.naver.com/mnews/article/214/0001433247?sid=100</v>
      </c>
      <c r="H5310">
        <v>0.32</v>
      </c>
    </row>
    <row r="5311" spans="1:8" x14ac:dyDescent="0.3">
      <c r="A5311" t="s">
        <v>9678</v>
      </c>
      <c r="B5311" t="s">
        <v>26951</v>
      </c>
      <c r="C5311" t="s">
        <v>8147</v>
      </c>
      <c r="D5311" t="s">
        <v>8146</v>
      </c>
      <c r="E5311" s="2" t="s">
        <v>133</v>
      </c>
      <c r="F5311" t="s">
        <v>6578</v>
      </c>
      <c r="G5311" t="str">
        <f>HYPERLINK("https://www.laborplus.co.kr/news/articleView.html?idxno=35736")</f>
        <v>https://www.laborplus.co.kr/news/articleView.html?idxno=35736</v>
      </c>
      <c r="H5311">
        <v>0.56799999999999995</v>
      </c>
    </row>
    <row r="5312" spans="1:8" x14ac:dyDescent="0.3">
      <c r="A5312" t="s">
        <v>9678</v>
      </c>
      <c r="B5312" t="s">
        <v>26951</v>
      </c>
      <c r="C5312" t="s">
        <v>13608</v>
      </c>
      <c r="D5312" t="s">
        <v>13607</v>
      </c>
      <c r="E5312" s="2" t="s">
        <v>133</v>
      </c>
      <c r="F5312" t="s">
        <v>13606</v>
      </c>
      <c r="G5312" t="str">
        <f>HYPERLINK("https://www.apnews.kr/news/articleView.html?idxno=3014474")</f>
        <v>https://www.apnews.kr/news/articleView.html?idxno=3014474</v>
      </c>
      <c r="H5312">
        <v>0.37</v>
      </c>
    </row>
    <row r="5313" spans="1:8" x14ac:dyDescent="0.3">
      <c r="A5313" t="s">
        <v>9678</v>
      </c>
      <c r="B5313" t="s">
        <v>26951</v>
      </c>
      <c r="C5313" t="s">
        <v>13610</v>
      </c>
      <c r="D5313" t="s">
        <v>13609</v>
      </c>
      <c r="E5313" s="2" t="s">
        <v>133</v>
      </c>
      <c r="F5313" t="s">
        <v>5001</v>
      </c>
      <c r="G5313" t="str">
        <f>HYPERLINK("https://n.news.naver.com/mnews/article/214/0001430933?sid=100")</f>
        <v>https://n.news.naver.com/mnews/article/214/0001430933?sid=100</v>
      </c>
      <c r="H5313">
        <v>0.50800000000000001</v>
      </c>
    </row>
    <row r="5314" spans="1:8" x14ac:dyDescent="0.3">
      <c r="A5314" t="s">
        <v>9678</v>
      </c>
      <c r="B5314" t="s">
        <v>26951</v>
      </c>
      <c r="C5314" t="s">
        <v>13613</v>
      </c>
      <c r="D5314" t="s">
        <v>13612</v>
      </c>
      <c r="E5314" s="2" t="s">
        <v>133</v>
      </c>
      <c r="F5314" t="s">
        <v>13611</v>
      </c>
      <c r="G5314" t="str">
        <f>HYPERLINK("http://www.kbmaeil.com/news/articleView.html?idxno=957795")</f>
        <v>http://www.kbmaeil.com/news/articleView.html?idxno=957795</v>
      </c>
      <c r="H5314">
        <v>0.39300000000000002</v>
      </c>
    </row>
    <row r="5315" spans="1:8" x14ac:dyDescent="0.3">
      <c r="A5315" t="s">
        <v>9678</v>
      </c>
      <c r="B5315" t="s">
        <v>26951</v>
      </c>
      <c r="C5315" t="s">
        <v>13615</v>
      </c>
      <c r="D5315" t="s">
        <v>13614</v>
      </c>
      <c r="E5315" s="2" t="s">
        <v>133</v>
      </c>
      <c r="F5315" t="s">
        <v>197</v>
      </c>
      <c r="G5315" t="str">
        <f>HYPERLINK("https://www.huffingtonpost.kr/news/articleView.html?idxno=236840")</f>
        <v>https://www.huffingtonpost.kr/news/articleView.html?idxno=236840</v>
      </c>
      <c r="H5315">
        <v>0.53200000000000003</v>
      </c>
    </row>
    <row r="5316" spans="1:8" x14ac:dyDescent="0.3">
      <c r="A5316" t="s">
        <v>9678</v>
      </c>
      <c r="B5316" t="s">
        <v>26951</v>
      </c>
      <c r="C5316" t="s">
        <v>13620</v>
      </c>
      <c r="D5316" t="s">
        <v>13619</v>
      </c>
      <c r="E5316" s="2" t="s">
        <v>133</v>
      </c>
      <c r="F5316" t="s">
        <v>2498</v>
      </c>
      <c r="G5316" t="str">
        <f>HYPERLINK("https://kjmbc.co.kr/NewsArticle/1455825")</f>
        <v>https://kjmbc.co.kr/NewsArticle/1455825</v>
      </c>
      <c r="H5316">
        <v>0.17100000000000001</v>
      </c>
    </row>
    <row r="5317" spans="1:8" x14ac:dyDescent="0.3">
      <c r="A5317" t="s">
        <v>9678</v>
      </c>
      <c r="B5317" t="s">
        <v>26951</v>
      </c>
      <c r="C5317" t="s">
        <v>13623</v>
      </c>
      <c r="D5317" t="s">
        <v>13622</v>
      </c>
      <c r="E5317" s="2" t="s">
        <v>133</v>
      </c>
      <c r="F5317" t="s">
        <v>13621</v>
      </c>
      <c r="G5317" t="str">
        <f>HYPERLINK("https://www.newstof.com/news/articleView.html?idxno=24728")</f>
        <v>https://www.newstof.com/news/articleView.html?idxno=24728</v>
      </c>
      <c r="H5317">
        <v>0.44900000000000001</v>
      </c>
    </row>
    <row r="5318" spans="1:8" x14ac:dyDescent="0.3">
      <c r="A5318" t="s">
        <v>9678</v>
      </c>
      <c r="B5318" t="s">
        <v>26951</v>
      </c>
      <c r="C5318" t="s">
        <v>13627</v>
      </c>
      <c r="D5318" t="s">
        <v>13626</v>
      </c>
      <c r="E5318" s="2" t="s">
        <v>133</v>
      </c>
      <c r="F5318" t="s">
        <v>5342</v>
      </c>
      <c r="G5318" t="str">
        <f>HYPERLINK("http://weekly.cnbnews.com/news/article.html?no=129058")</f>
        <v>http://weekly.cnbnews.com/news/article.html?no=129058</v>
      </c>
      <c r="H5318">
        <v>0.45400000000000001</v>
      </c>
    </row>
    <row r="5319" spans="1:8" x14ac:dyDescent="0.3">
      <c r="A5319" t="s">
        <v>9678</v>
      </c>
      <c r="B5319" t="s">
        <v>26951</v>
      </c>
      <c r="C5319" t="s">
        <v>13629</v>
      </c>
      <c r="D5319" t="s">
        <v>13628</v>
      </c>
      <c r="E5319" s="2" t="s">
        <v>133</v>
      </c>
      <c r="F5319" t="s">
        <v>10898</v>
      </c>
      <c r="G5319" t="str">
        <f>HYPERLINK("https://n.news.naver.com/mnews/article/052/0002072175?sid=100")</f>
        <v>https://n.news.naver.com/mnews/article/052/0002072175?sid=100</v>
      </c>
      <c r="H5319">
        <v>0.185</v>
      </c>
    </row>
    <row r="5320" spans="1:8" x14ac:dyDescent="0.3">
      <c r="A5320" t="s">
        <v>9678</v>
      </c>
      <c r="B5320" t="s">
        <v>26951</v>
      </c>
      <c r="C5320" t="s">
        <v>13632</v>
      </c>
      <c r="D5320" t="s">
        <v>13631</v>
      </c>
      <c r="E5320" s="2" t="s">
        <v>133</v>
      </c>
      <c r="F5320" t="s">
        <v>13630</v>
      </c>
      <c r="G5320" t="str">
        <f>HYPERLINK("https://n.news.naver.com/mnews/article/018/0006049015?sid=103")</f>
        <v>https://n.news.naver.com/mnews/article/018/0006049015?sid=103</v>
      </c>
      <c r="H5320">
        <v>0.28100000000000003</v>
      </c>
    </row>
    <row r="5321" spans="1:8" x14ac:dyDescent="0.3">
      <c r="A5321" t="s">
        <v>9678</v>
      </c>
      <c r="B5321" t="s">
        <v>26951</v>
      </c>
      <c r="C5321" t="s">
        <v>13634</v>
      </c>
      <c r="D5321" t="s">
        <v>13633</v>
      </c>
      <c r="E5321" s="2" t="s">
        <v>133</v>
      </c>
      <c r="F5321" t="s">
        <v>10021</v>
      </c>
      <c r="G5321" t="str">
        <f>HYPERLINK("https://www.joongangenews.com/news/articleView.html?idxno=430209")</f>
        <v>https://www.joongangenews.com/news/articleView.html?idxno=430209</v>
      </c>
      <c r="H5321">
        <v>0.50900000000000001</v>
      </c>
    </row>
    <row r="5322" spans="1:8" x14ac:dyDescent="0.3">
      <c r="A5322" t="s">
        <v>9678</v>
      </c>
      <c r="B5322" t="s">
        <v>26951</v>
      </c>
      <c r="C5322" t="s">
        <v>13636</v>
      </c>
      <c r="D5322" t="s">
        <v>13635</v>
      </c>
      <c r="E5322" s="2" t="s">
        <v>133</v>
      </c>
      <c r="F5322" t="s">
        <v>7224</v>
      </c>
      <c r="G5322" t="str">
        <f>HYPERLINK("http://www.dtnews24.com/news/articleView.html?idxno=744018")</f>
        <v>http://www.dtnews24.com/news/articleView.html?idxno=744018</v>
      </c>
      <c r="H5322">
        <v>0.51800000000000002</v>
      </c>
    </row>
    <row r="5323" spans="1:8" x14ac:dyDescent="0.3">
      <c r="A5323" t="s">
        <v>9678</v>
      </c>
      <c r="B5323" t="s">
        <v>26951</v>
      </c>
      <c r="C5323" t="s">
        <v>13639</v>
      </c>
      <c r="D5323" t="s">
        <v>13638</v>
      </c>
      <c r="E5323" s="2" t="s">
        <v>133</v>
      </c>
      <c r="F5323" t="s">
        <v>13637</v>
      </c>
      <c r="G5323" t="str">
        <f>HYPERLINK("https://n.news.naver.com/mnews/article/052/0002212236?sid=103")</f>
        <v>https://n.news.naver.com/mnews/article/052/0002212236?sid=103</v>
      </c>
      <c r="H5323">
        <v>0.23899999999999999</v>
      </c>
    </row>
    <row r="5324" spans="1:8" x14ac:dyDescent="0.3">
      <c r="A5324" t="s">
        <v>9678</v>
      </c>
      <c r="B5324" t="s">
        <v>26951</v>
      </c>
      <c r="C5324" t="s">
        <v>13642</v>
      </c>
      <c r="D5324" t="s">
        <v>13641</v>
      </c>
      <c r="E5324" s="2" t="s">
        <v>133</v>
      </c>
      <c r="F5324" t="s">
        <v>13640</v>
      </c>
      <c r="G5324" t="str">
        <f>HYPERLINK("https://www.jemin.com/news/articleView.html?idxno=810934")</f>
        <v>https://www.jemin.com/news/articleView.html?idxno=810934</v>
      </c>
      <c r="H5324">
        <v>0.192</v>
      </c>
    </row>
    <row r="5325" spans="1:8" x14ac:dyDescent="0.3">
      <c r="A5325" t="s">
        <v>9678</v>
      </c>
      <c r="B5325" t="s">
        <v>26951</v>
      </c>
      <c r="C5325" t="s">
        <v>13644</v>
      </c>
      <c r="D5325" t="s">
        <v>13643</v>
      </c>
      <c r="E5325" s="2" t="s">
        <v>133</v>
      </c>
      <c r="F5325" t="s">
        <v>9826</v>
      </c>
      <c r="G5325" t="str">
        <f>HYPERLINK("https://jejumbc.com/article/ER5qHIXyt-qkWK3AZ")</f>
        <v>https://jejumbc.com/article/ER5qHIXyt-qkWK3AZ</v>
      </c>
      <c r="H5325">
        <v>0.34599999999999997</v>
      </c>
    </row>
    <row r="5326" spans="1:8" x14ac:dyDescent="0.3">
      <c r="A5326" t="s">
        <v>9678</v>
      </c>
      <c r="B5326" t="s">
        <v>26951</v>
      </c>
      <c r="C5326" t="s">
        <v>13647</v>
      </c>
      <c r="D5326" t="s">
        <v>13646</v>
      </c>
      <c r="E5326" s="2" t="s">
        <v>133</v>
      </c>
      <c r="F5326" t="s">
        <v>13645</v>
      </c>
      <c r="G5326" t="str">
        <f>HYPERLINK("https://news.ifm.kr/news/articleView.html?idxno=441938")</f>
        <v>https://news.ifm.kr/news/articleView.html?idxno=441938</v>
      </c>
      <c r="H5326">
        <v>0.36399999999999999</v>
      </c>
    </row>
    <row r="5327" spans="1:8" x14ac:dyDescent="0.3">
      <c r="A5327" t="s">
        <v>9678</v>
      </c>
      <c r="B5327" t="s">
        <v>26951</v>
      </c>
      <c r="C5327" t="s">
        <v>13650</v>
      </c>
      <c r="D5327" t="s">
        <v>13649</v>
      </c>
      <c r="E5327" s="2" t="s">
        <v>133</v>
      </c>
      <c r="F5327" t="s">
        <v>13648</v>
      </c>
      <c r="G5327" t="str">
        <f>HYPERLINK("http://www.breaknews.com/sub_read.html?uid=470890&amp;section=sc5")</f>
        <v>http://www.breaknews.com/sub_read.html?uid=470890&amp;section=sc5</v>
      </c>
      <c r="H5327">
        <v>0.65100000000000002</v>
      </c>
    </row>
    <row r="5328" spans="1:8" x14ac:dyDescent="0.3">
      <c r="A5328" t="s">
        <v>9678</v>
      </c>
      <c r="B5328" t="s">
        <v>26951</v>
      </c>
      <c r="C5328" t="s">
        <v>13652</v>
      </c>
      <c r="D5328" t="s">
        <v>13651</v>
      </c>
      <c r="E5328" s="2" t="s">
        <v>133</v>
      </c>
      <c r="F5328" t="s">
        <v>5724</v>
      </c>
      <c r="G5328" t="str">
        <f>HYPERLINK("https://n.news.naver.com/mnews/article/032/0002774134?sid=100")</f>
        <v>https://n.news.naver.com/mnews/article/032/0002774134?sid=100</v>
      </c>
      <c r="H5328">
        <v>0.113</v>
      </c>
    </row>
    <row r="5329" spans="1:8" x14ac:dyDescent="0.3">
      <c r="A5329" t="s">
        <v>9678</v>
      </c>
      <c r="B5329" t="s">
        <v>26951</v>
      </c>
      <c r="C5329" t="s">
        <v>13655</v>
      </c>
      <c r="D5329" t="s">
        <v>13654</v>
      </c>
      <c r="E5329" s="2" t="s">
        <v>133</v>
      </c>
      <c r="F5329" t="s">
        <v>13653</v>
      </c>
      <c r="G5329" t="str">
        <f>HYPERLINK("https://news.unn.net/news/articleView.html?idxno=579798")</f>
        <v>https://news.unn.net/news/articleView.html?idxno=579798</v>
      </c>
      <c r="H5329">
        <v>0.55300000000000005</v>
      </c>
    </row>
    <row r="5330" spans="1:8" x14ac:dyDescent="0.3">
      <c r="A5330" t="s">
        <v>9678</v>
      </c>
      <c r="B5330" t="s">
        <v>26951</v>
      </c>
      <c r="C5330" t="s">
        <v>8152</v>
      </c>
      <c r="D5330" t="s">
        <v>8151</v>
      </c>
      <c r="E5330" s="2" t="s">
        <v>133</v>
      </c>
      <c r="F5330" t="s">
        <v>5724</v>
      </c>
      <c r="G5330" t="str">
        <f>HYPERLINK("https://n.news.naver.com/mnews/article/028/0002024432?sid=102")</f>
        <v>https://n.news.naver.com/mnews/article/028/0002024432?sid=102</v>
      </c>
      <c r="H5330">
        <v>0.316</v>
      </c>
    </row>
    <row r="5331" spans="1:8" x14ac:dyDescent="0.3">
      <c r="A5331" t="s">
        <v>9678</v>
      </c>
      <c r="B5331" t="s">
        <v>26951</v>
      </c>
      <c r="C5331" t="s">
        <v>13657</v>
      </c>
      <c r="D5331" t="s">
        <v>13656</v>
      </c>
      <c r="E5331" s="2" t="s">
        <v>133</v>
      </c>
      <c r="F5331" t="s">
        <v>10229</v>
      </c>
      <c r="G5331" t="str">
        <f>HYPERLINK("https://n.news.naver.com/mnews/article/032/0002134921?sid=110")</f>
        <v>https://n.news.naver.com/mnews/article/032/0002134921?sid=110</v>
      </c>
      <c r="H5331">
        <v>0.17100000000000001</v>
      </c>
    </row>
    <row r="5332" spans="1:8" x14ac:dyDescent="0.3">
      <c r="A5332" t="s">
        <v>9678</v>
      </c>
      <c r="B5332" t="s">
        <v>26951</v>
      </c>
      <c r="C5332" t="s">
        <v>13660</v>
      </c>
      <c r="D5332" t="s">
        <v>13659</v>
      </c>
      <c r="E5332" s="2" t="s">
        <v>133</v>
      </c>
      <c r="F5332" t="s">
        <v>13658</v>
      </c>
      <c r="G5332" t="str">
        <f>HYPERLINK("https://www.gokorea.kr/news/articleView.html?idxno=830460")</f>
        <v>https://www.gokorea.kr/news/articleView.html?idxno=830460</v>
      </c>
      <c r="H5332">
        <v>0.74099999999999999</v>
      </c>
    </row>
    <row r="5333" spans="1:8" x14ac:dyDescent="0.3">
      <c r="A5333" t="s">
        <v>9678</v>
      </c>
      <c r="B5333" t="s">
        <v>26951</v>
      </c>
      <c r="C5333" t="s">
        <v>13663</v>
      </c>
      <c r="D5333" t="s">
        <v>13662</v>
      </c>
      <c r="E5333" s="2" t="s">
        <v>133</v>
      </c>
      <c r="F5333" t="s">
        <v>13661</v>
      </c>
      <c r="G5333" t="str">
        <f>HYPERLINK("http://www.bulkyo21.com/news/articleView.html?idxno=61127")</f>
        <v>http://www.bulkyo21.com/news/articleView.html?idxno=61127</v>
      </c>
      <c r="H5333">
        <v>0.623</v>
      </c>
    </row>
    <row r="5334" spans="1:8" x14ac:dyDescent="0.3">
      <c r="A5334" t="s">
        <v>9678</v>
      </c>
      <c r="B5334" t="s">
        <v>26951</v>
      </c>
      <c r="C5334" t="s">
        <v>13666</v>
      </c>
      <c r="D5334" t="s">
        <v>13665</v>
      </c>
      <c r="E5334" s="2" t="s">
        <v>133</v>
      </c>
      <c r="F5334" t="s">
        <v>13664</v>
      </c>
      <c r="G5334" t="str">
        <f>HYPERLINK("https://www.newscj.com/news/articleView.html?idxno=3252176")</f>
        <v>https://www.newscj.com/news/articleView.html?idxno=3252176</v>
      </c>
      <c r="H5334">
        <v>0.38900000000000001</v>
      </c>
    </row>
    <row r="5335" spans="1:8" x14ac:dyDescent="0.3">
      <c r="A5335" t="s">
        <v>9678</v>
      </c>
      <c r="B5335" t="s">
        <v>26951</v>
      </c>
      <c r="C5335" t="s">
        <v>13668</v>
      </c>
      <c r="D5335" t="s">
        <v>13667</v>
      </c>
      <c r="E5335" s="2" t="s">
        <v>133</v>
      </c>
      <c r="F5335" t="s">
        <v>9749</v>
      </c>
      <c r="G5335" t="str">
        <f>HYPERLINK("https://www.jemin.com/news/articleView.html?idxno=818720")</f>
        <v>https://www.jemin.com/news/articleView.html?idxno=818720</v>
      </c>
      <c r="H5335">
        <v>0.74399999999999999</v>
      </c>
    </row>
    <row r="5336" spans="1:8" x14ac:dyDescent="0.3">
      <c r="A5336" t="s">
        <v>9678</v>
      </c>
      <c r="B5336" t="s">
        <v>26951</v>
      </c>
      <c r="C5336" t="s">
        <v>13671</v>
      </c>
      <c r="D5336" t="s">
        <v>13670</v>
      </c>
      <c r="E5336" s="2" t="s">
        <v>172</v>
      </c>
      <c r="F5336" t="s">
        <v>13669</v>
      </c>
      <c r="G5336" t="str">
        <f>HYPERLINK("https://n.news.naver.com/mnews/article/008/0005214940?sid=102")</f>
        <v>https://n.news.naver.com/mnews/article/008/0005214940?sid=102</v>
      </c>
      <c r="H5336">
        <v>0.39</v>
      </c>
    </row>
    <row r="5337" spans="1:8" x14ac:dyDescent="0.3">
      <c r="A5337" t="s">
        <v>9678</v>
      </c>
      <c r="B5337" t="s">
        <v>26951</v>
      </c>
      <c r="C5337" t="s">
        <v>13674</v>
      </c>
      <c r="D5337" t="s">
        <v>13673</v>
      </c>
      <c r="E5337" s="2" t="s">
        <v>172</v>
      </c>
      <c r="F5337" t="s">
        <v>13672</v>
      </c>
      <c r="G5337" t="str">
        <f>HYPERLINK("http://www.segyebiz.com/newsView/20250327516392?OutUrl=naver")</f>
        <v>http://www.segyebiz.com/newsView/20250327516392?OutUrl=naver</v>
      </c>
      <c r="H5337">
        <v>0.44400000000000001</v>
      </c>
    </row>
    <row r="5338" spans="1:8" x14ac:dyDescent="0.3">
      <c r="A5338" t="s">
        <v>9678</v>
      </c>
      <c r="B5338" t="s">
        <v>26951</v>
      </c>
      <c r="C5338" t="s">
        <v>13677</v>
      </c>
      <c r="D5338" t="s">
        <v>13676</v>
      </c>
      <c r="E5338" s="2" t="s">
        <v>172</v>
      </c>
      <c r="F5338" t="s">
        <v>13675</v>
      </c>
      <c r="G5338" t="str">
        <f>HYPERLINK("https://n.news.naver.com/mnews/article/082/0001331430?sid=101")</f>
        <v>https://n.news.naver.com/mnews/article/082/0001331430?sid=101</v>
      </c>
      <c r="H5338">
        <v>0.115</v>
      </c>
    </row>
    <row r="5339" spans="1:8" x14ac:dyDescent="0.3">
      <c r="A5339" t="s">
        <v>9678</v>
      </c>
      <c r="B5339" t="s">
        <v>26951</v>
      </c>
      <c r="C5339" t="s">
        <v>13680</v>
      </c>
      <c r="D5339" t="s">
        <v>13679</v>
      </c>
      <c r="E5339" s="2" t="s">
        <v>172</v>
      </c>
      <c r="F5339" t="s">
        <v>10608</v>
      </c>
      <c r="G5339" t="str">
        <f>HYPERLINK("https://www.etoday.co.kr/news/view/2439238")</f>
        <v>https://www.etoday.co.kr/news/view/2439238</v>
      </c>
      <c r="H5339">
        <v>0.437</v>
      </c>
    </row>
    <row r="5340" spans="1:8" x14ac:dyDescent="0.3">
      <c r="A5340" t="s">
        <v>9678</v>
      </c>
      <c r="B5340" t="s">
        <v>26951</v>
      </c>
      <c r="C5340" t="s">
        <v>13683</v>
      </c>
      <c r="D5340" t="s">
        <v>13682</v>
      </c>
      <c r="E5340" s="2" t="s">
        <v>172</v>
      </c>
      <c r="F5340" t="s">
        <v>13681</v>
      </c>
      <c r="G5340" t="str">
        <f>HYPERLINK("https://n.news.naver.com/mnews/article/081/0003549941?sid=103")</f>
        <v>https://n.news.naver.com/mnews/article/081/0003549941?sid=103</v>
      </c>
      <c r="H5340">
        <v>0.223</v>
      </c>
    </row>
    <row r="5341" spans="1:8" x14ac:dyDescent="0.3">
      <c r="A5341" t="s">
        <v>9678</v>
      </c>
      <c r="B5341" t="s">
        <v>26951</v>
      </c>
      <c r="C5341" t="s">
        <v>13685</v>
      </c>
      <c r="D5341" t="s">
        <v>13684</v>
      </c>
      <c r="E5341" s="2" t="s">
        <v>172</v>
      </c>
      <c r="F5341" t="s">
        <v>7602</v>
      </c>
      <c r="G5341" t="str">
        <f>HYPERLINK("http://www.greened.kr/news/articleView.html?idxno=296591")</f>
        <v>http://www.greened.kr/news/articleView.html?idxno=296591</v>
      </c>
      <c r="H5341">
        <v>0.22800000000000001</v>
      </c>
    </row>
    <row r="5342" spans="1:8" x14ac:dyDescent="0.3">
      <c r="A5342" t="s">
        <v>9678</v>
      </c>
      <c r="B5342" t="s">
        <v>26951</v>
      </c>
      <c r="C5342" t="s">
        <v>13687</v>
      </c>
      <c r="D5342" t="s">
        <v>13686</v>
      </c>
      <c r="E5342" s="2" t="s">
        <v>172</v>
      </c>
      <c r="F5342" t="s">
        <v>9944</v>
      </c>
      <c r="G5342" t="str">
        <f>HYPERLINK("http://gamefocus.co.kr/detail.php?number=166122")</f>
        <v>http://gamefocus.co.kr/detail.php?number=166122</v>
      </c>
      <c r="H5342">
        <v>0.48</v>
      </c>
    </row>
    <row r="5343" spans="1:8" x14ac:dyDescent="0.3">
      <c r="A5343" t="s">
        <v>9678</v>
      </c>
      <c r="B5343" t="s">
        <v>26951</v>
      </c>
      <c r="C5343" t="s">
        <v>13689</v>
      </c>
      <c r="D5343" t="s">
        <v>13688</v>
      </c>
      <c r="E5343" s="2" t="s">
        <v>172</v>
      </c>
      <c r="F5343" t="s">
        <v>2064</v>
      </c>
      <c r="G5343" t="str">
        <f>HYPERLINK("http://www.sisafocus.co.kr/news/articleView.html?idxno=340389")</f>
        <v>http://www.sisafocus.co.kr/news/articleView.html?idxno=340389</v>
      </c>
      <c r="H5343">
        <v>0.26800000000000002</v>
      </c>
    </row>
    <row r="5344" spans="1:8" x14ac:dyDescent="0.3">
      <c r="A5344" t="s">
        <v>9678</v>
      </c>
      <c r="B5344" t="s">
        <v>26951</v>
      </c>
      <c r="C5344" t="s">
        <v>13691</v>
      </c>
      <c r="D5344" t="s">
        <v>6764</v>
      </c>
      <c r="E5344" s="2" t="s">
        <v>172</v>
      </c>
      <c r="F5344" t="s">
        <v>13690</v>
      </c>
      <c r="G5344" t="str">
        <f>HYPERLINK("https://n.news.naver.com/mnews/article/469/0000870989?sid=103")</f>
        <v>https://n.news.naver.com/mnews/article/469/0000870989?sid=103</v>
      </c>
      <c r="H5344">
        <v>0.18099999999999999</v>
      </c>
    </row>
    <row r="5345" spans="1:8" x14ac:dyDescent="0.3">
      <c r="A5345" t="s">
        <v>9678</v>
      </c>
      <c r="B5345" t="s">
        <v>26951</v>
      </c>
      <c r="C5345" t="s">
        <v>13693</v>
      </c>
      <c r="D5345" t="s">
        <v>13692</v>
      </c>
      <c r="E5345" s="2" t="s">
        <v>172</v>
      </c>
      <c r="F5345" t="s">
        <v>10120</v>
      </c>
      <c r="G5345" t="str">
        <f>HYPERLINK("https://n.news.naver.com/mnews/article/006/0000130669?sid=102")</f>
        <v>https://n.news.naver.com/mnews/article/006/0000130669?sid=102</v>
      </c>
      <c r="H5345">
        <v>0.216</v>
      </c>
    </row>
    <row r="5346" spans="1:8" x14ac:dyDescent="0.3">
      <c r="A5346" t="s">
        <v>9678</v>
      </c>
      <c r="B5346" t="s">
        <v>26951</v>
      </c>
      <c r="C5346" t="s">
        <v>13695</v>
      </c>
      <c r="D5346" t="s">
        <v>13694</v>
      </c>
      <c r="E5346" s="2" t="s">
        <v>172</v>
      </c>
      <c r="F5346" t="s">
        <v>12524</v>
      </c>
      <c r="G5346" t="str">
        <f>HYPERLINK("https://www.jemin.com/news/articleView.html?idxno=818828")</f>
        <v>https://www.jemin.com/news/articleView.html?idxno=818828</v>
      </c>
      <c r="H5346">
        <v>0.77800000000000002</v>
      </c>
    </row>
    <row r="5347" spans="1:8" x14ac:dyDescent="0.3">
      <c r="A5347" t="s">
        <v>9678</v>
      </c>
      <c r="B5347" t="s">
        <v>26951</v>
      </c>
      <c r="C5347" t="s">
        <v>13698</v>
      </c>
      <c r="D5347" t="s">
        <v>13697</v>
      </c>
      <c r="E5347" s="2" t="s">
        <v>172</v>
      </c>
      <c r="F5347" t="s">
        <v>13696</v>
      </c>
      <c r="G5347" t="str">
        <f>HYPERLINK("http://www.gokorea.kr/news/articleView.html?idxno=13858")</f>
        <v>http://www.gokorea.kr/news/articleView.html?idxno=13858</v>
      </c>
      <c r="H5347">
        <v>0.50900000000000001</v>
      </c>
    </row>
    <row r="5348" spans="1:8" x14ac:dyDescent="0.3">
      <c r="A5348" t="s">
        <v>9678</v>
      </c>
      <c r="B5348" t="s">
        <v>26951</v>
      </c>
      <c r="C5348" t="s">
        <v>13701</v>
      </c>
      <c r="D5348" t="s">
        <v>13700</v>
      </c>
      <c r="E5348" s="2" t="s">
        <v>172</v>
      </c>
      <c r="F5348" t="s">
        <v>13699</v>
      </c>
      <c r="G5348" t="str">
        <f>HYPERLINK("https://www.jemin.com/news/articleView.html?idxno=818828")</f>
        <v>https://www.jemin.com/news/articleView.html?idxno=818828</v>
      </c>
      <c r="H5348">
        <v>0.59199999999999997</v>
      </c>
    </row>
    <row r="5349" spans="1:8" x14ac:dyDescent="0.3">
      <c r="A5349" t="s">
        <v>9678</v>
      </c>
      <c r="B5349" t="s">
        <v>26951</v>
      </c>
      <c r="C5349" t="s">
        <v>13704</v>
      </c>
      <c r="D5349" t="s">
        <v>13703</v>
      </c>
      <c r="E5349" s="2" t="s">
        <v>172</v>
      </c>
      <c r="F5349" t="s">
        <v>13702</v>
      </c>
      <c r="G5349" t="str">
        <f>HYPERLINK("http://www.metroseoul.co.kr/article/20250416500560")</f>
        <v>http://www.metroseoul.co.kr/article/20250416500560</v>
      </c>
      <c r="H5349">
        <v>0.186</v>
      </c>
    </row>
    <row r="5350" spans="1:8" x14ac:dyDescent="0.3">
      <c r="A5350" t="s">
        <v>9678</v>
      </c>
      <c r="B5350" t="s">
        <v>26951</v>
      </c>
      <c r="C5350" t="s">
        <v>13707</v>
      </c>
      <c r="D5350" t="s">
        <v>13706</v>
      </c>
      <c r="E5350" s="2" t="s">
        <v>172</v>
      </c>
      <c r="F5350" t="s">
        <v>13705</v>
      </c>
      <c r="G5350" t="str">
        <f>HYPERLINK("https://www.sportsw.kr/news/newsview.php?ncode=1065612574374014")</f>
        <v>https://www.sportsw.kr/news/newsview.php?ncode=1065612574374014</v>
      </c>
      <c r="H5350">
        <v>0.39400000000000002</v>
      </c>
    </row>
    <row r="5351" spans="1:8" x14ac:dyDescent="0.3">
      <c r="A5351" t="s">
        <v>9678</v>
      </c>
      <c r="B5351" t="s">
        <v>26951</v>
      </c>
      <c r="C5351" t="s">
        <v>13710</v>
      </c>
      <c r="D5351" t="s">
        <v>13709</v>
      </c>
      <c r="E5351" s="2" t="s">
        <v>172</v>
      </c>
      <c r="F5351" t="s">
        <v>13708</v>
      </c>
      <c r="G5351" t="str">
        <f>HYPERLINK("http://daily.hankooki.com/lpage/column/201806/dh20180615173042140410.htm")</f>
        <v>http://daily.hankooki.com/lpage/column/201806/dh20180615173042140410.htm</v>
      </c>
      <c r="H5351">
        <v>0.38200000000000001</v>
      </c>
    </row>
    <row r="5352" spans="1:8" x14ac:dyDescent="0.3">
      <c r="A5352" t="s">
        <v>9678</v>
      </c>
      <c r="B5352" t="s">
        <v>26951</v>
      </c>
      <c r="C5352" t="s">
        <v>13712</v>
      </c>
      <c r="D5352" t="s">
        <v>13711</v>
      </c>
      <c r="E5352" s="2" t="s">
        <v>172</v>
      </c>
      <c r="F5352" t="s">
        <v>10341</v>
      </c>
      <c r="G5352" t="str">
        <f>HYPERLINK("https://n.news.naver.com/mnews/article/052/0002212986?sid=102")</f>
        <v>https://n.news.naver.com/mnews/article/052/0002212986?sid=102</v>
      </c>
      <c r="H5352">
        <v>0.23599999999999999</v>
      </c>
    </row>
    <row r="5353" spans="1:8" x14ac:dyDescent="0.3">
      <c r="A5353" t="s">
        <v>9678</v>
      </c>
      <c r="B5353" t="s">
        <v>26951</v>
      </c>
      <c r="C5353" t="s">
        <v>13715</v>
      </c>
      <c r="D5353" t="s">
        <v>13714</v>
      </c>
      <c r="E5353" s="2" t="s">
        <v>172</v>
      </c>
      <c r="F5353" t="s">
        <v>13713</v>
      </c>
      <c r="G5353" t="str">
        <f>HYPERLINK("https://www.etoday.co.kr/news/view/2483095")</f>
        <v>https://www.etoday.co.kr/news/view/2483095</v>
      </c>
      <c r="H5353">
        <v>0.47</v>
      </c>
    </row>
    <row r="5354" spans="1:8" x14ac:dyDescent="0.3">
      <c r="A5354" t="s">
        <v>9678</v>
      </c>
      <c r="B5354" t="s">
        <v>26951</v>
      </c>
      <c r="C5354" t="s">
        <v>13718</v>
      </c>
      <c r="D5354" t="s">
        <v>13717</v>
      </c>
      <c r="E5354" s="2" t="s">
        <v>172</v>
      </c>
      <c r="F5354" t="s">
        <v>13716</v>
      </c>
      <c r="G5354" t="str">
        <f>HYPERLINK("https://n.news.naver.com/mnews/article/016/0002493035?sid=101")</f>
        <v>https://n.news.naver.com/mnews/article/016/0002493035?sid=101</v>
      </c>
      <c r="H5354">
        <v>0.27400000000000002</v>
      </c>
    </row>
    <row r="5355" spans="1:8" x14ac:dyDescent="0.3">
      <c r="A5355" t="s">
        <v>9678</v>
      </c>
      <c r="B5355" t="s">
        <v>26951</v>
      </c>
      <c r="C5355" t="s">
        <v>13721</v>
      </c>
      <c r="D5355" t="s">
        <v>13720</v>
      </c>
      <c r="E5355" s="2" t="s">
        <v>172</v>
      </c>
      <c r="F5355" t="s">
        <v>13719</v>
      </c>
      <c r="G5355" t="str">
        <f>HYPERLINK("https://www.m-joongang.com/news/articleView.html?idxno=401235")</f>
        <v>https://www.m-joongang.com/news/articleView.html?idxno=401235</v>
      </c>
      <c r="H5355">
        <v>0.51200000000000001</v>
      </c>
    </row>
    <row r="5356" spans="1:8" x14ac:dyDescent="0.3">
      <c r="A5356" t="s">
        <v>9678</v>
      </c>
      <c r="B5356" t="s">
        <v>26951</v>
      </c>
      <c r="C5356" t="s">
        <v>13723</v>
      </c>
      <c r="D5356" t="s">
        <v>13722</v>
      </c>
      <c r="E5356" s="2" t="s">
        <v>172</v>
      </c>
      <c r="F5356" t="s">
        <v>10422</v>
      </c>
      <c r="G5356" t="str">
        <f>HYPERLINK("http://www.pdjournal.com/news/articleView.html?idxno=73361")</f>
        <v>http://www.pdjournal.com/news/articleView.html?idxno=73361</v>
      </c>
      <c r="H5356">
        <v>0.48699999999999999</v>
      </c>
    </row>
    <row r="5357" spans="1:8" x14ac:dyDescent="0.3">
      <c r="A5357" t="s">
        <v>9678</v>
      </c>
      <c r="B5357" t="s">
        <v>26951</v>
      </c>
      <c r="C5357" t="s">
        <v>13726</v>
      </c>
      <c r="D5357" t="s">
        <v>13725</v>
      </c>
      <c r="E5357" s="2" t="s">
        <v>172</v>
      </c>
      <c r="F5357" t="s">
        <v>13724</v>
      </c>
      <c r="G5357" t="str">
        <f>HYPERLINK("https://daily.hankooki.com/news/articleView.html?idxno=1237014")</f>
        <v>https://daily.hankooki.com/news/articleView.html?idxno=1237014</v>
      </c>
      <c r="H5357">
        <v>0.23</v>
      </c>
    </row>
    <row r="5358" spans="1:8" x14ac:dyDescent="0.3">
      <c r="A5358" t="s">
        <v>9678</v>
      </c>
      <c r="B5358" t="s">
        <v>26951</v>
      </c>
      <c r="C5358" t="s">
        <v>13729</v>
      </c>
      <c r="D5358" t="s">
        <v>13728</v>
      </c>
      <c r="E5358" s="2" t="s">
        <v>172</v>
      </c>
      <c r="F5358" t="s">
        <v>13727</v>
      </c>
      <c r="G5358" t="str">
        <f>HYPERLINK("https://n.news.naver.com/mnews/article/214/0001423575?sid=100")</f>
        <v>https://n.news.naver.com/mnews/article/214/0001423575?sid=100</v>
      </c>
      <c r="H5358">
        <v>0.16900000000000001</v>
      </c>
    </row>
    <row r="5359" spans="1:8" x14ac:dyDescent="0.3">
      <c r="A5359" t="s">
        <v>9678</v>
      </c>
      <c r="B5359" t="s">
        <v>26951</v>
      </c>
      <c r="C5359" t="s">
        <v>13731</v>
      </c>
      <c r="D5359" t="s">
        <v>13730</v>
      </c>
      <c r="E5359" s="2" t="s">
        <v>172</v>
      </c>
      <c r="F5359" t="s">
        <v>10764</v>
      </c>
      <c r="G5359" t="str">
        <f>HYPERLINK("http://jmagazine.joins.com/forbes/view/338313")</f>
        <v>http://jmagazine.joins.com/forbes/view/338313</v>
      </c>
      <c r="H5359">
        <v>0.25700000000000001</v>
      </c>
    </row>
    <row r="5360" spans="1:8" x14ac:dyDescent="0.3">
      <c r="A5360" t="s">
        <v>9678</v>
      </c>
      <c r="B5360" t="s">
        <v>26951</v>
      </c>
      <c r="C5360" t="s">
        <v>13733</v>
      </c>
      <c r="D5360" t="s">
        <v>13732</v>
      </c>
      <c r="E5360" s="2" t="s">
        <v>172</v>
      </c>
      <c r="F5360" t="s">
        <v>7427</v>
      </c>
      <c r="G5360" t="str">
        <f>HYPERLINK("https://n.news.naver.com/mnews/article/028/0002751548?sid=102")</f>
        <v>https://n.news.naver.com/mnews/article/028/0002751548?sid=102</v>
      </c>
      <c r="H5360">
        <v>0.30599999999999999</v>
      </c>
    </row>
    <row r="5361" spans="1:8" x14ac:dyDescent="0.3">
      <c r="A5361" t="s">
        <v>9678</v>
      </c>
      <c r="B5361" t="s">
        <v>26951</v>
      </c>
      <c r="C5361" t="s">
        <v>13735</v>
      </c>
      <c r="D5361" t="s">
        <v>13734</v>
      </c>
      <c r="E5361" s="2" t="s">
        <v>172</v>
      </c>
      <c r="F5361" t="s">
        <v>6910</v>
      </c>
      <c r="G5361" t="str">
        <f>HYPERLINK("https://www.korea.kr/news/policyNewsView.do?newsId=148945080&amp;call_from=naver_news")</f>
        <v>https://www.korea.kr/news/policyNewsView.do?newsId=148945080&amp;call_from=naver_news</v>
      </c>
      <c r="H5361">
        <v>0.47699999999999998</v>
      </c>
    </row>
    <row r="5362" spans="1:8" x14ac:dyDescent="0.3">
      <c r="A5362" t="s">
        <v>9678</v>
      </c>
      <c r="B5362" t="s">
        <v>26951</v>
      </c>
      <c r="C5362" t="s">
        <v>13737</v>
      </c>
      <c r="D5362" t="s">
        <v>13736</v>
      </c>
      <c r="E5362" s="2" t="s">
        <v>172</v>
      </c>
      <c r="F5362" t="s">
        <v>5878</v>
      </c>
      <c r="G5362" t="str">
        <f>HYPERLINK("http://www.pdjournal.com/news/articleView.html?idxno=19628")</f>
        <v>http://www.pdjournal.com/news/articleView.html?idxno=19628</v>
      </c>
      <c r="H5362">
        <v>0.70799999999999996</v>
      </c>
    </row>
    <row r="5363" spans="1:8" x14ac:dyDescent="0.3">
      <c r="A5363" t="s">
        <v>9678</v>
      </c>
      <c r="B5363" t="s">
        <v>26951</v>
      </c>
      <c r="C5363" t="s">
        <v>13740</v>
      </c>
      <c r="D5363" t="s">
        <v>13739</v>
      </c>
      <c r="E5363" s="2" t="s">
        <v>172</v>
      </c>
      <c r="F5363" t="s">
        <v>13738</v>
      </c>
      <c r="G5363" t="str">
        <f>HYPERLINK("https://n.news.naver.com/mnews/article/008/0002886948?sid=103")</f>
        <v>https://n.news.naver.com/mnews/article/008/0002886948?sid=103</v>
      </c>
      <c r="H5363">
        <v>0.50800000000000001</v>
      </c>
    </row>
    <row r="5364" spans="1:8" x14ac:dyDescent="0.3">
      <c r="A5364" t="s">
        <v>9678</v>
      </c>
      <c r="B5364" t="s">
        <v>26951</v>
      </c>
      <c r="C5364" t="s">
        <v>13742</v>
      </c>
      <c r="D5364" t="s">
        <v>13741</v>
      </c>
      <c r="E5364" s="2" t="s">
        <v>172</v>
      </c>
      <c r="F5364" t="s">
        <v>12200</v>
      </c>
      <c r="G5364" t="str">
        <f>HYPERLINK("https://kookbang.dema.mil.kr/newsWeb/20240503/1/ATCE_CTGR_0050100000/view.do")</f>
        <v>https://kookbang.dema.mil.kr/newsWeb/20240503/1/ATCE_CTGR_0050100000/view.do</v>
      </c>
      <c r="H5364">
        <v>0.373</v>
      </c>
    </row>
    <row r="5365" spans="1:8" x14ac:dyDescent="0.3">
      <c r="A5365" t="s">
        <v>9678</v>
      </c>
      <c r="B5365" t="s">
        <v>26951</v>
      </c>
      <c r="C5365" t="s">
        <v>13744</v>
      </c>
      <c r="D5365" t="s">
        <v>13743</v>
      </c>
      <c r="E5365" s="2" t="s">
        <v>172</v>
      </c>
      <c r="F5365" t="s">
        <v>9240</v>
      </c>
      <c r="G5365" t="str">
        <f>HYPERLINK("http://www.idomin.com/?mod=news&amp;act=articleView&amp;idxno=507666")</f>
        <v>http://www.idomin.com/?mod=news&amp;act=articleView&amp;idxno=507666</v>
      </c>
      <c r="H5365">
        <v>0.25600000000000001</v>
      </c>
    </row>
    <row r="5366" spans="1:8" x14ac:dyDescent="0.3">
      <c r="A5366" t="s">
        <v>9678</v>
      </c>
      <c r="B5366" t="s">
        <v>26951</v>
      </c>
      <c r="C5366" t="s">
        <v>13746</v>
      </c>
      <c r="D5366" t="s">
        <v>13745</v>
      </c>
      <c r="E5366" s="2" t="s">
        <v>172</v>
      </c>
      <c r="F5366" t="s">
        <v>5548</v>
      </c>
      <c r="G5366" t="str">
        <f>HYPERLINK("https://sports.hankooki.com/news/articleView.html?idxno=6871137")</f>
        <v>https://sports.hankooki.com/news/articleView.html?idxno=6871137</v>
      </c>
      <c r="H5366">
        <v>0.47399999999999998</v>
      </c>
    </row>
    <row r="5367" spans="1:8" x14ac:dyDescent="0.3">
      <c r="A5367" t="s">
        <v>9678</v>
      </c>
      <c r="B5367" t="s">
        <v>26951</v>
      </c>
      <c r="C5367" t="s">
        <v>13749</v>
      </c>
      <c r="D5367" t="s">
        <v>13748</v>
      </c>
      <c r="E5367" s="2" t="s">
        <v>172</v>
      </c>
      <c r="F5367" t="s">
        <v>13747</v>
      </c>
      <c r="G5367" t="str">
        <f>HYPERLINK("https://news.einfomax.co.kr/news/articleView.html?idxno=4360709")</f>
        <v>https://news.einfomax.co.kr/news/articleView.html?idxno=4360709</v>
      </c>
      <c r="H5367">
        <v>0.251</v>
      </c>
    </row>
    <row r="5368" spans="1:8" x14ac:dyDescent="0.3">
      <c r="A5368" t="s">
        <v>9678</v>
      </c>
      <c r="B5368" t="s">
        <v>26951</v>
      </c>
      <c r="C5368" t="s">
        <v>13752</v>
      </c>
      <c r="D5368" t="s">
        <v>13751</v>
      </c>
      <c r="E5368" s="2" t="s">
        <v>172</v>
      </c>
      <c r="F5368" t="s">
        <v>13750</v>
      </c>
      <c r="G5368" t="str">
        <f>HYPERLINK("https://weekly.cnbnews.com/news/article.html?no=141152")</f>
        <v>https://weekly.cnbnews.com/news/article.html?no=141152</v>
      </c>
      <c r="H5368">
        <v>0.46700000000000003</v>
      </c>
    </row>
    <row r="5369" spans="1:8" x14ac:dyDescent="0.3">
      <c r="A5369" t="s">
        <v>9678</v>
      </c>
      <c r="B5369" t="s">
        <v>26951</v>
      </c>
      <c r="C5369" t="s">
        <v>13754</v>
      </c>
      <c r="D5369" t="s">
        <v>13753</v>
      </c>
      <c r="E5369" s="2" t="s">
        <v>172</v>
      </c>
      <c r="F5369" t="s">
        <v>9962</v>
      </c>
      <c r="G5369" t="str">
        <f>HYPERLINK("http://www.cctoday.co.kr/?mod=news&amp;act=articleView&amp;idxno=931210")</f>
        <v>http://www.cctoday.co.kr/?mod=news&amp;act=articleView&amp;idxno=931210</v>
      </c>
      <c r="H5369">
        <v>0.56299999999999994</v>
      </c>
    </row>
    <row r="5370" spans="1:8" x14ac:dyDescent="0.3">
      <c r="A5370" t="s">
        <v>9678</v>
      </c>
      <c r="B5370" t="s">
        <v>26951</v>
      </c>
      <c r="C5370" t="s">
        <v>13756</v>
      </c>
      <c r="D5370" t="s">
        <v>13755</v>
      </c>
      <c r="E5370" s="2" t="s">
        <v>172</v>
      </c>
      <c r="F5370" t="s">
        <v>9863</v>
      </c>
      <c r="G5370" t="str">
        <f>HYPERLINK("http://www.etoday.co.kr/news/section/newsview.php?idxno=1654775")</f>
        <v>http://www.etoday.co.kr/news/section/newsview.php?idxno=1654775</v>
      </c>
      <c r="H5370">
        <v>0.51900000000000002</v>
      </c>
    </row>
    <row r="5371" spans="1:8" x14ac:dyDescent="0.3">
      <c r="A5371" t="s">
        <v>9678</v>
      </c>
      <c r="B5371" t="s">
        <v>26951</v>
      </c>
      <c r="C5371" t="s">
        <v>13759</v>
      </c>
      <c r="D5371" t="s">
        <v>13758</v>
      </c>
      <c r="E5371" s="2" t="s">
        <v>172</v>
      </c>
      <c r="F5371" t="s">
        <v>13757</v>
      </c>
      <c r="G5371" t="str">
        <f>HYPERLINK("http://www.starnewsk.com/news/articleView.html?idxno=38999")</f>
        <v>http://www.starnewsk.com/news/articleView.html?idxno=38999</v>
      </c>
      <c r="H5371">
        <v>0.36699999999999999</v>
      </c>
    </row>
    <row r="5372" spans="1:8" x14ac:dyDescent="0.3">
      <c r="A5372" t="s">
        <v>9678</v>
      </c>
      <c r="B5372" t="s">
        <v>26951</v>
      </c>
      <c r="C5372" t="s">
        <v>13761</v>
      </c>
      <c r="D5372" t="s">
        <v>13760</v>
      </c>
      <c r="E5372" s="2" t="s">
        <v>172</v>
      </c>
      <c r="F5372" t="s">
        <v>3957</v>
      </c>
      <c r="G5372" t="str">
        <f>HYPERLINK("https://www.klnews.co.kr/news/articleView.html?idxno=316046")</f>
        <v>https://www.klnews.co.kr/news/articleView.html?idxno=316046</v>
      </c>
      <c r="H5372">
        <v>0.33400000000000002</v>
      </c>
    </row>
    <row r="5373" spans="1:8" x14ac:dyDescent="0.3">
      <c r="A5373" t="s">
        <v>9678</v>
      </c>
      <c r="B5373" t="s">
        <v>26951</v>
      </c>
      <c r="C5373" t="s">
        <v>13764</v>
      </c>
      <c r="D5373" t="s">
        <v>13763</v>
      </c>
      <c r="E5373" s="2" t="s">
        <v>172</v>
      </c>
      <c r="F5373" t="s">
        <v>13762</v>
      </c>
      <c r="G5373" t="str">
        <f>HYPERLINK("https://n.news.naver.com/mnews/article/016/0002489165?sid=103")</f>
        <v>https://n.news.naver.com/mnews/article/016/0002489165?sid=103</v>
      </c>
      <c r="H5373">
        <v>0.29899999999999999</v>
      </c>
    </row>
    <row r="5374" spans="1:8" x14ac:dyDescent="0.3">
      <c r="A5374" t="s">
        <v>9678</v>
      </c>
      <c r="B5374" t="s">
        <v>26951</v>
      </c>
      <c r="C5374" t="s">
        <v>13766</v>
      </c>
      <c r="D5374" t="s">
        <v>13765</v>
      </c>
      <c r="E5374" s="2" t="s">
        <v>172</v>
      </c>
      <c r="F5374" t="s">
        <v>5087</v>
      </c>
      <c r="G5374" t="str">
        <f>HYPERLINK("https://n.news.naver.com/mnews/article/214/0001432212?sid=102")</f>
        <v>https://n.news.naver.com/mnews/article/214/0001432212?sid=102</v>
      </c>
      <c r="H5374">
        <v>0.255</v>
      </c>
    </row>
    <row r="5375" spans="1:8" x14ac:dyDescent="0.3">
      <c r="A5375" t="s">
        <v>9678</v>
      </c>
      <c r="B5375" t="s">
        <v>26951</v>
      </c>
      <c r="C5375" t="s">
        <v>13768</v>
      </c>
      <c r="D5375" t="s">
        <v>13767</v>
      </c>
      <c r="E5375" s="2" t="s">
        <v>172</v>
      </c>
      <c r="F5375" t="s">
        <v>2891</v>
      </c>
      <c r="G5375" t="str">
        <f>HYPERLINK("http://www.gamevu.co.kr/news/articleView.html?idxno=35995")</f>
        <v>http://www.gamevu.co.kr/news/articleView.html?idxno=35995</v>
      </c>
      <c r="H5375">
        <v>0.496</v>
      </c>
    </row>
    <row r="5376" spans="1:8" x14ac:dyDescent="0.3">
      <c r="A5376" t="s">
        <v>9678</v>
      </c>
      <c r="B5376" t="s">
        <v>26951</v>
      </c>
      <c r="C5376" t="s">
        <v>13771</v>
      </c>
      <c r="D5376" t="s">
        <v>13770</v>
      </c>
      <c r="E5376" s="2" t="s">
        <v>172</v>
      </c>
      <c r="F5376" t="s">
        <v>13769</v>
      </c>
      <c r="G5376" t="str">
        <f>HYPERLINK("https://n.news.naver.com/mnews/article/002/0002014306?sid=102")</f>
        <v>https://n.news.naver.com/mnews/article/002/0002014306?sid=102</v>
      </c>
      <c r="H5376">
        <v>0.27400000000000002</v>
      </c>
    </row>
    <row r="5377" spans="1:8" x14ac:dyDescent="0.3">
      <c r="A5377" t="s">
        <v>9678</v>
      </c>
      <c r="B5377" t="s">
        <v>26951</v>
      </c>
      <c r="C5377" t="s">
        <v>13773</v>
      </c>
      <c r="D5377" t="s">
        <v>13772</v>
      </c>
      <c r="E5377" s="2" t="s">
        <v>172</v>
      </c>
      <c r="F5377" t="s">
        <v>10496</v>
      </c>
      <c r="G5377" t="str">
        <f>HYPERLINK("https://www.hyunbulnews.com/news/articleView.html?idxno=417131")</f>
        <v>https://www.hyunbulnews.com/news/articleView.html?idxno=417131</v>
      </c>
      <c r="H5377">
        <v>0.73499999999999999</v>
      </c>
    </row>
    <row r="5378" spans="1:8" x14ac:dyDescent="0.3">
      <c r="A5378" t="s">
        <v>9678</v>
      </c>
      <c r="B5378" t="s">
        <v>26951</v>
      </c>
      <c r="C5378" t="s">
        <v>13776</v>
      </c>
      <c r="D5378" t="s">
        <v>13775</v>
      </c>
      <c r="E5378" s="2" t="s">
        <v>172</v>
      </c>
      <c r="F5378" t="s">
        <v>13774</v>
      </c>
      <c r="G5378" t="str">
        <f>HYPERLINK("https://www.jjan.kr/article/20230516580004")</f>
        <v>https://www.jjan.kr/article/20230516580004</v>
      </c>
      <c r="H5378">
        <v>0.67200000000000004</v>
      </c>
    </row>
    <row r="5379" spans="1:8" x14ac:dyDescent="0.3">
      <c r="A5379" t="s">
        <v>9678</v>
      </c>
      <c r="B5379" t="s">
        <v>26951</v>
      </c>
      <c r="C5379" t="s">
        <v>13778</v>
      </c>
      <c r="D5379" t="s">
        <v>13777</v>
      </c>
      <c r="E5379" s="2" t="s">
        <v>172</v>
      </c>
      <c r="F5379" t="s">
        <v>9935</v>
      </c>
      <c r="G5379" t="str">
        <f>HYPERLINK("https://n.news.naver.com/mnews/article/028/0002397048?sid=103")</f>
        <v>https://n.news.naver.com/mnews/article/028/0002397048?sid=103</v>
      </c>
      <c r="H5379">
        <v>0.19900000000000001</v>
      </c>
    </row>
    <row r="5380" spans="1:8" x14ac:dyDescent="0.3">
      <c r="A5380" t="s">
        <v>9678</v>
      </c>
      <c r="B5380" t="s">
        <v>26951</v>
      </c>
      <c r="C5380" t="s">
        <v>13780</v>
      </c>
      <c r="D5380" t="s">
        <v>13779</v>
      </c>
      <c r="E5380" s="2" t="s">
        <v>172</v>
      </c>
      <c r="F5380" t="s">
        <v>9962</v>
      </c>
      <c r="G5380" t="str">
        <f>HYPERLINK("https://n.news.naver.com/mnews/article/088/0000928531?sid=100")</f>
        <v>https://n.news.naver.com/mnews/article/088/0000928531?sid=100</v>
      </c>
      <c r="H5380">
        <v>0.38300000000000001</v>
      </c>
    </row>
    <row r="5381" spans="1:8" x14ac:dyDescent="0.3">
      <c r="A5381" t="s">
        <v>9678</v>
      </c>
      <c r="B5381" t="s">
        <v>26951</v>
      </c>
      <c r="C5381" t="s">
        <v>13783</v>
      </c>
      <c r="D5381" t="s">
        <v>13782</v>
      </c>
      <c r="E5381" s="2" t="s">
        <v>172</v>
      </c>
      <c r="F5381" t="s">
        <v>13781</v>
      </c>
      <c r="G5381" t="str">
        <f>HYPERLINK("https://sports.hankooki.com/news/articleView.html?idxno=6902462")</f>
        <v>https://sports.hankooki.com/news/articleView.html?idxno=6902462</v>
      </c>
      <c r="H5381">
        <v>0.50800000000000001</v>
      </c>
    </row>
    <row r="5382" spans="1:8" x14ac:dyDescent="0.3">
      <c r="A5382" t="s">
        <v>9678</v>
      </c>
      <c r="B5382" t="s">
        <v>26951</v>
      </c>
      <c r="C5382" t="s">
        <v>13786</v>
      </c>
      <c r="D5382" t="s">
        <v>13785</v>
      </c>
      <c r="E5382" s="2" t="s">
        <v>172</v>
      </c>
      <c r="F5382" t="s">
        <v>13784</v>
      </c>
      <c r="G5382" t="str">
        <f>HYPERLINK("http://www.kyosu.net/news/articleView.html?idxno=138187")</f>
        <v>http://www.kyosu.net/news/articleView.html?idxno=138187</v>
      </c>
      <c r="H5382">
        <v>0.36099999999999999</v>
      </c>
    </row>
    <row r="5383" spans="1:8" x14ac:dyDescent="0.3">
      <c r="A5383" t="s">
        <v>9678</v>
      </c>
      <c r="B5383" t="s">
        <v>26951</v>
      </c>
      <c r="C5383" t="s">
        <v>13789</v>
      </c>
      <c r="D5383" t="s">
        <v>13788</v>
      </c>
      <c r="E5383" s="2" t="s">
        <v>172</v>
      </c>
      <c r="F5383" t="s">
        <v>13787</v>
      </c>
      <c r="G5383" t="str">
        <f>HYPERLINK("https://www.jeonmae.co.kr/news/articleView.html?idxno=909395")</f>
        <v>https://www.jeonmae.co.kr/news/articleView.html?idxno=909395</v>
      </c>
      <c r="H5383">
        <v>0.32400000000000001</v>
      </c>
    </row>
    <row r="5384" spans="1:8" x14ac:dyDescent="0.3">
      <c r="A5384" t="s">
        <v>9678</v>
      </c>
      <c r="B5384" t="s">
        <v>26951</v>
      </c>
      <c r="C5384" t="s">
        <v>13792</v>
      </c>
      <c r="D5384" t="s">
        <v>13791</v>
      </c>
      <c r="E5384" s="2" t="s">
        <v>172</v>
      </c>
      <c r="F5384" t="s">
        <v>13790</v>
      </c>
      <c r="G5384" t="str">
        <f>HYPERLINK("https://www.ggilbo.com/news/articleView.html?idxno=1096918")</f>
        <v>https://www.ggilbo.com/news/articleView.html?idxno=1096918</v>
      </c>
      <c r="H5384">
        <v>0.44900000000000001</v>
      </c>
    </row>
    <row r="5385" spans="1:8" x14ac:dyDescent="0.3">
      <c r="A5385" t="s">
        <v>9678</v>
      </c>
      <c r="B5385" t="s">
        <v>26951</v>
      </c>
      <c r="C5385" t="s">
        <v>13794</v>
      </c>
      <c r="D5385" t="s">
        <v>13793</v>
      </c>
      <c r="E5385" s="2" t="s">
        <v>172</v>
      </c>
      <c r="F5385" t="s">
        <v>205</v>
      </c>
      <c r="G5385" t="str">
        <f>HYPERLINK("https://www.yeongnam.com/web/view.php?key=20250625025128514")</f>
        <v>https://www.yeongnam.com/web/view.php?key=20250625025128514</v>
      </c>
      <c r="H5385">
        <v>0.496</v>
      </c>
    </row>
    <row r="5386" spans="1:8" x14ac:dyDescent="0.3">
      <c r="A5386" t="s">
        <v>9678</v>
      </c>
      <c r="B5386" t="s">
        <v>26951</v>
      </c>
      <c r="C5386" t="s">
        <v>13796</v>
      </c>
      <c r="D5386" t="s">
        <v>13795</v>
      </c>
      <c r="E5386" s="2" t="s">
        <v>172</v>
      </c>
      <c r="F5386" t="s">
        <v>111</v>
      </c>
      <c r="G5386" t="str">
        <f>HYPERLINK("https://n.news.naver.com/mnews/article/214/0001432382?sid=100")</f>
        <v>https://n.news.naver.com/mnews/article/214/0001432382?sid=100</v>
      </c>
      <c r="H5386">
        <v>0.115</v>
      </c>
    </row>
    <row r="5387" spans="1:8" x14ac:dyDescent="0.3">
      <c r="A5387" t="s">
        <v>9678</v>
      </c>
      <c r="B5387" t="s">
        <v>26951</v>
      </c>
      <c r="C5387" t="s">
        <v>13799</v>
      </c>
      <c r="D5387" t="s">
        <v>13798</v>
      </c>
      <c r="E5387" s="2" t="s">
        <v>172</v>
      </c>
      <c r="F5387" t="s">
        <v>13797</v>
      </c>
      <c r="G5387" t="str">
        <f>HYPERLINK("http://www.starnewsk.com/news/articleView.html?idxno=46586")</f>
        <v>http://www.starnewsk.com/news/articleView.html?idxno=46586</v>
      </c>
      <c r="H5387">
        <v>0.33300000000000002</v>
      </c>
    </row>
    <row r="5388" spans="1:8" x14ac:dyDescent="0.3">
      <c r="A5388" t="s">
        <v>9678</v>
      </c>
      <c r="B5388" t="s">
        <v>26951</v>
      </c>
      <c r="C5388" t="s">
        <v>13802</v>
      </c>
      <c r="D5388" t="s">
        <v>13801</v>
      </c>
      <c r="E5388" s="2" t="s">
        <v>172</v>
      </c>
      <c r="F5388" t="s">
        <v>13800</v>
      </c>
      <c r="G5388" t="str">
        <f>HYPERLINK("https://sports.hankooki.com/news/articleView.html?idxno=6901837")</f>
        <v>https://sports.hankooki.com/news/articleView.html?idxno=6901837</v>
      </c>
      <c r="H5388">
        <v>0.38500000000000001</v>
      </c>
    </row>
    <row r="5389" spans="1:8" x14ac:dyDescent="0.3">
      <c r="A5389" t="s">
        <v>9678</v>
      </c>
      <c r="B5389" t="s">
        <v>26951</v>
      </c>
      <c r="C5389" t="s">
        <v>13805</v>
      </c>
      <c r="D5389" t="s">
        <v>13804</v>
      </c>
      <c r="E5389" s="2" t="s">
        <v>172</v>
      </c>
      <c r="F5389" t="s">
        <v>13803</v>
      </c>
      <c r="G5389" t="str">
        <f>HYPERLINK("http://www.breaknews.com/sub_read.html?uid=443250&amp;section=sc1")</f>
        <v>http://www.breaknews.com/sub_read.html?uid=443250&amp;section=sc1</v>
      </c>
      <c r="H5389">
        <v>0.626</v>
      </c>
    </row>
    <row r="5390" spans="1:8" x14ac:dyDescent="0.3">
      <c r="A5390" t="s">
        <v>9678</v>
      </c>
      <c r="B5390" t="s">
        <v>26951</v>
      </c>
      <c r="C5390" t="s">
        <v>13808</v>
      </c>
      <c r="D5390" t="s">
        <v>13807</v>
      </c>
      <c r="E5390" s="2" t="s">
        <v>172</v>
      </c>
      <c r="F5390" t="s">
        <v>13806</v>
      </c>
      <c r="G5390" t="str">
        <f>HYPERLINK("https://n.news.naver.com/mnews/article/662/0000072091?sid=103")</f>
        <v>https://n.news.naver.com/mnews/article/662/0000072091?sid=103</v>
      </c>
      <c r="H5390">
        <v>0.10299999999999999</v>
      </c>
    </row>
    <row r="5391" spans="1:8" x14ac:dyDescent="0.3">
      <c r="A5391" t="s">
        <v>9678</v>
      </c>
      <c r="B5391" t="s">
        <v>26951</v>
      </c>
      <c r="C5391" t="s">
        <v>13811</v>
      </c>
      <c r="D5391" t="s">
        <v>13810</v>
      </c>
      <c r="E5391" s="2" t="s">
        <v>172</v>
      </c>
      <c r="F5391" t="s">
        <v>13809</v>
      </c>
      <c r="G5391" t="str">
        <f>HYPERLINK("http://www.seoulwire.com/news/articleView.html?idxno=410326")</f>
        <v>http://www.seoulwire.com/news/articleView.html?idxno=410326</v>
      </c>
      <c r="H5391">
        <v>0.48</v>
      </c>
    </row>
    <row r="5392" spans="1:8" x14ac:dyDescent="0.3">
      <c r="A5392" t="s">
        <v>9678</v>
      </c>
      <c r="B5392" t="s">
        <v>26951</v>
      </c>
      <c r="C5392" t="s">
        <v>13813</v>
      </c>
      <c r="D5392" t="s">
        <v>13812</v>
      </c>
      <c r="E5392" s="2" t="s">
        <v>172</v>
      </c>
      <c r="F5392" t="s">
        <v>9441</v>
      </c>
      <c r="G5392" t="str">
        <f>HYPERLINK("http://ch.yes24.com/Article/View/44611")</f>
        <v>http://ch.yes24.com/Article/View/44611</v>
      </c>
      <c r="H5392">
        <v>0.71099999999999997</v>
      </c>
    </row>
    <row r="5393" spans="1:8" x14ac:dyDescent="0.3">
      <c r="A5393" t="s">
        <v>9678</v>
      </c>
      <c r="B5393" t="s">
        <v>26951</v>
      </c>
      <c r="C5393" t="s">
        <v>13817</v>
      </c>
      <c r="D5393" t="s">
        <v>13816</v>
      </c>
      <c r="E5393" s="2" t="s">
        <v>172</v>
      </c>
      <c r="F5393" t="s">
        <v>8373</v>
      </c>
      <c r="G5393" t="str">
        <f>HYPERLINK("http://www.newsway.co.kr/view.php?tp=1&amp;ud=2014012210262103631")</f>
        <v>http://www.newsway.co.kr/view.php?tp=1&amp;ud=2014012210262103631</v>
      </c>
      <c r="H5393">
        <v>0.26600000000000001</v>
      </c>
    </row>
    <row r="5394" spans="1:8" x14ac:dyDescent="0.3">
      <c r="A5394" t="s">
        <v>9678</v>
      </c>
      <c r="B5394" t="s">
        <v>26951</v>
      </c>
      <c r="C5394" t="s">
        <v>13819</v>
      </c>
      <c r="D5394" t="s">
        <v>13818</v>
      </c>
      <c r="E5394" s="2" t="s">
        <v>172</v>
      </c>
      <c r="F5394" t="s">
        <v>13661</v>
      </c>
      <c r="G5394" t="str">
        <f>HYPERLINK("http://www.cctimes.kr/news/articleView.html?idxno=774437")</f>
        <v>http://www.cctimes.kr/news/articleView.html?idxno=774437</v>
      </c>
      <c r="H5394">
        <v>0.58199999999999996</v>
      </c>
    </row>
    <row r="5395" spans="1:8" x14ac:dyDescent="0.3">
      <c r="A5395" t="s">
        <v>9678</v>
      </c>
      <c r="B5395" t="s">
        <v>26951</v>
      </c>
      <c r="C5395" t="s">
        <v>13821</v>
      </c>
      <c r="D5395" t="s">
        <v>13820</v>
      </c>
      <c r="E5395" s="2" t="s">
        <v>172</v>
      </c>
      <c r="F5395" t="s">
        <v>13678</v>
      </c>
      <c r="G5395" t="str">
        <f>HYPERLINK("http://www.veritas-a.com/news/articleView.html?idxno=372552")</f>
        <v>http://www.veritas-a.com/news/articleView.html?idxno=372552</v>
      </c>
      <c r="H5395">
        <v>0.44900000000000001</v>
      </c>
    </row>
    <row r="5396" spans="1:8" x14ac:dyDescent="0.3">
      <c r="A5396" t="s">
        <v>9678</v>
      </c>
      <c r="B5396" t="s">
        <v>26951</v>
      </c>
      <c r="C5396" t="s">
        <v>13823</v>
      </c>
      <c r="D5396" t="s">
        <v>13822</v>
      </c>
      <c r="E5396" s="2" t="s">
        <v>172</v>
      </c>
      <c r="F5396" t="s">
        <v>4476</v>
      </c>
      <c r="G5396" t="str">
        <f>HYPERLINK("https://n.news.naver.com/mnews/article/028/0002753296?sid=110")</f>
        <v>https://n.news.naver.com/mnews/article/028/0002753296?sid=110</v>
      </c>
      <c r="H5396">
        <v>0.28000000000000003</v>
      </c>
    </row>
    <row r="5397" spans="1:8" x14ac:dyDescent="0.3">
      <c r="A5397" t="s">
        <v>9678</v>
      </c>
      <c r="B5397" t="s">
        <v>26951</v>
      </c>
      <c r="C5397" t="s">
        <v>13826</v>
      </c>
      <c r="D5397" t="s">
        <v>13825</v>
      </c>
      <c r="E5397" s="2" t="s">
        <v>172</v>
      </c>
      <c r="F5397" t="s">
        <v>13824</v>
      </c>
      <c r="G5397" t="str">
        <f>HYPERLINK("https://tjmbc.co.kr/article/tfELgpAVaIu7sqWgdx4Xzi")</f>
        <v>https://tjmbc.co.kr/article/tfELgpAVaIu7sqWgdx4Xzi</v>
      </c>
      <c r="H5397">
        <v>0.3</v>
      </c>
    </row>
    <row r="5398" spans="1:8" x14ac:dyDescent="0.3">
      <c r="A5398" t="s">
        <v>9678</v>
      </c>
      <c r="B5398" t="s">
        <v>26951</v>
      </c>
      <c r="C5398" t="s">
        <v>13828</v>
      </c>
      <c r="D5398" t="s">
        <v>13827</v>
      </c>
      <c r="E5398" s="2" t="s">
        <v>172</v>
      </c>
      <c r="F5398" t="s">
        <v>10433</v>
      </c>
      <c r="G5398" t="str">
        <f>HYPERLINK("https://www.etoday.co.kr/news/view/1896963")</f>
        <v>https://www.etoday.co.kr/news/view/1896963</v>
      </c>
      <c r="H5398">
        <v>0.4</v>
      </c>
    </row>
    <row r="5399" spans="1:8" x14ac:dyDescent="0.3">
      <c r="A5399" t="s">
        <v>9678</v>
      </c>
      <c r="B5399" t="s">
        <v>26951</v>
      </c>
      <c r="C5399" t="s">
        <v>13830</v>
      </c>
      <c r="D5399" t="s">
        <v>13829</v>
      </c>
      <c r="E5399" s="2" t="s">
        <v>172</v>
      </c>
      <c r="F5399" t="s">
        <v>5548</v>
      </c>
      <c r="G5399" t="str">
        <f>HYPERLINK("https://sports.hankooki.com/news/articleView.html?idxno=6886813")</f>
        <v>https://sports.hankooki.com/news/articleView.html?idxno=6886813</v>
      </c>
      <c r="H5399">
        <v>0.54300000000000004</v>
      </c>
    </row>
    <row r="5400" spans="1:8" x14ac:dyDescent="0.3">
      <c r="A5400" t="s">
        <v>9678</v>
      </c>
      <c r="B5400" t="s">
        <v>26951</v>
      </c>
      <c r="C5400" t="s">
        <v>13832</v>
      </c>
      <c r="D5400" t="s">
        <v>13831</v>
      </c>
      <c r="E5400" s="2" t="s">
        <v>172</v>
      </c>
      <c r="F5400" t="s">
        <v>1822</v>
      </c>
      <c r="G5400" t="str">
        <f>HYPERLINK("https://n.news.naver.com/mnews/article/016/0002493062?sid=103")</f>
        <v>https://n.news.naver.com/mnews/article/016/0002493062?sid=103</v>
      </c>
      <c r="H5400">
        <v>0.13200000000000001</v>
      </c>
    </row>
    <row r="5401" spans="1:8" x14ac:dyDescent="0.3">
      <c r="A5401" t="s">
        <v>9678</v>
      </c>
      <c r="B5401" t="s">
        <v>26951</v>
      </c>
      <c r="C5401" t="s">
        <v>13835</v>
      </c>
      <c r="D5401" t="s">
        <v>13834</v>
      </c>
      <c r="E5401" s="2" t="s">
        <v>172</v>
      </c>
      <c r="F5401" t="s">
        <v>13833</v>
      </c>
      <c r="G5401" t="str">
        <f>HYPERLINK("http://www.kihoilbo.co.kr/news/articleView.html?idxno=861053")</f>
        <v>http://www.kihoilbo.co.kr/news/articleView.html?idxno=861053</v>
      </c>
      <c r="H5401">
        <v>0.41399999999999998</v>
      </c>
    </row>
    <row r="5402" spans="1:8" x14ac:dyDescent="0.3">
      <c r="A5402" t="s">
        <v>9678</v>
      </c>
      <c r="B5402" t="s">
        <v>26951</v>
      </c>
      <c r="C5402" t="s">
        <v>13838</v>
      </c>
      <c r="D5402" t="s">
        <v>13837</v>
      </c>
      <c r="E5402" s="2" t="s">
        <v>196</v>
      </c>
      <c r="F5402" t="s">
        <v>13836</v>
      </c>
      <c r="G5402" t="str">
        <f>HYPERLINK("https://www.ftimes.kr/news/articleView.html?idxno=31538")</f>
        <v>https://www.ftimes.kr/news/articleView.html?idxno=31538</v>
      </c>
      <c r="H5402">
        <v>0.502</v>
      </c>
    </row>
    <row r="5403" spans="1:8" x14ac:dyDescent="0.3">
      <c r="A5403" t="s">
        <v>9678</v>
      </c>
      <c r="B5403" t="s">
        <v>26951</v>
      </c>
      <c r="C5403" t="s">
        <v>13841</v>
      </c>
      <c r="D5403" t="s">
        <v>13840</v>
      </c>
      <c r="E5403" s="2" t="s">
        <v>196</v>
      </c>
      <c r="F5403" t="s">
        <v>13839</v>
      </c>
      <c r="G5403" t="str">
        <f>HYPERLINK("https://news.einfomax.co.kr/news/articleView.html?idxno=4362773")</f>
        <v>https://news.einfomax.co.kr/news/articleView.html?idxno=4362773</v>
      </c>
      <c r="H5403">
        <v>0.188</v>
      </c>
    </row>
    <row r="5404" spans="1:8" x14ac:dyDescent="0.3">
      <c r="A5404" t="s">
        <v>9678</v>
      </c>
      <c r="B5404" t="s">
        <v>26951</v>
      </c>
      <c r="C5404" t="s">
        <v>13844</v>
      </c>
      <c r="D5404" t="s">
        <v>13843</v>
      </c>
      <c r="E5404" s="2" t="s">
        <v>196</v>
      </c>
      <c r="F5404" t="s">
        <v>13842</v>
      </c>
      <c r="G5404" t="str">
        <f>HYPERLINK("http://news.kukinews.com/article/view.asp?arcid=0009508300&amp;code=41181111&amp;cp=nv")</f>
        <v>http://news.kukinews.com/article/view.asp?arcid=0009508300&amp;code=41181111&amp;cp=nv</v>
      </c>
      <c r="H5404">
        <v>0.40100000000000002</v>
      </c>
    </row>
    <row r="5405" spans="1:8" x14ac:dyDescent="0.3">
      <c r="A5405" t="s">
        <v>9678</v>
      </c>
      <c r="B5405" t="s">
        <v>26951</v>
      </c>
      <c r="C5405" t="s">
        <v>13847</v>
      </c>
      <c r="D5405" t="s">
        <v>13846</v>
      </c>
      <c r="E5405" s="2" t="s">
        <v>196</v>
      </c>
      <c r="F5405" t="s">
        <v>13845</v>
      </c>
      <c r="G5405" t="str">
        <f>HYPERLINK("https://www.kyeongin.com/article/1739843")</f>
        <v>https://www.kyeongin.com/article/1739843</v>
      </c>
      <c r="H5405">
        <v>0.317</v>
      </c>
    </row>
    <row r="5406" spans="1:8" x14ac:dyDescent="0.3">
      <c r="A5406" t="s">
        <v>9678</v>
      </c>
      <c r="B5406" t="s">
        <v>26951</v>
      </c>
      <c r="C5406" t="s">
        <v>13850</v>
      </c>
      <c r="D5406" t="s">
        <v>13849</v>
      </c>
      <c r="E5406" s="2" t="s">
        <v>196</v>
      </c>
      <c r="F5406" t="s">
        <v>13848</v>
      </c>
      <c r="G5406" t="str">
        <f>HYPERLINK("http://www.gokorea.kr/news/articleView.html?idxno=704951")</f>
        <v>http://www.gokorea.kr/news/articleView.html?idxno=704951</v>
      </c>
      <c r="H5406">
        <v>0.50900000000000001</v>
      </c>
    </row>
    <row r="5407" spans="1:8" x14ac:dyDescent="0.3">
      <c r="A5407" t="s">
        <v>9678</v>
      </c>
      <c r="B5407" t="s">
        <v>26951</v>
      </c>
      <c r="C5407" t="s">
        <v>13853</v>
      </c>
      <c r="D5407" t="s">
        <v>13852</v>
      </c>
      <c r="E5407" s="2" t="s">
        <v>196</v>
      </c>
      <c r="F5407" t="s">
        <v>13851</v>
      </c>
      <c r="G5407" t="str">
        <f>HYPERLINK("http://gamefocus.co.kr/detail.php?number=142655")</f>
        <v>http://gamefocus.co.kr/detail.php?number=142655</v>
      </c>
      <c r="H5407">
        <v>0.32500000000000001</v>
      </c>
    </row>
    <row r="5408" spans="1:8" x14ac:dyDescent="0.3">
      <c r="A5408" t="s">
        <v>9678</v>
      </c>
      <c r="B5408" t="s">
        <v>26951</v>
      </c>
      <c r="C5408" t="s">
        <v>13856</v>
      </c>
      <c r="D5408" t="s">
        <v>13855</v>
      </c>
      <c r="E5408" s="2" t="s">
        <v>196</v>
      </c>
      <c r="F5408" t="s">
        <v>13854</v>
      </c>
      <c r="G5408" t="str">
        <f>HYPERLINK("http://www.enewstoday.co.kr/news/articleView.html?idxno=499996")</f>
        <v>http://www.enewstoday.co.kr/news/articleView.html?idxno=499996</v>
      </c>
      <c r="H5408">
        <v>0.26300000000000001</v>
      </c>
    </row>
    <row r="5409" spans="1:8" x14ac:dyDescent="0.3">
      <c r="A5409" t="s">
        <v>9678</v>
      </c>
      <c r="B5409" t="s">
        <v>26951</v>
      </c>
      <c r="C5409" t="s">
        <v>13858</v>
      </c>
      <c r="D5409" t="s">
        <v>13857</v>
      </c>
      <c r="E5409" s="2" t="s">
        <v>196</v>
      </c>
      <c r="F5409" t="s">
        <v>10191</v>
      </c>
      <c r="G5409" t="str">
        <f>HYPERLINK("https://n.news.naver.com/mnews/article/081/0003551803?sid=102")</f>
        <v>https://n.news.naver.com/mnews/article/081/0003551803?sid=102</v>
      </c>
      <c r="H5409">
        <v>0.28299999999999997</v>
      </c>
    </row>
    <row r="5410" spans="1:8" x14ac:dyDescent="0.3">
      <c r="A5410" t="s">
        <v>9678</v>
      </c>
      <c r="B5410" t="s">
        <v>26951</v>
      </c>
      <c r="C5410" t="s">
        <v>13861</v>
      </c>
      <c r="D5410" t="s">
        <v>13860</v>
      </c>
      <c r="E5410" s="2" t="s">
        <v>196</v>
      </c>
      <c r="F5410" t="s">
        <v>13859</v>
      </c>
      <c r="G5410" t="str">
        <f>HYPERLINK("http://www.newstof.com/news/articleView.html?idxno=12244")</f>
        <v>http://www.newstof.com/news/articleView.html?idxno=12244</v>
      </c>
      <c r="H5410">
        <v>8.7999999999999995E-2</v>
      </c>
    </row>
    <row r="5411" spans="1:8" x14ac:dyDescent="0.3">
      <c r="A5411" t="s">
        <v>9678</v>
      </c>
      <c r="B5411" t="s">
        <v>26951</v>
      </c>
      <c r="C5411" t="s">
        <v>13864</v>
      </c>
      <c r="D5411" t="s">
        <v>13863</v>
      </c>
      <c r="E5411" s="2" t="s">
        <v>196</v>
      </c>
      <c r="F5411" t="s">
        <v>13862</v>
      </c>
      <c r="G5411" t="str">
        <f>HYPERLINK("http://www.newsnjoy.or.kr/news/articleView.html?idxno=211325")</f>
        <v>http://www.newsnjoy.or.kr/news/articleView.html?idxno=211325</v>
      </c>
      <c r="H5411">
        <v>0.60899999999999999</v>
      </c>
    </row>
    <row r="5412" spans="1:8" x14ac:dyDescent="0.3">
      <c r="A5412" t="s">
        <v>9678</v>
      </c>
      <c r="B5412" t="s">
        <v>26951</v>
      </c>
      <c r="C5412" t="s">
        <v>13866</v>
      </c>
      <c r="D5412" t="s">
        <v>13865</v>
      </c>
      <c r="E5412" s="2" t="s">
        <v>196</v>
      </c>
      <c r="F5412" t="s">
        <v>12794</v>
      </c>
      <c r="G5412" t="str">
        <f>HYPERLINK("https://n.news.naver.com/mnews/article/016/0002488855?sid=103")</f>
        <v>https://n.news.naver.com/mnews/article/016/0002488855?sid=103</v>
      </c>
      <c r="H5412">
        <v>0.33300000000000002</v>
      </c>
    </row>
    <row r="5413" spans="1:8" x14ac:dyDescent="0.3">
      <c r="A5413" t="s">
        <v>9678</v>
      </c>
      <c r="B5413" t="s">
        <v>26951</v>
      </c>
      <c r="C5413" t="s">
        <v>13868</v>
      </c>
      <c r="D5413" t="s">
        <v>13867</v>
      </c>
      <c r="E5413" s="2" t="s">
        <v>196</v>
      </c>
      <c r="F5413" t="s">
        <v>9962</v>
      </c>
      <c r="G5413" t="str">
        <f>HYPERLINK("https://www.kukinews.com/article/view/kuk202506290020")</f>
        <v>https://www.kukinews.com/article/view/kuk202506290020</v>
      </c>
      <c r="H5413">
        <v>0.63200000000000001</v>
      </c>
    </row>
    <row r="5414" spans="1:8" x14ac:dyDescent="0.3">
      <c r="A5414" t="s">
        <v>9678</v>
      </c>
      <c r="B5414" t="s">
        <v>26951</v>
      </c>
      <c r="C5414" t="s">
        <v>13870</v>
      </c>
      <c r="D5414" t="s">
        <v>13869</v>
      </c>
      <c r="E5414" s="2" t="s">
        <v>196</v>
      </c>
      <c r="F5414" t="s">
        <v>7606</v>
      </c>
      <c r="G5414" t="str">
        <f>HYPERLINK("https://n.news.naver.com/mnews/article/277/0005615304?sid=102")</f>
        <v>https://n.news.naver.com/mnews/article/277/0005615304?sid=102</v>
      </c>
      <c r="H5414">
        <v>0.27700000000000002</v>
      </c>
    </row>
    <row r="5415" spans="1:8" x14ac:dyDescent="0.3">
      <c r="A5415" t="s">
        <v>9678</v>
      </c>
      <c r="B5415" t="s">
        <v>26951</v>
      </c>
      <c r="C5415" t="s">
        <v>13872</v>
      </c>
      <c r="D5415" t="s">
        <v>13871</v>
      </c>
      <c r="E5415" s="2" t="s">
        <v>196</v>
      </c>
      <c r="F5415" t="s">
        <v>6930</v>
      </c>
      <c r="G5415" t="str">
        <f>HYPERLINK("https://www.ziksir.com/news/articleView.html?idxno=95395")</f>
        <v>https://www.ziksir.com/news/articleView.html?idxno=95395</v>
      </c>
      <c r="H5415">
        <v>0.245</v>
      </c>
    </row>
    <row r="5416" spans="1:8" x14ac:dyDescent="0.3">
      <c r="A5416" t="s">
        <v>9678</v>
      </c>
      <c r="B5416" t="s">
        <v>26951</v>
      </c>
      <c r="C5416" t="s">
        <v>13876</v>
      </c>
      <c r="D5416" t="s">
        <v>13875</v>
      </c>
      <c r="E5416" s="2" t="s">
        <v>196</v>
      </c>
      <c r="F5416" t="s">
        <v>13874</v>
      </c>
      <c r="G5416" t="str">
        <f>HYPERLINK("http://www.pennmike.com/news/articleView.html?idxno=54433")</f>
        <v>http://www.pennmike.com/news/articleView.html?idxno=54433</v>
      </c>
      <c r="H5416">
        <v>0.39900000000000002</v>
      </c>
    </row>
    <row r="5417" spans="1:8" x14ac:dyDescent="0.3">
      <c r="A5417" t="s">
        <v>9678</v>
      </c>
      <c r="B5417" t="s">
        <v>26951</v>
      </c>
      <c r="C5417" t="s">
        <v>13879</v>
      </c>
      <c r="D5417" t="s">
        <v>13878</v>
      </c>
      <c r="E5417" s="2" t="s">
        <v>196</v>
      </c>
      <c r="F5417" t="s">
        <v>13877</v>
      </c>
      <c r="G5417" t="str">
        <f>HYPERLINK("https://n.news.naver.com/mnews/article/277/0005426532?sid=102")</f>
        <v>https://n.news.naver.com/mnews/article/277/0005426532?sid=102</v>
      </c>
      <c r="H5417">
        <v>0.26100000000000001</v>
      </c>
    </row>
    <row r="5418" spans="1:8" x14ac:dyDescent="0.3">
      <c r="A5418" t="s">
        <v>9678</v>
      </c>
      <c r="B5418" t="s">
        <v>26951</v>
      </c>
      <c r="C5418" t="s">
        <v>13881</v>
      </c>
      <c r="D5418" t="s">
        <v>13880</v>
      </c>
      <c r="E5418" s="2" t="s">
        <v>196</v>
      </c>
      <c r="F5418" t="s">
        <v>961</v>
      </c>
      <c r="G5418" t="str">
        <f>HYPERLINK("https://n.news.naver.com/mnews/article/006/0000130654?sid=100")</f>
        <v>https://n.news.naver.com/mnews/article/006/0000130654?sid=100</v>
      </c>
      <c r="H5418">
        <v>0.19400000000000001</v>
      </c>
    </row>
    <row r="5419" spans="1:8" x14ac:dyDescent="0.3">
      <c r="A5419" t="s">
        <v>9678</v>
      </c>
      <c r="B5419" t="s">
        <v>26951</v>
      </c>
      <c r="C5419" t="s">
        <v>13883</v>
      </c>
      <c r="D5419" t="s">
        <v>13882</v>
      </c>
      <c r="E5419" s="2" t="s">
        <v>196</v>
      </c>
      <c r="F5419" t="s">
        <v>6930</v>
      </c>
      <c r="G5419" t="str">
        <f>HYPERLINK("http://www.industrynews.co.kr/news/articleView.html?idxno=66192")</f>
        <v>http://www.industrynews.co.kr/news/articleView.html?idxno=66192</v>
      </c>
      <c r="H5419">
        <v>0.32700000000000001</v>
      </c>
    </row>
    <row r="5420" spans="1:8" x14ac:dyDescent="0.3">
      <c r="A5420" t="s">
        <v>9678</v>
      </c>
      <c r="B5420" t="s">
        <v>26951</v>
      </c>
      <c r="C5420" t="s">
        <v>13886</v>
      </c>
      <c r="D5420" t="s">
        <v>13885</v>
      </c>
      <c r="E5420" s="2" t="s">
        <v>196</v>
      </c>
      <c r="F5420" t="s">
        <v>13884</v>
      </c>
      <c r="G5420" t="str">
        <f>HYPERLINK("https://n.news.naver.com/mnews/article/002/0002394125?sid=102")</f>
        <v>https://n.news.naver.com/mnews/article/002/0002394125?sid=102</v>
      </c>
      <c r="H5420">
        <v>0.19</v>
      </c>
    </row>
    <row r="5421" spans="1:8" x14ac:dyDescent="0.3">
      <c r="A5421" t="s">
        <v>9678</v>
      </c>
      <c r="B5421" t="s">
        <v>26951</v>
      </c>
      <c r="C5421" t="s">
        <v>13888</v>
      </c>
      <c r="D5421" t="s">
        <v>13887</v>
      </c>
      <c r="E5421" s="2" t="s">
        <v>196</v>
      </c>
      <c r="F5421" t="s">
        <v>5548</v>
      </c>
      <c r="G5421" t="str">
        <f>HYPERLINK("https://n.news.naver.com/mnews/article/016/0002489165?sid=103")</f>
        <v>https://n.news.naver.com/mnews/article/016/0002489165?sid=103</v>
      </c>
      <c r="H5421">
        <v>0.29499999999999998</v>
      </c>
    </row>
    <row r="5422" spans="1:8" x14ac:dyDescent="0.3">
      <c r="A5422" t="s">
        <v>9678</v>
      </c>
      <c r="B5422" t="s">
        <v>26951</v>
      </c>
      <c r="C5422" t="s">
        <v>13890</v>
      </c>
      <c r="D5422" t="s">
        <v>13889</v>
      </c>
      <c r="E5422" s="2" t="s">
        <v>196</v>
      </c>
      <c r="F5422" t="s">
        <v>10764</v>
      </c>
      <c r="G5422" t="str">
        <f>HYPERLINK("https://n.news.naver.com/mnews/article/028/0002753752?sid=103")</f>
        <v>https://n.news.naver.com/mnews/article/028/0002753752?sid=103</v>
      </c>
      <c r="H5422">
        <v>0.26800000000000002</v>
      </c>
    </row>
    <row r="5423" spans="1:8" x14ac:dyDescent="0.3">
      <c r="A5423" t="s">
        <v>9678</v>
      </c>
      <c r="B5423" t="s">
        <v>26951</v>
      </c>
      <c r="C5423" t="s">
        <v>13892</v>
      </c>
      <c r="D5423" t="s">
        <v>13891</v>
      </c>
      <c r="E5423" s="2" t="s">
        <v>196</v>
      </c>
      <c r="F5423" t="s">
        <v>5548</v>
      </c>
      <c r="G5423" t="str">
        <f>HYPERLINK("https://sports.hankooki.com/news/articleView.html?idxno=6891256")</f>
        <v>https://sports.hankooki.com/news/articleView.html?idxno=6891256</v>
      </c>
      <c r="H5423">
        <v>0.54700000000000004</v>
      </c>
    </row>
    <row r="5424" spans="1:8" x14ac:dyDescent="0.3">
      <c r="A5424" t="s">
        <v>9678</v>
      </c>
      <c r="B5424" t="s">
        <v>26951</v>
      </c>
      <c r="C5424" t="s">
        <v>13894</v>
      </c>
      <c r="D5424" t="s">
        <v>13893</v>
      </c>
      <c r="E5424" s="2" t="s">
        <v>196</v>
      </c>
      <c r="F5424" t="s">
        <v>5342</v>
      </c>
      <c r="G5424" t="str">
        <f>HYPERLINK("https://www.pennmike.com/news/articleView.html?idxno=103687")</f>
        <v>https://www.pennmike.com/news/articleView.html?idxno=103687</v>
      </c>
      <c r="H5424">
        <v>0.68700000000000006</v>
      </c>
    </row>
    <row r="5425" spans="1:8" x14ac:dyDescent="0.3">
      <c r="A5425" t="s">
        <v>9678</v>
      </c>
      <c r="B5425" t="s">
        <v>26951</v>
      </c>
      <c r="C5425" t="s">
        <v>13897</v>
      </c>
      <c r="D5425" t="s">
        <v>13896</v>
      </c>
      <c r="E5425" s="2" t="s">
        <v>196</v>
      </c>
      <c r="F5425" t="s">
        <v>13895</v>
      </c>
      <c r="G5425" t="str">
        <f>HYPERLINK("http://www.kihoilbo.co.kr/news/articleView.html?idxno=1149861")</f>
        <v>http://www.kihoilbo.co.kr/news/articleView.html?idxno=1149861</v>
      </c>
      <c r="H5425">
        <v>0.13100000000000001</v>
      </c>
    </row>
    <row r="5426" spans="1:8" x14ac:dyDescent="0.3">
      <c r="A5426" t="s">
        <v>9678</v>
      </c>
      <c r="B5426" t="s">
        <v>26951</v>
      </c>
      <c r="C5426" t="s">
        <v>13899</v>
      </c>
      <c r="D5426" t="s">
        <v>13898</v>
      </c>
      <c r="E5426" s="2" t="s">
        <v>196</v>
      </c>
      <c r="F5426" t="s">
        <v>9935</v>
      </c>
      <c r="G5426" t="str">
        <f>HYPERLINK("https://www.tgdaily.co.kr/news/articleView.html?idxno=340698")</f>
        <v>https://www.tgdaily.co.kr/news/articleView.html?idxno=340698</v>
      </c>
      <c r="H5426">
        <v>0.38400000000000001</v>
      </c>
    </row>
    <row r="5427" spans="1:8" x14ac:dyDescent="0.3">
      <c r="A5427" t="s">
        <v>9678</v>
      </c>
      <c r="B5427" t="s">
        <v>26951</v>
      </c>
      <c r="C5427" t="s">
        <v>13902</v>
      </c>
      <c r="D5427" t="s">
        <v>13901</v>
      </c>
      <c r="E5427" s="2" t="s">
        <v>196</v>
      </c>
      <c r="F5427" t="s">
        <v>13900</v>
      </c>
      <c r="G5427" t="str">
        <f>HYPERLINK("https://www.ekn.kr/web/view.php?key=20250628027071232")</f>
        <v>https://www.ekn.kr/web/view.php?key=20250628027071232</v>
      </c>
      <c r="H5427">
        <v>0.42899999999999999</v>
      </c>
    </row>
    <row r="5428" spans="1:8" x14ac:dyDescent="0.3">
      <c r="A5428" t="s">
        <v>9678</v>
      </c>
      <c r="B5428" t="s">
        <v>26951</v>
      </c>
      <c r="C5428" t="s">
        <v>13906</v>
      </c>
      <c r="D5428" t="s">
        <v>13905</v>
      </c>
      <c r="E5428" s="2" t="s">
        <v>196</v>
      </c>
      <c r="F5428" t="s">
        <v>13904</v>
      </c>
      <c r="G5428" t="str">
        <f>HYPERLINK("http://www.kukinews.com/newsView/kuk202406120225")</f>
        <v>http://www.kukinews.com/newsView/kuk202406120225</v>
      </c>
      <c r="H5428">
        <v>0.36199999999999999</v>
      </c>
    </row>
    <row r="5429" spans="1:8" x14ac:dyDescent="0.3">
      <c r="A5429" t="s">
        <v>9678</v>
      </c>
      <c r="B5429" t="s">
        <v>26951</v>
      </c>
      <c r="C5429" t="s">
        <v>13909</v>
      </c>
      <c r="D5429" t="s">
        <v>13908</v>
      </c>
      <c r="E5429" s="2" t="s">
        <v>196</v>
      </c>
      <c r="F5429" t="s">
        <v>13907</v>
      </c>
      <c r="G5429" t="str">
        <f>HYPERLINK("https://www.dailyimpact.co.kr/news/articleView.html?idxno=86490")</f>
        <v>https://www.dailyimpact.co.kr/news/articleView.html?idxno=86490</v>
      </c>
      <c r="H5429">
        <v>0.32800000000000001</v>
      </c>
    </row>
    <row r="5430" spans="1:8" x14ac:dyDescent="0.3">
      <c r="A5430" t="s">
        <v>9678</v>
      </c>
      <c r="B5430" t="s">
        <v>26951</v>
      </c>
      <c r="C5430" t="s">
        <v>13912</v>
      </c>
      <c r="D5430" t="s">
        <v>13911</v>
      </c>
      <c r="E5430" s="2" t="s">
        <v>196</v>
      </c>
      <c r="F5430" t="s">
        <v>13910</v>
      </c>
      <c r="G5430" t="str">
        <f>HYPERLINK("https://www.foodneconomy.com/news/articleView.html?idxno=346471")</f>
        <v>https://www.foodneconomy.com/news/articleView.html?idxno=346471</v>
      </c>
      <c r="H5430">
        <v>0.372</v>
      </c>
    </row>
    <row r="5431" spans="1:8" x14ac:dyDescent="0.3">
      <c r="A5431" t="s">
        <v>9678</v>
      </c>
      <c r="B5431" t="s">
        <v>26951</v>
      </c>
      <c r="C5431" t="s">
        <v>13914</v>
      </c>
      <c r="D5431" t="s">
        <v>13913</v>
      </c>
      <c r="E5431" s="2" t="s">
        <v>196</v>
      </c>
      <c r="F5431" t="s">
        <v>171</v>
      </c>
      <c r="G5431" t="str">
        <f>HYPERLINK("https://www.joongangenews.com/news/articleView.html?idxno=429228")</f>
        <v>https://www.joongangenews.com/news/articleView.html?idxno=429228</v>
      </c>
      <c r="H5431">
        <v>0.61199999999999999</v>
      </c>
    </row>
    <row r="5432" spans="1:8" x14ac:dyDescent="0.3">
      <c r="A5432" t="s">
        <v>9678</v>
      </c>
      <c r="B5432" t="s">
        <v>26951</v>
      </c>
      <c r="C5432" t="s">
        <v>13916</v>
      </c>
      <c r="D5432" t="s">
        <v>13915</v>
      </c>
      <c r="E5432" s="2" t="s">
        <v>196</v>
      </c>
      <c r="F5432" t="s">
        <v>5001</v>
      </c>
      <c r="G5432" t="str">
        <f>HYPERLINK("http://www.fntoday.co.kr/news/articleView.html?idxno=285359")</f>
        <v>http://www.fntoday.co.kr/news/articleView.html?idxno=285359</v>
      </c>
      <c r="H5432">
        <v>0.55800000000000005</v>
      </c>
    </row>
    <row r="5433" spans="1:8" x14ac:dyDescent="0.3">
      <c r="A5433" t="s">
        <v>9678</v>
      </c>
      <c r="B5433" t="s">
        <v>26951</v>
      </c>
      <c r="C5433" t="s">
        <v>13919</v>
      </c>
      <c r="D5433" t="s">
        <v>13918</v>
      </c>
      <c r="E5433" s="2" t="s">
        <v>196</v>
      </c>
      <c r="F5433" t="s">
        <v>13917</v>
      </c>
      <c r="G5433" t="str">
        <f>HYPERLINK("https://news.unn.net/news/articleView.html?idxno=580006")</f>
        <v>https://news.unn.net/news/articleView.html?idxno=580006</v>
      </c>
      <c r="H5433">
        <v>0.88500000000000001</v>
      </c>
    </row>
    <row r="5434" spans="1:8" x14ac:dyDescent="0.3">
      <c r="A5434" t="s">
        <v>9678</v>
      </c>
      <c r="B5434" t="s">
        <v>26951</v>
      </c>
      <c r="C5434" t="s">
        <v>13921</v>
      </c>
      <c r="D5434" t="s">
        <v>13920</v>
      </c>
      <c r="E5434" s="2" t="s">
        <v>196</v>
      </c>
      <c r="F5434" t="s">
        <v>9932</v>
      </c>
      <c r="G5434" t="str">
        <f>HYPERLINK("https://www.lecturernews.com/news/articleView.html?idxno=181013")</f>
        <v>https://www.lecturernews.com/news/articleView.html?idxno=181013</v>
      </c>
      <c r="H5434">
        <v>0.84399999999999997</v>
      </c>
    </row>
    <row r="5435" spans="1:8" x14ac:dyDescent="0.3">
      <c r="A5435" t="s">
        <v>9678</v>
      </c>
      <c r="B5435" t="s">
        <v>26951</v>
      </c>
      <c r="C5435" t="s">
        <v>13924</v>
      </c>
      <c r="D5435" t="s">
        <v>13923</v>
      </c>
      <c r="E5435" s="2" t="s">
        <v>196</v>
      </c>
      <c r="F5435" t="s">
        <v>13922</v>
      </c>
      <c r="G5435" t="str">
        <f>HYPERLINK("https://www.marieclairekorea.com/lifestyle/2021/02/real-people/?utm_source=naver&amp;utm_medium=partnership")</f>
        <v>https://www.marieclairekorea.com/lifestyle/2021/02/real-people/?utm_source=naver&amp;utm_medium=partnership</v>
      </c>
      <c r="H5435">
        <v>0.56100000000000005</v>
      </c>
    </row>
    <row r="5436" spans="1:8" x14ac:dyDescent="0.3">
      <c r="A5436" t="s">
        <v>9678</v>
      </c>
      <c r="B5436" t="s">
        <v>26951</v>
      </c>
      <c r="C5436" t="s">
        <v>13927</v>
      </c>
      <c r="D5436" t="s">
        <v>13926</v>
      </c>
      <c r="E5436" s="2" t="s">
        <v>196</v>
      </c>
      <c r="F5436" t="s">
        <v>13925</v>
      </c>
      <c r="G5436" t="str">
        <f>HYPERLINK("http://www.ggilbo.com/news/articleView.html?idxno=401299")</f>
        <v>http://www.ggilbo.com/news/articleView.html?idxno=401299</v>
      </c>
      <c r="H5436">
        <v>0.54700000000000004</v>
      </c>
    </row>
    <row r="5437" spans="1:8" x14ac:dyDescent="0.3">
      <c r="A5437" t="s">
        <v>9678</v>
      </c>
      <c r="B5437" t="s">
        <v>26951</v>
      </c>
      <c r="C5437" t="s">
        <v>13930</v>
      </c>
      <c r="D5437" t="s">
        <v>13929</v>
      </c>
      <c r="E5437" s="2" t="s">
        <v>196</v>
      </c>
      <c r="F5437" t="s">
        <v>13928</v>
      </c>
      <c r="G5437" t="str">
        <f>HYPERLINK("https://www.ftimes.kr/news/articleView.html?idxno=31523")</f>
        <v>https://www.ftimes.kr/news/articleView.html?idxno=31523</v>
      </c>
      <c r="H5437">
        <v>0.60699999999999998</v>
      </c>
    </row>
    <row r="5438" spans="1:8" x14ac:dyDescent="0.3">
      <c r="A5438" t="s">
        <v>9678</v>
      </c>
      <c r="B5438" t="s">
        <v>26951</v>
      </c>
      <c r="C5438" t="s">
        <v>13933</v>
      </c>
      <c r="D5438" t="s">
        <v>13932</v>
      </c>
      <c r="E5438" s="2" t="s">
        <v>196</v>
      </c>
      <c r="F5438" t="s">
        <v>13931</v>
      </c>
      <c r="G5438" t="str">
        <f>HYPERLINK("https://radio.ytn.co.kr/program/?f=2&amp;id=86271&amp;s_mcd=0452&amp;s_hcd=01")</f>
        <v>https://radio.ytn.co.kr/program/?f=2&amp;id=86271&amp;s_mcd=0452&amp;s_hcd=01</v>
      </c>
      <c r="H5438">
        <v>0.17100000000000001</v>
      </c>
    </row>
    <row r="5439" spans="1:8" x14ac:dyDescent="0.3">
      <c r="A5439" t="s">
        <v>9678</v>
      </c>
      <c r="B5439" t="s">
        <v>26951</v>
      </c>
      <c r="C5439" t="s">
        <v>13938</v>
      </c>
      <c r="D5439" t="s">
        <v>13937</v>
      </c>
      <c r="E5439" s="2" t="s">
        <v>196</v>
      </c>
      <c r="F5439" t="s">
        <v>13936</v>
      </c>
      <c r="G5439" t="str">
        <f>HYPERLINK("https://n.news.naver.com/mnews/article/277/0005612252?sid=104")</f>
        <v>https://n.news.naver.com/mnews/article/277/0005612252?sid=104</v>
      </c>
      <c r="H5439">
        <v>0.23100000000000001</v>
      </c>
    </row>
    <row r="5440" spans="1:8" x14ac:dyDescent="0.3">
      <c r="A5440" t="s">
        <v>9678</v>
      </c>
      <c r="B5440" t="s">
        <v>26951</v>
      </c>
      <c r="C5440" t="s">
        <v>13940</v>
      </c>
      <c r="D5440" t="s">
        <v>13939</v>
      </c>
      <c r="E5440" s="2" t="s">
        <v>196</v>
      </c>
      <c r="F5440" t="s">
        <v>11290</v>
      </c>
      <c r="G5440" t="str">
        <f>HYPERLINK("http://www.bzeronews.com/news/articleView.html?idxno=716030")</f>
        <v>http://www.bzeronews.com/news/articleView.html?idxno=716030</v>
      </c>
      <c r="H5440">
        <v>0.99299999999999999</v>
      </c>
    </row>
    <row r="5441" spans="1:8" x14ac:dyDescent="0.3">
      <c r="A5441" t="s">
        <v>9678</v>
      </c>
      <c r="B5441" t="s">
        <v>26951</v>
      </c>
      <c r="C5441" t="s">
        <v>13942</v>
      </c>
      <c r="D5441" t="s">
        <v>13941</v>
      </c>
      <c r="E5441" s="2" t="s">
        <v>196</v>
      </c>
      <c r="F5441" t="s">
        <v>6910</v>
      </c>
      <c r="G5441" t="str">
        <f>HYPERLINK("https://n.news.naver.com/mnews/article/002/0000001055?sid=100")</f>
        <v>https://n.news.naver.com/mnews/article/002/0000001055?sid=100</v>
      </c>
      <c r="H5441">
        <v>0.65200000000000002</v>
      </c>
    </row>
    <row r="5442" spans="1:8" x14ac:dyDescent="0.3">
      <c r="A5442" t="s">
        <v>9678</v>
      </c>
      <c r="B5442" t="s">
        <v>26951</v>
      </c>
      <c r="C5442" t="s">
        <v>13944</v>
      </c>
      <c r="D5442" t="s">
        <v>13943</v>
      </c>
      <c r="E5442" s="2" t="s">
        <v>196</v>
      </c>
      <c r="F5442" t="s">
        <v>11906</v>
      </c>
      <c r="G5442" t="str">
        <f>HYPERLINK("https://n.news.naver.com/mnews/article/081/0003551692?sid=103")</f>
        <v>https://n.news.naver.com/mnews/article/081/0003551692?sid=103</v>
      </c>
      <c r="H5442">
        <v>0.26500000000000001</v>
      </c>
    </row>
    <row r="5443" spans="1:8" x14ac:dyDescent="0.3">
      <c r="A5443" t="s">
        <v>9678</v>
      </c>
      <c r="B5443" t="s">
        <v>26951</v>
      </c>
      <c r="C5443" t="s">
        <v>13946</v>
      </c>
      <c r="D5443" t="s">
        <v>13945</v>
      </c>
      <c r="E5443" s="2" t="s">
        <v>196</v>
      </c>
      <c r="F5443" t="s">
        <v>9255</v>
      </c>
      <c r="G5443" t="str">
        <f>HYPERLINK("https://www.jemin.com/news/articleView.html?idxno=818001")</f>
        <v>https://www.jemin.com/news/articleView.html?idxno=818001</v>
      </c>
      <c r="H5443">
        <v>0.60799999999999998</v>
      </c>
    </row>
    <row r="5444" spans="1:8" x14ac:dyDescent="0.3">
      <c r="A5444" t="s">
        <v>9678</v>
      </c>
      <c r="B5444" t="s">
        <v>26951</v>
      </c>
      <c r="C5444" t="s">
        <v>13949</v>
      </c>
      <c r="D5444" t="s">
        <v>13948</v>
      </c>
      <c r="E5444" s="2" t="s">
        <v>196</v>
      </c>
      <c r="F5444" t="s">
        <v>13947</v>
      </c>
      <c r="G5444" t="str">
        <f>HYPERLINK("https://n.news.naver.com/mnews/article/088/0000606272?sid=103")</f>
        <v>https://n.news.naver.com/mnews/article/088/0000606272?sid=103</v>
      </c>
      <c r="H5444">
        <v>0.223</v>
      </c>
    </row>
    <row r="5445" spans="1:8" x14ac:dyDescent="0.3">
      <c r="A5445" t="s">
        <v>9678</v>
      </c>
      <c r="B5445" t="s">
        <v>26951</v>
      </c>
      <c r="C5445" t="s">
        <v>13951</v>
      </c>
      <c r="D5445" t="s">
        <v>13950</v>
      </c>
      <c r="E5445" s="2" t="s">
        <v>196</v>
      </c>
      <c r="F5445" t="s">
        <v>171</v>
      </c>
      <c r="G5445" t="str">
        <f>HYPERLINK("https://n.news.naver.com/mnews/article/469/0000872027?sid=103")</f>
        <v>https://n.news.naver.com/mnews/article/469/0000872027?sid=103</v>
      </c>
      <c r="H5445">
        <v>0.29099999999999998</v>
      </c>
    </row>
    <row r="5446" spans="1:8" x14ac:dyDescent="0.3">
      <c r="A5446" t="s">
        <v>9678</v>
      </c>
      <c r="B5446" t="s">
        <v>26951</v>
      </c>
      <c r="C5446" t="s">
        <v>13953</v>
      </c>
      <c r="D5446" t="s">
        <v>13952</v>
      </c>
      <c r="E5446" s="2" t="s">
        <v>196</v>
      </c>
      <c r="F5446" t="s">
        <v>5442</v>
      </c>
      <c r="G5446" t="str">
        <f>HYPERLINK("https://n.news.naver.com/mnews/article/002/0002022115?sid=102")</f>
        <v>https://n.news.naver.com/mnews/article/002/0002022115?sid=102</v>
      </c>
      <c r="H5446">
        <v>0.35299999999999998</v>
      </c>
    </row>
    <row r="5447" spans="1:8" x14ac:dyDescent="0.3">
      <c r="A5447" t="s">
        <v>9678</v>
      </c>
      <c r="B5447" t="s">
        <v>26951</v>
      </c>
      <c r="C5447" t="s">
        <v>13956</v>
      </c>
      <c r="D5447" t="s">
        <v>13955</v>
      </c>
      <c r="E5447" s="2" t="s">
        <v>196</v>
      </c>
      <c r="F5447" t="s">
        <v>13954</v>
      </c>
      <c r="G5447" t="str">
        <f>HYPERLINK("https://www.kukinews.com/article/view/kuk202505010100")</f>
        <v>https://www.kukinews.com/article/view/kuk202505010100</v>
      </c>
      <c r="H5447">
        <v>0.48299999999999998</v>
      </c>
    </row>
    <row r="5448" spans="1:8" x14ac:dyDescent="0.3">
      <c r="A5448" t="s">
        <v>9678</v>
      </c>
      <c r="B5448" t="s">
        <v>26951</v>
      </c>
      <c r="C5448" t="s">
        <v>13958</v>
      </c>
      <c r="D5448" t="s">
        <v>13957</v>
      </c>
      <c r="E5448" s="2" t="s">
        <v>196</v>
      </c>
      <c r="F5448" t="s">
        <v>2517</v>
      </c>
      <c r="G5448" t="str">
        <f>HYPERLINK("https://www.ggilbo.com/news/articleView.html?idxno=1096244")</f>
        <v>https://www.ggilbo.com/news/articleView.html?idxno=1096244</v>
      </c>
      <c r="H5448">
        <v>0.26100000000000001</v>
      </c>
    </row>
    <row r="5449" spans="1:8" x14ac:dyDescent="0.3">
      <c r="A5449" t="s">
        <v>9678</v>
      </c>
      <c r="B5449" t="s">
        <v>26951</v>
      </c>
      <c r="C5449" t="s">
        <v>13961</v>
      </c>
      <c r="D5449" t="s">
        <v>13960</v>
      </c>
      <c r="E5449" s="2" t="s">
        <v>196</v>
      </c>
      <c r="F5449" t="s">
        <v>13959</v>
      </c>
      <c r="G5449" t="str">
        <f>HYPERLINK("https://www.huffingtonpost.kr/news/articleView.html?idxno=236792")</f>
        <v>https://www.huffingtonpost.kr/news/articleView.html?idxno=236792</v>
      </c>
      <c r="H5449">
        <v>0.46100000000000002</v>
      </c>
    </row>
    <row r="5450" spans="1:8" x14ac:dyDescent="0.3">
      <c r="A5450" t="s">
        <v>9678</v>
      </c>
      <c r="B5450" t="s">
        <v>26951</v>
      </c>
      <c r="C5450" t="s">
        <v>13963</v>
      </c>
      <c r="D5450" t="s">
        <v>13962</v>
      </c>
      <c r="E5450" s="2" t="s">
        <v>196</v>
      </c>
      <c r="F5450" t="s">
        <v>12522</v>
      </c>
      <c r="G5450" t="str">
        <f>HYPERLINK("https://www.incheonilbo.com/news/articleView.html?idxno=1293692")</f>
        <v>https://www.incheonilbo.com/news/articleView.html?idxno=1293692</v>
      </c>
      <c r="H5450">
        <v>0.27200000000000002</v>
      </c>
    </row>
    <row r="5451" spans="1:8" x14ac:dyDescent="0.3">
      <c r="A5451" t="s">
        <v>9678</v>
      </c>
      <c r="B5451" t="s">
        <v>26951</v>
      </c>
      <c r="C5451" t="s">
        <v>13966</v>
      </c>
      <c r="D5451" t="s">
        <v>13965</v>
      </c>
      <c r="E5451" s="2" t="s">
        <v>196</v>
      </c>
      <c r="F5451" t="s">
        <v>13964</v>
      </c>
      <c r="G5451" t="str">
        <f>HYPERLINK("https://www.idaegu.co.kr/news/articleView.html?idxno=514078")</f>
        <v>https://www.idaegu.co.kr/news/articleView.html?idxno=514078</v>
      </c>
      <c r="H5451">
        <v>0.67500000000000004</v>
      </c>
    </row>
    <row r="5452" spans="1:8" x14ac:dyDescent="0.3">
      <c r="A5452" t="s">
        <v>9678</v>
      </c>
      <c r="B5452" t="s">
        <v>26951</v>
      </c>
      <c r="C5452" t="s">
        <v>13968</v>
      </c>
      <c r="D5452" t="s">
        <v>13967</v>
      </c>
      <c r="E5452" s="2" t="s">
        <v>196</v>
      </c>
      <c r="F5452" t="s">
        <v>10021</v>
      </c>
      <c r="G5452" t="str">
        <f>HYPERLINK("https://www.ftimes.kr/news/articleView.html?idxno=31523")</f>
        <v>https://www.ftimes.kr/news/articleView.html?idxno=31523</v>
      </c>
      <c r="H5452">
        <v>0.72899999999999998</v>
      </c>
    </row>
    <row r="5453" spans="1:8" x14ac:dyDescent="0.3">
      <c r="A5453" t="s">
        <v>9678</v>
      </c>
      <c r="B5453" t="s">
        <v>26951</v>
      </c>
      <c r="C5453" t="s">
        <v>13971</v>
      </c>
      <c r="D5453" t="s">
        <v>13970</v>
      </c>
      <c r="E5453" s="2" t="s">
        <v>196</v>
      </c>
      <c r="F5453" t="s">
        <v>13969</v>
      </c>
      <c r="G5453" t="str">
        <f>HYPERLINK("http://www.apsk.co.kr/news/articleView.html?idxno=42167")</f>
        <v>http://www.apsk.co.kr/news/articleView.html?idxno=42167</v>
      </c>
      <c r="H5453">
        <v>0.93200000000000005</v>
      </c>
    </row>
    <row r="5454" spans="1:8" x14ac:dyDescent="0.3">
      <c r="A5454" t="s">
        <v>9678</v>
      </c>
      <c r="B5454" t="s">
        <v>26951</v>
      </c>
      <c r="C5454" t="s">
        <v>13973</v>
      </c>
      <c r="D5454" t="s">
        <v>13972</v>
      </c>
      <c r="E5454" s="2" t="s">
        <v>196</v>
      </c>
      <c r="F5454" t="s">
        <v>3653</v>
      </c>
      <c r="G5454" t="str">
        <f>HYPERLINK("https://www.newspim.com/news/view/20250624000044")</f>
        <v>https://www.newspim.com/news/view/20250624000044</v>
      </c>
      <c r="H5454">
        <v>0.91800000000000004</v>
      </c>
    </row>
    <row r="5455" spans="1:8" x14ac:dyDescent="0.3">
      <c r="A5455" t="s">
        <v>9678</v>
      </c>
      <c r="B5455" t="s">
        <v>26951</v>
      </c>
      <c r="C5455" t="s">
        <v>13976</v>
      </c>
      <c r="D5455" t="s">
        <v>13975</v>
      </c>
      <c r="E5455" s="2" t="s">
        <v>196</v>
      </c>
      <c r="F5455" t="s">
        <v>13974</v>
      </c>
      <c r="G5455" t="str">
        <f>HYPERLINK("https://news.unn.net/news/articleView.html?idxno=579798")</f>
        <v>https://news.unn.net/news/articleView.html?idxno=579798</v>
      </c>
      <c r="H5455">
        <v>0.60699999999999998</v>
      </c>
    </row>
    <row r="5456" spans="1:8" x14ac:dyDescent="0.3">
      <c r="A5456" t="s">
        <v>9678</v>
      </c>
      <c r="B5456" t="s">
        <v>26951</v>
      </c>
      <c r="C5456" t="s">
        <v>13978</v>
      </c>
      <c r="D5456" t="s">
        <v>13977</v>
      </c>
      <c r="E5456" s="2" t="s">
        <v>196</v>
      </c>
      <c r="F5456" t="s">
        <v>8074</v>
      </c>
      <c r="G5456" t="str">
        <f>HYPERLINK("https://www.ftimes.kr/news/articleView.html?idxno=31523")</f>
        <v>https://www.ftimes.kr/news/articleView.html?idxno=31523</v>
      </c>
      <c r="H5456">
        <v>0.68400000000000005</v>
      </c>
    </row>
    <row r="5457" spans="1:8" x14ac:dyDescent="0.3">
      <c r="A5457" t="s">
        <v>9678</v>
      </c>
      <c r="B5457" t="s">
        <v>26951</v>
      </c>
      <c r="C5457" t="s">
        <v>13980</v>
      </c>
      <c r="D5457" t="s">
        <v>13979</v>
      </c>
      <c r="E5457" s="2" t="s">
        <v>196</v>
      </c>
      <c r="F5457" t="s">
        <v>10317</v>
      </c>
      <c r="G5457" t="str">
        <f>HYPERLINK("https://www.etoday.co.kr/news/view/2481419")</f>
        <v>https://www.etoday.co.kr/news/view/2481419</v>
      </c>
      <c r="H5457">
        <v>0.42599999999999999</v>
      </c>
    </row>
    <row r="5458" spans="1:8" x14ac:dyDescent="0.3">
      <c r="A5458" t="s">
        <v>9678</v>
      </c>
      <c r="B5458" t="s">
        <v>26951</v>
      </c>
      <c r="C5458" t="s">
        <v>13982</v>
      </c>
      <c r="D5458" t="s">
        <v>13981</v>
      </c>
      <c r="E5458" s="2" t="s">
        <v>196</v>
      </c>
      <c r="F5458" t="s">
        <v>2459</v>
      </c>
      <c r="G5458" t="str">
        <f>HYPERLINK("https://n.news.naver.com/mnews/article/079/0004040089?sid=100")</f>
        <v>https://n.news.naver.com/mnews/article/079/0004040089?sid=100</v>
      </c>
      <c r="H5458">
        <v>0.27200000000000002</v>
      </c>
    </row>
    <row r="5459" spans="1:8" x14ac:dyDescent="0.3">
      <c r="A5459" t="s">
        <v>9678</v>
      </c>
      <c r="B5459" t="s">
        <v>26951</v>
      </c>
      <c r="C5459" t="s">
        <v>13984</v>
      </c>
      <c r="D5459" t="s">
        <v>13983</v>
      </c>
      <c r="E5459" s="2" t="s">
        <v>196</v>
      </c>
      <c r="F5459" t="s">
        <v>13066</v>
      </c>
      <c r="G5459" t="str">
        <f>HYPERLINK("http://www.ntoday.co.kr/news/articleView.html?idxno=90900")</f>
        <v>http://www.ntoday.co.kr/news/articleView.html?idxno=90900</v>
      </c>
      <c r="H5459">
        <v>0.59699999999999998</v>
      </c>
    </row>
    <row r="5460" spans="1:8" x14ac:dyDescent="0.3">
      <c r="A5460" t="s">
        <v>9678</v>
      </c>
      <c r="B5460" t="s">
        <v>26951</v>
      </c>
      <c r="C5460" t="s">
        <v>13986</v>
      </c>
      <c r="D5460" t="s">
        <v>13985</v>
      </c>
      <c r="E5460" s="2" t="s">
        <v>196</v>
      </c>
      <c r="F5460" t="s">
        <v>6657</v>
      </c>
      <c r="G5460" t="str">
        <f>HYPERLINK("https://n.news.naver.com/mnews/article/214/0001433484?sid=100")</f>
        <v>https://n.news.naver.com/mnews/article/214/0001433484?sid=100</v>
      </c>
      <c r="H5460">
        <v>0.32500000000000001</v>
      </c>
    </row>
    <row r="5461" spans="1:8" x14ac:dyDescent="0.3">
      <c r="A5461" t="s">
        <v>9678</v>
      </c>
      <c r="B5461" t="s">
        <v>26951</v>
      </c>
      <c r="C5461" t="s">
        <v>13989</v>
      </c>
      <c r="D5461" t="s">
        <v>13988</v>
      </c>
      <c r="E5461" s="2" t="s">
        <v>196</v>
      </c>
      <c r="F5461" t="s">
        <v>13987</v>
      </c>
      <c r="G5461" t="str">
        <f>HYPERLINK("https://www.christiantoday.co.kr/news/361063")</f>
        <v>https://www.christiantoday.co.kr/news/361063</v>
      </c>
      <c r="H5461">
        <v>0.76200000000000001</v>
      </c>
    </row>
    <row r="5462" spans="1:8" x14ac:dyDescent="0.3">
      <c r="A5462" t="s">
        <v>9678</v>
      </c>
      <c r="B5462" t="s">
        <v>26951</v>
      </c>
      <c r="C5462" t="s">
        <v>13991</v>
      </c>
      <c r="D5462" t="s">
        <v>13990</v>
      </c>
      <c r="E5462" s="2" t="s">
        <v>196</v>
      </c>
      <c r="F5462" t="s">
        <v>7465</v>
      </c>
      <c r="G5462" t="str">
        <f>HYPERLINK("https://n.news.naver.com/mnews/article/214/0001228980?sid=100")</f>
        <v>https://n.news.naver.com/mnews/article/214/0001228980?sid=100</v>
      </c>
      <c r="H5462">
        <v>0.42899999999999999</v>
      </c>
    </row>
    <row r="5463" spans="1:8" x14ac:dyDescent="0.3">
      <c r="A5463" t="s">
        <v>9678</v>
      </c>
      <c r="B5463" t="s">
        <v>26951</v>
      </c>
      <c r="C5463" t="s">
        <v>13993</v>
      </c>
      <c r="D5463" t="s">
        <v>13992</v>
      </c>
      <c r="E5463" s="2" t="s">
        <v>196</v>
      </c>
      <c r="F5463" t="s">
        <v>11392</v>
      </c>
      <c r="G5463" t="str">
        <f>HYPERLINK("https://n.news.naver.com/mnews/article/006/0000129010?sid=102")</f>
        <v>https://n.news.naver.com/mnews/article/006/0000129010?sid=102</v>
      </c>
      <c r="H5463">
        <v>0.32600000000000001</v>
      </c>
    </row>
    <row r="5464" spans="1:8" x14ac:dyDescent="0.3">
      <c r="A5464" t="s">
        <v>9678</v>
      </c>
      <c r="B5464" t="s">
        <v>26951</v>
      </c>
      <c r="C5464" t="s">
        <v>13995</v>
      </c>
      <c r="D5464" t="s">
        <v>13994</v>
      </c>
      <c r="E5464" s="2" t="s">
        <v>196</v>
      </c>
      <c r="F5464" t="s">
        <v>11406</v>
      </c>
      <c r="G5464" t="str">
        <f>HYPERLINK("http://www.doctorstimes.com/news/articleView.html?idxno=232669")</f>
        <v>http://www.doctorstimes.com/news/articleView.html?idxno=232669</v>
      </c>
      <c r="H5464">
        <v>0.57099999999999995</v>
      </c>
    </row>
    <row r="5465" spans="1:8" x14ac:dyDescent="0.3">
      <c r="A5465" t="s">
        <v>9678</v>
      </c>
      <c r="B5465" t="s">
        <v>26951</v>
      </c>
      <c r="C5465" t="s">
        <v>13998</v>
      </c>
      <c r="D5465" t="s">
        <v>13997</v>
      </c>
      <c r="E5465" s="2" t="s">
        <v>196</v>
      </c>
      <c r="F5465" t="s">
        <v>13996</v>
      </c>
      <c r="G5465" t="str">
        <f>HYPERLINK("https://www.dkilbo.com/news/articleView.html?idxno=502313")</f>
        <v>https://www.dkilbo.com/news/articleView.html?idxno=502313</v>
      </c>
      <c r="H5465">
        <v>0.47699999999999998</v>
      </c>
    </row>
    <row r="5466" spans="1:8" x14ac:dyDescent="0.3">
      <c r="A5466" t="s">
        <v>9678</v>
      </c>
      <c r="B5466" t="s">
        <v>26951</v>
      </c>
      <c r="C5466" t="s">
        <v>14001</v>
      </c>
      <c r="D5466" t="s">
        <v>14000</v>
      </c>
      <c r="E5466" s="2" t="s">
        <v>196</v>
      </c>
      <c r="F5466" t="s">
        <v>13999</v>
      </c>
      <c r="G5466" t="str">
        <f>HYPERLINK("https://n.news.naver.com/mnews/article/056/0010629244?sid=102")</f>
        <v>https://n.news.naver.com/mnews/article/056/0010629244?sid=102</v>
      </c>
      <c r="H5466">
        <v>0.13100000000000001</v>
      </c>
    </row>
    <row r="5467" spans="1:8" x14ac:dyDescent="0.3">
      <c r="A5467" t="s">
        <v>9678</v>
      </c>
      <c r="B5467" t="s">
        <v>26951</v>
      </c>
      <c r="C5467" t="s">
        <v>14004</v>
      </c>
      <c r="D5467" t="s">
        <v>14003</v>
      </c>
      <c r="E5467" s="2" t="s">
        <v>196</v>
      </c>
      <c r="F5467" t="s">
        <v>14002</v>
      </c>
      <c r="G5467" t="str">
        <f>HYPERLINK("http://www.gameple.co.kr/news/articleView.html?idxno=152385")</f>
        <v>http://www.gameple.co.kr/news/articleView.html?idxno=152385</v>
      </c>
      <c r="H5467">
        <v>0.49299999999999999</v>
      </c>
    </row>
    <row r="5468" spans="1:8" x14ac:dyDescent="0.3">
      <c r="A5468" t="s">
        <v>9678</v>
      </c>
      <c r="B5468" t="s">
        <v>26951</v>
      </c>
      <c r="C5468" t="s">
        <v>14007</v>
      </c>
      <c r="D5468" t="s">
        <v>14006</v>
      </c>
      <c r="E5468" s="2" t="s">
        <v>230</v>
      </c>
      <c r="F5468" t="s">
        <v>14005</v>
      </c>
      <c r="G5468" t="str">
        <f>HYPERLINK("https://n.news.naver.com/mnews/article/214/0001433532?sid=104")</f>
        <v>https://n.news.naver.com/mnews/article/214/0001433532?sid=104</v>
      </c>
      <c r="H5468">
        <v>0.372</v>
      </c>
    </row>
    <row r="5469" spans="1:8" x14ac:dyDescent="0.3">
      <c r="A5469" t="s">
        <v>9678</v>
      </c>
      <c r="B5469" t="s">
        <v>26951</v>
      </c>
      <c r="C5469" t="s">
        <v>14009</v>
      </c>
      <c r="D5469" t="s">
        <v>14008</v>
      </c>
      <c r="E5469" s="2" t="s">
        <v>230</v>
      </c>
      <c r="F5469" t="s">
        <v>9738</v>
      </c>
      <c r="G5469" t="str">
        <f>HYPERLINK("https://sports.hankooki.com/news/articleView.html?idxno=6901837")</f>
        <v>https://sports.hankooki.com/news/articleView.html?idxno=6901837</v>
      </c>
      <c r="H5469">
        <v>0.57599999999999996</v>
      </c>
    </row>
    <row r="5470" spans="1:8" x14ac:dyDescent="0.3">
      <c r="A5470" t="s">
        <v>9678</v>
      </c>
      <c r="B5470" t="s">
        <v>26951</v>
      </c>
      <c r="C5470" t="s">
        <v>14011</v>
      </c>
      <c r="D5470" t="s">
        <v>14010</v>
      </c>
      <c r="E5470" s="2" t="s">
        <v>230</v>
      </c>
      <c r="F5470" t="s">
        <v>1277</v>
      </c>
      <c r="G5470" t="str">
        <f>HYPERLINK("http://www.newstnt.com/news/articleView.html?idxno=275481")</f>
        <v>http://www.newstnt.com/news/articleView.html?idxno=275481</v>
      </c>
      <c r="H5470">
        <v>0.56499999999999995</v>
      </c>
    </row>
    <row r="5471" spans="1:8" x14ac:dyDescent="0.3">
      <c r="A5471" t="s">
        <v>9678</v>
      </c>
      <c r="B5471" t="s">
        <v>26951</v>
      </c>
      <c r="C5471" t="s">
        <v>14013</v>
      </c>
      <c r="D5471" t="s">
        <v>14012</v>
      </c>
      <c r="E5471" s="2" t="s">
        <v>230</v>
      </c>
      <c r="F5471" t="s">
        <v>9749</v>
      </c>
      <c r="G5471" t="str">
        <f>HYPERLINK("https://n.news.naver.com/mnews/article/008/0005211496?sid=103")</f>
        <v>https://n.news.naver.com/mnews/article/008/0005211496?sid=103</v>
      </c>
      <c r="H5471">
        <v>0.24199999999999999</v>
      </c>
    </row>
    <row r="5472" spans="1:8" x14ac:dyDescent="0.3">
      <c r="A5472" t="s">
        <v>9678</v>
      </c>
      <c r="B5472" t="s">
        <v>26951</v>
      </c>
      <c r="C5472" t="s">
        <v>14015</v>
      </c>
      <c r="D5472" t="s">
        <v>14014</v>
      </c>
      <c r="E5472" s="2" t="s">
        <v>230</v>
      </c>
      <c r="F5472" t="s">
        <v>11742</v>
      </c>
      <c r="G5472" t="str">
        <f>HYPERLINK("http://kor.theasian.asia/archives/360572")</f>
        <v>http://kor.theasian.asia/archives/360572</v>
      </c>
      <c r="H5472">
        <v>0.29499999999999998</v>
      </c>
    </row>
    <row r="5473" spans="1:8" x14ac:dyDescent="0.3">
      <c r="A5473" t="s">
        <v>9678</v>
      </c>
      <c r="B5473" t="s">
        <v>26951</v>
      </c>
      <c r="C5473" t="s">
        <v>14017</v>
      </c>
      <c r="D5473" t="s">
        <v>14016</v>
      </c>
      <c r="E5473" s="2" t="s">
        <v>230</v>
      </c>
      <c r="F5473" t="s">
        <v>13678</v>
      </c>
      <c r="G5473" t="str">
        <f>HYPERLINK("http://www.pdjournal.com/news/articleView.html?idxno=21872")</f>
        <v>http://www.pdjournal.com/news/articleView.html?idxno=21872</v>
      </c>
      <c r="H5473">
        <v>0.442</v>
      </c>
    </row>
    <row r="5474" spans="1:8" x14ac:dyDescent="0.3">
      <c r="A5474" t="s">
        <v>9678</v>
      </c>
      <c r="B5474" t="s">
        <v>26951</v>
      </c>
      <c r="C5474" t="s">
        <v>14019</v>
      </c>
      <c r="D5474" t="s">
        <v>14018</v>
      </c>
      <c r="E5474" s="2" t="s">
        <v>230</v>
      </c>
      <c r="F5474" t="s">
        <v>7946</v>
      </c>
      <c r="G5474" t="str">
        <f>HYPERLINK("https://www.etoday.co.kr/news/view/2476388")</f>
        <v>https://www.etoday.co.kr/news/view/2476388</v>
      </c>
      <c r="H5474">
        <v>0.152</v>
      </c>
    </row>
    <row r="5475" spans="1:8" x14ac:dyDescent="0.3">
      <c r="A5475" t="s">
        <v>9678</v>
      </c>
      <c r="B5475" t="s">
        <v>26951</v>
      </c>
      <c r="C5475" t="s">
        <v>14021</v>
      </c>
      <c r="D5475" t="s">
        <v>14020</v>
      </c>
      <c r="E5475" s="2" t="s">
        <v>230</v>
      </c>
      <c r="F5475" t="s">
        <v>10476</v>
      </c>
      <c r="G5475" t="str">
        <f>HYPERLINK("https://n.news.naver.com/mnews/article/016/0002489165?sid=103")</f>
        <v>https://n.news.naver.com/mnews/article/016/0002489165?sid=103</v>
      </c>
      <c r="H5475">
        <v>0.19500000000000001</v>
      </c>
    </row>
    <row r="5476" spans="1:8" x14ac:dyDescent="0.3">
      <c r="A5476" t="s">
        <v>9678</v>
      </c>
      <c r="B5476" t="s">
        <v>26951</v>
      </c>
      <c r="C5476" t="s">
        <v>14023</v>
      </c>
      <c r="D5476" t="s">
        <v>14022</v>
      </c>
      <c r="E5476" s="2" t="s">
        <v>230</v>
      </c>
      <c r="F5476" t="s">
        <v>10958</v>
      </c>
      <c r="G5476" t="str">
        <f>HYPERLINK("https://www.kbmaeil.com/news/articleView.html?idxno=1011377")</f>
        <v>https://www.kbmaeil.com/news/articleView.html?idxno=1011377</v>
      </c>
      <c r="H5476">
        <v>0.55600000000000005</v>
      </c>
    </row>
    <row r="5477" spans="1:8" x14ac:dyDescent="0.3">
      <c r="A5477" t="s">
        <v>9678</v>
      </c>
      <c r="B5477" t="s">
        <v>26951</v>
      </c>
      <c r="C5477" t="s">
        <v>14026</v>
      </c>
      <c r="D5477" t="s">
        <v>14025</v>
      </c>
      <c r="E5477" s="2" t="s">
        <v>230</v>
      </c>
      <c r="F5477" t="s">
        <v>14024</v>
      </c>
      <c r="G5477" t="str">
        <f>HYPERLINK("https://www.kgnews.co.kr/news/article.html?no=846888")</f>
        <v>https://www.kgnews.co.kr/news/article.html?no=846888</v>
      </c>
      <c r="H5477">
        <v>0.33700000000000002</v>
      </c>
    </row>
    <row r="5478" spans="1:8" x14ac:dyDescent="0.3">
      <c r="A5478" t="s">
        <v>9678</v>
      </c>
      <c r="B5478" t="s">
        <v>26951</v>
      </c>
      <c r="C5478" t="s">
        <v>14029</v>
      </c>
      <c r="D5478" t="s">
        <v>14028</v>
      </c>
      <c r="E5478" s="2" t="s">
        <v>230</v>
      </c>
      <c r="F5478" t="s">
        <v>9944</v>
      </c>
      <c r="G5478" t="str">
        <f>HYPERLINK("https://www.lecturernews.com/news/articleView.html?idxno=181013")</f>
        <v>https://www.lecturernews.com/news/articleView.html?idxno=181013</v>
      </c>
      <c r="H5478">
        <v>0.55100000000000005</v>
      </c>
    </row>
    <row r="5479" spans="1:8" x14ac:dyDescent="0.3">
      <c r="A5479" t="s">
        <v>9678</v>
      </c>
      <c r="B5479" t="s">
        <v>26951</v>
      </c>
      <c r="C5479" t="s">
        <v>14031</v>
      </c>
      <c r="D5479" t="s">
        <v>14030</v>
      </c>
      <c r="E5479" s="2" t="s">
        <v>230</v>
      </c>
      <c r="F5479" t="s">
        <v>9786</v>
      </c>
      <c r="G5479" t="str">
        <f>HYPERLINK("http://www.nbntv.co.kr/news/articleView.html?idxno=904053")</f>
        <v>http://www.nbntv.co.kr/news/articleView.html?idxno=904053</v>
      </c>
      <c r="H5479">
        <v>0.13700000000000001</v>
      </c>
    </row>
    <row r="5480" spans="1:8" x14ac:dyDescent="0.3">
      <c r="A5480" t="s">
        <v>9678</v>
      </c>
      <c r="B5480" t="s">
        <v>26951</v>
      </c>
      <c r="C5480" t="s">
        <v>14033</v>
      </c>
      <c r="D5480" t="s">
        <v>14032</v>
      </c>
      <c r="E5480" s="2" t="s">
        <v>230</v>
      </c>
      <c r="F5480" t="s">
        <v>5724</v>
      </c>
      <c r="G5480" t="str">
        <f>HYPERLINK("https://www.socialvalue.kr/news/view/1065571735929981")</f>
        <v>https://www.socialvalue.kr/news/view/1065571735929981</v>
      </c>
      <c r="H5480">
        <v>0.16800000000000001</v>
      </c>
    </row>
    <row r="5481" spans="1:8" x14ac:dyDescent="0.3">
      <c r="A5481" t="s">
        <v>9678</v>
      </c>
      <c r="B5481" t="s">
        <v>26951</v>
      </c>
      <c r="C5481" t="s">
        <v>14036</v>
      </c>
      <c r="D5481" t="s">
        <v>14035</v>
      </c>
      <c r="E5481" s="2" t="s">
        <v>230</v>
      </c>
      <c r="F5481" t="s">
        <v>14034</v>
      </c>
      <c r="G5481" t="str">
        <f>HYPERLINK("http://www.newspim.com/news/view/20220824000084")</f>
        <v>http://www.newspim.com/news/view/20220824000084</v>
      </c>
      <c r="H5481">
        <v>0.40899999999999997</v>
      </c>
    </row>
    <row r="5482" spans="1:8" x14ac:dyDescent="0.3">
      <c r="A5482" t="s">
        <v>9678</v>
      </c>
      <c r="B5482" t="s">
        <v>26951</v>
      </c>
      <c r="C5482" t="s">
        <v>14038</v>
      </c>
      <c r="D5482" t="s">
        <v>14037</v>
      </c>
      <c r="E5482" s="2" t="s">
        <v>230</v>
      </c>
      <c r="F5482" t="s">
        <v>10111</v>
      </c>
      <c r="G5482" t="str">
        <f>HYPERLINK("https://www.newspim.com/news/view/20250630001147")</f>
        <v>https://www.newspim.com/news/view/20250630001147</v>
      </c>
      <c r="H5482">
        <v>0.218</v>
      </c>
    </row>
    <row r="5483" spans="1:8" x14ac:dyDescent="0.3">
      <c r="A5483" t="s">
        <v>9678</v>
      </c>
      <c r="B5483" t="s">
        <v>26951</v>
      </c>
      <c r="C5483" t="s">
        <v>14041</v>
      </c>
      <c r="D5483" t="s">
        <v>14040</v>
      </c>
      <c r="E5483" s="2" t="s">
        <v>230</v>
      </c>
      <c r="F5483" t="s">
        <v>14039</v>
      </c>
      <c r="G5483" t="str">
        <f>HYPERLINK("http://www.sisaweek.com/news/articleView.html?idxno=211807")</f>
        <v>http://www.sisaweek.com/news/articleView.html?idxno=211807</v>
      </c>
      <c r="H5483">
        <v>0.59</v>
      </c>
    </row>
    <row r="5484" spans="1:8" x14ac:dyDescent="0.3">
      <c r="A5484" t="s">
        <v>9678</v>
      </c>
      <c r="B5484" t="s">
        <v>26951</v>
      </c>
      <c r="C5484" t="s">
        <v>14043</v>
      </c>
      <c r="D5484" t="s">
        <v>14042</v>
      </c>
      <c r="E5484" s="2" t="s">
        <v>230</v>
      </c>
      <c r="F5484" t="s">
        <v>3420</v>
      </c>
      <c r="G5484" t="str">
        <f>HYPERLINK("https://n.news.naver.com/mnews/article/081/0003551692?sid=103")</f>
        <v>https://n.news.naver.com/mnews/article/081/0003551692?sid=103</v>
      </c>
      <c r="H5484">
        <v>0.246</v>
      </c>
    </row>
    <row r="5485" spans="1:8" x14ac:dyDescent="0.3">
      <c r="A5485" t="s">
        <v>9678</v>
      </c>
      <c r="B5485" t="s">
        <v>26951</v>
      </c>
      <c r="C5485" t="s">
        <v>14046</v>
      </c>
      <c r="D5485" t="s">
        <v>14045</v>
      </c>
      <c r="E5485" s="2" t="s">
        <v>230</v>
      </c>
      <c r="F5485" t="s">
        <v>14044</v>
      </c>
      <c r="G5485" t="str">
        <f>HYPERLINK("https://n.news.naver.com/mnews/article/022/0004047866?sid=102")</f>
        <v>https://n.news.naver.com/mnews/article/022/0004047866?sid=102</v>
      </c>
      <c r="H5485">
        <v>0.316</v>
      </c>
    </row>
    <row r="5486" spans="1:8" x14ac:dyDescent="0.3">
      <c r="A5486" t="s">
        <v>9678</v>
      </c>
      <c r="B5486" t="s">
        <v>26951</v>
      </c>
      <c r="C5486" t="s">
        <v>14048</v>
      </c>
      <c r="D5486" t="s">
        <v>14047</v>
      </c>
      <c r="E5486" s="2" t="s">
        <v>230</v>
      </c>
      <c r="F5486" t="s">
        <v>1378</v>
      </c>
      <c r="G5486" t="str">
        <f>HYPERLINK("https://n.news.naver.com/mnews/article/008/0004004560?sid=103")</f>
        <v>https://n.news.naver.com/mnews/article/008/0004004560?sid=103</v>
      </c>
      <c r="H5486">
        <v>0.28899999999999998</v>
      </c>
    </row>
    <row r="5487" spans="1:8" x14ac:dyDescent="0.3">
      <c r="A5487" t="s">
        <v>9678</v>
      </c>
      <c r="B5487" t="s">
        <v>26951</v>
      </c>
      <c r="C5487" t="s">
        <v>14050</v>
      </c>
      <c r="D5487" t="s">
        <v>14049</v>
      </c>
      <c r="E5487" s="2" t="s">
        <v>230</v>
      </c>
      <c r="F5487" t="s">
        <v>10471</v>
      </c>
      <c r="G5487" t="str">
        <f>HYPERLINK("https://n.news.naver.com/mnews/article/277/0005367404?sid=103")</f>
        <v>https://n.news.naver.com/mnews/article/277/0005367404?sid=103</v>
      </c>
      <c r="H5487">
        <v>0.23799999999999999</v>
      </c>
    </row>
    <row r="5488" spans="1:8" x14ac:dyDescent="0.3">
      <c r="A5488" t="s">
        <v>9678</v>
      </c>
      <c r="B5488" t="s">
        <v>26951</v>
      </c>
      <c r="C5488" t="s">
        <v>14053</v>
      </c>
      <c r="D5488" t="s">
        <v>14052</v>
      </c>
      <c r="E5488" s="2" t="s">
        <v>230</v>
      </c>
      <c r="F5488" t="s">
        <v>14051</v>
      </c>
      <c r="G5488" t="str">
        <f>HYPERLINK("https://n.news.naver.com/mnews/article/002/0002156293?sid=103")</f>
        <v>https://n.news.naver.com/mnews/article/002/0002156293?sid=103</v>
      </c>
      <c r="H5488">
        <v>0.29299999999999998</v>
      </c>
    </row>
    <row r="5489" spans="1:8" x14ac:dyDescent="0.3">
      <c r="A5489" t="s">
        <v>9678</v>
      </c>
      <c r="B5489" t="s">
        <v>26951</v>
      </c>
      <c r="C5489" t="s">
        <v>14056</v>
      </c>
      <c r="D5489" t="s">
        <v>14055</v>
      </c>
      <c r="E5489" s="2" t="s">
        <v>230</v>
      </c>
      <c r="F5489" t="s">
        <v>10120</v>
      </c>
      <c r="G5489" t="str">
        <f>HYPERLINK("https://www.gqkorea.co.kr/2025/06/17/%eb%8b%ab%ed%9e%8c-%eb%ac%b8-%ec%95%9e%ec%97%90-%ec%84%a0-%eb%8b%b9%ec%8b%a0%ec%97%90%ea%b2%8c/?utm_source=naver&amp;utm_medium=partnership")</f>
        <v>https://www.gqkorea.co.kr/2025/06/17/%eb%8b%ab%ed%9e%8c-%eb%ac%b8-%ec%95%9e%ec%97%90-%ec%84%a0-%eb%8b%b9%ec%8b%a0%ec%97%90%ea%b2%8c/?utm_source=naver&amp;utm_medium=partnership</v>
      </c>
      <c r="H5489">
        <v>0.47799999999999998</v>
      </c>
    </row>
    <row r="5490" spans="1:8" x14ac:dyDescent="0.3">
      <c r="A5490" t="s">
        <v>9678</v>
      </c>
      <c r="B5490" t="s">
        <v>26951</v>
      </c>
      <c r="C5490" t="s">
        <v>14058</v>
      </c>
      <c r="D5490" t="s">
        <v>14057</v>
      </c>
      <c r="E5490" s="2" t="s">
        <v>230</v>
      </c>
      <c r="F5490" t="s">
        <v>9935</v>
      </c>
      <c r="G5490" t="str">
        <f>HYPERLINK("https://cwn.kr/article/1065600405729951")</f>
        <v>https://cwn.kr/article/1065600405729951</v>
      </c>
      <c r="H5490">
        <v>0.39300000000000002</v>
      </c>
    </row>
    <row r="5491" spans="1:8" x14ac:dyDescent="0.3">
      <c r="A5491" t="s">
        <v>9678</v>
      </c>
      <c r="B5491" t="s">
        <v>26951</v>
      </c>
      <c r="C5491" t="s">
        <v>14060</v>
      </c>
      <c r="D5491" t="s">
        <v>14059</v>
      </c>
      <c r="E5491" s="2" t="s">
        <v>230</v>
      </c>
      <c r="F5491" t="s">
        <v>2132</v>
      </c>
      <c r="G5491" t="str">
        <f>HYPERLINK("https://n.news.naver.com/mnews/article/002/0002394736?sid=102")</f>
        <v>https://n.news.naver.com/mnews/article/002/0002394736?sid=102</v>
      </c>
      <c r="H5491">
        <v>0.36199999999999999</v>
      </c>
    </row>
    <row r="5492" spans="1:8" x14ac:dyDescent="0.3">
      <c r="A5492" t="s">
        <v>9678</v>
      </c>
      <c r="B5492" t="s">
        <v>26951</v>
      </c>
      <c r="C5492" t="s">
        <v>14062</v>
      </c>
      <c r="D5492" t="s">
        <v>14061</v>
      </c>
      <c r="E5492" s="2" t="s">
        <v>230</v>
      </c>
      <c r="F5492" t="s">
        <v>13511</v>
      </c>
      <c r="G5492" t="str">
        <f>HYPERLINK("https://www.ggilbo.com/news/articleView.html?idxno=1096918")</f>
        <v>https://www.ggilbo.com/news/articleView.html?idxno=1096918</v>
      </c>
      <c r="H5492">
        <v>0.54900000000000004</v>
      </c>
    </row>
    <row r="5493" spans="1:8" x14ac:dyDescent="0.3">
      <c r="A5493" t="s">
        <v>9678</v>
      </c>
      <c r="B5493" t="s">
        <v>26951</v>
      </c>
      <c r="C5493" t="s">
        <v>14064</v>
      </c>
      <c r="D5493" t="s">
        <v>14063</v>
      </c>
      <c r="E5493" s="2" t="s">
        <v>230</v>
      </c>
      <c r="F5493" t="s">
        <v>10317</v>
      </c>
      <c r="G5493" t="str">
        <f>HYPERLINK("https://n.news.naver.com/mnews/article/016/0002488855?sid=103")</f>
        <v>https://n.news.naver.com/mnews/article/016/0002488855?sid=103</v>
      </c>
      <c r="H5493">
        <v>0.2</v>
      </c>
    </row>
    <row r="5494" spans="1:8" x14ac:dyDescent="0.3">
      <c r="A5494" t="s">
        <v>9678</v>
      </c>
      <c r="B5494" t="s">
        <v>26951</v>
      </c>
      <c r="C5494" t="s">
        <v>14067</v>
      </c>
      <c r="D5494" t="s">
        <v>14066</v>
      </c>
      <c r="E5494" s="2" t="s">
        <v>230</v>
      </c>
      <c r="F5494" t="s">
        <v>14065</v>
      </c>
      <c r="G5494" t="str">
        <f>HYPERLINK("https://www.greened.kr/news/articleView.html?idxno=320148")</f>
        <v>https://www.greened.kr/news/articleView.html?idxno=320148</v>
      </c>
      <c r="H5494">
        <v>0.621</v>
      </c>
    </row>
    <row r="5495" spans="1:8" x14ac:dyDescent="0.3">
      <c r="A5495" t="s">
        <v>9678</v>
      </c>
      <c r="B5495" t="s">
        <v>26951</v>
      </c>
      <c r="C5495" t="s">
        <v>14069</v>
      </c>
      <c r="D5495" t="s">
        <v>14068</v>
      </c>
      <c r="E5495" s="2" t="s">
        <v>230</v>
      </c>
      <c r="F5495" t="s">
        <v>10581</v>
      </c>
      <c r="G5495" t="str">
        <f>HYPERLINK("https://www.greened.kr/news/articleView.html?idxno=320148")</f>
        <v>https://www.greened.kr/news/articleView.html?idxno=320148</v>
      </c>
      <c r="H5495">
        <v>0.61699999999999999</v>
      </c>
    </row>
    <row r="5496" spans="1:8" x14ac:dyDescent="0.3">
      <c r="A5496" t="s">
        <v>9678</v>
      </c>
      <c r="B5496" t="s">
        <v>26951</v>
      </c>
      <c r="C5496" t="s">
        <v>14071</v>
      </c>
      <c r="D5496" t="s">
        <v>14070</v>
      </c>
      <c r="E5496" s="2" t="s">
        <v>230</v>
      </c>
      <c r="F5496" t="s">
        <v>10021</v>
      </c>
      <c r="G5496" t="str">
        <f>HYPERLINK("https://www.joongangenews.com/news/articleView.html?idxno=429228")</f>
        <v>https://www.joongangenews.com/news/articleView.html?idxno=429228</v>
      </c>
      <c r="H5496">
        <v>0.60799999999999998</v>
      </c>
    </row>
    <row r="5497" spans="1:8" x14ac:dyDescent="0.3">
      <c r="A5497" t="s">
        <v>9678</v>
      </c>
      <c r="B5497" t="s">
        <v>26951</v>
      </c>
      <c r="C5497" t="s">
        <v>14073</v>
      </c>
      <c r="D5497" t="s">
        <v>14072</v>
      </c>
      <c r="E5497" s="2" t="s">
        <v>230</v>
      </c>
      <c r="F5497" t="s">
        <v>10764</v>
      </c>
      <c r="G5497" t="str">
        <f>HYPERLINK("https://www.jbnews.com/news/articleView.html?idxno=1481476")</f>
        <v>https://www.jbnews.com/news/articleView.html?idxno=1481476</v>
      </c>
      <c r="H5497">
        <v>0.34699999999999998</v>
      </c>
    </row>
    <row r="5498" spans="1:8" x14ac:dyDescent="0.3">
      <c r="A5498" t="s">
        <v>9678</v>
      </c>
      <c r="B5498" t="s">
        <v>26951</v>
      </c>
      <c r="C5498" t="s">
        <v>14075</v>
      </c>
      <c r="D5498" t="s">
        <v>14074</v>
      </c>
      <c r="E5498" s="2" t="s">
        <v>230</v>
      </c>
      <c r="F5498" t="s">
        <v>10021</v>
      </c>
      <c r="G5498" t="str">
        <f>HYPERLINK("https://www.newspim.com/news/view/20250623000568")</f>
        <v>https://www.newspim.com/news/view/20250623000568</v>
      </c>
      <c r="H5498">
        <v>0.60899999999999999</v>
      </c>
    </row>
    <row r="5499" spans="1:8" x14ac:dyDescent="0.3">
      <c r="A5499" t="s">
        <v>9678</v>
      </c>
      <c r="B5499" t="s">
        <v>26951</v>
      </c>
      <c r="C5499" t="s">
        <v>14078</v>
      </c>
      <c r="D5499" t="s">
        <v>14077</v>
      </c>
      <c r="E5499" s="2" t="s">
        <v>230</v>
      </c>
      <c r="F5499" t="s">
        <v>14076</v>
      </c>
      <c r="G5499" t="str">
        <f>HYPERLINK("http://www.sisaon.co.kr/news/articleView.html?idxno=113285")</f>
        <v>http://www.sisaon.co.kr/news/articleView.html?idxno=113285</v>
      </c>
      <c r="H5499">
        <v>0.54800000000000004</v>
      </c>
    </row>
    <row r="5500" spans="1:8" x14ac:dyDescent="0.3">
      <c r="A5500" t="s">
        <v>9678</v>
      </c>
      <c r="B5500" t="s">
        <v>26951</v>
      </c>
      <c r="C5500" t="s">
        <v>14080</v>
      </c>
      <c r="D5500" t="s">
        <v>14079</v>
      </c>
      <c r="E5500" s="2" t="s">
        <v>230</v>
      </c>
      <c r="F5500" t="s">
        <v>5087</v>
      </c>
      <c r="G5500" t="str">
        <f>HYPERLINK("http://www.bizenter.co.kr/view/news_view.php?varAtcId=71305")</f>
        <v>http://www.bizenter.co.kr/view/news_view.php?varAtcId=71305</v>
      </c>
      <c r="H5500">
        <v>0.38400000000000001</v>
      </c>
    </row>
    <row r="5501" spans="1:8" x14ac:dyDescent="0.3">
      <c r="A5501" t="s">
        <v>9678</v>
      </c>
      <c r="B5501" t="s">
        <v>26951</v>
      </c>
      <c r="C5501" t="s">
        <v>14082</v>
      </c>
      <c r="D5501" t="s">
        <v>14081</v>
      </c>
      <c r="E5501" s="2" t="s">
        <v>230</v>
      </c>
      <c r="F5501" t="s">
        <v>4094</v>
      </c>
      <c r="G5501" t="str">
        <f>HYPERLINK("http://www.metroseoul.co.kr/article/20250623500331")</f>
        <v>http://www.metroseoul.co.kr/article/20250623500331</v>
      </c>
      <c r="H5501">
        <v>0.46899999999999997</v>
      </c>
    </row>
    <row r="5502" spans="1:8" x14ac:dyDescent="0.3">
      <c r="A5502" t="s">
        <v>9678</v>
      </c>
      <c r="B5502" t="s">
        <v>26951</v>
      </c>
      <c r="C5502" t="s">
        <v>14085</v>
      </c>
      <c r="D5502" t="s">
        <v>14084</v>
      </c>
      <c r="E5502" s="2" t="s">
        <v>230</v>
      </c>
      <c r="F5502" t="s">
        <v>14083</v>
      </c>
      <c r="G5502" t="str">
        <f>HYPERLINK("https://dhnews.co.kr/news/view/1065591655577486")</f>
        <v>https://dhnews.co.kr/news/view/1065591655577486</v>
      </c>
      <c r="H5502">
        <v>0.95</v>
      </c>
    </row>
    <row r="5503" spans="1:8" x14ac:dyDescent="0.3">
      <c r="A5503" t="s">
        <v>9678</v>
      </c>
      <c r="B5503" t="s">
        <v>26951</v>
      </c>
      <c r="C5503" t="s">
        <v>14088</v>
      </c>
      <c r="D5503" t="s">
        <v>14087</v>
      </c>
      <c r="E5503" s="2" t="s">
        <v>230</v>
      </c>
      <c r="F5503" t="s">
        <v>14086</v>
      </c>
      <c r="G5503" t="str">
        <f>HYPERLINK("https://www.newsfreezone.co.kr/news/articleView.html?idxno=604023")</f>
        <v>https://www.newsfreezone.co.kr/news/articleView.html?idxno=604023</v>
      </c>
      <c r="H5503">
        <v>0.4</v>
      </c>
    </row>
    <row r="5504" spans="1:8" x14ac:dyDescent="0.3">
      <c r="A5504" t="s">
        <v>9678</v>
      </c>
      <c r="B5504" t="s">
        <v>26951</v>
      </c>
      <c r="C5504" t="s">
        <v>14091</v>
      </c>
      <c r="D5504" t="s">
        <v>14090</v>
      </c>
      <c r="E5504" s="2" t="s">
        <v>230</v>
      </c>
      <c r="F5504" t="s">
        <v>14089</v>
      </c>
      <c r="G5504" t="str">
        <f>HYPERLINK("https://n.news.naver.com/mnews/article/056/0011977973?sid=103")</f>
        <v>https://n.news.naver.com/mnews/article/056/0011977973?sid=103</v>
      </c>
      <c r="H5504">
        <v>0.23</v>
      </c>
    </row>
    <row r="5505" spans="1:8" x14ac:dyDescent="0.3">
      <c r="A5505" t="s">
        <v>9678</v>
      </c>
      <c r="B5505" t="s">
        <v>26951</v>
      </c>
      <c r="C5505" t="s">
        <v>14094</v>
      </c>
      <c r="D5505" t="s">
        <v>14093</v>
      </c>
      <c r="E5505" s="2" t="s">
        <v>230</v>
      </c>
      <c r="F5505" t="s">
        <v>14092</v>
      </c>
      <c r="G5505" t="str">
        <f>HYPERLINK("http://www.kdfnews.com/news/articleView.html?idxno=111277")</f>
        <v>http://www.kdfnews.com/news/articleView.html?idxno=111277</v>
      </c>
      <c r="H5505">
        <v>0.34399999999999997</v>
      </c>
    </row>
    <row r="5506" spans="1:8" x14ac:dyDescent="0.3">
      <c r="A5506" t="s">
        <v>9678</v>
      </c>
      <c r="B5506" t="s">
        <v>26951</v>
      </c>
      <c r="C5506" t="s">
        <v>14097</v>
      </c>
      <c r="D5506" t="s">
        <v>14096</v>
      </c>
      <c r="E5506" s="2" t="s">
        <v>230</v>
      </c>
      <c r="F5506" t="s">
        <v>14095</v>
      </c>
      <c r="G5506" t="str">
        <f>HYPERLINK("https://n.news.naver.com/mnews/article/088/0000954817?sid=102")</f>
        <v>https://n.news.naver.com/mnews/article/088/0000954817?sid=102</v>
      </c>
      <c r="H5506">
        <v>0.20699999999999999</v>
      </c>
    </row>
    <row r="5507" spans="1:8" x14ac:dyDescent="0.3">
      <c r="A5507" t="s">
        <v>9678</v>
      </c>
      <c r="B5507" t="s">
        <v>26951</v>
      </c>
      <c r="C5507" t="s">
        <v>14100</v>
      </c>
      <c r="D5507" t="s">
        <v>14099</v>
      </c>
      <c r="E5507" s="2" t="s">
        <v>230</v>
      </c>
      <c r="F5507" t="s">
        <v>14098</v>
      </c>
      <c r="G5507" t="str">
        <f>HYPERLINK("https://n.news.naver.com/mnews/article/055/0001268877?sid=103")</f>
        <v>https://n.news.naver.com/mnews/article/055/0001268877?sid=103</v>
      </c>
      <c r="H5507">
        <v>0.21</v>
      </c>
    </row>
    <row r="5508" spans="1:8" x14ac:dyDescent="0.3">
      <c r="A5508" t="s">
        <v>9678</v>
      </c>
      <c r="B5508" t="s">
        <v>26951</v>
      </c>
      <c r="C5508" t="s">
        <v>14102</v>
      </c>
      <c r="D5508" t="s">
        <v>14101</v>
      </c>
      <c r="E5508" s="2" t="s">
        <v>230</v>
      </c>
      <c r="F5508" t="s">
        <v>1242</v>
      </c>
      <c r="G5508" t="str">
        <f>HYPERLINK("http://kor.theasian.asia/archives/386357")</f>
        <v>http://kor.theasian.asia/archives/386357</v>
      </c>
      <c r="H5508">
        <v>0.42399999999999999</v>
      </c>
    </row>
    <row r="5509" spans="1:8" x14ac:dyDescent="0.3">
      <c r="A5509" t="s">
        <v>9678</v>
      </c>
      <c r="B5509" t="s">
        <v>26951</v>
      </c>
      <c r="C5509" t="s">
        <v>14104</v>
      </c>
      <c r="D5509" t="s">
        <v>14103</v>
      </c>
      <c r="E5509" s="2" t="s">
        <v>230</v>
      </c>
      <c r="F5509" t="s">
        <v>12038</v>
      </c>
      <c r="G5509" t="str">
        <f>HYPERLINK("https://n.news.naver.com/mnews/article/016/0002488855?sid=103")</f>
        <v>https://n.news.naver.com/mnews/article/016/0002488855?sid=103</v>
      </c>
      <c r="H5509">
        <v>0.22700000000000001</v>
      </c>
    </row>
    <row r="5510" spans="1:8" x14ac:dyDescent="0.3">
      <c r="A5510" t="s">
        <v>9678</v>
      </c>
      <c r="B5510" t="s">
        <v>26951</v>
      </c>
      <c r="C5510" t="s">
        <v>14106</v>
      </c>
      <c r="D5510" t="s">
        <v>14105</v>
      </c>
      <c r="E5510" s="2" t="s">
        <v>230</v>
      </c>
      <c r="F5510" t="s">
        <v>13437</v>
      </c>
      <c r="G5510" t="str">
        <f>HYPERLINK("https://www.newsclaim.co.kr/news/articleView.html?idxno=3034115")</f>
        <v>https://www.newsclaim.co.kr/news/articleView.html?idxno=3034115</v>
      </c>
      <c r="H5510">
        <v>9.9000000000000005E-2</v>
      </c>
    </row>
    <row r="5511" spans="1:8" x14ac:dyDescent="0.3">
      <c r="A5511" t="s">
        <v>9678</v>
      </c>
      <c r="B5511" t="s">
        <v>26951</v>
      </c>
      <c r="C5511" t="s">
        <v>14108</v>
      </c>
      <c r="D5511" t="s">
        <v>14107</v>
      </c>
      <c r="E5511" s="2" t="s">
        <v>230</v>
      </c>
      <c r="F5511" t="s">
        <v>7606</v>
      </c>
      <c r="G5511" t="str">
        <f>HYPERLINK("http://www.m-economynews.com/news/article.html?no=12904")</f>
        <v>http://www.m-economynews.com/news/article.html?no=12904</v>
      </c>
      <c r="H5511">
        <v>0.09</v>
      </c>
    </row>
    <row r="5512" spans="1:8" x14ac:dyDescent="0.3">
      <c r="A5512" t="s">
        <v>9678</v>
      </c>
      <c r="B5512" t="s">
        <v>26951</v>
      </c>
      <c r="C5512" t="s">
        <v>14111</v>
      </c>
      <c r="D5512" t="s">
        <v>14110</v>
      </c>
      <c r="E5512" s="2" t="s">
        <v>230</v>
      </c>
      <c r="F5512" t="s">
        <v>14109</v>
      </c>
      <c r="G5512" t="str">
        <f>HYPERLINK("https://www.gametoc.co.kr/news/articleView.html?idxno=81434")</f>
        <v>https://www.gametoc.co.kr/news/articleView.html?idxno=81434</v>
      </c>
      <c r="H5512">
        <v>0.24099999999999999</v>
      </c>
    </row>
    <row r="5513" spans="1:8" x14ac:dyDescent="0.3">
      <c r="A5513" t="s">
        <v>9678</v>
      </c>
      <c r="B5513" t="s">
        <v>26951</v>
      </c>
      <c r="C5513" t="s">
        <v>14114</v>
      </c>
      <c r="D5513" t="s">
        <v>14113</v>
      </c>
      <c r="E5513" s="2" t="s">
        <v>230</v>
      </c>
      <c r="F5513" t="s">
        <v>11906</v>
      </c>
      <c r="G5513" t="str">
        <f>HYPERLINK("https://www.ggilbo.com/news/articleView.html?idxno=1096918")</f>
        <v>https://www.ggilbo.com/news/articleView.html?idxno=1096918</v>
      </c>
      <c r="H5513">
        <v>0.52900000000000003</v>
      </c>
    </row>
    <row r="5514" spans="1:8" x14ac:dyDescent="0.3">
      <c r="A5514" t="s">
        <v>9678</v>
      </c>
      <c r="B5514" t="s">
        <v>26951</v>
      </c>
      <c r="C5514" t="s">
        <v>14117</v>
      </c>
      <c r="D5514" t="s">
        <v>14116</v>
      </c>
      <c r="E5514" s="2" t="s">
        <v>230</v>
      </c>
      <c r="F5514" t="s">
        <v>14115</v>
      </c>
      <c r="G5514" t="str">
        <f>HYPERLINK("https://n.news.naver.com/mnews/article/654/0000125085?sid=102")</f>
        <v>https://n.news.naver.com/mnews/article/654/0000125085?sid=102</v>
      </c>
      <c r="H5514">
        <v>0.24399999999999999</v>
      </c>
    </row>
    <row r="5515" spans="1:8" x14ac:dyDescent="0.3">
      <c r="A5515" t="s">
        <v>9678</v>
      </c>
      <c r="B5515" t="s">
        <v>26951</v>
      </c>
      <c r="C5515" t="s">
        <v>14120</v>
      </c>
      <c r="D5515" t="s">
        <v>14119</v>
      </c>
      <c r="E5515" s="2" t="s">
        <v>230</v>
      </c>
      <c r="F5515" t="s">
        <v>14118</v>
      </c>
      <c r="G5515" t="str">
        <f>HYPERLINK("http://www.enewstoday.co.kr/news/articleView.html?idxno=2297359")</f>
        <v>http://www.enewstoday.co.kr/news/articleView.html?idxno=2297359</v>
      </c>
      <c r="H5515">
        <v>0.51</v>
      </c>
    </row>
    <row r="5516" spans="1:8" x14ac:dyDescent="0.3">
      <c r="A5516" t="s">
        <v>9678</v>
      </c>
      <c r="B5516" t="s">
        <v>26951</v>
      </c>
      <c r="C5516" t="s">
        <v>14123</v>
      </c>
      <c r="D5516" t="s">
        <v>14122</v>
      </c>
      <c r="E5516" s="2" t="s">
        <v>230</v>
      </c>
      <c r="F5516" t="s">
        <v>14121</v>
      </c>
      <c r="G5516" t="str">
        <f>HYPERLINK("https://n.news.naver.com/mnews/article/088/0000568675?sid=103")</f>
        <v>https://n.news.naver.com/mnews/article/088/0000568675?sid=103</v>
      </c>
      <c r="H5516">
        <v>0.30199999999999999</v>
      </c>
    </row>
    <row r="5517" spans="1:8" x14ac:dyDescent="0.3">
      <c r="A5517" t="s">
        <v>9678</v>
      </c>
      <c r="B5517" t="s">
        <v>26951</v>
      </c>
      <c r="C5517" t="s">
        <v>14126</v>
      </c>
      <c r="D5517" t="s">
        <v>14125</v>
      </c>
      <c r="E5517" s="2" t="s">
        <v>230</v>
      </c>
      <c r="F5517" t="s">
        <v>14124</v>
      </c>
      <c r="G5517" t="str">
        <f>HYPERLINK("https://n.news.naver.com/mnews/article/079/0004036656?sid=103")</f>
        <v>https://n.news.naver.com/mnews/article/079/0004036656?sid=103</v>
      </c>
      <c r="H5517">
        <v>0.17</v>
      </c>
    </row>
    <row r="5518" spans="1:8" x14ac:dyDescent="0.3">
      <c r="A5518" t="s">
        <v>9678</v>
      </c>
      <c r="B5518" t="s">
        <v>26951</v>
      </c>
      <c r="C5518" t="s">
        <v>14129</v>
      </c>
      <c r="D5518" t="s">
        <v>14128</v>
      </c>
      <c r="E5518" s="2" t="s">
        <v>230</v>
      </c>
      <c r="F5518" t="s">
        <v>14127</v>
      </c>
      <c r="G5518" t="str">
        <f>HYPERLINK("https://n.news.naver.com/mnews/article/008/0005214940?sid=102")</f>
        <v>https://n.news.naver.com/mnews/article/008/0005214940?sid=102</v>
      </c>
      <c r="H5518">
        <v>0.373</v>
      </c>
    </row>
    <row r="5519" spans="1:8" x14ac:dyDescent="0.3">
      <c r="A5519" t="s">
        <v>9678</v>
      </c>
      <c r="B5519" t="s">
        <v>26951</v>
      </c>
      <c r="C5519" t="s">
        <v>14132</v>
      </c>
      <c r="D5519" t="s">
        <v>14131</v>
      </c>
      <c r="E5519" s="2" t="s">
        <v>230</v>
      </c>
      <c r="F5519" t="s">
        <v>14130</v>
      </c>
      <c r="G5519" t="str">
        <f>HYPERLINK("https://n.news.naver.com/mnews/article/214/0000998742?sid=100")</f>
        <v>https://n.news.naver.com/mnews/article/214/0000998742?sid=100</v>
      </c>
      <c r="H5519">
        <v>0.45700000000000002</v>
      </c>
    </row>
    <row r="5520" spans="1:8" x14ac:dyDescent="0.3">
      <c r="A5520" t="s">
        <v>9678</v>
      </c>
      <c r="B5520" t="s">
        <v>26951</v>
      </c>
      <c r="C5520" t="s">
        <v>14134</v>
      </c>
      <c r="D5520" t="s">
        <v>14133</v>
      </c>
      <c r="E5520" s="2" t="s">
        <v>7</v>
      </c>
      <c r="F5520" t="s">
        <v>12977</v>
      </c>
      <c r="H5520">
        <v>0.24099999999999999</v>
      </c>
    </row>
    <row r="5521" spans="1:8" x14ac:dyDescent="0.3">
      <c r="A5521" t="s">
        <v>9678</v>
      </c>
      <c r="B5521" t="s">
        <v>26951</v>
      </c>
      <c r="C5521" t="s">
        <v>14137</v>
      </c>
      <c r="D5521" t="s">
        <v>14136</v>
      </c>
      <c r="E5521" s="2" t="s">
        <v>7</v>
      </c>
      <c r="F5521" t="s">
        <v>14135</v>
      </c>
      <c r="G5521" t="str">
        <f>HYPERLINK("http://www.biztribune.co.kr/news/articleView.html?idxno=335475")</f>
        <v>http://www.biztribune.co.kr/news/articleView.html?idxno=335475</v>
      </c>
      <c r="H5521">
        <v>0.36099999999999999</v>
      </c>
    </row>
    <row r="5522" spans="1:8" x14ac:dyDescent="0.3">
      <c r="A5522" t="s">
        <v>9678</v>
      </c>
      <c r="B5522" t="s">
        <v>26951</v>
      </c>
      <c r="C5522" t="s">
        <v>14140</v>
      </c>
      <c r="D5522" t="s">
        <v>14139</v>
      </c>
      <c r="E5522" s="2" t="s">
        <v>7</v>
      </c>
      <c r="F5522" t="s">
        <v>14138</v>
      </c>
      <c r="G5522" t="str">
        <f>HYPERLINK("https://www.viva100.com/article/20250318500834")</f>
        <v>https://www.viva100.com/article/20250318500834</v>
      </c>
      <c r="H5522">
        <v>0.20799999999999999</v>
      </c>
    </row>
    <row r="5523" spans="1:8" x14ac:dyDescent="0.3">
      <c r="A5523" t="s">
        <v>9678</v>
      </c>
      <c r="B5523" t="s">
        <v>26951</v>
      </c>
      <c r="C5523" t="s">
        <v>14142</v>
      </c>
      <c r="D5523" t="s">
        <v>14141</v>
      </c>
      <c r="E5523" s="2" t="s">
        <v>7</v>
      </c>
      <c r="F5523" t="s">
        <v>10421</v>
      </c>
      <c r="G5523" t="str">
        <f>HYPERLINK("https://n.news.naver.com/mnews/article/008/0005198647?sid=102")</f>
        <v>https://n.news.naver.com/mnews/article/008/0005198647?sid=102</v>
      </c>
      <c r="H5523">
        <v>0.28000000000000003</v>
      </c>
    </row>
    <row r="5524" spans="1:8" x14ac:dyDescent="0.3">
      <c r="A5524" t="s">
        <v>9678</v>
      </c>
      <c r="B5524" t="s">
        <v>26951</v>
      </c>
      <c r="C5524" t="s">
        <v>14147</v>
      </c>
      <c r="D5524" t="s">
        <v>14146</v>
      </c>
      <c r="E5524" s="2" t="s">
        <v>7</v>
      </c>
      <c r="F5524" t="s">
        <v>9922</v>
      </c>
      <c r="G5524" t="str">
        <f>HYPERLINK("https://n.news.naver.com/mnews/article/079/0004040216?sid=103")</f>
        <v>https://n.news.naver.com/mnews/article/079/0004040216?sid=103</v>
      </c>
      <c r="H5524">
        <v>0.28699999999999998</v>
      </c>
    </row>
    <row r="5525" spans="1:8" x14ac:dyDescent="0.3">
      <c r="A5525" t="s">
        <v>9678</v>
      </c>
      <c r="B5525" t="s">
        <v>26951</v>
      </c>
      <c r="C5525" t="s">
        <v>14150</v>
      </c>
      <c r="D5525" t="s">
        <v>14149</v>
      </c>
      <c r="E5525" s="2" t="s">
        <v>7</v>
      </c>
      <c r="F5525" t="s">
        <v>14148</v>
      </c>
      <c r="G5525" t="str">
        <f>HYPERLINK("https://www.safetimes.co.kr/news/articleView.html?idxno=212982")</f>
        <v>https://www.safetimes.co.kr/news/articleView.html?idxno=212982</v>
      </c>
      <c r="H5525">
        <v>5.5E-2</v>
      </c>
    </row>
    <row r="5526" spans="1:8" x14ac:dyDescent="0.3">
      <c r="A5526" t="s">
        <v>9678</v>
      </c>
      <c r="B5526" t="s">
        <v>26951</v>
      </c>
      <c r="C5526" t="s">
        <v>14152</v>
      </c>
      <c r="D5526" t="s">
        <v>14151</v>
      </c>
      <c r="E5526" s="2" t="s">
        <v>7</v>
      </c>
      <c r="F5526" t="s">
        <v>11354</v>
      </c>
      <c r="G5526" t="str">
        <f>HYPERLINK("https://n.news.naver.com/mnews/article/057/0001894161?sid=102")</f>
        <v>https://n.news.naver.com/mnews/article/057/0001894161?sid=102</v>
      </c>
      <c r="H5526">
        <v>0.22800000000000001</v>
      </c>
    </row>
    <row r="5527" spans="1:8" x14ac:dyDescent="0.3">
      <c r="A5527" t="s">
        <v>9678</v>
      </c>
      <c r="B5527" t="s">
        <v>26951</v>
      </c>
      <c r="C5527" t="s">
        <v>14154</v>
      </c>
      <c r="D5527" t="s">
        <v>14153</v>
      </c>
      <c r="E5527" s="2" t="s">
        <v>7</v>
      </c>
      <c r="F5527" t="s">
        <v>588</v>
      </c>
      <c r="G5527" t="str">
        <f>HYPERLINK("https://n.news.naver.com/mnews/article/277/0005615524?sid=102")</f>
        <v>https://n.news.naver.com/mnews/article/277/0005615524?sid=102</v>
      </c>
      <c r="H5527">
        <v>0.251</v>
      </c>
    </row>
    <row r="5528" spans="1:8" x14ac:dyDescent="0.3">
      <c r="A5528" t="s">
        <v>9678</v>
      </c>
      <c r="B5528" t="s">
        <v>26951</v>
      </c>
      <c r="C5528" t="s">
        <v>14156</v>
      </c>
      <c r="D5528" t="s">
        <v>14155</v>
      </c>
      <c r="E5528" s="2" t="s">
        <v>7</v>
      </c>
      <c r="F5528" t="s">
        <v>9786</v>
      </c>
      <c r="G5528" t="str">
        <f>HYPERLINK("http://www.lecturernews.com/news/articleView.html?idxno=81349")</f>
        <v>http://www.lecturernews.com/news/articleView.html?idxno=81349</v>
      </c>
      <c r="H5528">
        <v>0.23799999999999999</v>
      </c>
    </row>
    <row r="5529" spans="1:8" x14ac:dyDescent="0.3">
      <c r="A5529" t="s">
        <v>9678</v>
      </c>
      <c r="B5529" t="s">
        <v>26951</v>
      </c>
      <c r="C5529" t="s">
        <v>14160</v>
      </c>
      <c r="D5529" t="s">
        <v>14159</v>
      </c>
      <c r="E5529" s="2" t="s">
        <v>7</v>
      </c>
      <c r="F5529" t="s">
        <v>14158</v>
      </c>
      <c r="G5529" t="str">
        <f>HYPERLINK("https://www.ntoday.co.kr/news/articleView.html?idxno=107985")</f>
        <v>https://www.ntoday.co.kr/news/articleView.html?idxno=107985</v>
      </c>
      <c r="H5529">
        <v>0.48199999999999998</v>
      </c>
    </row>
    <row r="5530" spans="1:8" x14ac:dyDescent="0.3">
      <c r="A5530" t="s">
        <v>9678</v>
      </c>
      <c r="B5530" t="s">
        <v>26951</v>
      </c>
      <c r="C5530" t="s">
        <v>14163</v>
      </c>
      <c r="D5530" t="s">
        <v>14162</v>
      </c>
      <c r="E5530" s="2" t="s">
        <v>7</v>
      </c>
      <c r="F5530" t="s">
        <v>3934</v>
      </c>
      <c r="G5530" t="str">
        <f>HYPERLINK("https://n.news.naver.com/mnews/article/014/0005370451?sid=102")</f>
        <v>https://n.news.naver.com/mnews/article/014/0005370451?sid=102</v>
      </c>
      <c r="H5530">
        <v>0.18099999999999999</v>
      </c>
    </row>
    <row r="5531" spans="1:8" x14ac:dyDescent="0.3">
      <c r="A5531" t="s">
        <v>9678</v>
      </c>
      <c r="B5531" t="s">
        <v>26951</v>
      </c>
      <c r="C5531" t="s">
        <v>14166</v>
      </c>
      <c r="D5531" t="s">
        <v>14165</v>
      </c>
      <c r="E5531" s="2" t="s">
        <v>7</v>
      </c>
      <c r="F5531" t="s">
        <v>14164</v>
      </c>
      <c r="G5531" t="str">
        <f>HYPERLINK("http://www.newsworker.co.kr/news/articleView.html?idxno=58208")</f>
        <v>http://www.newsworker.co.kr/news/articleView.html?idxno=58208</v>
      </c>
      <c r="H5531">
        <v>0.44800000000000001</v>
      </c>
    </row>
    <row r="5532" spans="1:8" x14ac:dyDescent="0.3">
      <c r="A5532" t="s">
        <v>9678</v>
      </c>
      <c r="B5532" t="s">
        <v>26951</v>
      </c>
      <c r="C5532" t="s">
        <v>14169</v>
      </c>
      <c r="D5532" t="s">
        <v>14168</v>
      </c>
      <c r="E5532" s="2" t="s">
        <v>7</v>
      </c>
      <c r="F5532" t="s">
        <v>14167</v>
      </c>
      <c r="G5532" t="str">
        <f>HYPERLINK("http://www.worldkorean.net/news/articleView.html?idxno=54351")</f>
        <v>http://www.worldkorean.net/news/articleView.html?idxno=54351</v>
      </c>
      <c r="H5532">
        <v>0.23599999999999999</v>
      </c>
    </row>
    <row r="5533" spans="1:8" x14ac:dyDescent="0.3">
      <c r="A5533" t="s">
        <v>9678</v>
      </c>
      <c r="B5533" t="s">
        <v>26951</v>
      </c>
      <c r="C5533" t="s">
        <v>14172</v>
      </c>
      <c r="D5533" t="s">
        <v>14171</v>
      </c>
      <c r="E5533" s="2" t="s">
        <v>7</v>
      </c>
      <c r="F5533" t="s">
        <v>14170</v>
      </c>
      <c r="G5533" t="str">
        <f>HYPERLINK("https://n.news.naver.com/mnews/article/014/0005370444?sid=102")</f>
        <v>https://n.news.naver.com/mnews/article/014/0005370444?sid=102</v>
      </c>
      <c r="H5533">
        <v>0.22900000000000001</v>
      </c>
    </row>
    <row r="5534" spans="1:8" x14ac:dyDescent="0.3">
      <c r="A5534" t="s">
        <v>9678</v>
      </c>
      <c r="B5534" t="s">
        <v>26951</v>
      </c>
      <c r="C5534" t="s">
        <v>14174</v>
      </c>
      <c r="D5534" t="s">
        <v>14173</v>
      </c>
      <c r="E5534" s="2" t="s">
        <v>7</v>
      </c>
      <c r="F5534" t="s">
        <v>5548</v>
      </c>
      <c r="G5534" t="str">
        <f>HYPERLINK("http://www.ggilbo.com/news/articleView.html?idxno=640905")</f>
        <v>http://www.ggilbo.com/news/articleView.html?idxno=640905</v>
      </c>
      <c r="H5534">
        <v>0.32900000000000001</v>
      </c>
    </row>
    <row r="5535" spans="1:8" x14ac:dyDescent="0.3">
      <c r="A5535" t="s">
        <v>9678</v>
      </c>
      <c r="B5535" t="s">
        <v>26951</v>
      </c>
      <c r="C5535" t="s">
        <v>14177</v>
      </c>
      <c r="D5535" t="s">
        <v>14176</v>
      </c>
      <c r="E5535" s="2" t="s">
        <v>7</v>
      </c>
      <c r="F5535" t="s">
        <v>14175</v>
      </c>
      <c r="G5535" t="str">
        <f>HYPERLINK("http://www.civicnews.com/news/articleView.html?idxno=20871")</f>
        <v>http://www.civicnews.com/news/articleView.html?idxno=20871</v>
      </c>
      <c r="H5535">
        <v>0.13100000000000001</v>
      </c>
    </row>
    <row r="5536" spans="1:8" x14ac:dyDescent="0.3">
      <c r="A5536" t="s">
        <v>9678</v>
      </c>
      <c r="B5536" t="s">
        <v>26951</v>
      </c>
      <c r="C5536" t="s">
        <v>14179</v>
      </c>
      <c r="D5536" t="s">
        <v>14178</v>
      </c>
      <c r="E5536" s="2" t="s">
        <v>7</v>
      </c>
      <c r="F5536" t="s">
        <v>10120</v>
      </c>
      <c r="G5536" t="str">
        <f>HYPERLINK("https://n.news.naver.com/mnews/article/002/0002394983?sid=102")</f>
        <v>https://n.news.naver.com/mnews/article/002/0002394983?sid=102</v>
      </c>
      <c r="H5536">
        <v>0.26800000000000002</v>
      </c>
    </row>
    <row r="5537" spans="1:8" x14ac:dyDescent="0.3">
      <c r="A5537" t="s">
        <v>9678</v>
      </c>
      <c r="B5537" t="s">
        <v>26951</v>
      </c>
      <c r="C5537" t="s">
        <v>14182</v>
      </c>
      <c r="D5537" t="s">
        <v>14181</v>
      </c>
      <c r="E5537" s="2" t="s">
        <v>7</v>
      </c>
      <c r="F5537" t="s">
        <v>14180</v>
      </c>
      <c r="G5537" t="str">
        <f>HYPERLINK("https://www.kmaeil.com/news/articleView.html?idxno=474066")</f>
        <v>https://www.kmaeil.com/news/articleView.html?idxno=474066</v>
      </c>
      <c r="H5537">
        <v>0.38900000000000001</v>
      </c>
    </row>
    <row r="5538" spans="1:8" x14ac:dyDescent="0.3">
      <c r="A5538" t="s">
        <v>9678</v>
      </c>
      <c r="B5538" t="s">
        <v>26951</v>
      </c>
      <c r="C5538" t="s">
        <v>14185</v>
      </c>
      <c r="D5538" t="s">
        <v>14184</v>
      </c>
      <c r="E5538" s="2" t="s">
        <v>7</v>
      </c>
      <c r="F5538" t="s">
        <v>14183</v>
      </c>
      <c r="G5538" t="str">
        <f>HYPERLINK("https://www.viva100.com/article/20250623500055")</f>
        <v>https://www.viva100.com/article/20250623500055</v>
      </c>
      <c r="H5538">
        <v>0.374</v>
      </c>
    </row>
    <row r="5539" spans="1:8" x14ac:dyDescent="0.3">
      <c r="A5539" t="s">
        <v>9678</v>
      </c>
      <c r="B5539" t="s">
        <v>26951</v>
      </c>
      <c r="C5539" t="s">
        <v>14188</v>
      </c>
      <c r="D5539" t="s">
        <v>14187</v>
      </c>
      <c r="E5539" s="2" t="s">
        <v>7</v>
      </c>
      <c r="F5539" t="s">
        <v>14186</v>
      </c>
      <c r="G5539" t="str">
        <f>HYPERLINK("http://www.ggilbo.com/news/articleView.html?idxno=741734")</f>
        <v>http://www.ggilbo.com/news/articleView.html?idxno=741734</v>
      </c>
      <c r="H5539">
        <v>0.58099999999999996</v>
      </c>
    </row>
    <row r="5540" spans="1:8" x14ac:dyDescent="0.3">
      <c r="A5540" t="s">
        <v>9678</v>
      </c>
      <c r="B5540" t="s">
        <v>26951</v>
      </c>
      <c r="C5540" t="s">
        <v>14191</v>
      </c>
      <c r="D5540" t="s">
        <v>14190</v>
      </c>
      <c r="E5540" s="2" t="s">
        <v>7</v>
      </c>
      <c r="F5540" t="s">
        <v>14189</v>
      </c>
      <c r="G5540" t="str">
        <f>HYPERLINK("https://n.news.naver.com/mnews/article/014/0005370181?sid=102")</f>
        <v>https://n.news.naver.com/mnews/article/014/0005370181?sid=102</v>
      </c>
      <c r="H5540">
        <v>0.191</v>
      </c>
    </row>
    <row r="5541" spans="1:8" x14ac:dyDescent="0.3">
      <c r="A5541" t="s">
        <v>9678</v>
      </c>
      <c r="B5541" t="s">
        <v>26951</v>
      </c>
      <c r="C5541" t="s">
        <v>14193</v>
      </c>
      <c r="D5541" t="s">
        <v>14192</v>
      </c>
      <c r="E5541" s="2" t="s">
        <v>7</v>
      </c>
      <c r="F5541" t="s">
        <v>9134</v>
      </c>
      <c r="G5541" t="str">
        <f>HYPERLINK("https://n.news.naver.com/mnews/article/081/0002201621?sid=103")</f>
        <v>https://n.news.naver.com/mnews/article/081/0002201621?sid=103</v>
      </c>
      <c r="H5541">
        <v>0.184</v>
      </c>
    </row>
    <row r="5542" spans="1:8" x14ac:dyDescent="0.3">
      <c r="A5542" t="s">
        <v>9678</v>
      </c>
      <c r="B5542" t="s">
        <v>26951</v>
      </c>
      <c r="C5542" t="s">
        <v>14195</v>
      </c>
      <c r="D5542" t="s">
        <v>14194</v>
      </c>
      <c r="E5542" s="2" t="s">
        <v>7</v>
      </c>
      <c r="F5542" t="s">
        <v>11330</v>
      </c>
      <c r="G5542" t="str">
        <f>HYPERLINK("http://www.econotelling.com/news/articleView.html?idxno=17184")</f>
        <v>http://www.econotelling.com/news/articleView.html?idxno=17184</v>
      </c>
      <c r="H5542">
        <v>0.53</v>
      </c>
    </row>
    <row r="5543" spans="1:8" x14ac:dyDescent="0.3">
      <c r="A5543" t="s">
        <v>9678</v>
      </c>
      <c r="B5543" t="s">
        <v>26951</v>
      </c>
      <c r="C5543" t="s">
        <v>14197</v>
      </c>
      <c r="D5543" t="s">
        <v>14196</v>
      </c>
      <c r="E5543" s="2" t="s">
        <v>7</v>
      </c>
      <c r="F5543" t="s">
        <v>1233</v>
      </c>
      <c r="G5543" t="str">
        <f>HYPERLINK("https://n.news.naver.com/mnews/article/214/0001433492?sid=100")</f>
        <v>https://n.news.naver.com/mnews/article/214/0001433492?sid=100</v>
      </c>
      <c r="H5543">
        <v>0.16800000000000001</v>
      </c>
    </row>
    <row r="5544" spans="1:8" x14ac:dyDescent="0.3">
      <c r="A5544" t="s">
        <v>9678</v>
      </c>
      <c r="B5544" t="s">
        <v>26951</v>
      </c>
      <c r="C5544" t="s">
        <v>14201</v>
      </c>
      <c r="D5544" t="s">
        <v>14200</v>
      </c>
      <c r="E5544" s="2" t="s">
        <v>7</v>
      </c>
      <c r="F5544" t="s">
        <v>14199</v>
      </c>
      <c r="G5544" t="str">
        <f>HYPERLINK("http://www.segyebiz.com/newsView/20250626508178?OutUrl=naver")</f>
        <v>http://www.segyebiz.com/newsView/20250626508178?OutUrl=naver</v>
      </c>
      <c r="H5544">
        <v>0.745</v>
      </c>
    </row>
    <row r="5545" spans="1:8" x14ac:dyDescent="0.3">
      <c r="A5545" t="s">
        <v>9678</v>
      </c>
      <c r="B5545" t="s">
        <v>26951</v>
      </c>
      <c r="C5545" t="s">
        <v>14203</v>
      </c>
      <c r="D5545" t="s">
        <v>14202</v>
      </c>
      <c r="E5545" s="2" t="s">
        <v>7</v>
      </c>
      <c r="F5545" t="s">
        <v>14086</v>
      </c>
      <c r="G5545" t="str">
        <f>HYPERLINK("http://www.interview365.com/news/articleView.html?idxno=110016")</f>
        <v>http://www.interview365.com/news/articleView.html?idxno=110016</v>
      </c>
      <c r="H5545">
        <v>0.92600000000000005</v>
      </c>
    </row>
    <row r="5546" spans="1:8" x14ac:dyDescent="0.3">
      <c r="A5546" t="s">
        <v>9678</v>
      </c>
      <c r="B5546" t="s">
        <v>26951</v>
      </c>
      <c r="C5546" t="s">
        <v>14205</v>
      </c>
      <c r="D5546" t="s">
        <v>14204</v>
      </c>
      <c r="E5546" s="2" t="s">
        <v>7</v>
      </c>
      <c r="F5546" t="s">
        <v>4963</v>
      </c>
      <c r="G5546" t="str">
        <f>HYPERLINK("http://www.jjn.co.kr/news/articleView.html?idxno=1010257")</f>
        <v>http://www.jjn.co.kr/news/articleView.html?idxno=1010257</v>
      </c>
      <c r="H5546">
        <v>0.93</v>
      </c>
    </row>
    <row r="5547" spans="1:8" x14ac:dyDescent="0.3">
      <c r="A5547" t="s">
        <v>9678</v>
      </c>
      <c r="B5547" t="s">
        <v>26951</v>
      </c>
      <c r="C5547" t="s">
        <v>14207</v>
      </c>
      <c r="D5547" t="s">
        <v>14206</v>
      </c>
      <c r="E5547" s="2" t="s">
        <v>7</v>
      </c>
      <c r="F5547" t="s">
        <v>5909</v>
      </c>
      <c r="G5547" t="str">
        <f>HYPERLINK("http://gamefocus.co.kr/detail.php?number=166953")</f>
        <v>http://gamefocus.co.kr/detail.php?number=166953</v>
      </c>
      <c r="H5547">
        <v>0.54700000000000004</v>
      </c>
    </row>
    <row r="5548" spans="1:8" x14ac:dyDescent="0.3">
      <c r="A5548" t="s">
        <v>9678</v>
      </c>
      <c r="B5548" t="s">
        <v>26951</v>
      </c>
      <c r="C5548" t="s">
        <v>14210</v>
      </c>
      <c r="D5548" t="s">
        <v>14209</v>
      </c>
      <c r="E5548" s="2" t="s">
        <v>7</v>
      </c>
      <c r="F5548" t="s">
        <v>14208</v>
      </c>
      <c r="G5548" t="str">
        <f>HYPERLINK("http://gamefocus.co.kr/detail.php?number=165000")</f>
        <v>http://gamefocus.co.kr/detail.php?number=165000</v>
      </c>
      <c r="H5548">
        <v>0.36899999999999999</v>
      </c>
    </row>
    <row r="5549" spans="1:8" x14ac:dyDescent="0.3">
      <c r="A5549" t="s">
        <v>9678</v>
      </c>
      <c r="B5549" t="s">
        <v>26951</v>
      </c>
      <c r="C5549" t="s">
        <v>14214</v>
      </c>
      <c r="D5549" t="s">
        <v>14213</v>
      </c>
      <c r="E5549" s="2" t="s">
        <v>7</v>
      </c>
      <c r="F5549" t="s">
        <v>14212</v>
      </c>
      <c r="G5549" t="str">
        <f>HYPERLINK("https://n.news.naver.com/mnews/article/081/0002968824?sid=103")</f>
        <v>https://n.news.naver.com/mnews/article/081/0002968824?sid=103</v>
      </c>
      <c r="H5549">
        <v>0.33900000000000002</v>
      </c>
    </row>
    <row r="5550" spans="1:8" x14ac:dyDescent="0.3">
      <c r="A5550" t="s">
        <v>9678</v>
      </c>
      <c r="B5550" t="s">
        <v>26951</v>
      </c>
      <c r="C5550" t="s">
        <v>14216</v>
      </c>
      <c r="D5550" t="s">
        <v>14215</v>
      </c>
      <c r="E5550" s="2" t="s">
        <v>7</v>
      </c>
      <c r="F5550" t="s">
        <v>11557</v>
      </c>
      <c r="G5550" t="str">
        <f>HYPERLINK("https://n.news.naver.com/mnews/article/008/0005198647?sid=102")</f>
        <v>https://n.news.naver.com/mnews/article/008/0005198647?sid=102</v>
      </c>
      <c r="H5550">
        <v>0.26600000000000001</v>
      </c>
    </row>
    <row r="5551" spans="1:8" x14ac:dyDescent="0.3">
      <c r="A5551" t="s">
        <v>9678</v>
      </c>
      <c r="B5551" t="s">
        <v>26951</v>
      </c>
      <c r="C5551" t="s">
        <v>14218</v>
      </c>
      <c r="D5551" t="s">
        <v>14217</v>
      </c>
      <c r="E5551" s="2" t="s">
        <v>7</v>
      </c>
      <c r="F5551" t="s">
        <v>6720</v>
      </c>
      <c r="G5551" t="str">
        <f>HYPERLINK("http://www.danbinews.com/news/articleView.html?idxno=13686")</f>
        <v>http://www.danbinews.com/news/articleView.html?idxno=13686</v>
      </c>
      <c r="H5551">
        <v>0.223</v>
      </c>
    </row>
    <row r="5552" spans="1:8" x14ac:dyDescent="0.3">
      <c r="A5552" t="s">
        <v>9678</v>
      </c>
      <c r="B5552" t="s">
        <v>26951</v>
      </c>
      <c r="C5552" t="s">
        <v>14220</v>
      </c>
      <c r="D5552" t="s">
        <v>14219</v>
      </c>
      <c r="E5552" s="2" t="s">
        <v>7</v>
      </c>
      <c r="F5552" t="s">
        <v>1378</v>
      </c>
      <c r="G5552" t="str">
        <f>HYPERLINK("https://n.news.naver.com/mnews/article/008/0004004560?sid=103")</f>
        <v>https://n.news.naver.com/mnews/article/008/0004004560?sid=103</v>
      </c>
      <c r="H5552">
        <v>0.30299999999999999</v>
      </c>
    </row>
    <row r="5553" spans="1:8" x14ac:dyDescent="0.3">
      <c r="A5553" t="s">
        <v>9678</v>
      </c>
      <c r="B5553" t="s">
        <v>26951</v>
      </c>
      <c r="C5553" t="s">
        <v>14222</v>
      </c>
      <c r="D5553" t="s">
        <v>14221</v>
      </c>
      <c r="E5553" s="2" t="s">
        <v>7</v>
      </c>
      <c r="F5553" t="s">
        <v>13365</v>
      </c>
      <c r="G5553" t="str">
        <f>HYPERLINK("https://n.news.naver.com/mnews/article/277/0005338059?sid=101")</f>
        <v>https://n.news.naver.com/mnews/article/277/0005338059?sid=101</v>
      </c>
      <c r="H5553">
        <v>0.108</v>
      </c>
    </row>
    <row r="5554" spans="1:8" x14ac:dyDescent="0.3">
      <c r="A5554" t="s">
        <v>9678</v>
      </c>
      <c r="B5554" t="s">
        <v>26951</v>
      </c>
      <c r="C5554" t="s">
        <v>14224</v>
      </c>
      <c r="D5554" t="s">
        <v>14223</v>
      </c>
      <c r="E5554" s="2" t="s">
        <v>7</v>
      </c>
      <c r="F5554" t="s">
        <v>2064</v>
      </c>
      <c r="G5554" t="str">
        <f>HYPERLINK("https://n.news.naver.com/mnews/article/214/0001368343?sid=100")</f>
        <v>https://n.news.naver.com/mnews/article/214/0001368343?sid=100</v>
      </c>
      <c r="H5554">
        <v>0.157</v>
      </c>
    </row>
    <row r="5555" spans="1:8" x14ac:dyDescent="0.3">
      <c r="A5555" t="s">
        <v>9678</v>
      </c>
      <c r="B5555" t="s">
        <v>26951</v>
      </c>
      <c r="C5555" t="s">
        <v>14227</v>
      </c>
      <c r="D5555" t="s">
        <v>14226</v>
      </c>
      <c r="E5555" s="2" t="s">
        <v>7</v>
      </c>
      <c r="F5555" t="s">
        <v>14225</v>
      </c>
      <c r="G5555" t="str">
        <f>HYPERLINK("https://www.thefairnews.co.kr/news/articleView.html?idxno=34681")</f>
        <v>https://www.thefairnews.co.kr/news/articleView.html?idxno=34681</v>
      </c>
      <c r="H5555">
        <v>0.40400000000000003</v>
      </c>
    </row>
    <row r="5556" spans="1:8" x14ac:dyDescent="0.3">
      <c r="A5556" t="s">
        <v>9678</v>
      </c>
      <c r="B5556" t="s">
        <v>26951</v>
      </c>
      <c r="C5556" t="s">
        <v>14230</v>
      </c>
      <c r="D5556" t="s">
        <v>14229</v>
      </c>
      <c r="E5556" s="2" t="s">
        <v>7</v>
      </c>
      <c r="F5556" t="s">
        <v>14228</v>
      </c>
      <c r="G5556" t="str">
        <f>HYPERLINK("https://www.kukinews.com/article/view/kuk202507010126")</f>
        <v>https://www.kukinews.com/article/view/kuk202507010126</v>
      </c>
      <c r="H5556">
        <v>0.28799999999999998</v>
      </c>
    </row>
    <row r="5557" spans="1:8" x14ac:dyDescent="0.3">
      <c r="A5557" t="s">
        <v>9678</v>
      </c>
      <c r="B5557" t="s">
        <v>26951</v>
      </c>
      <c r="C5557" t="s">
        <v>14232</v>
      </c>
      <c r="D5557" t="s">
        <v>14231</v>
      </c>
      <c r="E5557" s="2" t="s">
        <v>7</v>
      </c>
      <c r="F5557" t="s">
        <v>5548</v>
      </c>
      <c r="G5557" t="str">
        <f>HYPERLINK("https://www.joongangenews.com/news/articleView.html?idxno=430658")</f>
        <v>https://www.joongangenews.com/news/articleView.html?idxno=430658</v>
      </c>
      <c r="H5557">
        <v>0.73099999999999998</v>
      </c>
    </row>
    <row r="5558" spans="1:8" x14ac:dyDescent="0.3">
      <c r="A5558" t="s">
        <v>9678</v>
      </c>
      <c r="B5558" t="s">
        <v>26951</v>
      </c>
      <c r="C5558" t="s">
        <v>14234</v>
      </c>
      <c r="D5558" t="s">
        <v>14233</v>
      </c>
      <c r="E5558" s="2" t="s">
        <v>7</v>
      </c>
      <c r="F5558" t="s">
        <v>9679</v>
      </c>
      <c r="G5558" t="str">
        <f>HYPERLINK("https://n.news.naver.com/mnews/article/008/0005214940?sid=102")</f>
        <v>https://n.news.naver.com/mnews/article/008/0005214940?sid=102</v>
      </c>
      <c r="H5558">
        <v>0.26300000000000001</v>
      </c>
    </row>
    <row r="5559" spans="1:8" x14ac:dyDescent="0.3">
      <c r="A5559" t="s">
        <v>9678</v>
      </c>
      <c r="B5559" t="s">
        <v>26951</v>
      </c>
      <c r="C5559" t="s">
        <v>14237</v>
      </c>
      <c r="D5559" t="s">
        <v>14236</v>
      </c>
      <c r="E5559" s="2" t="s">
        <v>7</v>
      </c>
      <c r="F5559" t="s">
        <v>14235</v>
      </c>
      <c r="G5559" t="str">
        <f>HYPERLINK("https://www.ggilbo.com/news/articleView.html?idxno=1070444")</f>
        <v>https://www.ggilbo.com/news/articleView.html?idxno=1070444</v>
      </c>
      <c r="H5559">
        <v>0.40899999999999997</v>
      </c>
    </row>
    <row r="5560" spans="1:8" x14ac:dyDescent="0.3">
      <c r="A5560" t="s">
        <v>9678</v>
      </c>
      <c r="B5560" t="s">
        <v>26951</v>
      </c>
      <c r="C5560" t="s">
        <v>14239</v>
      </c>
      <c r="D5560" t="s">
        <v>14238</v>
      </c>
      <c r="E5560" s="2" t="s">
        <v>7</v>
      </c>
      <c r="F5560" t="s">
        <v>14161</v>
      </c>
      <c r="G5560" t="str">
        <f>HYPERLINK("https://www.allurekorea.com/2021/12/12/2021%eb%85%84-%ed%99%94%ec%a0%9c%ec%9d%98-tv-%ed%94%84%eb%a1%9c%ea%b7%b8%eb%9e%a8%ea%b3%bc-%ec%9d%b4%ec%8a%88-%ec%b4%9d%ec%a0%95%eb%a6%ac/?utm_source=naver&amp;utm_medium=partnership")</f>
        <v>https://www.allurekorea.com/2021/12/12/2021%eb%85%84-%ed%99%94%ec%a0%9c%ec%9d%98-tv-%ed%94%84%eb%a1%9c%ea%b7%b8%eb%9e%a8%ea%b3%bc-%ec%9d%b4%ec%8a%88-%ec%b4%9d%ec%a0%95%eb%a6%ac/?utm_source=naver&amp;utm_medium=partnership</v>
      </c>
      <c r="H5560">
        <v>0.25900000000000001</v>
      </c>
    </row>
    <row r="5561" spans="1:8" x14ac:dyDescent="0.3">
      <c r="A5561" t="s">
        <v>9678</v>
      </c>
      <c r="B5561" t="s">
        <v>26951</v>
      </c>
      <c r="C5561" t="s">
        <v>14245</v>
      </c>
      <c r="D5561" t="s">
        <v>14244</v>
      </c>
      <c r="E5561" s="2" t="s">
        <v>7</v>
      </c>
      <c r="F5561" t="s">
        <v>14243</v>
      </c>
      <c r="G5561" t="str">
        <f>HYPERLINK("http://www.sisaon.co.kr/news/articleView.html?idxno=172470")</f>
        <v>http://www.sisaon.co.kr/news/articleView.html?idxno=172470</v>
      </c>
      <c r="H5561">
        <v>0.54400000000000004</v>
      </c>
    </row>
    <row r="5562" spans="1:8" x14ac:dyDescent="0.3">
      <c r="A5562" t="s">
        <v>9678</v>
      </c>
      <c r="B5562" t="s">
        <v>26951</v>
      </c>
      <c r="C5562" t="s">
        <v>14247</v>
      </c>
      <c r="D5562" t="s">
        <v>14246</v>
      </c>
      <c r="E5562" s="2" t="s">
        <v>7</v>
      </c>
      <c r="F5562" t="s">
        <v>4119</v>
      </c>
      <c r="G5562" t="str">
        <f>HYPERLINK("https://www.joongangenews.com/news/articleView.html?idxno=430658")</f>
        <v>https://www.joongangenews.com/news/articleView.html?idxno=430658</v>
      </c>
      <c r="H5562">
        <v>0.66700000000000004</v>
      </c>
    </row>
    <row r="5563" spans="1:8" x14ac:dyDescent="0.3">
      <c r="A5563" t="s">
        <v>9678</v>
      </c>
      <c r="B5563" t="s">
        <v>26951</v>
      </c>
      <c r="C5563" t="s">
        <v>14250</v>
      </c>
      <c r="D5563" t="s">
        <v>14249</v>
      </c>
      <c r="E5563" s="2" t="s">
        <v>7</v>
      </c>
      <c r="F5563" t="s">
        <v>11906</v>
      </c>
      <c r="G5563" t="str">
        <f>HYPERLINK("https://www.huffingtonpost.kr/news/articleView.html?idxno=236868")</f>
        <v>https://www.huffingtonpost.kr/news/articleView.html?idxno=236868</v>
      </c>
      <c r="H5563">
        <v>0.54200000000000004</v>
      </c>
    </row>
    <row r="5564" spans="1:8" x14ac:dyDescent="0.3">
      <c r="A5564" t="s">
        <v>9678</v>
      </c>
      <c r="B5564" t="s">
        <v>26951</v>
      </c>
      <c r="C5564" t="s">
        <v>14254</v>
      </c>
      <c r="D5564" t="s">
        <v>14253</v>
      </c>
      <c r="E5564" s="2" t="s">
        <v>7</v>
      </c>
      <c r="F5564" t="s">
        <v>10229</v>
      </c>
      <c r="G5564" t="str">
        <f>HYPERLINK("http://viewers.heraldcorp.com/news/articleView.html?idxno=23525")</f>
        <v>http://viewers.heraldcorp.com/news/articleView.html?idxno=23525</v>
      </c>
      <c r="H5564">
        <v>0.107</v>
      </c>
    </row>
    <row r="5565" spans="1:8" x14ac:dyDescent="0.3">
      <c r="A5565" t="s">
        <v>9678</v>
      </c>
      <c r="B5565" t="s">
        <v>26951</v>
      </c>
      <c r="C5565" t="s">
        <v>14256</v>
      </c>
      <c r="D5565" t="s">
        <v>14255</v>
      </c>
      <c r="E5565" s="2" t="s">
        <v>7</v>
      </c>
      <c r="F5565" t="s">
        <v>2074</v>
      </c>
      <c r="G5565" t="str">
        <f>HYPERLINK("https://n.news.naver.com/mnews/article/214/0001429644?sid=100")</f>
        <v>https://n.news.naver.com/mnews/article/214/0001429644?sid=100</v>
      </c>
      <c r="H5565">
        <v>0.29099999999999998</v>
      </c>
    </row>
    <row r="5566" spans="1:8" x14ac:dyDescent="0.3">
      <c r="A5566" t="s">
        <v>9678</v>
      </c>
      <c r="B5566" t="s">
        <v>26951</v>
      </c>
      <c r="C5566" t="s">
        <v>14259</v>
      </c>
      <c r="D5566" t="s">
        <v>14258</v>
      </c>
      <c r="E5566" s="2" t="s">
        <v>7</v>
      </c>
      <c r="F5566" t="s">
        <v>14257</v>
      </c>
      <c r="G5566" t="str">
        <f>HYPERLINK("https://byline.network/?p=9004111222568964")</f>
        <v>https://byline.network/?p=9004111222568964</v>
      </c>
      <c r="H5566">
        <v>0.52400000000000002</v>
      </c>
    </row>
    <row r="5567" spans="1:8" x14ac:dyDescent="0.3">
      <c r="A5567" t="s">
        <v>9678</v>
      </c>
      <c r="B5567" t="s">
        <v>26951</v>
      </c>
      <c r="C5567" t="s">
        <v>14262</v>
      </c>
      <c r="D5567" t="s">
        <v>14261</v>
      </c>
      <c r="E5567" s="2" t="s">
        <v>7</v>
      </c>
      <c r="F5567" t="s">
        <v>14260</v>
      </c>
      <c r="G5567" t="str">
        <f>HYPERLINK("https://n.news.naver.com/mnews/article/008/0005214940?sid=102")</f>
        <v>https://n.news.naver.com/mnews/article/008/0005214940?sid=102</v>
      </c>
      <c r="H5567">
        <v>0.27500000000000002</v>
      </c>
    </row>
    <row r="5568" spans="1:8" x14ac:dyDescent="0.3">
      <c r="A5568" t="s">
        <v>9678</v>
      </c>
      <c r="B5568" t="s">
        <v>26951</v>
      </c>
      <c r="C5568" t="s">
        <v>14265</v>
      </c>
      <c r="D5568" t="s">
        <v>14264</v>
      </c>
      <c r="E5568" s="2" t="s">
        <v>7</v>
      </c>
      <c r="F5568" t="s">
        <v>14263</v>
      </c>
      <c r="G5568" t="str">
        <f>HYPERLINK("http://www.youthdaily.co.kr/news/article.html?no=73222")</f>
        <v>http://www.youthdaily.co.kr/news/article.html?no=73222</v>
      </c>
      <c r="H5568">
        <v>0.55600000000000005</v>
      </c>
    </row>
    <row r="5569" spans="1:8" x14ac:dyDescent="0.3">
      <c r="A5569" t="s">
        <v>9678</v>
      </c>
      <c r="B5569" t="s">
        <v>26951</v>
      </c>
      <c r="C5569" t="s">
        <v>14268</v>
      </c>
      <c r="D5569" t="s">
        <v>14267</v>
      </c>
      <c r="E5569" s="2" t="s">
        <v>7</v>
      </c>
      <c r="F5569" t="s">
        <v>14266</v>
      </c>
      <c r="G5569" t="str">
        <f>HYPERLINK("https://n.news.naver.com/mnews/article/214/0001433584?sid=102")</f>
        <v>https://n.news.naver.com/mnews/article/214/0001433584?sid=102</v>
      </c>
      <c r="H5569">
        <v>0.31</v>
      </c>
    </row>
    <row r="5570" spans="1:8" x14ac:dyDescent="0.3">
      <c r="A5570" t="s">
        <v>9678</v>
      </c>
      <c r="B5570" t="s">
        <v>26951</v>
      </c>
      <c r="C5570" t="s">
        <v>14271</v>
      </c>
      <c r="D5570" t="s">
        <v>14270</v>
      </c>
      <c r="E5570" s="2" t="s">
        <v>7</v>
      </c>
      <c r="F5570" t="s">
        <v>14269</v>
      </c>
      <c r="G5570" t="str">
        <f>HYPERLINK("https://sports.hankooki.com/lpage/entv/202107/sp20210708074919136690.htm?s_ref=nv")</f>
        <v>https://sports.hankooki.com/lpage/entv/202107/sp20210708074919136690.htm?s_ref=nv</v>
      </c>
      <c r="H5570">
        <v>0.44900000000000001</v>
      </c>
    </row>
    <row r="5571" spans="1:8" x14ac:dyDescent="0.3">
      <c r="A5571" t="s">
        <v>9678</v>
      </c>
      <c r="B5571" t="s">
        <v>26951</v>
      </c>
      <c r="C5571" t="s">
        <v>14274</v>
      </c>
      <c r="D5571" t="s">
        <v>14273</v>
      </c>
      <c r="E5571" s="2" t="s">
        <v>7</v>
      </c>
      <c r="F5571" t="s">
        <v>14272</v>
      </c>
      <c r="G5571" t="str">
        <f>HYPERLINK("https://n.news.naver.com/mnews/article/028/0002753752?sid=103")</f>
        <v>https://n.news.naver.com/mnews/article/028/0002753752?sid=103</v>
      </c>
      <c r="H5571">
        <v>0.247</v>
      </c>
    </row>
    <row r="5572" spans="1:8" x14ac:dyDescent="0.3">
      <c r="A5572" t="s">
        <v>9678</v>
      </c>
      <c r="B5572" t="s">
        <v>26951</v>
      </c>
      <c r="C5572" t="s">
        <v>14277</v>
      </c>
      <c r="D5572" t="s">
        <v>14276</v>
      </c>
      <c r="E5572" s="2" t="s">
        <v>7</v>
      </c>
      <c r="F5572" t="s">
        <v>14275</v>
      </c>
      <c r="G5572" t="str">
        <f>HYPERLINK("https://n.news.naver.com/mnews/article/002/0002223328?sid=100")</f>
        <v>https://n.news.naver.com/mnews/article/002/0002223328?sid=100</v>
      </c>
      <c r="H5572">
        <v>0.20100000000000001</v>
      </c>
    </row>
    <row r="5573" spans="1:8" x14ac:dyDescent="0.3">
      <c r="A5573" t="s">
        <v>9678</v>
      </c>
      <c r="B5573" t="s">
        <v>26951</v>
      </c>
      <c r="C5573" t="s">
        <v>14279</v>
      </c>
      <c r="D5573" t="s">
        <v>14278</v>
      </c>
      <c r="E5573" s="2" t="s">
        <v>7</v>
      </c>
      <c r="F5573" t="s">
        <v>10433</v>
      </c>
      <c r="G5573" t="str">
        <f>HYPERLINK("https://sports.hankooki.com/news/articleView.html?idxno=6902457")</f>
        <v>https://sports.hankooki.com/news/articleView.html?idxno=6902457</v>
      </c>
      <c r="H5573">
        <v>0.70599999999999996</v>
      </c>
    </row>
    <row r="5574" spans="1:8" x14ac:dyDescent="0.3">
      <c r="A5574" t="s">
        <v>9678</v>
      </c>
      <c r="B5574" t="s">
        <v>26951</v>
      </c>
      <c r="C5574" t="s">
        <v>14282</v>
      </c>
      <c r="D5574" t="s">
        <v>14281</v>
      </c>
      <c r="E5574" s="2" t="s">
        <v>7</v>
      </c>
      <c r="F5574" t="s">
        <v>14280</v>
      </c>
      <c r="G5574" t="str">
        <f>HYPERLINK("https://www.nbntv.co.kr/news/articleView.html?idxno=4003857")</f>
        <v>https://www.nbntv.co.kr/news/articleView.html?idxno=4003857</v>
      </c>
      <c r="H5574">
        <v>0.28999999999999998</v>
      </c>
    </row>
    <row r="5575" spans="1:8" x14ac:dyDescent="0.3">
      <c r="A5575" t="s">
        <v>9678</v>
      </c>
      <c r="B5575" t="s">
        <v>26951</v>
      </c>
      <c r="C5575" t="s">
        <v>14285</v>
      </c>
      <c r="D5575" t="s">
        <v>14284</v>
      </c>
      <c r="E5575" s="2" t="s">
        <v>7</v>
      </c>
      <c r="F5575" t="s">
        <v>14283</v>
      </c>
      <c r="G5575" t="str">
        <f>HYPERLINK("http://www.joongboo.com/news/articleView.html?idxno=363565520")</f>
        <v>http://www.joongboo.com/news/articleView.html?idxno=363565520</v>
      </c>
      <c r="H5575">
        <v>0.432</v>
      </c>
    </row>
    <row r="5576" spans="1:8" x14ac:dyDescent="0.3">
      <c r="A5576" t="s">
        <v>9678</v>
      </c>
      <c r="B5576" t="s">
        <v>26951</v>
      </c>
      <c r="C5576" t="s">
        <v>14288</v>
      </c>
      <c r="D5576" t="s">
        <v>14287</v>
      </c>
      <c r="E5576" s="2" t="s">
        <v>7</v>
      </c>
      <c r="F5576" t="s">
        <v>14286</v>
      </c>
      <c r="G5576" t="str">
        <f>HYPERLINK("https://n.news.naver.com/mnews/article/014/0005354968?sid=103")</f>
        <v>https://n.news.naver.com/mnews/article/014/0005354968?sid=103</v>
      </c>
      <c r="H5576">
        <v>0.24099999999999999</v>
      </c>
    </row>
    <row r="5577" spans="1:8" x14ac:dyDescent="0.3">
      <c r="A5577" t="s">
        <v>9678</v>
      </c>
      <c r="B5577" t="s">
        <v>26951</v>
      </c>
      <c r="C5577" t="s">
        <v>14292</v>
      </c>
      <c r="D5577" t="s">
        <v>14291</v>
      </c>
      <c r="E5577" s="2" t="s">
        <v>66</v>
      </c>
      <c r="F5577" t="s">
        <v>14290</v>
      </c>
      <c r="G5577" t="str">
        <f>HYPERLINK("http://www.jbsori.com/news/articleView.html?idxno=13774")</f>
        <v>http://www.jbsori.com/news/articleView.html?idxno=13774</v>
      </c>
      <c r="H5577">
        <v>0.41699999999999998</v>
      </c>
    </row>
    <row r="5578" spans="1:8" x14ac:dyDescent="0.3">
      <c r="A5578" t="s">
        <v>9678</v>
      </c>
      <c r="B5578" t="s">
        <v>26951</v>
      </c>
      <c r="C5578" t="s">
        <v>14295</v>
      </c>
      <c r="D5578" t="s">
        <v>14294</v>
      </c>
      <c r="E5578" s="2" t="s">
        <v>66</v>
      </c>
      <c r="F5578" t="s">
        <v>14293</v>
      </c>
      <c r="G5578" t="str">
        <f>HYPERLINK("http://www.ilemonde.com/news/articleView.html?idxno=20798")</f>
        <v>http://www.ilemonde.com/news/articleView.html?idxno=20798</v>
      </c>
      <c r="H5578">
        <v>0.5</v>
      </c>
    </row>
    <row r="5579" spans="1:8" x14ac:dyDescent="0.3">
      <c r="A5579" t="s">
        <v>9678</v>
      </c>
      <c r="B5579" t="s">
        <v>26951</v>
      </c>
      <c r="C5579" t="s">
        <v>14297</v>
      </c>
      <c r="D5579" t="s">
        <v>14296</v>
      </c>
      <c r="E5579" s="2" t="s">
        <v>66</v>
      </c>
      <c r="F5579" t="s">
        <v>4119</v>
      </c>
      <c r="G5579" t="str">
        <f>HYPERLINK("http://www.metroseoul.co.kr/news/newsview?newscd=2016090800045")</f>
        <v>http://www.metroseoul.co.kr/news/newsview?newscd=2016090800045</v>
      </c>
      <c r="H5579">
        <v>5.6000000000000001E-2</v>
      </c>
    </row>
    <row r="5580" spans="1:8" x14ac:dyDescent="0.3">
      <c r="A5580" t="s">
        <v>9678</v>
      </c>
      <c r="B5580" t="s">
        <v>26951</v>
      </c>
      <c r="C5580" t="s">
        <v>14300</v>
      </c>
      <c r="D5580" t="s">
        <v>14299</v>
      </c>
      <c r="E5580" s="2" t="s">
        <v>66</v>
      </c>
      <c r="F5580" t="s">
        <v>14298</v>
      </c>
      <c r="H5580">
        <v>0.49299999999999999</v>
      </c>
    </row>
    <row r="5581" spans="1:8" x14ac:dyDescent="0.3">
      <c r="A5581" t="s">
        <v>9678</v>
      </c>
      <c r="B5581" t="s">
        <v>26951</v>
      </c>
      <c r="C5581" t="s">
        <v>14303</v>
      </c>
      <c r="D5581" t="s">
        <v>14302</v>
      </c>
      <c r="E5581" s="2" t="s">
        <v>66</v>
      </c>
      <c r="F5581" t="s">
        <v>14301</v>
      </c>
      <c r="G5581" t="str">
        <f>HYPERLINK("https://www.gqkorea.co.kr/2022/08/22/%ec%bd%94%eb%82%9c-%ea%b7%b8%eb%a0%88%ec%9d%b4-gq-%ec%9d%b8%ed%84%b0%eb%b7%b0-%ed%99%94%eb%b3%b4/?utm_source=naver&amp;utm_medium=partnership")</f>
        <v>https://www.gqkorea.co.kr/2022/08/22/%ec%bd%94%eb%82%9c-%ea%b7%b8%eb%a0%88%ec%9d%b4-gq-%ec%9d%b8%ed%84%b0%eb%b7%b0-%ed%99%94%eb%b3%b4/?utm_source=naver&amp;utm_medium=partnership</v>
      </c>
      <c r="H5581">
        <v>0.38800000000000001</v>
      </c>
    </row>
    <row r="5582" spans="1:8" x14ac:dyDescent="0.3">
      <c r="A5582" t="s">
        <v>9678</v>
      </c>
      <c r="B5582" t="s">
        <v>26951</v>
      </c>
      <c r="C5582" t="s">
        <v>14305</v>
      </c>
      <c r="D5582" t="s">
        <v>14304</v>
      </c>
      <c r="E5582" s="2" t="s">
        <v>66</v>
      </c>
      <c r="F5582" t="s">
        <v>11264</v>
      </c>
      <c r="G5582" t="str">
        <f>HYPERLINK("https://n.news.naver.com/mnews/article/056/0011744495?sid=100")</f>
        <v>https://n.news.naver.com/mnews/article/056/0011744495?sid=100</v>
      </c>
      <c r="H5582">
        <v>0.252</v>
      </c>
    </row>
    <row r="5583" spans="1:8" x14ac:dyDescent="0.3">
      <c r="A5583" t="s">
        <v>9678</v>
      </c>
      <c r="B5583" t="s">
        <v>26951</v>
      </c>
      <c r="C5583" t="s">
        <v>14307</v>
      </c>
      <c r="D5583" t="s">
        <v>14306</v>
      </c>
      <c r="E5583" s="2" t="s">
        <v>66</v>
      </c>
      <c r="F5583" t="s">
        <v>5548</v>
      </c>
      <c r="G5583" t="str">
        <f>HYPERLINK("https://sports.hankooki.com/news/articleView.html?idxno=6887022")</f>
        <v>https://sports.hankooki.com/news/articleView.html?idxno=6887022</v>
      </c>
      <c r="H5583">
        <v>0.38400000000000001</v>
      </c>
    </row>
    <row r="5584" spans="1:8" x14ac:dyDescent="0.3">
      <c r="A5584" t="s">
        <v>9678</v>
      </c>
      <c r="B5584" t="s">
        <v>26951</v>
      </c>
      <c r="C5584" t="s">
        <v>14310</v>
      </c>
      <c r="D5584" t="s">
        <v>14309</v>
      </c>
      <c r="E5584" s="2" t="s">
        <v>66</v>
      </c>
      <c r="F5584" t="s">
        <v>14308</v>
      </c>
      <c r="G5584" t="str">
        <f>HYPERLINK("https://n.news.naver.com/mnews/article/057/0001892347?sid=100")</f>
        <v>https://n.news.naver.com/mnews/article/057/0001892347?sid=100</v>
      </c>
      <c r="H5584">
        <v>0.215</v>
      </c>
    </row>
    <row r="5585" spans="1:8" x14ac:dyDescent="0.3">
      <c r="A5585" t="s">
        <v>9678</v>
      </c>
      <c r="B5585" t="s">
        <v>26951</v>
      </c>
      <c r="C5585" t="s">
        <v>14312</v>
      </c>
      <c r="D5585" t="s">
        <v>14311</v>
      </c>
      <c r="E5585" s="2" t="s">
        <v>66</v>
      </c>
      <c r="F5585" t="s">
        <v>13127</v>
      </c>
      <c r="G5585" t="str">
        <f>HYPERLINK("http://www.economytalk.kr/news/articleView.html?idxno=158017")</f>
        <v>http://www.economytalk.kr/news/articleView.html?idxno=158017</v>
      </c>
      <c r="H5585">
        <v>0.39700000000000002</v>
      </c>
    </row>
    <row r="5586" spans="1:8" x14ac:dyDescent="0.3">
      <c r="A5586" t="s">
        <v>9678</v>
      </c>
      <c r="B5586" t="s">
        <v>26951</v>
      </c>
      <c r="C5586" t="s">
        <v>14315</v>
      </c>
      <c r="D5586" t="s">
        <v>14314</v>
      </c>
      <c r="E5586" s="2" t="s">
        <v>66</v>
      </c>
      <c r="F5586" t="s">
        <v>14313</v>
      </c>
      <c r="G5586" t="str">
        <f>HYPERLINK("http://www.intn.co.kr/news/articleView.html?idxno=2042792")</f>
        <v>http://www.intn.co.kr/news/articleView.html?idxno=2042792</v>
      </c>
      <c r="H5586">
        <v>0.53800000000000003</v>
      </c>
    </row>
    <row r="5587" spans="1:8" x14ac:dyDescent="0.3">
      <c r="A5587" t="s">
        <v>9678</v>
      </c>
      <c r="B5587" t="s">
        <v>26951</v>
      </c>
      <c r="C5587" t="s">
        <v>14318</v>
      </c>
      <c r="D5587" t="s">
        <v>14317</v>
      </c>
      <c r="E5587" s="2" t="s">
        <v>66</v>
      </c>
      <c r="F5587" t="s">
        <v>14316</v>
      </c>
      <c r="G5587" t="str">
        <f>HYPERLINK("https://www.foodneconomy.com/news/articleView.html?idxno=228363")</f>
        <v>https://www.foodneconomy.com/news/articleView.html?idxno=228363</v>
      </c>
      <c r="H5587">
        <v>0.40100000000000002</v>
      </c>
    </row>
    <row r="5588" spans="1:8" x14ac:dyDescent="0.3">
      <c r="A5588" t="s">
        <v>9678</v>
      </c>
      <c r="B5588" t="s">
        <v>26951</v>
      </c>
      <c r="C5588" t="s">
        <v>14322</v>
      </c>
      <c r="D5588" t="s">
        <v>14321</v>
      </c>
      <c r="E5588" s="2" t="s">
        <v>66</v>
      </c>
      <c r="F5588" t="s">
        <v>14320</v>
      </c>
      <c r="G5588" t="str">
        <f>HYPERLINK("https://www.huffingtonpost.kr/news/articleView.html?idxno=236868")</f>
        <v>https://www.huffingtonpost.kr/news/articleView.html?idxno=236868</v>
      </c>
      <c r="H5588">
        <v>0.43099999999999999</v>
      </c>
    </row>
    <row r="5589" spans="1:8" x14ac:dyDescent="0.3">
      <c r="A5589" t="s">
        <v>9678</v>
      </c>
      <c r="B5589" t="s">
        <v>26951</v>
      </c>
      <c r="C5589" t="s">
        <v>14325</v>
      </c>
      <c r="D5589" t="s">
        <v>14324</v>
      </c>
      <c r="E5589" s="2" t="s">
        <v>66</v>
      </c>
      <c r="F5589" t="s">
        <v>14323</v>
      </c>
      <c r="G5589" t="str">
        <f>HYPERLINK("http://www.kihoilbo.co.kr/news/articleView.html?idxno=1146423")</f>
        <v>http://www.kihoilbo.co.kr/news/articleView.html?idxno=1146423</v>
      </c>
      <c r="H5589">
        <v>0.45900000000000002</v>
      </c>
    </row>
    <row r="5590" spans="1:8" x14ac:dyDescent="0.3">
      <c r="A5590" t="s">
        <v>9678</v>
      </c>
      <c r="B5590" t="s">
        <v>26951</v>
      </c>
      <c r="C5590" t="s">
        <v>14330</v>
      </c>
      <c r="D5590" t="s">
        <v>14329</v>
      </c>
      <c r="E5590" s="2" t="s">
        <v>66</v>
      </c>
      <c r="F5590" t="s">
        <v>9878</v>
      </c>
      <c r="G5590" t="str">
        <f>HYPERLINK("http://news.mtn.co.kr/newscenter/news_viewer.mtn?gidx=2016012215225663339")</f>
        <v>http://news.mtn.co.kr/newscenter/news_viewer.mtn?gidx=2016012215225663339</v>
      </c>
      <c r="H5590">
        <v>0.14399999999999999</v>
      </c>
    </row>
    <row r="5591" spans="1:8" x14ac:dyDescent="0.3">
      <c r="A5591" t="s">
        <v>9678</v>
      </c>
      <c r="B5591" t="s">
        <v>26951</v>
      </c>
      <c r="C5591" t="s">
        <v>14332</v>
      </c>
      <c r="D5591" t="s">
        <v>14331</v>
      </c>
      <c r="E5591" s="2" t="s">
        <v>66</v>
      </c>
      <c r="F5591" t="s">
        <v>10533</v>
      </c>
      <c r="G5591" t="str">
        <f>HYPERLINK("https://n.news.naver.com/mnews/article/214/0001262088?sid=102")</f>
        <v>https://n.news.naver.com/mnews/article/214/0001262088?sid=102</v>
      </c>
      <c r="H5591">
        <v>0.24099999999999999</v>
      </c>
    </row>
    <row r="5592" spans="1:8" x14ac:dyDescent="0.3">
      <c r="A5592" t="s">
        <v>9678</v>
      </c>
      <c r="B5592" t="s">
        <v>26951</v>
      </c>
      <c r="C5592" t="s">
        <v>14335</v>
      </c>
      <c r="D5592" t="s">
        <v>14334</v>
      </c>
      <c r="E5592" s="2" t="s">
        <v>66</v>
      </c>
      <c r="F5592" t="s">
        <v>14333</v>
      </c>
      <c r="G5592" t="str">
        <f>HYPERLINK("http://www.worldkorean.net/news/articleView.html?idxno=54344")</f>
        <v>http://www.worldkorean.net/news/articleView.html?idxno=54344</v>
      </c>
      <c r="H5592">
        <v>0.59599999999999997</v>
      </c>
    </row>
    <row r="5593" spans="1:8" x14ac:dyDescent="0.3">
      <c r="A5593" t="s">
        <v>9678</v>
      </c>
      <c r="B5593" t="s">
        <v>26951</v>
      </c>
      <c r="C5593" t="s">
        <v>14337</v>
      </c>
      <c r="D5593" t="s">
        <v>14336</v>
      </c>
      <c r="E5593" s="2" t="s">
        <v>66</v>
      </c>
      <c r="F5593" t="s">
        <v>7606</v>
      </c>
      <c r="G5593" t="str">
        <f>HYPERLINK("https://www.ciokorea.com/news/253192")</f>
        <v>https://www.ciokorea.com/news/253192</v>
      </c>
      <c r="H5593">
        <v>0.185</v>
      </c>
    </row>
    <row r="5594" spans="1:8" x14ac:dyDescent="0.3">
      <c r="A5594" t="s">
        <v>9678</v>
      </c>
      <c r="B5594" t="s">
        <v>26951</v>
      </c>
      <c r="C5594" t="s">
        <v>14340</v>
      </c>
      <c r="D5594" t="s">
        <v>14339</v>
      </c>
      <c r="E5594" s="2" t="s">
        <v>66</v>
      </c>
      <c r="F5594" t="s">
        <v>14338</v>
      </c>
      <c r="G5594" t="str">
        <f>HYPERLINK("https://n.news.naver.com/mnews/article/056/0011977369?sid=101")</f>
        <v>https://n.news.naver.com/mnews/article/056/0011977369?sid=101</v>
      </c>
      <c r="H5594">
        <v>0.26900000000000002</v>
      </c>
    </row>
    <row r="5595" spans="1:8" x14ac:dyDescent="0.3">
      <c r="A5595" t="s">
        <v>9678</v>
      </c>
      <c r="B5595" t="s">
        <v>26951</v>
      </c>
      <c r="C5595" t="s">
        <v>14343</v>
      </c>
      <c r="D5595" t="s">
        <v>14342</v>
      </c>
      <c r="E5595" s="2" t="s">
        <v>66</v>
      </c>
      <c r="F5595" t="s">
        <v>14341</v>
      </c>
      <c r="G5595" t="str">
        <f>HYPERLINK("http://www.namdonews.com/news/articleView.html?idxno=490313")</f>
        <v>http://www.namdonews.com/news/articleView.html?idxno=490313</v>
      </c>
      <c r="H5595">
        <v>0.753</v>
      </c>
    </row>
    <row r="5596" spans="1:8" x14ac:dyDescent="0.3">
      <c r="A5596" t="s">
        <v>9678</v>
      </c>
      <c r="B5596" t="s">
        <v>26951</v>
      </c>
      <c r="C5596" t="s">
        <v>14346</v>
      </c>
      <c r="D5596" t="s">
        <v>14345</v>
      </c>
      <c r="E5596" s="2" t="s">
        <v>66</v>
      </c>
      <c r="F5596" t="s">
        <v>14344</v>
      </c>
      <c r="G5596" t="str">
        <f>HYPERLINK("https://www.lecturernews.com/news/articleView.html?idxno=159248")</f>
        <v>https://www.lecturernews.com/news/articleView.html?idxno=159248</v>
      </c>
      <c r="H5596">
        <v>0.41699999999999998</v>
      </c>
    </row>
    <row r="5597" spans="1:8" x14ac:dyDescent="0.3">
      <c r="A5597" t="s">
        <v>9678</v>
      </c>
      <c r="B5597" t="s">
        <v>26951</v>
      </c>
      <c r="C5597" t="s">
        <v>14348</v>
      </c>
      <c r="D5597" t="s">
        <v>14347</v>
      </c>
      <c r="E5597" s="2" t="s">
        <v>66</v>
      </c>
      <c r="F5597" t="s">
        <v>5724</v>
      </c>
      <c r="G5597" t="str">
        <f>HYPERLINK("http://www.00news.co.kr/news/articleView.html?idxno=95247")</f>
        <v>http://www.00news.co.kr/news/articleView.html?idxno=95247</v>
      </c>
      <c r="H5597">
        <v>0.40200000000000002</v>
      </c>
    </row>
    <row r="5598" spans="1:8" x14ac:dyDescent="0.3">
      <c r="A5598" t="s">
        <v>9678</v>
      </c>
      <c r="B5598" t="s">
        <v>26951</v>
      </c>
      <c r="C5598" t="s">
        <v>14351</v>
      </c>
      <c r="D5598" t="s">
        <v>14350</v>
      </c>
      <c r="E5598" s="2" t="s">
        <v>66</v>
      </c>
      <c r="F5598" t="s">
        <v>14349</v>
      </c>
      <c r="G5598" t="str">
        <f>HYPERLINK("http://www.nextdaily.co.kr/news/articleView.html?idxno=213950")</f>
        <v>http://www.nextdaily.co.kr/news/articleView.html?idxno=213950</v>
      </c>
      <c r="H5598">
        <v>0.42799999999999999</v>
      </c>
    </row>
    <row r="5599" spans="1:8" x14ac:dyDescent="0.3">
      <c r="A5599" t="s">
        <v>9678</v>
      </c>
      <c r="B5599" t="s">
        <v>26951</v>
      </c>
      <c r="C5599" t="s">
        <v>14353</v>
      </c>
      <c r="D5599" t="s">
        <v>14352</v>
      </c>
      <c r="E5599" s="2" t="s">
        <v>66</v>
      </c>
      <c r="F5599" t="s">
        <v>6599</v>
      </c>
      <c r="G5599" t="str">
        <f>HYPERLINK("https://www.greened.kr/news/articleView.html?idxno=316508")</f>
        <v>https://www.greened.kr/news/articleView.html?idxno=316508</v>
      </c>
      <c r="H5599">
        <v>0.51700000000000002</v>
      </c>
    </row>
    <row r="5600" spans="1:8" x14ac:dyDescent="0.3">
      <c r="A5600" t="s">
        <v>9678</v>
      </c>
      <c r="B5600" t="s">
        <v>26951</v>
      </c>
      <c r="C5600" t="s">
        <v>14356</v>
      </c>
      <c r="D5600" t="s">
        <v>14355</v>
      </c>
      <c r="E5600" s="2" t="s">
        <v>66</v>
      </c>
      <c r="F5600" t="s">
        <v>14354</v>
      </c>
      <c r="G5600" t="str">
        <f>HYPERLINK("https://n.news.naver.com/mnews/article/008/0005214940?sid=102")</f>
        <v>https://n.news.naver.com/mnews/article/008/0005214940?sid=102</v>
      </c>
      <c r="H5600">
        <v>0.189</v>
      </c>
    </row>
    <row r="5601" spans="1:8" x14ac:dyDescent="0.3">
      <c r="A5601" t="s">
        <v>9678</v>
      </c>
      <c r="B5601" t="s">
        <v>26951</v>
      </c>
      <c r="C5601" t="s">
        <v>14358</v>
      </c>
      <c r="D5601" t="s">
        <v>14357</v>
      </c>
      <c r="E5601" s="2" t="s">
        <v>66</v>
      </c>
      <c r="F5601" t="s">
        <v>10297</v>
      </c>
      <c r="G5601" t="str">
        <f>HYPERLINK("https://n.news.naver.com/mnews/article/214/0000865447?sid=102")</f>
        <v>https://n.news.naver.com/mnews/article/214/0000865447?sid=102</v>
      </c>
      <c r="H5601">
        <v>0.27100000000000002</v>
      </c>
    </row>
    <row r="5602" spans="1:8" x14ac:dyDescent="0.3">
      <c r="A5602" t="s">
        <v>9678</v>
      </c>
      <c r="B5602" t="s">
        <v>26951</v>
      </c>
      <c r="C5602" t="s">
        <v>14361</v>
      </c>
      <c r="D5602" t="s">
        <v>14360</v>
      </c>
      <c r="E5602" s="2" t="s">
        <v>66</v>
      </c>
      <c r="F5602" t="s">
        <v>14359</v>
      </c>
      <c r="G5602" t="str">
        <f>HYPERLINK("https://www.pennmike.com/news/articleView.html?idxno=93450")</f>
        <v>https://www.pennmike.com/news/articleView.html?idxno=93450</v>
      </c>
      <c r="H5602">
        <v>0.44900000000000001</v>
      </c>
    </row>
    <row r="5603" spans="1:8" x14ac:dyDescent="0.3">
      <c r="A5603" t="s">
        <v>9678</v>
      </c>
      <c r="B5603" t="s">
        <v>26951</v>
      </c>
      <c r="C5603" t="s">
        <v>14364</v>
      </c>
      <c r="D5603" t="s">
        <v>14363</v>
      </c>
      <c r="E5603" s="2" t="s">
        <v>66</v>
      </c>
      <c r="F5603" t="s">
        <v>14362</v>
      </c>
      <c r="G5603" t="str">
        <f>HYPERLINK("https://n.news.naver.com/mnews/article/006/0000130387?sid=102")</f>
        <v>https://n.news.naver.com/mnews/article/006/0000130387?sid=102</v>
      </c>
      <c r="H5603">
        <v>0.16200000000000001</v>
      </c>
    </row>
    <row r="5604" spans="1:8" x14ac:dyDescent="0.3">
      <c r="A5604" t="s">
        <v>9678</v>
      </c>
      <c r="B5604" t="s">
        <v>26951</v>
      </c>
      <c r="C5604" t="s">
        <v>14366</v>
      </c>
      <c r="D5604" t="s">
        <v>14365</v>
      </c>
      <c r="E5604" s="2" t="s">
        <v>66</v>
      </c>
      <c r="F5604" t="s">
        <v>4733</v>
      </c>
      <c r="G5604" t="str">
        <f>HYPERLINK("http://www.starnewsk.com/news/articleView.html?idxno=45225")</f>
        <v>http://www.starnewsk.com/news/articleView.html?idxno=45225</v>
      </c>
      <c r="H5604">
        <v>0.38700000000000001</v>
      </c>
    </row>
    <row r="5605" spans="1:8" x14ac:dyDescent="0.3">
      <c r="A5605" t="s">
        <v>9678</v>
      </c>
      <c r="B5605" t="s">
        <v>26951</v>
      </c>
      <c r="C5605" t="s">
        <v>14368</v>
      </c>
      <c r="D5605" t="s">
        <v>14367</v>
      </c>
      <c r="E5605" s="2" t="s">
        <v>66</v>
      </c>
      <c r="F5605" t="s">
        <v>14198</v>
      </c>
      <c r="G5605" t="str">
        <f>HYPERLINK("https://n.news.naver.com/mnews/article/008/0005012134?sid=101")</f>
        <v>https://n.news.naver.com/mnews/article/008/0005012134?sid=101</v>
      </c>
      <c r="H5605">
        <v>0.25700000000000001</v>
      </c>
    </row>
    <row r="5606" spans="1:8" x14ac:dyDescent="0.3">
      <c r="A5606" t="s">
        <v>9678</v>
      </c>
      <c r="B5606" t="s">
        <v>26951</v>
      </c>
      <c r="C5606" t="s">
        <v>14370</v>
      </c>
      <c r="D5606" t="s">
        <v>14369</v>
      </c>
      <c r="E5606" s="2" t="s">
        <v>66</v>
      </c>
      <c r="F5606" t="s">
        <v>14198</v>
      </c>
      <c r="G5606" t="str">
        <f>HYPERLINK("http://www.esquirekorea.co.kr/article/72797")</f>
        <v>http://www.esquirekorea.co.kr/article/72797</v>
      </c>
      <c r="H5606">
        <v>0.17399999999999999</v>
      </c>
    </row>
    <row r="5607" spans="1:8" x14ac:dyDescent="0.3">
      <c r="A5607" t="s">
        <v>9678</v>
      </c>
      <c r="B5607" t="s">
        <v>26951</v>
      </c>
      <c r="C5607" t="s">
        <v>14373</v>
      </c>
      <c r="D5607" t="s">
        <v>14372</v>
      </c>
      <c r="E5607" s="2" t="s">
        <v>66</v>
      </c>
      <c r="F5607" t="s">
        <v>14371</v>
      </c>
      <c r="G5607" t="str">
        <f>HYPERLINK("http://www.ktsketch.co.kr/news/articleView.html?idxno=8466")</f>
        <v>http://www.ktsketch.co.kr/news/articleView.html?idxno=8466</v>
      </c>
      <c r="H5607">
        <v>0.439</v>
      </c>
    </row>
    <row r="5608" spans="1:8" x14ac:dyDescent="0.3">
      <c r="A5608" t="s">
        <v>9678</v>
      </c>
      <c r="B5608" t="s">
        <v>26951</v>
      </c>
      <c r="C5608" t="s">
        <v>14376</v>
      </c>
      <c r="D5608" t="s">
        <v>14375</v>
      </c>
      <c r="E5608" s="2" t="s">
        <v>66</v>
      </c>
      <c r="F5608" t="s">
        <v>14374</v>
      </c>
      <c r="G5608" t="str">
        <f>HYPERLINK("http://www.chungnamilbo.co.kr/news/articleView.html?idxno=836398")</f>
        <v>http://www.chungnamilbo.co.kr/news/articleView.html?idxno=836398</v>
      </c>
      <c r="H5608">
        <v>0.81699999999999995</v>
      </c>
    </row>
    <row r="5609" spans="1:8" x14ac:dyDescent="0.3">
      <c r="A5609" t="s">
        <v>9678</v>
      </c>
      <c r="B5609" t="s">
        <v>26951</v>
      </c>
      <c r="C5609" t="s">
        <v>14379</v>
      </c>
      <c r="D5609" t="s">
        <v>14378</v>
      </c>
      <c r="E5609" s="2" t="s">
        <v>66</v>
      </c>
      <c r="F5609" t="s">
        <v>14377</v>
      </c>
      <c r="G5609" t="str">
        <f>HYPERLINK("http://www.m-economynews.com/news/article.html?no=35207")</f>
        <v>http://www.m-economynews.com/news/article.html?no=35207</v>
      </c>
      <c r="H5609">
        <v>0.33800000000000002</v>
      </c>
    </row>
    <row r="5610" spans="1:8" x14ac:dyDescent="0.3">
      <c r="A5610" t="s">
        <v>9678</v>
      </c>
      <c r="B5610" t="s">
        <v>26951</v>
      </c>
      <c r="C5610" t="s">
        <v>14382</v>
      </c>
      <c r="D5610" t="s">
        <v>14381</v>
      </c>
      <c r="E5610" s="2" t="s">
        <v>66</v>
      </c>
      <c r="F5610" t="s">
        <v>14380</v>
      </c>
      <c r="G5610" t="str">
        <f>HYPERLINK("https://n.news.naver.com/mnews/article/002/0000019999?sid=102")</f>
        <v>https://n.news.naver.com/mnews/article/002/0000019999?sid=102</v>
      </c>
      <c r="H5610">
        <v>0.38</v>
      </c>
    </row>
    <row r="5611" spans="1:8" x14ac:dyDescent="0.3">
      <c r="A5611" t="s">
        <v>9678</v>
      </c>
      <c r="B5611" t="s">
        <v>26951</v>
      </c>
      <c r="C5611" t="s">
        <v>14384</v>
      </c>
      <c r="D5611" t="s">
        <v>14383</v>
      </c>
      <c r="E5611" s="2" t="s">
        <v>66</v>
      </c>
      <c r="F5611" t="s">
        <v>5342</v>
      </c>
      <c r="G5611" t="str">
        <f>HYPERLINK("https://www.pennmike.com/news/articleView.html?idxno=103872")</f>
        <v>https://www.pennmike.com/news/articleView.html?idxno=103872</v>
      </c>
      <c r="H5611">
        <v>0.80300000000000005</v>
      </c>
    </row>
    <row r="5612" spans="1:8" x14ac:dyDescent="0.3">
      <c r="A5612" t="s">
        <v>9678</v>
      </c>
      <c r="B5612" t="s">
        <v>26951</v>
      </c>
      <c r="C5612" t="s">
        <v>14386</v>
      </c>
      <c r="D5612" t="s">
        <v>14385</v>
      </c>
      <c r="E5612" s="2" t="s">
        <v>66</v>
      </c>
      <c r="F5612" t="s">
        <v>10415</v>
      </c>
      <c r="G5612" t="str">
        <f>HYPERLINK("http://www.naeil.com/news_view/?id_art=289409")</f>
        <v>http://www.naeil.com/news_view/?id_art=289409</v>
      </c>
      <c r="H5612">
        <v>0.35399999999999998</v>
      </c>
    </row>
    <row r="5613" spans="1:8" x14ac:dyDescent="0.3">
      <c r="A5613" t="s">
        <v>9678</v>
      </c>
      <c r="B5613" t="s">
        <v>26951</v>
      </c>
      <c r="C5613" t="s">
        <v>4860</v>
      </c>
      <c r="D5613" t="s">
        <v>4859</v>
      </c>
      <c r="E5613" s="2" t="s">
        <v>66</v>
      </c>
      <c r="F5613" t="s">
        <v>96</v>
      </c>
      <c r="G5613" t="str">
        <f>HYPERLINK("http://www.mediawatch.kr/news/article.html?no=231225")</f>
        <v>http://www.mediawatch.kr/news/article.html?no=231225</v>
      </c>
      <c r="H5613">
        <v>0.2</v>
      </c>
    </row>
    <row r="5614" spans="1:8" x14ac:dyDescent="0.3">
      <c r="A5614" t="s">
        <v>9678</v>
      </c>
      <c r="B5614" t="s">
        <v>26951</v>
      </c>
      <c r="C5614" t="s">
        <v>14389</v>
      </c>
      <c r="D5614" t="s">
        <v>14388</v>
      </c>
      <c r="E5614" s="2" t="s">
        <v>66</v>
      </c>
      <c r="F5614" t="s">
        <v>14387</v>
      </c>
      <c r="G5614" t="str">
        <f>HYPERLINK("https://www.vogue.co.kr/2025/06/26/%eb%ac%b8%ec%86%8c%eb%a6%ac%eb%9d%bc%eb%8a%94-%ea%b3%84%ec%a0%88/?utm_source=naver&amp;utm_medium=partnership")</f>
        <v>https://www.vogue.co.kr/2025/06/26/%eb%ac%b8%ec%86%8c%eb%a6%ac%eb%9d%bc%eb%8a%94-%ea%b3%84%ec%a0%88/?utm_source=naver&amp;utm_medium=partnership</v>
      </c>
      <c r="H5614">
        <v>0.627</v>
      </c>
    </row>
    <row r="5615" spans="1:8" x14ac:dyDescent="0.3">
      <c r="A5615" t="s">
        <v>9678</v>
      </c>
      <c r="B5615" t="s">
        <v>26951</v>
      </c>
      <c r="C5615" t="s">
        <v>14391</v>
      </c>
      <c r="D5615" t="s">
        <v>14390</v>
      </c>
      <c r="E5615" s="2" t="s">
        <v>66</v>
      </c>
      <c r="F5615" t="s">
        <v>7893</v>
      </c>
      <c r="G5615" t="str">
        <f>HYPERLINK("https://n.news.naver.com/mnews/article/214/0001429717?sid=100")</f>
        <v>https://n.news.naver.com/mnews/article/214/0001429717?sid=100</v>
      </c>
      <c r="H5615">
        <v>0.30399999999999999</v>
      </c>
    </row>
    <row r="5616" spans="1:8" x14ac:dyDescent="0.3">
      <c r="A5616" t="s">
        <v>9678</v>
      </c>
      <c r="B5616" t="s">
        <v>26951</v>
      </c>
      <c r="C5616" t="s">
        <v>14394</v>
      </c>
      <c r="D5616" t="s">
        <v>14393</v>
      </c>
      <c r="E5616" s="2" t="s">
        <v>66</v>
      </c>
      <c r="F5616" t="s">
        <v>14392</v>
      </c>
      <c r="G5616" t="str">
        <f>HYPERLINK("http://www.enewstoday.co.kr/news/articleView.html?idxno=1620315")</f>
        <v>http://www.enewstoday.co.kr/news/articleView.html?idxno=1620315</v>
      </c>
      <c r="H5616">
        <v>0.41099999999999998</v>
      </c>
    </row>
    <row r="5617" spans="1:8" x14ac:dyDescent="0.3">
      <c r="A5617" t="s">
        <v>9678</v>
      </c>
      <c r="B5617" t="s">
        <v>26951</v>
      </c>
      <c r="C5617" t="s">
        <v>14397</v>
      </c>
      <c r="D5617" t="s">
        <v>14396</v>
      </c>
      <c r="E5617" s="2" t="s">
        <v>66</v>
      </c>
      <c r="F5617" t="s">
        <v>14395</v>
      </c>
      <c r="G5617" t="str">
        <f>HYPERLINK("https://www.ziksir.com/news/articleView.html?idxno=86982")</f>
        <v>https://www.ziksir.com/news/articleView.html?idxno=86982</v>
      </c>
      <c r="H5617">
        <v>0.58099999999999996</v>
      </c>
    </row>
    <row r="5618" spans="1:8" x14ac:dyDescent="0.3">
      <c r="A5618" t="s">
        <v>9678</v>
      </c>
      <c r="B5618" t="s">
        <v>26951</v>
      </c>
      <c r="C5618" t="s">
        <v>14399</v>
      </c>
      <c r="D5618" t="s">
        <v>14398</v>
      </c>
      <c r="E5618" s="2" t="s">
        <v>66</v>
      </c>
      <c r="F5618" t="s">
        <v>10605</v>
      </c>
      <c r="G5618" t="str">
        <f>HYPERLINK("http://www.etoday.co.kr/news/section/newsview.php?idxno=751125")</f>
        <v>http://www.etoday.co.kr/news/section/newsview.php?idxno=751125</v>
      </c>
      <c r="H5618">
        <v>0.48299999999999998</v>
      </c>
    </row>
    <row r="5619" spans="1:8" x14ac:dyDescent="0.3">
      <c r="A5619" t="s">
        <v>9678</v>
      </c>
      <c r="B5619" t="s">
        <v>26951</v>
      </c>
      <c r="C5619" t="s">
        <v>14402</v>
      </c>
      <c r="D5619" t="s">
        <v>14401</v>
      </c>
      <c r="E5619" s="2" t="s">
        <v>66</v>
      </c>
      <c r="F5619" t="s">
        <v>14400</v>
      </c>
      <c r="G5619" t="str">
        <f>HYPERLINK("https://n.news.naver.com/mnews/article/082/0001266323?sid=103")</f>
        <v>https://n.news.naver.com/mnews/article/082/0001266323?sid=103</v>
      </c>
      <c r="H5619">
        <v>0.215</v>
      </c>
    </row>
    <row r="5620" spans="1:8" x14ac:dyDescent="0.3">
      <c r="A5620" t="s">
        <v>9678</v>
      </c>
      <c r="B5620" t="s">
        <v>26951</v>
      </c>
      <c r="C5620" t="s">
        <v>14404</v>
      </c>
      <c r="D5620" t="s">
        <v>14403</v>
      </c>
      <c r="E5620" s="2" t="s">
        <v>66</v>
      </c>
      <c r="F5620" t="s">
        <v>1822</v>
      </c>
      <c r="G5620" t="str">
        <f>HYPERLINK("https://www.ggilbo.com/news/articleView.html?idxno=1098285")</f>
        <v>https://www.ggilbo.com/news/articleView.html?idxno=1098285</v>
      </c>
      <c r="H5620">
        <v>0.29799999999999999</v>
      </c>
    </row>
    <row r="5621" spans="1:8" x14ac:dyDescent="0.3">
      <c r="A5621" t="s">
        <v>9678</v>
      </c>
      <c r="B5621" t="s">
        <v>26951</v>
      </c>
      <c r="C5621" t="s">
        <v>14407</v>
      </c>
      <c r="D5621" t="s">
        <v>14406</v>
      </c>
      <c r="E5621" s="2" t="s">
        <v>74</v>
      </c>
      <c r="F5621" t="s">
        <v>14405</v>
      </c>
      <c r="G5621" t="str">
        <f>HYPERLINK("https://n.news.naver.com/mnews/article/028/0002012313?sid=103")</f>
        <v>https://n.news.naver.com/mnews/article/028/0002012313?sid=103</v>
      </c>
      <c r="H5621">
        <v>0.28999999999999998</v>
      </c>
    </row>
    <row r="5622" spans="1:8" x14ac:dyDescent="0.3">
      <c r="A5622" t="s">
        <v>9678</v>
      </c>
      <c r="B5622" t="s">
        <v>26951</v>
      </c>
      <c r="C5622" t="s">
        <v>14410</v>
      </c>
      <c r="D5622" t="s">
        <v>14409</v>
      </c>
      <c r="E5622" s="2" t="s">
        <v>74</v>
      </c>
      <c r="F5622" t="s">
        <v>14408</v>
      </c>
      <c r="G5622" t="str">
        <f>HYPERLINK("https://n.news.naver.com/mnews/article/016/0002452404?sid=103")</f>
        <v>https://n.news.naver.com/mnews/article/016/0002452404?sid=103</v>
      </c>
      <c r="H5622">
        <v>0.307</v>
      </c>
    </row>
    <row r="5623" spans="1:8" x14ac:dyDescent="0.3">
      <c r="A5623" t="s">
        <v>9678</v>
      </c>
      <c r="B5623" t="s">
        <v>26951</v>
      </c>
      <c r="C5623" t="s">
        <v>14412</v>
      </c>
      <c r="D5623" t="s">
        <v>14411</v>
      </c>
      <c r="E5623" s="2" t="s">
        <v>74</v>
      </c>
      <c r="F5623" t="s">
        <v>10355</v>
      </c>
      <c r="G5623" t="str">
        <f>HYPERLINK("https://n.news.naver.com/mnews/article/214/0000865447?sid=102")</f>
        <v>https://n.news.naver.com/mnews/article/214/0000865447?sid=102</v>
      </c>
      <c r="H5623">
        <v>0.26500000000000001</v>
      </c>
    </row>
    <row r="5624" spans="1:8" x14ac:dyDescent="0.3">
      <c r="A5624" t="s">
        <v>9678</v>
      </c>
      <c r="B5624" t="s">
        <v>26951</v>
      </c>
      <c r="C5624" t="s">
        <v>14415</v>
      </c>
      <c r="D5624" t="s">
        <v>14414</v>
      </c>
      <c r="E5624" s="2" t="s">
        <v>74</v>
      </c>
      <c r="F5624" t="s">
        <v>14413</v>
      </c>
      <c r="G5624" t="str">
        <f>HYPERLINK("http://www.segyebiz.com/newsView/20250327516392?OutUrl=naver")</f>
        <v>http://www.segyebiz.com/newsView/20250327516392?OutUrl=naver</v>
      </c>
      <c r="H5624">
        <v>0.24399999999999999</v>
      </c>
    </row>
    <row r="5625" spans="1:8" x14ac:dyDescent="0.3">
      <c r="A5625" t="s">
        <v>9678</v>
      </c>
      <c r="B5625" t="s">
        <v>26951</v>
      </c>
      <c r="C5625" t="s">
        <v>14417</v>
      </c>
      <c r="D5625" t="s">
        <v>14416</v>
      </c>
      <c r="E5625" s="2" t="s">
        <v>74</v>
      </c>
      <c r="F5625" t="s">
        <v>11392</v>
      </c>
      <c r="G5625" t="str">
        <f>HYPERLINK("https://n.news.naver.com/mnews/article/028/0002753297?sid=102")</f>
        <v>https://n.news.naver.com/mnews/article/028/0002753297?sid=102</v>
      </c>
      <c r="H5625">
        <v>0.32900000000000001</v>
      </c>
    </row>
    <row r="5626" spans="1:8" x14ac:dyDescent="0.3">
      <c r="A5626" t="s">
        <v>9678</v>
      </c>
      <c r="B5626" t="s">
        <v>26951</v>
      </c>
      <c r="C5626" t="s">
        <v>14422</v>
      </c>
      <c r="D5626" t="s">
        <v>14421</v>
      </c>
      <c r="E5626" s="2" t="s">
        <v>74</v>
      </c>
      <c r="F5626" t="s">
        <v>6043</v>
      </c>
      <c r="G5626" t="str">
        <f>HYPERLINK("http://www.4th.kr/news/articleView.html?idxno=2077107")</f>
        <v>http://www.4th.kr/news/articleView.html?idxno=2077107</v>
      </c>
      <c r="H5626">
        <v>0.311</v>
      </c>
    </row>
    <row r="5627" spans="1:8" x14ac:dyDescent="0.3">
      <c r="A5627" t="s">
        <v>9678</v>
      </c>
      <c r="B5627" t="s">
        <v>26951</v>
      </c>
      <c r="C5627" t="s">
        <v>14424</v>
      </c>
      <c r="D5627" t="s">
        <v>14423</v>
      </c>
      <c r="E5627" s="2" t="s">
        <v>74</v>
      </c>
      <c r="F5627" t="s">
        <v>8058</v>
      </c>
      <c r="G5627" t="str">
        <f>HYPERLINK("http://www.naeil.com/news_view/?id_art=251557")</f>
        <v>http://www.naeil.com/news_view/?id_art=251557</v>
      </c>
      <c r="H5627">
        <v>0.184</v>
      </c>
    </row>
    <row r="5628" spans="1:8" x14ac:dyDescent="0.3">
      <c r="A5628" t="s">
        <v>9678</v>
      </c>
      <c r="B5628" t="s">
        <v>26951</v>
      </c>
      <c r="C5628" t="s">
        <v>14427</v>
      </c>
      <c r="D5628" t="s">
        <v>14426</v>
      </c>
      <c r="E5628" s="2" t="s">
        <v>74</v>
      </c>
      <c r="F5628" t="s">
        <v>14425</v>
      </c>
      <c r="G5628" t="str">
        <f>HYPERLINK("https://news.bbsi.co.kr/news/articleView.html?idxno=3163884")</f>
        <v>https://news.bbsi.co.kr/news/articleView.html?idxno=3163884</v>
      </c>
      <c r="H5628">
        <v>0.46700000000000003</v>
      </c>
    </row>
    <row r="5629" spans="1:8" x14ac:dyDescent="0.3">
      <c r="A5629" t="s">
        <v>9678</v>
      </c>
      <c r="B5629" t="s">
        <v>26951</v>
      </c>
      <c r="C5629" t="s">
        <v>14429</v>
      </c>
      <c r="D5629" t="s">
        <v>14428</v>
      </c>
      <c r="E5629" s="2" t="s">
        <v>74</v>
      </c>
      <c r="F5629" t="s">
        <v>1151</v>
      </c>
      <c r="G5629" t="str">
        <f>HYPERLINK("https://news.bbsi.co.kr/news/articleView.html?idxno=4036626")</f>
        <v>https://news.bbsi.co.kr/news/articleView.html?idxno=4036626</v>
      </c>
      <c r="H5629">
        <v>0.221</v>
      </c>
    </row>
    <row r="5630" spans="1:8" x14ac:dyDescent="0.3">
      <c r="A5630" t="s">
        <v>9678</v>
      </c>
      <c r="B5630" t="s">
        <v>26951</v>
      </c>
      <c r="C5630" t="s">
        <v>14431</v>
      </c>
      <c r="D5630" t="s">
        <v>14430</v>
      </c>
      <c r="E5630" s="2" t="s">
        <v>74</v>
      </c>
      <c r="F5630" t="s">
        <v>10471</v>
      </c>
      <c r="G5630" t="str">
        <f>HYPERLINK("https://n.news.naver.com/mnews/article/214/0001400012?sid=100")</f>
        <v>https://n.news.naver.com/mnews/article/214/0001400012?sid=100</v>
      </c>
      <c r="H5630">
        <v>0.54</v>
      </c>
    </row>
    <row r="5631" spans="1:8" x14ac:dyDescent="0.3">
      <c r="A5631" t="s">
        <v>9678</v>
      </c>
      <c r="B5631" t="s">
        <v>26951</v>
      </c>
      <c r="C5631" t="s">
        <v>14434</v>
      </c>
      <c r="D5631" t="s">
        <v>14433</v>
      </c>
      <c r="E5631" s="2" t="s">
        <v>74</v>
      </c>
      <c r="F5631" t="s">
        <v>14432</v>
      </c>
      <c r="G5631" t="str">
        <f>HYPERLINK("http://www.ggilbo.com/news/articleView.html?idxno=974643")</f>
        <v>http://www.ggilbo.com/news/articleView.html?idxno=974643</v>
      </c>
      <c r="H5631">
        <v>0.14599999999999999</v>
      </c>
    </row>
    <row r="5632" spans="1:8" x14ac:dyDescent="0.3">
      <c r="A5632" t="s">
        <v>9678</v>
      </c>
      <c r="B5632" t="s">
        <v>26951</v>
      </c>
      <c r="C5632" t="s">
        <v>14437</v>
      </c>
      <c r="D5632" t="s">
        <v>14436</v>
      </c>
      <c r="E5632" s="2" t="s">
        <v>74</v>
      </c>
      <c r="F5632" t="s">
        <v>14435</v>
      </c>
      <c r="G5632" t="str">
        <f>HYPERLINK("http://www.lecturernews.com/news/articleView.html?idxno=104644")</f>
        <v>http://www.lecturernews.com/news/articleView.html?idxno=104644</v>
      </c>
      <c r="H5632">
        <v>0.27400000000000002</v>
      </c>
    </row>
    <row r="5633" spans="1:8" x14ac:dyDescent="0.3">
      <c r="A5633" t="s">
        <v>9678</v>
      </c>
      <c r="B5633" t="s">
        <v>26951</v>
      </c>
      <c r="C5633" t="s">
        <v>14440</v>
      </c>
      <c r="D5633" t="s">
        <v>14439</v>
      </c>
      <c r="E5633" s="2" t="s">
        <v>74</v>
      </c>
      <c r="F5633" t="s">
        <v>14438</v>
      </c>
      <c r="G5633" t="str">
        <f>HYPERLINK("https://n.news.naver.com/mnews/article/214/0001433403?sid=100")</f>
        <v>https://n.news.naver.com/mnews/article/214/0001433403?sid=100</v>
      </c>
      <c r="H5633">
        <v>0.27900000000000003</v>
      </c>
    </row>
    <row r="5634" spans="1:8" x14ac:dyDescent="0.3">
      <c r="A5634" t="s">
        <v>9678</v>
      </c>
      <c r="B5634" t="s">
        <v>26951</v>
      </c>
      <c r="C5634" t="s">
        <v>14442</v>
      </c>
      <c r="D5634" t="s">
        <v>14441</v>
      </c>
      <c r="E5634" s="2" t="s">
        <v>74</v>
      </c>
      <c r="F5634" t="s">
        <v>10496</v>
      </c>
      <c r="G5634" t="str">
        <f>HYPERLINK("http://www.opinionnews.co.kr/news/articleView.html?idxno=115951")</f>
        <v>http://www.opinionnews.co.kr/news/articleView.html?idxno=115951</v>
      </c>
      <c r="H5634">
        <v>0.64400000000000002</v>
      </c>
    </row>
    <row r="5635" spans="1:8" x14ac:dyDescent="0.3">
      <c r="A5635" t="s">
        <v>9678</v>
      </c>
      <c r="B5635" t="s">
        <v>26951</v>
      </c>
      <c r="C5635" t="s">
        <v>14444</v>
      </c>
      <c r="D5635" t="s">
        <v>14443</v>
      </c>
      <c r="E5635" s="2" t="s">
        <v>74</v>
      </c>
      <c r="F5635" t="s">
        <v>10341</v>
      </c>
      <c r="G5635" t="str">
        <f>HYPERLINK("https://www.kukinews.com/article/view/kuk202506230134")</f>
        <v>https://www.kukinews.com/article/view/kuk202506230134</v>
      </c>
      <c r="H5635">
        <v>0.38100000000000001</v>
      </c>
    </row>
    <row r="5636" spans="1:8" x14ac:dyDescent="0.3">
      <c r="A5636" t="s">
        <v>9678</v>
      </c>
      <c r="B5636" t="s">
        <v>26951</v>
      </c>
      <c r="C5636" t="s">
        <v>14446</v>
      </c>
      <c r="D5636" t="s">
        <v>14445</v>
      </c>
      <c r="E5636" s="2" t="s">
        <v>74</v>
      </c>
      <c r="F5636" t="s">
        <v>5548</v>
      </c>
      <c r="G5636" t="str">
        <f>HYPERLINK("http://www.joygm.com/news/articleView.html?idxno=202758")</f>
        <v>http://www.joygm.com/news/articleView.html?idxno=202758</v>
      </c>
      <c r="H5636">
        <v>0.64700000000000002</v>
      </c>
    </row>
    <row r="5637" spans="1:8" x14ac:dyDescent="0.3">
      <c r="A5637" t="s">
        <v>9678</v>
      </c>
      <c r="B5637" t="s">
        <v>26951</v>
      </c>
      <c r="C5637" t="s">
        <v>14449</v>
      </c>
      <c r="D5637" t="s">
        <v>14448</v>
      </c>
      <c r="E5637" s="2" t="s">
        <v>74</v>
      </c>
      <c r="F5637" t="s">
        <v>14447</v>
      </c>
      <c r="G5637" t="str">
        <f>HYPERLINK("https://www.lecturernews.com/news/articleView.html?idxno=171100")</f>
        <v>https://www.lecturernews.com/news/articleView.html?idxno=171100</v>
      </c>
      <c r="H5637">
        <v>0.504</v>
      </c>
    </row>
    <row r="5638" spans="1:8" x14ac:dyDescent="0.3">
      <c r="A5638" t="s">
        <v>9678</v>
      </c>
      <c r="B5638" t="s">
        <v>26951</v>
      </c>
      <c r="C5638" t="s">
        <v>8093</v>
      </c>
      <c r="D5638" t="s">
        <v>8092</v>
      </c>
      <c r="E5638" s="2" t="s">
        <v>74</v>
      </c>
      <c r="F5638" t="s">
        <v>5724</v>
      </c>
      <c r="G5638" t="str">
        <f>HYPERLINK("https://n.news.naver.com/mnews/article/006/0000069416?sid=103")</f>
        <v>https://n.news.naver.com/mnews/article/006/0000069416?sid=103</v>
      </c>
      <c r="H5638">
        <v>0.27400000000000002</v>
      </c>
    </row>
    <row r="5639" spans="1:8" x14ac:dyDescent="0.3">
      <c r="A5639" t="s">
        <v>9678</v>
      </c>
      <c r="B5639" t="s">
        <v>26951</v>
      </c>
      <c r="C5639" t="s">
        <v>14451</v>
      </c>
      <c r="D5639" t="s">
        <v>14450</v>
      </c>
      <c r="E5639" s="2" t="s">
        <v>74</v>
      </c>
      <c r="F5639" t="s">
        <v>6974</v>
      </c>
      <c r="G5639" t="str">
        <f>HYPERLINK("https://n.news.naver.com/mnews/article/011/0004503600?sid=102")</f>
        <v>https://n.news.naver.com/mnews/article/011/0004503600?sid=102</v>
      </c>
      <c r="H5639">
        <v>0.31</v>
      </c>
    </row>
    <row r="5640" spans="1:8" x14ac:dyDescent="0.3">
      <c r="A5640" t="s">
        <v>9678</v>
      </c>
      <c r="B5640" t="s">
        <v>26951</v>
      </c>
      <c r="C5640" t="s">
        <v>14453</v>
      </c>
      <c r="D5640" t="s">
        <v>14452</v>
      </c>
      <c r="E5640" s="2" t="s">
        <v>74</v>
      </c>
      <c r="F5640" t="s">
        <v>11756</v>
      </c>
      <c r="G5640" t="str">
        <f>HYPERLINK("https://www.ablenews.co.kr/news/articleView.html?idxno=222385")</f>
        <v>https://www.ablenews.co.kr/news/articleView.html?idxno=222385</v>
      </c>
      <c r="H5640">
        <v>7.5999999999999998E-2</v>
      </c>
    </row>
    <row r="5641" spans="1:8" x14ac:dyDescent="0.3">
      <c r="A5641" t="s">
        <v>9678</v>
      </c>
      <c r="B5641" t="s">
        <v>26951</v>
      </c>
      <c r="C5641" t="s">
        <v>14455</v>
      </c>
      <c r="D5641" t="s">
        <v>14454</v>
      </c>
      <c r="E5641" s="2" t="s">
        <v>74</v>
      </c>
      <c r="F5641" t="s">
        <v>10471</v>
      </c>
      <c r="G5641" t="str">
        <f>HYPERLINK("http://www.ggilbo.com/news/articleView.html?idxno=879385")</f>
        <v>http://www.ggilbo.com/news/articleView.html?idxno=879385</v>
      </c>
      <c r="H5641">
        <v>0.39800000000000002</v>
      </c>
    </row>
    <row r="5642" spans="1:8" x14ac:dyDescent="0.3">
      <c r="A5642" t="s">
        <v>9678</v>
      </c>
      <c r="B5642" t="s">
        <v>26951</v>
      </c>
      <c r="C5642" t="s">
        <v>14458</v>
      </c>
      <c r="D5642" t="s">
        <v>14457</v>
      </c>
      <c r="E5642" s="2" t="s">
        <v>74</v>
      </c>
      <c r="F5642" t="s">
        <v>14456</v>
      </c>
      <c r="G5642" t="str">
        <f>HYPERLINK("https://n.news.naver.com/mnews/article/018/0006052908?sid=102")</f>
        <v>https://n.news.naver.com/mnews/article/018/0006052908?sid=102</v>
      </c>
      <c r="H5642">
        <v>0.311</v>
      </c>
    </row>
    <row r="5643" spans="1:8" x14ac:dyDescent="0.3">
      <c r="A5643" t="s">
        <v>9678</v>
      </c>
      <c r="B5643" t="s">
        <v>26951</v>
      </c>
      <c r="C5643" t="s">
        <v>14461</v>
      </c>
      <c r="D5643" t="s">
        <v>14460</v>
      </c>
      <c r="E5643" s="2" t="s">
        <v>74</v>
      </c>
      <c r="F5643" t="s">
        <v>14459</v>
      </c>
      <c r="G5643" t="str">
        <f>HYPERLINK("https://www.newscj.com/news/articleView.html?idxno=3265977")</f>
        <v>https://www.newscj.com/news/articleView.html?idxno=3265977</v>
      </c>
      <c r="H5643">
        <v>0.441</v>
      </c>
    </row>
    <row r="5644" spans="1:8" x14ac:dyDescent="0.3">
      <c r="A5644" t="s">
        <v>9678</v>
      </c>
      <c r="B5644" t="s">
        <v>26951</v>
      </c>
      <c r="C5644" t="s">
        <v>14463</v>
      </c>
      <c r="D5644" t="s">
        <v>14462</v>
      </c>
      <c r="E5644" s="2" t="s">
        <v>74</v>
      </c>
      <c r="F5644" t="s">
        <v>8098</v>
      </c>
      <c r="G5644" t="str">
        <f>HYPERLINK("https://n.news.naver.com/mnews/article/014/0005370944?sid=102")</f>
        <v>https://n.news.naver.com/mnews/article/014/0005370944?sid=102</v>
      </c>
      <c r="H5644">
        <v>0.214</v>
      </c>
    </row>
    <row r="5645" spans="1:8" x14ac:dyDescent="0.3">
      <c r="A5645" t="s">
        <v>9678</v>
      </c>
      <c r="B5645" t="s">
        <v>26951</v>
      </c>
      <c r="C5645" t="s">
        <v>14466</v>
      </c>
      <c r="D5645" t="s">
        <v>14465</v>
      </c>
      <c r="E5645" s="2" t="s">
        <v>74</v>
      </c>
      <c r="F5645" t="s">
        <v>14464</v>
      </c>
      <c r="G5645" t="str">
        <f>HYPERLINK("https://m.entertain.naver.com/article/076/0002060946")</f>
        <v>https://m.entertain.naver.com/article/076/0002060946</v>
      </c>
      <c r="H5645">
        <v>6.9000000000000006E-2</v>
      </c>
    </row>
    <row r="5646" spans="1:8" x14ac:dyDescent="0.3">
      <c r="A5646" t="s">
        <v>9678</v>
      </c>
      <c r="B5646" t="s">
        <v>26951</v>
      </c>
      <c r="C5646" t="s">
        <v>14468</v>
      </c>
      <c r="D5646" t="s">
        <v>14467</v>
      </c>
      <c r="E5646" s="2" t="s">
        <v>74</v>
      </c>
      <c r="F5646" t="s">
        <v>10605</v>
      </c>
      <c r="G5646" t="str">
        <f>HYPERLINK("http://www.lecturernews.com/news/articleView.html?idxno=96556")</f>
        <v>http://www.lecturernews.com/news/articleView.html?idxno=96556</v>
      </c>
      <c r="H5646">
        <v>0.51600000000000001</v>
      </c>
    </row>
    <row r="5647" spans="1:8" x14ac:dyDescent="0.3">
      <c r="A5647" t="s">
        <v>9678</v>
      </c>
      <c r="B5647" t="s">
        <v>26951</v>
      </c>
      <c r="C5647" t="s">
        <v>14471</v>
      </c>
      <c r="D5647" t="s">
        <v>14470</v>
      </c>
      <c r="E5647" s="2" t="s">
        <v>74</v>
      </c>
      <c r="F5647" t="s">
        <v>14469</v>
      </c>
      <c r="G5647" t="str">
        <f>HYPERLINK("https://n.news.naver.com/mnews/article/018/0006039301?sid=102")</f>
        <v>https://n.news.naver.com/mnews/article/018/0006039301?sid=102</v>
      </c>
      <c r="H5647">
        <v>0.28000000000000003</v>
      </c>
    </row>
    <row r="5648" spans="1:8" x14ac:dyDescent="0.3">
      <c r="A5648" t="s">
        <v>9678</v>
      </c>
      <c r="B5648" t="s">
        <v>26951</v>
      </c>
      <c r="C5648" t="s">
        <v>14474</v>
      </c>
      <c r="D5648" t="s">
        <v>14473</v>
      </c>
      <c r="E5648" s="2" t="s">
        <v>74</v>
      </c>
      <c r="F5648" t="s">
        <v>1611</v>
      </c>
      <c r="G5648" t="str">
        <f>HYPERLINK("https://www.lecturernews.com/news/articleView.html?idxno=116471")</f>
        <v>https://www.lecturernews.com/news/articleView.html?idxno=116471</v>
      </c>
      <c r="H5648">
        <v>0.182</v>
      </c>
    </row>
    <row r="5649" spans="1:8" x14ac:dyDescent="0.3">
      <c r="A5649" t="s">
        <v>9678</v>
      </c>
      <c r="B5649" t="s">
        <v>26951</v>
      </c>
      <c r="C5649" t="s">
        <v>14477</v>
      </c>
      <c r="D5649" t="s">
        <v>14476</v>
      </c>
      <c r="E5649" s="2" t="s">
        <v>74</v>
      </c>
      <c r="F5649" t="s">
        <v>14475</v>
      </c>
      <c r="G5649" t="str">
        <f>HYPERLINK("https://n.news.naver.com/mnews/article/016/0002492670?sid=103")</f>
        <v>https://n.news.naver.com/mnews/article/016/0002492670?sid=103</v>
      </c>
      <c r="H5649">
        <v>0.313</v>
      </c>
    </row>
    <row r="5650" spans="1:8" x14ac:dyDescent="0.3">
      <c r="A5650" t="s">
        <v>9678</v>
      </c>
      <c r="B5650" t="s">
        <v>26951</v>
      </c>
      <c r="C5650" t="s">
        <v>14479</v>
      </c>
      <c r="D5650" t="s">
        <v>14478</v>
      </c>
      <c r="E5650" s="2" t="s">
        <v>74</v>
      </c>
      <c r="F5650" t="s">
        <v>7131</v>
      </c>
      <c r="G5650" t="str">
        <f>HYPERLINK("http://www.mygoyang.com/news/articleView.html?idxno=84735")</f>
        <v>http://www.mygoyang.com/news/articleView.html?idxno=84735</v>
      </c>
      <c r="H5650">
        <v>0.90300000000000002</v>
      </c>
    </row>
    <row r="5651" spans="1:8" x14ac:dyDescent="0.3">
      <c r="A5651" t="s">
        <v>9678</v>
      </c>
      <c r="B5651" t="s">
        <v>26951</v>
      </c>
      <c r="C5651" t="s">
        <v>14482</v>
      </c>
      <c r="D5651" t="s">
        <v>14481</v>
      </c>
      <c r="E5651" s="2" t="s">
        <v>74</v>
      </c>
      <c r="F5651" t="s">
        <v>14480</v>
      </c>
      <c r="G5651" t="str">
        <f>HYPERLINK("https://n.news.naver.com/mnews/article/002/0000025822?sid=100")</f>
        <v>https://n.news.naver.com/mnews/article/002/0000025822?sid=100</v>
      </c>
      <c r="H5651">
        <v>0.28199999999999997</v>
      </c>
    </row>
    <row r="5652" spans="1:8" x14ac:dyDescent="0.3">
      <c r="A5652" t="s">
        <v>9678</v>
      </c>
      <c r="B5652" t="s">
        <v>26951</v>
      </c>
      <c r="C5652" t="s">
        <v>14484</v>
      </c>
      <c r="D5652" t="s">
        <v>14483</v>
      </c>
      <c r="E5652" s="2" t="s">
        <v>74</v>
      </c>
      <c r="F5652" t="s">
        <v>10415</v>
      </c>
      <c r="G5652" t="str">
        <f>HYPERLINK("https://www.foodneconomy.com/news/articleView.html?idxno=227369")</f>
        <v>https://www.foodneconomy.com/news/articleView.html?idxno=227369</v>
      </c>
      <c r="H5652">
        <v>0.49399999999999999</v>
      </c>
    </row>
    <row r="5653" spans="1:8" x14ac:dyDescent="0.3">
      <c r="A5653" t="s">
        <v>9678</v>
      </c>
      <c r="B5653" t="s">
        <v>26951</v>
      </c>
      <c r="C5653" t="s">
        <v>14486</v>
      </c>
      <c r="D5653" t="s">
        <v>14485</v>
      </c>
      <c r="E5653" s="2" t="s">
        <v>74</v>
      </c>
      <c r="F5653" t="s">
        <v>10898</v>
      </c>
      <c r="G5653" t="str">
        <f>HYPERLINK("https://n.news.naver.com/mnews/article/087/0001126747?sid=100")</f>
        <v>https://n.news.naver.com/mnews/article/087/0001126747?sid=100</v>
      </c>
      <c r="H5653">
        <v>0.159</v>
      </c>
    </row>
    <row r="5654" spans="1:8" x14ac:dyDescent="0.3">
      <c r="A5654" t="s">
        <v>9678</v>
      </c>
      <c r="B5654" t="s">
        <v>26951</v>
      </c>
      <c r="C5654" t="s">
        <v>14488</v>
      </c>
      <c r="D5654" t="s">
        <v>14487</v>
      </c>
      <c r="E5654" s="2" t="s">
        <v>74</v>
      </c>
      <c r="F5654" t="s">
        <v>12083</v>
      </c>
      <c r="G5654" t="str">
        <f>HYPERLINK("https://daily.hankooki.com/news/articleView.html?idxno=993037")</f>
        <v>https://daily.hankooki.com/news/articleView.html?idxno=993037</v>
      </c>
      <c r="H5654">
        <v>0.36099999999999999</v>
      </c>
    </row>
    <row r="5655" spans="1:8" x14ac:dyDescent="0.3">
      <c r="A5655" t="s">
        <v>9678</v>
      </c>
      <c r="B5655" t="s">
        <v>26951</v>
      </c>
      <c r="C5655" t="s">
        <v>14490</v>
      </c>
      <c r="D5655" t="s">
        <v>14489</v>
      </c>
      <c r="E5655" s="2" t="s">
        <v>74</v>
      </c>
      <c r="F5655" t="s">
        <v>264</v>
      </c>
      <c r="G5655" t="str">
        <f>HYPERLINK("https://n.news.naver.com/mnews/article/055/0000948567?sid=103")</f>
        <v>https://n.news.naver.com/mnews/article/055/0000948567?sid=103</v>
      </c>
      <c r="H5655">
        <v>0.35199999999999998</v>
      </c>
    </row>
    <row r="5656" spans="1:8" x14ac:dyDescent="0.3">
      <c r="A5656" t="s">
        <v>9678</v>
      </c>
      <c r="B5656" t="s">
        <v>26951</v>
      </c>
      <c r="C5656" t="s">
        <v>14492</v>
      </c>
      <c r="D5656" t="s">
        <v>14491</v>
      </c>
      <c r="E5656" s="2" t="s">
        <v>74</v>
      </c>
      <c r="F5656" t="s">
        <v>8165</v>
      </c>
      <c r="G5656" t="str">
        <f>HYPERLINK("https://www.huffingtonpost.kr/entry/kim-taeho_kr_6178c8e7e4b010d9331789d9?utm_id=naver")</f>
        <v>https://www.huffingtonpost.kr/entry/kim-taeho_kr_6178c8e7e4b010d9331789d9?utm_id=naver</v>
      </c>
      <c r="H5656">
        <v>0.43</v>
      </c>
    </row>
    <row r="5657" spans="1:8" x14ac:dyDescent="0.3">
      <c r="A5657" t="s">
        <v>9678</v>
      </c>
      <c r="B5657" t="s">
        <v>26951</v>
      </c>
      <c r="C5657" t="s">
        <v>14494</v>
      </c>
      <c r="D5657" t="s">
        <v>14493</v>
      </c>
      <c r="E5657" s="2" t="s">
        <v>74</v>
      </c>
      <c r="F5657" t="s">
        <v>11202</v>
      </c>
      <c r="G5657" t="str">
        <f>HYPERLINK("https://n.news.naver.com/mnews/article/008/0004410124?sid=100")</f>
        <v>https://n.news.naver.com/mnews/article/008/0004410124?sid=100</v>
      </c>
      <c r="H5657">
        <v>0.245</v>
      </c>
    </row>
    <row r="5658" spans="1:8" x14ac:dyDescent="0.3">
      <c r="A5658" t="s">
        <v>9678</v>
      </c>
      <c r="B5658" t="s">
        <v>26951</v>
      </c>
      <c r="C5658" t="s">
        <v>14496</v>
      </c>
      <c r="D5658" t="s">
        <v>14495</v>
      </c>
      <c r="E5658" s="2" t="s">
        <v>74</v>
      </c>
      <c r="F5658" t="s">
        <v>10954</v>
      </c>
      <c r="G5658" t="str">
        <f>HYPERLINK("https://n.news.naver.com/mnews/article/214/0001432947?sid=100")</f>
        <v>https://n.news.naver.com/mnews/article/214/0001432947?sid=100</v>
      </c>
      <c r="H5658">
        <v>0.152</v>
      </c>
    </row>
    <row r="5659" spans="1:8" x14ac:dyDescent="0.3">
      <c r="A5659" t="s">
        <v>9678</v>
      </c>
      <c r="B5659" t="s">
        <v>26951</v>
      </c>
      <c r="C5659" t="s">
        <v>14499</v>
      </c>
      <c r="D5659" t="s">
        <v>14498</v>
      </c>
      <c r="E5659" s="2" t="s">
        <v>74</v>
      </c>
      <c r="F5659" t="s">
        <v>14497</v>
      </c>
      <c r="G5659" t="str">
        <f>HYPERLINK("https://www.nspna.com/news/?mode=view&amp;newsid=762610")</f>
        <v>https://www.nspna.com/news/?mode=view&amp;newsid=762610</v>
      </c>
      <c r="H5659">
        <v>0.25800000000000001</v>
      </c>
    </row>
    <row r="5660" spans="1:8" x14ac:dyDescent="0.3">
      <c r="A5660" t="s">
        <v>9678</v>
      </c>
      <c r="B5660" t="s">
        <v>26951</v>
      </c>
      <c r="C5660" t="s">
        <v>14502</v>
      </c>
      <c r="D5660" t="s">
        <v>14501</v>
      </c>
      <c r="E5660" s="2" t="s">
        <v>74</v>
      </c>
      <c r="F5660" t="s">
        <v>14500</v>
      </c>
      <c r="G5660" t="str">
        <f>HYPERLINK("http://www.womentimes.co.kr/news/articleView.html?idxno=77642")</f>
        <v>http://www.womentimes.co.kr/news/articleView.html?idxno=77642</v>
      </c>
      <c r="H5660">
        <v>0.128</v>
      </c>
    </row>
    <row r="5661" spans="1:8" x14ac:dyDescent="0.3">
      <c r="A5661" t="s">
        <v>9678</v>
      </c>
      <c r="B5661" t="s">
        <v>26951</v>
      </c>
      <c r="C5661" t="s">
        <v>14504</v>
      </c>
      <c r="D5661" t="s">
        <v>14503</v>
      </c>
      <c r="E5661" s="2" t="s">
        <v>74</v>
      </c>
      <c r="F5661" t="s">
        <v>10135</v>
      </c>
      <c r="G5661" t="str">
        <f>HYPERLINK("https://www.asiatoday.co.kr/view.php?key=20240408010004375")</f>
        <v>https://www.asiatoday.co.kr/view.php?key=20240408010004375</v>
      </c>
      <c r="H5661">
        <v>0.13</v>
      </c>
    </row>
    <row r="5662" spans="1:8" x14ac:dyDescent="0.3">
      <c r="A5662" t="s">
        <v>9678</v>
      </c>
      <c r="B5662" t="s">
        <v>26951</v>
      </c>
      <c r="C5662" t="s">
        <v>14506</v>
      </c>
      <c r="D5662" t="s">
        <v>14505</v>
      </c>
      <c r="E5662" s="2" t="s">
        <v>105</v>
      </c>
      <c r="F5662" t="s">
        <v>1543</v>
      </c>
      <c r="G5662" t="str">
        <f>HYPERLINK("https://www.lecturernews.com/news/articleView.html?idxno=169312")</f>
        <v>https://www.lecturernews.com/news/articleView.html?idxno=169312</v>
      </c>
      <c r="H5662">
        <v>0.47699999999999998</v>
      </c>
    </row>
    <row r="5663" spans="1:8" x14ac:dyDescent="0.3">
      <c r="A5663" t="s">
        <v>9678</v>
      </c>
      <c r="B5663" t="s">
        <v>26951</v>
      </c>
      <c r="C5663" t="s">
        <v>14508</v>
      </c>
      <c r="D5663" t="s">
        <v>14507</v>
      </c>
      <c r="E5663" s="2" t="s">
        <v>105</v>
      </c>
      <c r="F5663" t="s">
        <v>10044</v>
      </c>
      <c r="G5663" t="str">
        <f>HYPERLINK("https://n.news.naver.com/mnews/article/214/0001165328?sid=100")</f>
        <v>https://n.news.naver.com/mnews/article/214/0001165328?sid=100</v>
      </c>
      <c r="H5663">
        <v>0.51600000000000001</v>
      </c>
    </row>
    <row r="5664" spans="1:8" x14ac:dyDescent="0.3">
      <c r="A5664" t="s">
        <v>9678</v>
      </c>
      <c r="B5664" t="s">
        <v>26951</v>
      </c>
      <c r="C5664" t="s">
        <v>14510</v>
      </c>
      <c r="D5664" t="s">
        <v>14509</v>
      </c>
      <c r="E5664" s="2" t="s">
        <v>105</v>
      </c>
      <c r="F5664" t="s">
        <v>13148</v>
      </c>
      <c r="G5664" t="str">
        <f>HYPERLINK("https://www.etoday.co.kr/news/view/2483134")</f>
        <v>https://www.etoday.co.kr/news/view/2483134</v>
      </c>
      <c r="H5664">
        <v>0.6</v>
      </c>
    </row>
    <row r="5665" spans="1:8" x14ac:dyDescent="0.3">
      <c r="A5665" t="s">
        <v>9678</v>
      </c>
      <c r="B5665" t="s">
        <v>26951</v>
      </c>
      <c r="C5665" t="s">
        <v>14512</v>
      </c>
      <c r="D5665" t="s">
        <v>14511</v>
      </c>
      <c r="E5665" s="2" t="s">
        <v>105</v>
      </c>
      <c r="F5665" t="s">
        <v>12350</v>
      </c>
      <c r="G5665" t="str">
        <f>HYPERLINK("http://www.metroseoul.co.kr/article/20241208500293")</f>
        <v>http://www.metroseoul.co.kr/article/20241208500293</v>
      </c>
      <c r="H5665">
        <v>0.61299999999999999</v>
      </c>
    </row>
    <row r="5666" spans="1:8" x14ac:dyDescent="0.3">
      <c r="A5666" t="s">
        <v>9678</v>
      </c>
      <c r="B5666" t="s">
        <v>26951</v>
      </c>
      <c r="C5666" t="s">
        <v>14515</v>
      </c>
      <c r="D5666" t="s">
        <v>14514</v>
      </c>
      <c r="E5666" s="2" t="s">
        <v>105</v>
      </c>
      <c r="F5666" t="s">
        <v>14513</v>
      </c>
      <c r="G5666" t="str">
        <f>HYPERLINK("https://n.news.naver.com/mnews/article/214/0001277166?sid=101")</f>
        <v>https://n.news.naver.com/mnews/article/214/0001277166?sid=101</v>
      </c>
      <c r="H5666">
        <v>0.121</v>
      </c>
    </row>
    <row r="5667" spans="1:8" x14ac:dyDescent="0.3">
      <c r="A5667" t="s">
        <v>9678</v>
      </c>
      <c r="B5667" t="s">
        <v>26951</v>
      </c>
      <c r="C5667" t="s">
        <v>14517</v>
      </c>
      <c r="D5667" t="s">
        <v>14516</v>
      </c>
      <c r="E5667" s="2" t="s">
        <v>105</v>
      </c>
      <c r="F5667" t="s">
        <v>10120</v>
      </c>
      <c r="G5667" t="str">
        <f>HYPERLINK("https://n.news.naver.com/mnews/article/006/0000130669?sid=102")</f>
        <v>https://n.news.naver.com/mnews/article/006/0000130669?sid=102</v>
      </c>
      <c r="H5667">
        <v>0.215</v>
      </c>
    </row>
    <row r="5668" spans="1:8" x14ac:dyDescent="0.3">
      <c r="A5668" t="s">
        <v>9678</v>
      </c>
      <c r="B5668" t="s">
        <v>26951</v>
      </c>
      <c r="C5668" t="s">
        <v>14520</v>
      </c>
      <c r="D5668" t="s">
        <v>14519</v>
      </c>
      <c r="E5668" s="2" t="s">
        <v>105</v>
      </c>
      <c r="F5668" t="s">
        <v>14518</v>
      </c>
      <c r="G5668" t="str">
        <f>HYPERLINK("https://n.news.naver.com/mnews/article/028/0002753752?sid=103")</f>
        <v>https://n.news.naver.com/mnews/article/028/0002753752?sid=103</v>
      </c>
      <c r="H5668">
        <v>0.30599999999999999</v>
      </c>
    </row>
    <row r="5669" spans="1:8" x14ac:dyDescent="0.3">
      <c r="A5669" t="s">
        <v>9678</v>
      </c>
      <c r="B5669" t="s">
        <v>26951</v>
      </c>
      <c r="C5669" t="s">
        <v>14523</v>
      </c>
      <c r="D5669" t="s">
        <v>14522</v>
      </c>
      <c r="E5669" s="2" t="s">
        <v>105</v>
      </c>
      <c r="F5669" t="s">
        <v>14521</v>
      </c>
      <c r="G5669" t="str">
        <f>HYPERLINK("http://www.sctoday.co.kr/news/articleView.html?idxno=45197")</f>
        <v>http://www.sctoday.co.kr/news/articleView.html?idxno=45197</v>
      </c>
      <c r="H5669">
        <v>0.224</v>
      </c>
    </row>
    <row r="5670" spans="1:8" x14ac:dyDescent="0.3">
      <c r="A5670" t="s">
        <v>9678</v>
      </c>
      <c r="B5670" t="s">
        <v>26951</v>
      </c>
      <c r="C5670" t="s">
        <v>14525</v>
      </c>
      <c r="D5670" t="s">
        <v>14524</v>
      </c>
      <c r="E5670" s="2" t="s">
        <v>105</v>
      </c>
      <c r="F5670" t="s">
        <v>11983</v>
      </c>
      <c r="G5670" t="str">
        <f>HYPERLINK("http://www.breaknews.com/1077651")</f>
        <v>http://www.breaknews.com/1077651</v>
      </c>
      <c r="H5670">
        <v>0.45800000000000002</v>
      </c>
    </row>
    <row r="5671" spans="1:8" x14ac:dyDescent="0.3">
      <c r="A5671" t="s">
        <v>9678</v>
      </c>
      <c r="B5671" t="s">
        <v>26951</v>
      </c>
      <c r="C5671" t="s">
        <v>14527</v>
      </c>
      <c r="D5671" t="s">
        <v>14526</v>
      </c>
      <c r="E5671" s="2" t="s">
        <v>105</v>
      </c>
      <c r="F5671" t="s">
        <v>9978</v>
      </c>
      <c r="G5671" t="str">
        <f>HYPERLINK("https://www.etoday.co.kr/news/view/2483134")</f>
        <v>https://www.etoday.co.kr/news/view/2483134</v>
      </c>
      <c r="H5671">
        <v>0.57299999999999995</v>
      </c>
    </row>
    <row r="5672" spans="1:8" x14ac:dyDescent="0.3">
      <c r="A5672" t="s">
        <v>9678</v>
      </c>
      <c r="B5672" t="s">
        <v>26951</v>
      </c>
      <c r="C5672" t="s">
        <v>14529</v>
      </c>
      <c r="D5672" t="s">
        <v>14528</v>
      </c>
      <c r="E5672" s="2" t="s">
        <v>105</v>
      </c>
      <c r="F5672" t="s">
        <v>12458</v>
      </c>
      <c r="G5672" t="str">
        <f>HYPERLINK("https://www.jemin.com/news/articleView.html?idxno=817216")</f>
        <v>https://www.jemin.com/news/articleView.html?idxno=817216</v>
      </c>
      <c r="H5672">
        <v>0.34799999999999998</v>
      </c>
    </row>
    <row r="5673" spans="1:8" x14ac:dyDescent="0.3">
      <c r="A5673" t="s">
        <v>9678</v>
      </c>
      <c r="B5673" t="s">
        <v>26951</v>
      </c>
      <c r="C5673" t="s">
        <v>14531</v>
      </c>
      <c r="D5673" t="s">
        <v>14530</v>
      </c>
      <c r="E5673" s="2" t="s">
        <v>105</v>
      </c>
      <c r="F5673" t="s">
        <v>10788</v>
      </c>
      <c r="G5673" t="str">
        <f>HYPERLINK("http://www.namdonews.com/news/articleView.html?idxno=521798")</f>
        <v>http://www.namdonews.com/news/articleView.html?idxno=521798</v>
      </c>
      <c r="H5673">
        <v>0.35899999999999999</v>
      </c>
    </row>
    <row r="5674" spans="1:8" x14ac:dyDescent="0.3">
      <c r="A5674" t="s">
        <v>9678</v>
      </c>
      <c r="B5674" t="s">
        <v>26951</v>
      </c>
      <c r="C5674" t="s">
        <v>14533</v>
      </c>
      <c r="D5674" t="s">
        <v>14532</v>
      </c>
      <c r="E5674" s="2" t="s">
        <v>105</v>
      </c>
      <c r="F5674" t="s">
        <v>1378</v>
      </c>
      <c r="G5674" t="str">
        <f>HYPERLINK("https://n.news.naver.com/mnews/article/008/0004004560?sid=103")</f>
        <v>https://n.news.naver.com/mnews/article/008/0004004560?sid=103</v>
      </c>
      <c r="H5674">
        <v>0.317</v>
      </c>
    </row>
    <row r="5675" spans="1:8" x14ac:dyDescent="0.3">
      <c r="A5675" t="s">
        <v>9678</v>
      </c>
      <c r="B5675" t="s">
        <v>26951</v>
      </c>
      <c r="C5675" t="s">
        <v>14535</v>
      </c>
      <c r="D5675" t="s">
        <v>14534</v>
      </c>
      <c r="E5675" s="2" t="s">
        <v>105</v>
      </c>
      <c r="F5675" t="s">
        <v>5342</v>
      </c>
      <c r="G5675" t="str">
        <f>HYPERLINK("http://www.joongdo.co.kr/main/view.php?key=20180406010002908")</f>
        <v>http://www.joongdo.co.kr/main/view.php?key=20180406010002908</v>
      </c>
      <c r="H5675">
        <v>0.24</v>
      </c>
    </row>
    <row r="5676" spans="1:8" x14ac:dyDescent="0.3">
      <c r="A5676" t="s">
        <v>9678</v>
      </c>
      <c r="B5676" t="s">
        <v>26951</v>
      </c>
      <c r="C5676" t="s">
        <v>14537</v>
      </c>
      <c r="D5676" t="s">
        <v>14536</v>
      </c>
      <c r="E5676" s="2" t="s">
        <v>105</v>
      </c>
      <c r="F5676" t="s">
        <v>10954</v>
      </c>
      <c r="G5676" t="str">
        <f>HYPERLINK("https://www.discoverynews.kr/news/articleView.html?idxno=1064874")</f>
        <v>https://www.discoverynews.kr/news/articleView.html?idxno=1064874</v>
      </c>
      <c r="H5676">
        <v>0.27200000000000002</v>
      </c>
    </row>
    <row r="5677" spans="1:8" x14ac:dyDescent="0.3">
      <c r="A5677" t="s">
        <v>9678</v>
      </c>
      <c r="B5677" t="s">
        <v>26951</v>
      </c>
      <c r="C5677" t="s">
        <v>14540</v>
      </c>
      <c r="D5677" t="s">
        <v>14539</v>
      </c>
      <c r="E5677" s="2" t="s">
        <v>105</v>
      </c>
      <c r="F5677" t="s">
        <v>14538</v>
      </c>
      <c r="G5677" t="str">
        <f>HYPERLINK("http://ch.yes24.com/Article/View/20175")</f>
        <v>http://ch.yes24.com/Article/View/20175</v>
      </c>
      <c r="H5677">
        <v>0.60599999999999998</v>
      </c>
    </row>
    <row r="5678" spans="1:8" x14ac:dyDescent="0.3">
      <c r="A5678" t="s">
        <v>9678</v>
      </c>
      <c r="B5678" t="s">
        <v>26951</v>
      </c>
      <c r="C5678" t="s">
        <v>14543</v>
      </c>
      <c r="D5678" t="s">
        <v>14542</v>
      </c>
      <c r="E5678" s="2" t="s">
        <v>105</v>
      </c>
      <c r="F5678" t="s">
        <v>14541</v>
      </c>
      <c r="G5678" t="str">
        <f>HYPERLINK("https://www.hapt.co.kr/news/articleView.html?idxno=165709")</f>
        <v>https://www.hapt.co.kr/news/articleView.html?idxno=165709</v>
      </c>
      <c r="H5678">
        <v>0.29199999999999998</v>
      </c>
    </row>
    <row r="5679" spans="1:8" x14ac:dyDescent="0.3">
      <c r="A5679" t="s">
        <v>9678</v>
      </c>
      <c r="B5679" t="s">
        <v>26951</v>
      </c>
      <c r="C5679" t="s">
        <v>14546</v>
      </c>
      <c r="D5679" t="s">
        <v>14545</v>
      </c>
      <c r="E5679" s="2" t="s">
        <v>105</v>
      </c>
      <c r="F5679" t="s">
        <v>14544</v>
      </c>
      <c r="G5679" t="str">
        <f>HYPERLINK("http://www.hansbiz.co.kr/news/articleView.html?idxno=758021")</f>
        <v>http://www.hansbiz.co.kr/news/articleView.html?idxno=758021</v>
      </c>
      <c r="H5679">
        <v>0.36899999999999999</v>
      </c>
    </row>
    <row r="5680" spans="1:8" x14ac:dyDescent="0.3">
      <c r="A5680" t="s">
        <v>9678</v>
      </c>
      <c r="B5680" t="s">
        <v>26951</v>
      </c>
      <c r="C5680" t="s">
        <v>14548</v>
      </c>
      <c r="D5680" t="s">
        <v>14547</v>
      </c>
      <c r="E5680" s="2" t="s">
        <v>105</v>
      </c>
      <c r="F5680" t="s">
        <v>10471</v>
      </c>
      <c r="G5680" t="str">
        <f>HYPERLINK("https://www.ggilbo.com/news/articleView.html?idxno=1097567")</f>
        <v>https://www.ggilbo.com/news/articleView.html?idxno=1097567</v>
      </c>
      <c r="H5680">
        <v>0.46600000000000003</v>
      </c>
    </row>
    <row r="5681" spans="1:8" x14ac:dyDescent="0.3">
      <c r="A5681" t="s">
        <v>9678</v>
      </c>
      <c r="B5681" t="s">
        <v>26951</v>
      </c>
      <c r="C5681" t="s">
        <v>14550</v>
      </c>
      <c r="D5681" t="s">
        <v>14549</v>
      </c>
      <c r="E5681" s="2" t="s">
        <v>105</v>
      </c>
      <c r="F5681" t="s">
        <v>12514</v>
      </c>
      <c r="G5681" t="str">
        <f>HYPERLINK("https://www.newsfreezone.co.kr/news/articleView.html?idxno=535270")</f>
        <v>https://www.newsfreezone.co.kr/news/articleView.html?idxno=535270</v>
      </c>
      <c r="H5681">
        <v>0.61299999999999999</v>
      </c>
    </row>
    <row r="5682" spans="1:8" x14ac:dyDescent="0.3">
      <c r="A5682" t="s">
        <v>9678</v>
      </c>
      <c r="B5682" t="s">
        <v>26951</v>
      </c>
      <c r="C5682" t="s">
        <v>14552</v>
      </c>
      <c r="D5682" t="s">
        <v>14551</v>
      </c>
      <c r="E5682" s="2" t="s">
        <v>105</v>
      </c>
      <c r="F5682" t="s">
        <v>7923</v>
      </c>
      <c r="G5682" t="str">
        <f>HYPERLINK("https://n.news.naver.com/mnews/article/214/0001432188?sid=100")</f>
        <v>https://n.news.naver.com/mnews/article/214/0001432188?sid=100</v>
      </c>
      <c r="H5682">
        <v>0.379</v>
      </c>
    </row>
    <row r="5683" spans="1:8" x14ac:dyDescent="0.3">
      <c r="A5683" t="s">
        <v>9678</v>
      </c>
      <c r="B5683" t="s">
        <v>26951</v>
      </c>
      <c r="C5683" t="s">
        <v>14554</v>
      </c>
      <c r="D5683" t="s">
        <v>14553</v>
      </c>
      <c r="E5683" s="2" t="s">
        <v>105</v>
      </c>
      <c r="F5683" t="s">
        <v>4119</v>
      </c>
      <c r="G5683" t="str">
        <f>HYPERLINK("http://www.kjdaily.com/article.php?aid=1696566528612718227")</f>
        <v>http://www.kjdaily.com/article.php?aid=1696566528612718227</v>
      </c>
      <c r="H5683">
        <v>1.4E-2</v>
      </c>
    </row>
    <row r="5684" spans="1:8" x14ac:dyDescent="0.3">
      <c r="A5684" t="s">
        <v>9678</v>
      </c>
      <c r="B5684" t="s">
        <v>26951</v>
      </c>
      <c r="C5684" t="s">
        <v>14556</v>
      </c>
      <c r="D5684" t="s">
        <v>14555</v>
      </c>
      <c r="E5684" s="2" t="s">
        <v>105</v>
      </c>
      <c r="F5684" t="s">
        <v>10191</v>
      </c>
      <c r="G5684" t="str">
        <f>HYPERLINK("https://www.jemin.com/news/articleView.html?idxno=817975")</f>
        <v>https://www.jemin.com/news/articleView.html?idxno=817975</v>
      </c>
      <c r="H5684">
        <v>0.78700000000000003</v>
      </c>
    </row>
    <row r="5685" spans="1:8" x14ac:dyDescent="0.3">
      <c r="A5685" t="s">
        <v>9678</v>
      </c>
      <c r="B5685" t="s">
        <v>26951</v>
      </c>
      <c r="C5685" t="s">
        <v>14558</v>
      </c>
      <c r="D5685" t="s">
        <v>14557</v>
      </c>
      <c r="E5685" s="2" t="s">
        <v>105</v>
      </c>
      <c r="F5685" t="s">
        <v>2064</v>
      </c>
      <c r="G5685" t="str">
        <f>HYPERLINK("https://n.news.naver.com/mnews/article/214/0001012879?sid=100")</f>
        <v>https://n.news.naver.com/mnews/article/214/0001012879?sid=100</v>
      </c>
      <c r="H5685">
        <v>0.20200000000000001</v>
      </c>
    </row>
    <row r="5686" spans="1:8" x14ac:dyDescent="0.3">
      <c r="A5686" t="s">
        <v>9678</v>
      </c>
      <c r="B5686" t="s">
        <v>26951</v>
      </c>
      <c r="C5686" t="s">
        <v>14560</v>
      </c>
      <c r="D5686" t="s">
        <v>14559</v>
      </c>
      <c r="E5686" s="2" t="s">
        <v>105</v>
      </c>
      <c r="F5686" t="s">
        <v>9935</v>
      </c>
      <c r="G5686" t="str">
        <f>HYPERLINK("https://www.kukinews.com/article/view/kuk202507010168")</f>
        <v>https://www.kukinews.com/article/view/kuk202507010168</v>
      </c>
      <c r="H5686">
        <v>0.28599999999999998</v>
      </c>
    </row>
    <row r="5687" spans="1:8" x14ac:dyDescent="0.3">
      <c r="A5687" t="s">
        <v>9678</v>
      </c>
      <c r="B5687" t="s">
        <v>26951</v>
      </c>
      <c r="C5687" t="s">
        <v>14562</v>
      </c>
      <c r="D5687" t="s">
        <v>14561</v>
      </c>
      <c r="E5687" s="2" t="s">
        <v>105</v>
      </c>
      <c r="F5687" t="s">
        <v>14252</v>
      </c>
      <c r="G5687" t="str">
        <f>HYPERLINK("https://n.news.naver.com/mnews/article/018/0005872229?sid=100")</f>
        <v>https://n.news.naver.com/mnews/article/018/0005872229?sid=100</v>
      </c>
      <c r="H5687">
        <v>0.20100000000000001</v>
      </c>
    </row>
    <row r="5688" spans="1:8" x14ac:dyDescent="0.3">
      <c r="A5688" t="s">
        <v>9678</v>
      </c>
      <c r="B5688" t="s">
        <v>26951</v>
      </c>
      <c r="C5688" t="s">
        <v>14565</v>
      </c>
      <c r="D5688" t="s">
        <v>14564</v>
      </c>
      <c r="E5688" s="2" t="s">
        <v>105</v>
      </c>
      <c r="F5688" t="s">
        <v>14563</v>
      </c>
      <c r="G5688" t="str">
        <f>HYPERLINK("http://www.ibulgyo.com/news/articleView.html?idxno=423595")</f>
        <v>http://www.ibulgyo.com/news/articleView.html?idxno=423595</v>
      </c>
      <c r="H5688">
        <v>0.35899999999999999</v>
      </c>
    </row>
    <row r="5689" spans="1:8" x14ac:dyDescent="0.3">
      <c r="A5689" t="s">
        <v>9678</v>
      </c>
      <c r="B5689" t="s">
        <v>26951</v>
      </c>
      <c r="C5689" t="s">
        <v>14568</v>
      </c>
      <c r="D5689" t="s">
        <v>14567</v>
      </c>
      <c r="E5689" s="2" t="s">
        <v>105</v>
      </c>
      <c r="F5689" t="s">
        <v>14566</v>
      </c>
      <c r="G5689" t="str">
        <f>HYPERLINK("http://www.mediagunpo.co.kr/18820")</f>
        <v>http://www.mediagunpo.co.kr/18820</v>
      </c>
      <c r="H5689">
        <v>0.57099999999999995</v>
      </c>
    </row>
    <row r="5690" spans="1:8" x14ac:dyDescent="0.3">
      <c r="A5690" t="s">
        <v>9678</v>
      </c>
      <c r="B5690" t="s">
        <v>26951</v>
      </c>
      <c r="C5690" t="s">
        <v>14571</v>
      </c>
      <c r="D5690" t="s">
        <v>14570</v>
      </c>
      <c r="E5690" s="2" t="s">
        <v>105</v>
      </c>
      <c r="F5690" t="s">
        <v>14569</v>
      </c>
      <c r="G5690" t="str">
        <f>HYPERLINK("https://dealsite.co.kr/articles/143717")</f>
        <v>https://dealsite.co.kr/articles/143717</v>
      </c>
      <c r="H5690">
        <v>0.74399999999999999</v>
      </c>
    </row>
    <row r="5691" spans="1:8" x14ac:dyDescent="0.3">
      <c r="A5691" t="s">
        <v>9678</v>
      </c>
      <c r="B5691" t="s">
        <v>26951</v>
      </c>
      <c r="C5691" t="s">
        <v>14574</v>
      </c>
      <c r="D5691" t="s">
        <v>14573</v>
      </c>
      <c r="E5691" s="2" t="s">
        <v>105</v>
      </c>
      <c r="F5691" t="s">
        <v>14572</v>
      </c>
      <c r="G5691" t="str">
        <f>HYPERLINK("https://www.viva100.com/main/view.php?key=20240522010006857")</f>
        <v>https://www.viva100.com/main/view.php?key=20240522010006857</v>
      </c>
      <c r="H5691">
        <v>0.623</v>
      </c>
    </row>
    <row r="5692" spans="1:8" x14ac:dyDescent="0.3">
      <c r="A5692" t="s">
        <v>9678</v>
      </c>
      <c r="B5692" t="s">
        <v>26951</v>
      </c>
      <c r="C5692" t="s">
        <v>14577</v>
      </c>
      <c r="D5692" t="s">
        <v>14576</v>
      </c>
      <c r="E5692" s="2" t="s">
        <v>105</v>
      </c>
      <c r="F5692" t="s">
        <v>14575</v>
      </c>
      <c r="G5692" t="str">
        <f>HYPERLINK("http://www.etoday.co.kr/news/section/newsview.php?idxno=1669443")</f>
        <v>http://www.etoday.co.kr/news/section/newsview.php?idxno=1669443</v>
      </c>
      <c r="H5692">
        <v>0.63100000000000001</v>
      </c>
    </row>
    <row r="5693" spans="1:8" x14ac:dyDescent="0.3">
      <c r="A5693" t="s">
        <v>9678</v>
      </c>
      <c r="B5693" t="s">
        <v>26951</v>
      </c>
      <c r="C5693" t="s">
        <v>14579</v>
      </c>
      <c r="D5693" t="s">
        <v>14578</v>
      </c>
      <c r="E5693" s="2" t="s">
        <v>105</v>
      </c>
      <c r="F5693" t="s">
        <v>14183</v>
      </c>
      <c r="G5693" t="str">
        <f>HYPERLINK("https://www.ggilbo.com/news/articleView.html?idxno=1098098")</f>
        <v>https://www.ggilbo.com/news/articleView.html?idxno=1098098</v>
      </c>
      <c r="H5693">
        <v>0.83699999999999997</v>
      </c>
    </row>
    <row r="5694" spans="1:8" x14ac:dyDescent="0.3">
      <c r="A5694" t="s">
        <v>9678</v>
      </c>
      <c r="B5694" t="s">
        <v>26951</v>
      </c>
      <c r="C5694" t="s">
        <v>14582</v>
      </c>
      <c r="D5694" t="s">
        <v>14581</v>
      </c>
      <c r="E5694" s="2" t="s">
        <v>105</v>
      </c>
      <c r="F5694" t="s">
        <v>14580</v>
      </c>
      <c r="G5694" t="str">
        <f>HYPERLINK("https://n.news.naver.com/mnews/article/052/0002065253?sid=100")</f>
        <v>https://n.news.naver.com/mnews/article/052/0002065253?sid=100</v>
      </c>
      <c r="H5694">
        <v>0.109</v>
      </c>
    </row>
    <row r="5695" spans="1:8" x14ac:dyDescent="0.3">
      <c r="A5695" t="s">
        <v>9678</v>
      </c>
      <c r="B5695" t="s">
        <v>26951</v>
      </c>
      <c r="C5695" t="s">
        <v>14585</v>
      </c>
      <c r="D5695" t="s">
        <v>14584</v>
      </c>
      <c r="E5695" s="2" t="s">
        <v>105</v>
      </c>
      <c r="F5695" t="s">
        <v>14583</v>
      </c>
      <c r="G5695" t="str">
        <f>HYPERLINK("https://n.news.naver.com/mnews/article/079/0004018044?sid=103")</f>
        <v>https://n.news.naver.com/mnews/article/079/0004018044?sid=103</v>
      </c>
      <c r="H5695">
        <v>0.23599999999999999</v>
      </c>
    </row>
    <row r="5696" spans="1:8" x14ac:dyDescent="0.3">
      <c r="A5696" t="s">
        <v>9678</v>
      </c>
      <c r="B5696" t="s">
        <v>26951</v>
      </c>
      <c r="C5696" t="s">
        <v>14587</v>
      </c>
      <c r="D5696" t="s">
        <v>14586</v>
      </c>
      <c r="E5696" s="2" t="s">
        <v>105</v>
      </c>
      <c r="F5696" t="s">
        <v>13071</v>
      </c>
      <c r="G5696" t="str">
        <f>HYPERLINK("https://sports.hankooki.com/news/articleView.html?idxno=6902045")</f>
        <v>https://sports.hankooki.com/news/articleView.html?idxno=6902045</v>
      </c>
      <c r="H5696">
        <v>0.51100000000000001</v>
      </c>
    </row>
    <row r="5697" spans="1:8" x14ac:dyDescent="0.3">
      <c r="A5697" t="s">
        <v>9678</v>
      </c>
      <c r="B5697" t="s">
        <v>26951</v>
      </c>
      <c r="C5697" t="s">
        <v>14590</v>
      </c>
      <c r="D5697" t="s">
        <v>14589</v>
      </c>
      <c r="E5697" s="2" t="s">
        <v>105</v>
      </c>
      <c r="F5697" t="s">
        <v>14588</v>
      </c>
      <c r="G5697" t="str">
        <f>HYPERLINK("https://n.news.naver.com/mnews/article/016/0000824112?sid=101")</f>
        <v>https://n.news.naver.com/mnews/article/016/0000824112?sid=101</v>
      </c>
      <c r="H5697">
        <v>0.35699999999999998</v>
      </c>
    </row>
    <row r="5698" spans="1:8" x14ac:dyDescent="0.3">
      <c r="A5698" t="s">
        <v>9678</v>
      </c>
      <c r="B5698" t="s">
        <v>26951</v>
      </c>
      <c r="C5698" t="s">
        <v>14592</v>
      </c>
      <c r="D5698" t="s">
        <v>14591</v>
      </c>
      <c r="E5698" s="2" t="s">
        <v>105</v>
      </c>
      <c r="F5698" t="s">
        <v>9152</v>
      </c>
      <c r="G5698" t="str">
        <f>HYPERLINK("https://www.ggilbo.com/news/articleView.html?idxno=1098098")</f>
        <v>https://www.ggilbo.com/news/articleView.html?idxno=1098098</v>
      </c>
      <c r="H5698">
        <v>0.80800000000000005</v>
      </c>
    </row>
    <row r="5699" spans="1:8" x14ac:dyDescent="0.3">
      <c r="A5699" t="s">
        <v>9678</v>
      </c>
      <c r="B5699" t="s">
        <v>26951</v>
      </c>
      <c r="C5699" t="s">
        <v>14595</v>
      </c>
      <c r="D5699" t="s">
        <v>14594</v>
      </c>
      <c r="E5699" s="2" t="s">
        <v>105</v>
      </c>
      <c r="F5699" t="s">
        <v>14593</v>
      </c>
      <c r="G5699" t="str">
        <f>HYPERLINK("https://www.newspim.com/news/view/20240816000942")</f>
        <v>https://www.newspim.com/news/view/20240816000942</v>
      </c>
      <c r="H5699">
        <v>0.55800000000000005</v>
      </c>
    </row>
    <row r="5700" spans="1:8" x14ac:dyDescent="0.3">
      <c r="A5700" t="s">
        <v>9678</v>
      </c>
      <c r="B5700" t="s">
        <v>26951</v>
      </c>
      <c r="C5700" t="s">
        <v>14598</v>
      </c>
      <c r="D5700" t="s">
        <v>14597</v>
      </c>
      <c r="E5700" s="2" t="s">
        <v>105</v>
      </c>
      <c r="F5700" t="s">
        <v>14596</v>
      </c>
      <c r="G5700" t="str">
        <f>HYPERLINK("https://ch.yes24.com/Article/View/55832")</f>
        <v>https://ch.yes24.com/Article/View/55832</v>
      </c>
      <c r="H5700">
        <v>0.65900000000000003</v>
      </c>
    </row>
    <row r="5701" spans="1:8" x14ac:dyDescent="0.3">
      <c r="A5701" t="s">
        <v>9678</v>
      </c>
      <c r="B5701" t="s">
        <v>26951</v>
      </c>
      <c r="C5701" t="s">
        <v>14601</v>
      </c>
      <c r="D5701" t="s">
        <v>14600</v>
      </c>
      <c r="E5701" s="2" t="s">
        <v>105</v>
      </c>
      <c r="F5701" t="s">
        <v>14599</v>
      </c>
      <c r="G5701" t="str">
        <f>HYPERLINK("https://www.lecturernews.com/news/articleView.html?idxno=152573")</f>
        <v>https://www.lecturernews.com/news/articleView.html?idxno=152573</v>
      </c>
      <c r="H5701">
        <v>0.185</v>
      </c>
    </row>
    <row r="5702" spans="1:8" x14ac:dyDescent="0.3">
      <c r="A5702" t="s">
        <v>9678</v>
      </c>
      <c r="B5702" t="s">
        <v>26951</v>
      </c>
      <c r="C5702" t="s">
        <v>14603</v>
      </c>
      <c r="D5702" t="s">
        <v>14602</v>
      </c>
      <c r="E5702" s="2" t="s">
        <v>105</v>
      </c>
      <c r="F5702" t="s">
        <v>10229</v>
      </c>
      <c r="G5702" t="str">
        <f>HYPERLINK("https://www.ggilbo.com/news/articleView.html?idxno=1097567")</f>
        <v>https://www.ggilbo.com/news/articleView.html?idxno=1097567</v>
      </c>
      <c r="H5702">
        <v>0.61199999999999999</v>
      </c>
    </row>
    <row r="5703" spans="1:8" x14ac:dyDescent="0.3">
      <c r="A5703" t="s">
        <v>9678</v>
      </c>
      <c r="B5703" t="s">
        <v>26951</v>
      </c>
      <c r="C5703" t="s">
        <v>14605</v>
      </c>
      <c r="D5703" t="s">
        <v>14604</v>
      </c>
      <c r="E5703" s="2" t="s">
        <v>105</v>
      </c>
      <c r="F5703" t="s">
        <v>10415</v>
      </c>
      <c r="G5703" t="str">
        <f>HYPERLINK("https://n.news.naver.com/mnews/article/277/0005610378?sid=101")</f>
        <v>https://n.news.naver.com/mnews/article/277/0005610378?sid=101</v>
      </c>
      <c r="H5703">
        <v>0.318</v>
      </c>
    </row>
    <row r="5704" spans="1:8" x14ac:dyDescent="0.3">
      <c r="A5704" t="s">
        <v>9678</v>
      </c>
      <c r="B5704" t="s">
        <v>26951</v>
      </c>
      <c r="C5704" t="s">
        <v>14607</v>
      </c>
      <c r="D5704" t="s">
        <v>14606</v>
      </c>
      <c r="E5704" s="2" t="s">
        <v>105</v>
      </c>
      <c r="F5704" t="s">
        <v>10898</v>
      </c>
      <c r="G5704" t="str">
        <f>HYPERLINK("https://n.news.naver.com/mnews/article/214/0001359089?sid=100")</f>
        <v>https://n.news.naver.com/mnews/article/214/0001359089?sid=100</v>
      </c>
      <c r="H5704">
        <v>0.254</v>
      </c>
    </row>
    <row r="5705" spans="1:8" x14ac:dyDescent="0.3">
      <c r="A5705" t="s">
        <v>9678</v>
      </c>
      <c r="B5705" t="s">
        <v>26951</v>
      </c>
      <c r="C5705" t="s">
        <v>14610</v>
      </c>
      <c r="D5705" t="s">
        <v>14609</v>
      </c>
      <c r="E5705" s="2" t="s">
        <v>105</v>
      </c>
      <c r="F5705" t="s">
        <v>14608</v>
      </c>
      <c r="G5705" t="str">
        <f>HYPERLINK("http://www.kukinews.com/newsView/kuk202306300074")</f>
        <v>http://www.kukinews.com/newsView/kuk202306300074</v>
      </c>
      <c r="H5705">
        <v>0.42</v>
      </c>
    </row>
    <row r="5706" spans="1:8" x14ac:dyDescent="0.3">
      <c r="A5706" t="s">
        <v>9678</v>
      </c>
      <c r="B5706" t="s">
        <v>26951</v>
      </c>
      <c r="C5706" t="s">
        <v>14613</v>
      </c>
      <c r="D5706" t="s">
        <v>14612</v>
      </c>
      <c r="E5706" s="2" t="s">
        <v>105</v>
      </c>
      <c r="F5706" t="s">
        <v>14611</v>
      </c>
      <c r="G5706" t="str">
        <f>HYPERLINK("http://www.ilemonde.com/news/articleView.html?idxno=19017")</f>
        <v>http://www.ilemonde.com/news/articleView.html?idxno=19017</v>
      </c>
      <c r="H5706">
        <v>0.34</v>
      </c>
    </row>
    <row r="5707" spans="1:8" x14ac:dyDescent="0.3">
      <c r="A5707" t="s">
        <v>9678</v>
      </c>
      <c r="B5707" t="s">
        <v>26951</v>
      </c>
      <c r="C5707" t="s">
        <v>14615</v>
      </c>
      <c r="D5707" t="s">
        <v>14614</v>
      </c>
      <c r="E5707" s="2" t="s">
        <v>105</v>
      </c>
      <c r="F5707" t="s">
        <v>10605</v>
      </c>
      <c r="G5707" t="str">
        <f>HYPERLINK("https://sports.hankooki.com/news/articleView.html?idxno=6901622")</f>
        <v>https://sports.hankooki.com/news/articleView.html?idxno=6901622</v>
      </c>
      <c r="H5707">
        <v>0.61799999999999999</v>
      </c>
    </row>
    <row r="5708" spans="1:8" x14ac:dyDescent="0.3">
      <c r="A5708" t="s">
        <v>9678</v>
      </c>
      <c r="B5708" t="s">
        <v>26951</v>
      </c>
      <c r="C5708" t="s">
        <v>14618</v>
      </c>
      <c r="D5708" t="s">
        <v>14617</v>
      </c>
      <c r="E5708" s="2" t="s">
        <v>105</v>
      </c>
      <c r="F5708" t="s">
        <v>14616</v>
      </c>
      <c r="G5708" t="str">
        <f>HYPERLINK("https://www.ggilbo.com/news/articleView.html?idxno=1097601")</f>
        <v>https://www.ggilbo.com/news/articleView.html?idxno=1097601</v>
      </c>
      <c r="H5708">
        <v>0.56799999999999995</v>
      </c>
    </row>
    <row r="5709" spans="1:8" x14ac:dyDescent="0.3">
      <c r="A5709" t="s">
        <v>14619</v>
      </c>
      <c r="B5709" t="s">
        <v>26951</v>
      </c>
      <c r="C5709" t="s">
        <v>14622</v>
      </c>
      <c r="D5709" t="s">
        <v>14621</v>
      </c>
      <c r="E5709" s="2" t="s">
        <v>133</v>
      </c>
      <c r="F5709" t="s">
        <v>14620</v>
      </c>
      <c r="G5709" t="str">
        <f>HYPERLINK("http://www.cctimes.kr/news/articleView.html?idxno=780843")</f>
        <v>http://www.cctimes.kr/news/articleView.html?idxno=780843</v>
      </c>
      <c r="H5709">
        <v>0.19800000000000001</v>
      </c>
    </row>
    <row r="5710" spans="1:8" x14ac:dyDescent="0.3">
      <c r="A5710" t="s">
        <v>14619</v>
      </c>
      <c r="B5710" t="s">
        <v>26951</v>
      </c>
      <c r="C5710" t="s">
        <v>14624</v>
      </c>
      <c r="D5710" t="s">
        <v>14623</v>
      </c>
      <c r="E5710" s="2" t="s">
        <v>133</v>
      </c>
      <c r="F5710" t="s">
        <v>14620</v>
      </c>
      <c r="G5710" t="str">
        <f>HYPERLINK("http://www.ccnnews.co.kr/news/articleView.html?idxno=113894")</f>
        <v>http://www.ccnnews.co.kr/news/articleView.html?idxno=113894</v>
      </c>
      <c r="H5710">
        <v>0.127</v>
      </c>
    </row>
    <row r="5711" spans="1:8" x14ac:dyDescent="0.3">
      <c r="A5711" t="s">
        <v>14619</v>
      </c>
      <c r="B5711" t="s">
        <v>26951</v>
      </c>
      <c r="C5711" t="s">
        <v>14626</v>
      </c>
      <c r="D5711" t="s">
        <v>14625</v>
      </c>
      <c r="E5711" s="2" t="s">
        <v>452</v>
      </c>
      <c r="F5711" t="s">
        <v>5622</v>
      </c>
      <c r="G5711" t="str">
        <f>HYPERLINK("https://www.m-economynews.com/news/article.html?no=56536")</f>
        <v>https://www.m-economynews.com/news/article.html?no=56536</v>
      </c>
      <c r="H5711">
        <v>0.56999999999999995</v>
      </c>
    </row>
    <row r="5712" spans="1:8" x14ac:dyDescent="0.3">
      <c r="A5712" t="s">
        <v>14619</v>
      </c>
      <c r="B5712" t="s">
        <v>26951</v>
      </c>
      <c r="C5712" t="s">
        <v>14629</v>
      </c>
      <c r="D5712" t="s">
        <v>14628</v>
      </c>
      <c r="E5712" s="2" t="s">
        <v>481</v>
      </c>
      <c r="F5712" t="s">
        <v>14627</v>
      </c>
      <c r="G5712" t="str">
        <f>HYPERLINK("http://www.cctimes.kr/news/articleView.html?idxno=655013")</f>
        <v>http://www.cctimes.kr/news/articleView.html?idxno=655013</v>
      </c>
      <c r="H5712">
        <v>0.186</v>
      </c>
    </row>
    <row r="5713" spans="1:8" x14ac:dyDescent="0.3">
      <c r="A5713" t="s">
        <v>14631</v>
      </c>
      <c r="B5713" t="s">
        <v>26951</v>
      </c>
      <c r="C5713" t="s">
        <v>14634</v>
      </c>
      <c r="D5713" t="s">
        <v>14633</v>
      </c>
      <c r="E5713" s="2" t="s">
        <v>7</v>
      </c>
      <c r="F5713" t="s">
        <v>14632</v>
      </c>
      <c r="G5713" t="str">
        <f>HYPERLINK("https://n.news.naver.com/mnews/article/082/0001332940?sid=101")</f>
        <v>https://n.news.naver.com/mnews/article/082/0001332940?sid=101</v>
      </c>
      <c r="H5713">
        <v>0.23799999999999999</v>
      </c>
    </row>
    <row r="5714" spans="1:8" x14ac:dyDescent="0.3">
      <c r="A5714" t="s">
        <v>14631</v>
      </c>
      <c r="B5714" t="s">
        <v>26951</v>
      </c>
      <c r="C5714" t="s">
        <v>14636</v>
      </c>
      <c r="D5714" t="s">
        <v>14635</v>
      </c>
      <c r="E5714" s="2" t="s">
        <v>7</v>
      </c>
      <c r="F5714" t="s">
        <v>1587</v>
      </c>
      <c r="G5714" t="str">
        <f>HYPERLINK("https://www.kgnews.co.kr/news/article.html?no=852581")</f>
        <v>https://www.kgnews.co.kr/news/article.html?no=852581</v>
      </c>
      <c r="H5714">
        <v>0.23499999999999999</v>
      </c>
    </row>
    <row r="5715" spans="1:8" x14ac:dyDescent="0.3">
      <c r="A5715" t="s">
        <v>14631</v>
      </c>
      <c r="B5715" t="s">
        <v>26951</v>
      </c>
      <c r="C5715" t="s">
        <v>14639</v>
      </c>
      <c r="D5715" t="s">
        <v>14638</v>
      </c>
      <c r="E5715" s="2" t="s">
        <v>105</v>
      </c>
      <c r="F5715" t="s">
        <v>14637</v>
      </c>
      <c r="G5715" t="str">
        <f>HYPERLINK("http://www.readersnews.com/news/articleView.html?idxno=115396")</f>
        <v>http://www.readersnews.com/news/articleView.html?idxno=115396</v>
      </c>
      <c r="H5715">
        <v>0.71099999999999997</v>
      </c>
    </row>
    <row r="5716" spans="1:8" x14ac:dyDescent="0.3">
      <c r="A5716" t="s">
        <v>14631</v>
      </c>
      <c r="B5716" t="s">
        <v>26951</v>
      </c>
      <c r="C5716" t="s">
        <v>14641</v>
      </c>
      <c r="D5716" t="s">
        <v>14640</v>
      </c>
      <c r="E5716" s="2" t="s">
        <v>105</v>
      </c>
      <c r="F5716" t="s">
        <v>857</v>
      </c>
      <c r="G5716" t="str">
        <f>HYPERLINK("http://www.vogue.co.kr/?p=168425")</f>
        <v>http://www.vogue.co.kr/?p=168425</v>
      </c>
      <c r="H5716">
        <v>0.23300000000000001</v>
      </c>
    </row>
    <row r="5717" spans="1:8" x14ac:dyDescent="0.3">
      <c r="A5717" t="s">
        <v>14631</v>
      </c>
      <c r="B5717" t="s">
        <v>26951</v>
      </c>
      <c r="C5717" t="s">
        <v>14643</v>
      </c>
      <c r="D5717" t="s">
        <v>14642</v>
      </c>
      <c r="E5717" s="2" t="s">
        <v>105</v>
      </c>
      <c r="F5717" t="s">
        <v>2171</v>
      </c>
      <c r="G5717" t="str">
        <f>HYPERLINK("https://www.incheonilbo.com/news/articleView.html?idxno=1294136")</f>
        <v>https://www.incheonilbo.com/news/articleView.html?idxno=1294136</v>
      </c>
      <c r="H5717">
        <v>0.23200000000000001</v>
      </c>
    </row>
    <row r="5718" spans="1:8" x14ac:dyDescent="0.3">
      <c r="A5718" t="s">
        <v>14631</v>
      </c>
      <c r="B5718" t="s">
        <v>26951</v>
      </c>
      <c r="C5718" t="s">
        <v>14645</v>
      </c>
      <c r="D5718" t="s">
        <v>14644</v>
      </c>
      <c r="E5718" s="2" t="s">
        <v>133</v>
      </c>
      <c r="F5718" t="s">
        <v>5677</v>
      </c>
      <c r="G5718" t="str">
        <f>HYPERLINK("https://n.news.naver.com/mnews/article/032/0002583988?sid=103")</f>
        <v>https://n.news.naver.com/mnews/article/032/0002583988?sid=103</v>
      </c>
      <c r="H5718">
        <v>0.1</v>
      </c>
    </row>
    <row r="5719" spans="1:8" x14ac:dyDescent="0.3">
      <c r="A5719" t="s">
        <v>14631</v>
      </c>
      <c r="B5719" t="s">
        <v>26951</v>
      </c>
      <c r="C5719" t="s">
        <v>14649</v>
      </c>
      <c r="D5719" t="s">
        <v>14648</v>
      </c>
      <c r="E5719" s="2" t="s">
        <v>133</v>
      </c>
      <c r="F5719" t="s">
        <v>14647</v>
      </c>
      <c r="G5719" t="str">
        <f>HYPERLINK("https://n.news.naver.com/mnews/article/214/0001433441?sid=102")</f>
        <v>https://n.news.naver.com/mnews/article/214/0001433441?sid=102</v>
      </c>
      <c r="H5719">
        <v>0.371</v>
      </c>
    </row>
    <row r="5720" spans="1:8" x14ac:dyDescent="0.3">
      <c r="A5720" t="s">
        <v>14631</v>
      </c>
      <c r="B5720" t="s">
        <v>26951</v>
      </c>
      <c r="C5720" t="s">
        <v>14652</v>
      </c>
      <c r="D5720" t="s">
        <v>14651</v>
      </c>
      <c r="E5720" s="2" t="s">
        <v>196</v>
      </c>
      <c r="F5720" t="s">
        <v>14650</v>
      </c>
      <c r="G5720" t="str">
        <f>HYPERLINK("https://www.gqkorea.co.kr/2016/06/18/%eb%a1%9c%eb%b4%87%ec%9d%98-%ed%98%b8%ed%85%94%eb%a1%9c-%ec%98%a4%ec%84%b8%ec%9a%94/?utm_source=naver&amp;utm_medium=partnership")</f>
        <v>https://www.gqkorea.co.kr/2016/06/18/%eb%a1%9c%eb%b4%87%ec%9d%98-%ed%98%b8%ed%85%94%eb%a1%9c-%ec%98%a4%ec%84%b8%ec%9a%94/?utm_source=naver&amp;utm_medium=partnership</v>
      </c>
      <c r="H5720">
        <v>0.53600000000000003</v>
      </c>
    </row>
    <row r="5721" spans="1:8" x14ac:dyDescent="0.3">
      <c r="A5721" t="s">
        <v>14631</v>
      </c>
      <c r="B5721" t="s">
        <v>26951</v>
      </c>
      <c r="C5721" t="s">
        <v>14654</v>
      </c>
      <c r="D5721" t="s">
        <v>14653</v>
      </c>
      <c r="E5721" s="2" t="s">
        <v>196</v>
      </c>
      <c r="F5721" t="s">
        <v>5279</v>
      </c>
      <c r="G5721" t="str">
        <f>HYPERLINK("https://n.news.naver.com/mnews/article/082/0001332016?sid=102")</f>
        <v>https://n.news.naver.com/mnews/article/082/0001332016?sid=102</v>
      </c>
      <c r="H5721">
        <v>0.13</v>
      </c>
    </row>
    <row r="5722" spans="1:8" x14ac:dyDescent="0.3">
      <c r="A5722" t="s">
        <v>14631</v>
      </c>
      <c r="B5722" t="s">
        <v>26951</v>
      </c>
      <c r="C5722" t="s">
        <v>14656</v>
      </c>
      <c r="D5722" t="s">
        <v>14655</v>
      </c>
      <c r="E5722" s="2" t="s">
        <v>230</v>
      </c>
      <c r="F5722" t="s">
        <v>951</v>
      </c>
      <c r="G5722" t="str">
        <f>HYPERLINK("https://n.news.naver.com/mnews/article/082/0000234987?sid=110")</f>
        <v>https://n.news.naver.com/mnews/article/082/0000234987?sid=110</v>
      </c>
      <c r="H5722">
        <v>0.55200000000000005</v>
      </c>
    </row>
    <row r="5723" spans="1:8" x14ac:dyDescent="0.3">
      <c r="A5723" t="s">
        <v>14631</v>
      </c>
      <c r="B5723" t="s">
        <v>26951</v>
      </c>
      <c r="C5723" t="s">
        <v>14659</v>
      </c>
      <c r="D5723" t="s">
        <v>14658</v>
      </c>
      <c r="E5723" s="2" t="s">
        <v>230</v>
      </c>
      <c r="F5723" t="s">
        <v>14657</v>
      </c>
      <c r="G5723" t="str">
        <f>HYPERLINK("https://www.apnews.kr/news/articleView.html?idxno=3028458")</f>
        <v>https://www.apnews.kr/news/articleView.html?idxno=3028458</v>
      </c>
      <c r="H5723">
        <v>0.52</v>
      </c>
    </row>
    <row r="5724" spans="1:8" x14ac:dyDescent="0.3">
      <c r="A5724" t="s">
        <v>14631</v>
      </c>
      <c r="B5724" t="s">
        <v>26951</v>
      </c>
      <c r="C5724" t="s">
        <v>14662</v>
      </c>
      <c r="D5724" t="s">
        <v>14661</v>
      </c>
      <c r="E5724" s="2" t="s">
        <v>230</v>
      </c>
      <c r="F5724" t="s">
        <v>14660</v>
      </c>
      <c r="G5724" t="str">
        <f>HYPERLINK("https://n.news.naver.com/mnews/article/018/0006046624?sid=102")</f>
        <v>https://n.news.naver.com/mnews/article/018/0006046624?sid=102</v>
      </c>
      <c r="H5724">
        <v>0.14099999999999999</v>
      </c>
    </row>
    <row r="5725" spans="1:8" x14ac:dyDescent="0.3">
      <c r="A5725" t="s">
        <v>14631</v>
      </c>
      <c r="B5725" t="s">
        <v>26951</v>
      </c>
      <c r="C5725" t="s">
        <v>14664</v>
      </c>
      <c r="D5725" t="s">
        <v>14663</v>
      </c>
      <c r="E5725" s="2" t="s">
        <v>230</v>
      </c>
      <c r="F5725" t="s">
        <v>2950</v>
      </c>
      <c r="G5725" t="str">
        <f>HYPERLINK("https://n.news.naver.com/mnews/article/082/0000909120?sid=102")</f>
        <v>https://n.news.naver.com/mnews/article/082/0000909120?sid=102</v>
      </c>
      <c r="H5725">
        <v>0.128</v>
      </c>
    </row>
    <row r="5726" spans="1:8" x14ac:dyDescent="0.3">
      <c r="A5726" t="s">
        <v>14631</v>
      </c>
      <c r="B5726" t="s">
        <v>26951</v>
      </c>
      <c r="C5726" t="s">
        <v>14666</v>
      </c>
      <c r="D5726" t="s">
        <v>14665</v>
      </c>
      <c r="E5726" s="2" t="s">
        <v>230</v>
      </c>
      <c r="F5726" t="s">
        <v>160</v>
      </c>
      <c r="G5726" t="str">
        <f>HYPERLINK("https://n.news.naver.com/mnews/article/082/0001331755?sid=102")</f>
        <v>https://n.news.naver.com/mnews/article/082/0001331755?sid=102</v>
      </c>
      <c r="H5726">
        <v>0.26400000000000001</v>
      </c>
    </row>
    <row r="5727" spans="1:8" x14ac:dyDescent="0.3">
      <c r="A5727" t="s">
        <v>14631</v>
      </c>
      <c r="B5727" t="s">
        <v>26951</v>
      </c>
      <c r="C5727" t="s">
        <v>14669</v>
      </c>
      <c r="D5727" t="s">
        <v>14668</v>
      </c>
      <c r="E5727" s="2" t="s">
        <v>267</v>
      </c>
      <c r="F5727" t="s">
        <v>14667</v>
      </c>
      <c r="G5727" t="str">
        <f>HYPERLINK("https://n.news.naver.com/mnews/article/082/0001082772?sid=103")</f>
        <v>https://n.news.naver.com/mnews/article/082/0001082772?sid=103</v>
      </c>
      <c r="H5727">
        <v>0.29399999999999998</v>
      </c>
    </row>
    <row r="5728" spans="1:8" x14ac:dyDescent="0.3">
      <c r="A5728" t="s">
        <v>14631</v>
      </c>
      <c r="B5728" t="s">
        <v>26951</v>
      </c>
      <c r="C5728" t="s">
        <v>14671</v>
      </c>
      <c r="D5728" t="s">
        <v>14670</v>
      </c>
      <c r="E5728" s="2" t="s">
        <v>267</v>
      </c>
      <c r="F5728" t="s">
        <v>10098</v>
      </c>
      <c r="G5728" t="str">
        <f>HYPERLINK("https://www.etoday.co.kr/news/view/2480903")</f>
        <v>https://www.etoday.co.kr/news/view/2480903</v>
      </c>
      <c r="H5728">
        <v>0.59199999999999997</v>
      </c>
    </row>
    <row r="5729" spans="1:8" x14ac:dyDescent="0.3">
      <c r="A5729" t="s">
        <v>14631</v>
      </c>
      <c r="B5729" t="s">
        <v>26951</v>
      </c>
      <c r="C5729" t="s">
        <v>14674</v>
      </c>
      <c r="D5729" t="s">
        <v>14673</v>
      </c>
      <c r="E5729" s="2" t="s">
        <v>280</v>
      </c>
      <c r="F5729" t="s">
        <v>14672</v>
      </c>
      <c r="G5729" t="str">
        <f>HYPERLINK("https://n.news.naver.com/mnews/article/014/0005359446?sid=102")</f>
        <v>https://n.news.naver.com/mnews/article/014/0005359446?sid=102</v>
      </c>
      <c r="H5729">
        <v>0.193</v>
      </c>
    </row>
    <row r="5730" spans="1:8" x14ac:dyDescent="0.3">
      <c r="A5730" t="s">
        <v>14631</v>
      </c>
      <c r="B5730" t="s">
        <v>26951</v>
      </c>
      <c r="C5730" t="s">
        <v>14677</v>
      </c>
      <c r="D5730" t="s">
        <v>14676</v>
      </c>
      <c r="E5730" s="2" t="s">
        <v>356</v>
      </c>
      <c r="F5730" t="s">
        <v>14675</v>
      </c>
      <c r="G5730" t="str">
        <f>HYPERLINK("http://www.gndomin.com/news/articleView.html?idxno=119286")</f>
        <v>http://www.gndomin.com/news/articleView.html?idxno=119286</v>
      </c>
      <c r="H5730">
        <v>0.59599999999999997</v>
      </c>
    </row>
    <row r="5731" spans="1:8" x14ac:dyDescent="0.3">
      <c r="A5731" t="s">
        <v>14631</v>
      </c>
      <c r="B5731" t="s">
        <v>26951</v>
      </c>
      <c r="C5731" t="s">
        <v>14680</v>
      </c>
      <c r="D5731" t="s">
        <v>14679</v>
      </c>
      <c r="E5731" s="2" t="s">
        <v>356</v>
      </c>
      <c r="F5731" t="s">
        <v>14678</v>
      </c>
      <c r="G5731" t="str">
        <f>HYPERLINK("http://www.ikld.kr/news/articleView.html?idxno=47030")</f>
        <v>http://www.ikld.kr/news/articleView.html?idxno=47030</v>
      </c>
      <c r="H5731">
        <v>0.503</v>
      </c>
    </row>
    <row r="5732" spans="1:8" x14ac:dyDescent="0.3">
      <c r="A5732" t="s">
        <v>14631</v>
      </c>
      <c r="B5732" t="s">
        <v>26951</v>
      </c>
      <c r="C5732" t="s">
        <v>14683</v>
      </c>
      <c r="D5732" t="s">
        <v>14682</v>
      </c>
      <c r="E5732" s="2" t="s">
        <v>394</v>
      </c>
      <c r="F5732" t="s">
        <v>14681</v>
      </c>
      <c r="G5732" t="str">
        <f>HYPERLINK("https://n.news.naver.com/mnews/article/082/0000194673?sid=102")</f>
        <v>https://n.news.naver.com/mnews/article/082/0000194673?sid=102</v>
      </c>
      <c r="H5732">
        <v>0.53</v>
      </c>
    </row>
    <row r="5733" spans="1:8" x14ac:dyDescent="0.3">
      <c r="A5733" t="s">
        <v>14631</v>
      </c>
      <c r="B5733" t="s">
        <v>26951</v>
      </c>
      <c r="C5733" t="s">
        <v>14686</v>
      </c>
      <c r="D5733" t="s">
        <v>14685</v>
      </c>
      <c r="E5733" s="2" t="s">
        <v>418</v>
      </c>
      <c r="F5733" t="s">
        <v>14684</v>
      </c>
      <c r="G5733" t="str">
        <f>HYPERLINK("http://www.nspna.com/news/?mode=view&amp;newsid=61875")</f>
        <v>http://www.nspna.com/news/?mode=view&amp;newsid=61875</v>
      </c>
      <c r="H5733">
        <v>0.371</v>
      </c>
    </row>
    <row r="5734" spans="1:8" x14ac:dyDescent="0.3">
      <c r="A5734" t="s">
        <v>14631</v>
      </c>
      <c r="B5734" t="s">
        <v>26951</v>
      </c>
      <c r="C5734" t="s">
        <v>14689</v>
      </c>
      <c r="D5734" t="s">
        <v>14688</v>
      </c>
      <c r="E5734" s="2" t="s">
        <v>452</v>
      </c>
      <c r="F5734" t="s">
        <v>14687</v>
      </c>
      <c r="G5734" t="str">
        <f>HYPERLINK("https://www.newspim.com/news/view/20250616000764")</f>
        <v>https://www.newspim.com/news/view/20250616000764</v>
      </c>
      <c r="H5734">
        <v>0.55600000000000005</v>
      </c>
    </row>
    <row r="5735" spans="1:8" x14ac:dyDescent="0.3">
      <c r="A5735" t="s">
        <v>14631</v>
      </c>
      <c r="B5735" t="s">
        <v>26951</v>
      </c>
      <c r="C5735" t="s">
        <v>14690</v>
      </c>
      <c r="D5735" t="s">
        <v>14682</v>
      </c>
      <c r="E5735" s="2" t="s">
        <v>481</v>
      </c>
      <c r="F5735" t="s">
        <v>14681</v>
      </c>
      <c r="G5735" t="str">
        <f>HYPERLINK("https://n.news.naver.com/mnews/article/082/0000194673?sid=102")</f>
        <v>https://n.news.naver.com/mnews/article/082/0000194673?sid=102</v>
      </c>
      <c r="H5735">
        <v>0.54200000000000004</v>
      </c>
    </row>
    <row r="5736" spans="1:8" x14ac:dyDescent="0.3">
      <c r="A5736" t="s">
        <v>14631</v>
      </c>
      <c r="B5736" t="s">
        <v>26951</v>
      </c>
      <c r="C5736" t="s">
        <v>14693</v>
      </c>
      <c r="D5736" t="s">
        <v>14692</v>
      </c>
      <c r="E5736" s="2" t="s">
        <v>502</v>
      </c>
      <c r="F5736" t="s">
        <v>14691</v>
      </c>
      <c r="G5736" t="str">
        <f>HYPERLINK("http://www.catholicnews.co.kr/news/articleView.html?idxno=31764")</f>
        <v>http://www.catholicnews.co.kr/news/articleView.html?idxno=31764</v>
      </c>
      <c r="H5736">
        <v>0.32</v>
      </c>
    </row>
    <row r="5737" spans="1:8" x14ac:dyDescent="0.3">
      <c r="A5737" t="s">
        <v>14631</v>
      </c>
      <c r="B5737" t="s">
        <v>26951</v>
      </c>
      <c r="C5737" t="s">
        <v>14696</v>
      </c>
      <c r="D5737" t="s">
        <v>14695</v>
      </c>
      <c r="E5737" s="2" t="s">
        <v>517</v>
      </c>
      <c r="F5737" t="s">
        <v>14694</v>
      </c>
      <c r="G5737" t="str">
        <f>HYPERLINK("http://www.kidd.co.kr/news/194517")</f>
        <v>http://www.kidd.co.kr/news/194517</v>
      </c>
      <c r="H5737">
        <v>0.34499999999999997</v>
      </c>
    </row>
    <row r="5738" spans="1:8" x14ac:dyDescent="0.3">
      <c r="A5738" t="s">
        <v>14631</v>
      </c>
      <c r="B5738" t="s">
        <v>26951</v>
      </c>
      <c r="C5738" t="s">
        <v>14701</v>
      </c>
      <c r="D5738" t="s">
        <v>14700</v>
      </c>
      <c r="E5738" s="2" t="s">
        <v>517</v>
      </c>
      <c r="F5738" t="s">
        <v>14699</v>
      </c>
      <c r="G5738" t="str">
        <f>HYPERLINK("https://www.redaily.co.kr/news/articleView.html?idxno=12619")</f>
        <v>https://www.redaily.co.kr/news/articleView.html?idxno=12619</v>
      </c>
      <c r="H5738">
        <v>0.28799999999999998</v>
      </c>
    </row>
    <row r="5739" spans="1:8" x14ac:dyDescent="0.3">
      <c r="A5739" t="s">
        <v>14631</v>
      </c>
      <c r="B5739" t="s">
        <v>26951</v>
      </c>
      <c r="C5739" t="s">
        <v>14703</v>
      </c>
      <c r="D5739" t="s">
        <v>14702</v>
      </c>
      <c r="E5739" s="2" t="s">
        <v>538</v>
      </c>
      <c r="F5739" t="s">
        <v>467</v>
      </c>
      <c r="G5739" t="str">
        <f>HYPERLINK("http://www.jbsori.com/news/articleView.html?idxno=13682")</f>
        <v>http://www.jbsori.com/news/articleView.html?idxno=13682</v>
      </c>
      <c r="H5739">
        <v>0.58199999999999996</v>
      </c>
    </row>
    <row r="5740" spans="1:8" x14ac:dyDescent="0.3">
      <c r="A5740" t="s">
        <v>14631</v>
      </c>
      <c r="B5740" t="s">
        <v>26951</v>
      </c>
      <c r="C5740" t="s">
        <v>14706</v>
      </c>
      <c r="D5740" t="s">
        <v>14705</v>
      </c>
      <c r="E5740" s="2" t="s">
        <v>538</v>
      </c>
      <c r="F5740" t="s">
        <v>14704</v>
      </c>
      <c r="G5740" t="str">
        <f>HYPERLINK("https://www.iusm.co.kr/news/articleView.html?idxno=1051834")</f>
        <v>https://www.iusm.co.kr/news/articleView.html?idxno=1051834</v>
      </c>
      <c r="H5740">
        <v>0.65100000000000002</v>
      </c>
    </row>
    <row r="5741" spans="1:8" x14ac:dyDescent="0.3">
      <c r="A5741" t="s">
        <v>14631</v>
      </c>
      <c r="B5741" t="s">
        <v>26951</v>
      </c>
      <c r="C5741" t="s">
        <v>14709</v>
      </c>
      <c r="D5741" t="s">
        <v>14708</v>
      </c>
      <c r="E5741" s="2" t="s">
        <v>572</v>
      </c>
      <c r="F5741" t="s">
        <v>14707</v>
      </c>
      <c r="G5741" t="str">
        <f>HYPERLINK("https://n.news.naver.com/mnews/article/082/0000191924?sid=103")</f>
        <v>https://n.news.naver.com/mnews/article/082/0000191924?sid=103</v>
      </c>
      <c r="H5741">
        <v>0.442</v>
      </c>
    </row>
    <row r="5742" spans="1:8" x14ac:dyDescent="0.3">
      <c r="A5742" t="s">
        <v>14631</v>
      </c>
      <c r="B5742" t="s">
        <v>26951</v>
      </c>
      <c r="C5742" t="s">
        <v>14712</v>
      </c>
      <c r="D5742" t="s">
        <v>14711</v>
      </c>
      <c r="E5742" s="2" t="s">
        <v>572</v>
      </c>
      <c r="F5742" t="s">
        <v>14710</v>
      </c>
      <c r="G5742" t="str">
        <f>HYPERLINK("https://n.news.naver.com/mnews/article/082/0000158631?sid=102")</f>
        <v>https://n.news.naver.com/mnews/article/082/0000158631?sid=102</v>
      </c>
      <c r="H5742">
        <v>0.36399999999999999</v>
      </c>
    </row>
    <row r="5743" spans="1:8" x14ac:dyDescent="0.3">
      <c r="A5743" t="s">
        <v>14631</v>
      </c>
      <c r="B5743" t="s">
        <v>26951</v>
      </c>
      <c r="C5743" t="s">
        <v>14715</v>
      </c>
      <c r="D5743" t="s">
        <v>14714</v>
      </c>
      <c r="E5743" s="2" t="s">
        <v>609</v>
      </c>
      <c r="F5743" t="s">
        <v>14713</v>
      </c>
      <c r="G5743" t="str">
        <f>HYPERLINK("https://n.news.naver.com/mnews/article/028/0000090857?sid=102")</f>
        <v>https://n.news.naver.com/mnews/article/028/0000090857?sid=102</v>
      </c>
      <c r="H5743">
        <v>0.28000000000000003</v>
      </c>
    </row>
    <row r="5744" spans="1:8" x14ac:dyDescent="0.3">
      <c r="A5744" t="s">
        <v>14631</v>
      </c>
      <c r="B5744" t="s">
        <v>26951</v>
      </c>
      <c r="C5744" t="s">
        <v>14717</v>
      </c>
      <c r="D5744" t="s">
        <v>14716</v>
      </c>
      <c r="E5744" s="2" t="s">
        <v>609</v>
      </c>
      <c r="F5744" t="s">
        <v>14694</v>
      </c>
      <c r="G5744" t="str">
        <f>HYPERLINK("https://news.skbroadband.com/news/articleView.html?idxno=205160")</f>
        <v>https://news.skbroadband.com/news/articleView.html?idxno=205160</v>
      </c>
      <c r="H5744">
        <v>0.252</v>
      </c>
    </row>
    <row r="5745" spans="1:8" x14ac:dyDescent="0.3">
      <c r="A5745" t="s">
        <v>14631</v>
      </c>
      <c r="B5745" t="s">
        <v>26951</v>
      </c>
      <c r="C5745" t="s">
        <v>14720</v>
      </c>
      <c r="D5745" t="s">
        <v>14719</v>
      </c>
      <c r="E5745" s="2" t="s">
        <v>653</v>
      </c>
      <c r="F5745" t="s">
        <v>14718</v>
      </c>
      <c r="G5745" t="str">
        <f>HYPERLINK("https://n.news.naver.com/mnews/article/082/0000324000")</f>
        <v>https://n.news.naver.com/mnews/article/082/0000324000</v>
      </c>
      <c r="H5745">
        <v>0.312</v>
      </c>
    </row>
    <row r="5746" spans="1:8" x14ac:dyDescent="0.3">
      <c r="A5746" t="s">
        <v>14631</v>
      </c>
      <c r="B5746" t="s">
        <v>26951</v>
      </c>
      <c r="C5746" t="s">
        <v>14723</v>
      </c>
      <c r="D5746" t="s">
        <v>14722</v>
      </c>
      <c r="E5746" s="2" t="s">
        <v>653</v>
      </c>
      <c r="F5746" t="s">
        <v>14721</v>
      </c>
      <c r="G5746" t="str">
        <f>HYPERLINK("https://n.news.naver.com/mnews/article/022/0003598744?sid=103")</f>
        <v>https://n.news.naver.com/mnews/article/022/0003598744?sid=103</v>
      </c>
      <c r="H5746">
        <v>0.13</v>
      </c>
    </row>
    <row r="5747" spans="1:8" x14ac:dyDescent="0.3">
      <c r="A5747" t="s">
        <v>14631</v>
      </c>
      <c r="B5747" t="s">
        <v>26951</v>
      </c>
      <c r="C5747" t="s">
        <v>14726</v>
      </c>
      <c r="D5747" t="s">
        <v>14725</v>
      </c>
      <c r="E5747" s="2" t="s">
        <v>711</v>
      </c>
      <c r="F5747" t="s">
        <v>14724</v>
      </c>
      <c r="G5747" t="str">
        <f>HYPERLINK("https://news.bbsi.co.kr/news/articleView.html?idxno=4033469")</f>
        <v>https://news.bbsi.co.kr/news/articleView.html?idxno=4033469</v>
      </c>
      <c r="H5747">
        <v>0.46800000000000003</v>
      </c>
    </row>
    <row r="5748" spans="1:8" x14ac:dyDescent="0.3">
      <c r="A5748" t="s">
        <v>14631</v>
      </c>
      <c r="B5748" t="s">
        <v>26951</v>
      </c>
      <c r="C5748" t="s">
        <v>14728</v>
      </c>
      <c r="D5748" t="s">
        <v>14727</v>
      </c>
      <c r="E5748" s="2" t="s">
        <v>725</v>
      </c>
      <c r="F5748" t="s">
        <v>5790</v>
      </c>
      <c r="G5748" t="str">
        <f>HYPERLINK("http://apnews.kr/View.aspx?No=912409")</f>
        <v>http://apnews.kr/View.aspx?No=912409</v>
      </c>
      <c r="H5748">
        <v>0.64200000000000002</v>
      </c>
    </row>
    <row r="5749" spans="1:8" x14ac:dyDescent="0.3">
      <c r="A5749" t="s">
        <v>14631</v>
      </c>
      <c r="B5749" t="s">
        <v>26951</v>
      </c>
      <c r="C5749" t="s">
        <v>14730</v>
      </c>
      <c r="D5749" t="s">
        <v>14729</v>
      </c>
      <c r="E5749" s="2" t="s">
        <v>725</v>
      </c>
      <c r="F5749" t="s">
        <v>2171</v>
      </c>
      <c r="G5749" t="str">
        <f>HYPERLINK("http://www.breaknews.com/sub_read.html?uid=386827&amp;section=sc2")</f>
        <v>http://www.breaknews.com/sub_read.html?uid=386827&amp;section=sc2</v>
      </c>
      <c r="H5749">
        <v>0.36299999999999999</v>
      </c>
    </row>
    <row r="5750" spans="1:8" x14ac:dyDescent="0.3">
      <c r="A5750" t="s">
        <v>14631</v>
      </c>
      <c r="B5750" t="s">
        <v>26951</v>
      </c>
      <c r="C5750" t="s">
        <v>14732</v>
      </c>
      <c r="D5750" t="s">
        <v>14731</v>
      </c>
      <c r="E5750" s="2" t="s">
        <v>742</v>
      </c>
      <c r="F5750" t="s">
        <v>3337</v>
      </c>
      <c r="G5750" t="str">
        <f>HYPERLINK("http://theviewers.co.kr/View.aspx?No=3668028")</f>
        <v>http://theviewers.co.kr/View.aspx?No=3668028</v>
      </c>
      <c r="H5750">
        <v>0.23</v>
      </c>
    </row>
    <row r="5751" spans="1:8" x14ac:dyDescent="0.3">
      <c r="A5751" t="s">
        <v>14631</v>
      </c>
      <c r="B5751" t="s">
        <v>26951</v>
      </c>
      <c r="C5751" t="s">
        <v>14734</v>
      </c>
      <c r="D5751" t="s">
        <v>14733</v>
      </c>
      <c r="E5751" s="2" t="s">
        <v>742</v>
      </c>
      <c r="F5751" t="s">
        <v>6129</v>
      </c>
      <c r="G5751" t="str">
        <f>HYPERLINK("https://www.ekn.kr/web/view.php?key=20250422026109805")</f>
        <v>https://www.ekn.kr/web/view.php?key=20250422026109805</v>
      </c>
      <c r="H5751">
        <v>0.26200000000000001</v>
      </c>
    </row>
    <row r="5752" spans="1:8" x14ac:dyDescent="0.3">
      <c r="A5752" t="s">
        <v>14631</v>
      </c>
      <c r="B5752" t="s">
        <v>26951</v>
      </c>
      <c r="C5752" t="s">
        <v>14737</v>
      </c>
      <c r="D5752" t="s">
        <v>14736</v>
      </c>
      <c r="E5752" s="2" t="s">
        <v>742</v>
      </c>
      <c r="F5752" t="s">
        <v>14735</v>
      </c>
      <c r="G5752" t="str">
        <f>HYPERLINK("https://www.getnews.co.kr/news/articleView.html?idxno=827500")</f>
        <v>https://www.getnews.co.kr/news/articleView.html?idxno=827500</v>
      </c>
      <c r="H5752">
        <v>0.22</v>
      </c>
    </row>
    <row r="5753" spans="1:8" x14ac:dyDescent="0.3">
      <c r="A5753" t="s">
        <v>14631</v>
      </c>
      <c r="B5753" t="s">
        <v>26951</v>
      </c>
      <c r="C5753" t="s">
        <v>14739</v>
      </c>
      <c r="D5753" t="s">
        <v>14738</v>
      </c>
      <c r="E5753" s="2" t="s">
        <v>742</v>
      </c>
      <c r="F5753" t="s">
        <v>14694</v>
      </c>
      <c r="G5753" t="str">
        <f>HYPERLINK("https://n.news.naver.com/mnews/article/658/0000111686?sid=103")</f>
        <v>https://n.news.naver.com/mnews/article/658/0000111686?sid=103</v>
      </c>
      <c r="H5753">
        <v>0.161</v>
      </c>
    </row>
    <row r="5754" spans="1:8" x14ac:dyDescent="0.3">
      <c r="A5754" t="s">
        <v>14631</v>
      </c>
      <c r="B5754" t="s">
        <v>26951</v>
      </c>
      <c r="C5754" t="s">
        <v>14742</v>
      </c>
      <c r="D5754" t="s">
        <v>14741</v>
      </c>
      <c r="E5754" s="2" t="s">
        <v>799</v>
      </c>
      <c r="F5754" t="s">
        <v>14740</v>
      </c>
      <c r="G5754" t="str">
        <f>HYPERLINK("https://www.mediajeju.com/news/articleView.html?idxno=358582")</f>
        <v>https://www.mediajeju.com/news/articleView.html?idxno=358582</v>
      </c>
      <c r="H5754">
        <v>0.35799999999999998</v>
      </c>
    </row>
    <row r="5755" spans="1:8" x14ac:dyDescent="0.3">
      <c r="A5755" t="s">
        <v>14631</v>
      </c>
      <c r="B5755" t="s">
        <v>26951</v>
      </c>
      <c r="C5755" t="s">
        <v>14745</v>
      </c>
      <c r="D5755" t="s">
        <v>14744</v>
      </c>
      <c r="E5755" s="2" t="s">
        <v>799</v>
      </c>
      <c r="F5755" t="s">
        <v>14743</v>
      </c>
      <c r="G5755" t="str">
        <f>HYPERLINK("https://n.news.naver.com/mnews/article/030/0000122582?sid=102")</f>
        <v>https://n.news.naver.com/mnews/article/030/0000122582?sid=102</v>
      </c>
      <c r="H5755">
        <v>0.36899999999999999</v>
      </c>
    </row>
    <row r="5756" spans="1:8" x14ac:dyDescent="0.3">
      <c r="A5756" t="s">
        <v>14631</v>
      </c>
      <c r="B5756" t="s">
        <v>26951</v>
      </c>
      <c r="C5756" t="s">
        <v>14747</v>
      </c>
      <c r="D5756" t="s">
        <v>14746</v>
      </c>
      <c r="E5756" s="2" t="s">
        <v>840</v>
      </c>
      <c r="F5756" t="s">
        <v>1267</v>
      </c>
      <c r="G5756" t="str">
        <f>HYPERLINK("https://n.news.naver.com/mnews/article/082/0000386918?sid=101")</f>
        <v>https://n.news.naver.com/mnews/article/082/0000386918?sid=101</v>
      </c>
      <c r="H5756">
        <v>9.1999999999999998E-2</v>
      </c>
    </row>
    <row r="5757" spans="1:8" x14ac:dyDescent="0.3">
      <c r="A5757" t="s">
        <v>14631</v>
      </c>
      <c r="B5757" t="s">
        <v>26951</v>
      </c>
      <c r="C5757" t="s">
        <v>14749</v>
      </c>
      <c r="D5757" t="s">
        <v>14748</v>
      </c>
      <c r="E5757" s="2" t="s">
        <v>860</v>
      </c>
      <c r="F5757" t="s">
        <v>857</v>
      </c>
      <c r="G5757" t="str">
        <f>HYPERLINK("http://www.vogue.co.kr/?p=168425")</f>
        <v>http://www.vogue.co.kr/?p=168425</v>
      </c>
      <c r="H5757">
        <v>0.22600000000000001</v>
      </c>
    </row>
    <row r="5758" spans="1:8" x14ac:dyDescent="0.3">
      <c r="A5758" t="s">
        <v>14631</v>
      </c>
      <c r="B5758" t="s">
        <v>26951</v>
      </c>
      <c r="C5758" t="s">
        <v>14752</v>
      </c>
      <c r="D5758" t="s">
        <v>14751</v>
      </c>
      <c r="E5758" s="2" t="s">
        <v>860</v>
      </c>
      <c r="F5758" t="s">
        <v>14750</v>
      </c>
      <c r="G5758" t="str">
        <f>HYPERLINK("http://dream.kotra.or.kr/kotranews/cms/news/actionKotraBoardDetail.do?SITE_NO=3&amp;MENU_ID=110&amp;CONTENTS_NO=1&amp;bbsGbn=245&amp;bbsSn=245&amp;pNttSn=231123")</f>
        <v>http://dream.kotra.or.kr/kotranews/cms/news/actionKotraBoardDetail.do?SITE_NO=3&amp;MENU_ID=110&amp;CONTENTS_NO=1&amp;bbsGbn=245&amp;bbsSn=245&amp;pNttSn=231123</v>
      </c>
      <c r="H5758">
        <v>0.184</v>
      </c>
    </row>
    <row r="5759" spans="1:8" x14ac:dyDescent="0.3">
      <c r="A5759" t="s">
        <v>14631</v>
      </c>
      <c r="B5759" t="s">
        <v>26951</v>
      </c>
      <c r="C5759" t="s">
        <v>14755</v>
      </c>
      <c r="D5759" t="s">
        <v>14754</v>
      </c>
      <c r="E5759" s="2" t="s">
        <v>903</v>
      </c>
      <c r="F5759" t="s">
        <v>14753</v>
      </c>
      <c r="G5759" t="str">
        <f>HYPERLINK("https://n.news.naver.com/mnews/article/002/0002095149?sid=102")</f>
        <v>https://n.news.naver.com/mnews/article/002/0002095149?sid=102</v>
      </c>
      <c r="H5759">
        <v>0.26500000000000001</v>
      </c>
    </row>
    <row r="5760" spans="1:8" x14ac:dyDescent="0.3">
      <c r="A5760" t="s">
        <v>14631</v>
      </c>
      <c r="B5760" t="s">
        <v>26951</v>
      </c>
      <c r="C5760" t="s">
        <v>14758</v>
      </c>
      <c r="D5760" t="s">
        <v>14757</v>
      </c>
      <c r="E5760" s="2" t="s">
        <v>903</v>
      </c>
      <c r="F5760" t="s">
        <v>14756</v>
      </c>
      <c r="G5760" t="str">
        <f>HYPERLINK("https://www.iusm.co.kr/news/articleView.html?idxno=1048800")</f>
        <v>https://www.iusm.co.kr/news/articleView.html?idxno=1048800</v>
      </c>
      <c r="H5760">
        <v>0.65500000000000003</v>
      </c>
    </row>
    <row r="5761" spans="1:8" x14ac:dyDescent="0.3">
      <c r="A5761" t="s">
        <v>14631</v>
      </c>
      <c r="B5761" t="s">
        <v>26951</v>
      </c>
      <c r="C5761" t="s">
        <v>14760</v>
      </c>
      <c r="D5761" t="s">
        <v>14759</v>
      </c>
      <c r="E5761" s="2" t="s">
        <v>903</v>
      </c>
      <c r="F5761" t="s">
        <v>3435</v>
      </c>
      <c r="G5761" t="str">
        <f>HYPERLINK("https://news.einfomax.co.kr/news/articleView.html?idxno=4358385")</f>
        <v>https://news.einfomax.co.kr/news/articleView.html?idxno=4358385</v>
      </c>
      <c r="H5761">
        <v>0.48799999999999999</v>
      </c>
    </row>
    <row r="5762" spans="1:8" x14ac:dyDescent="0.3">
      <c r="A5762" t="s">
        <v>14761</v>
      </c>
      <c r="B5762" t="s">
        <v>26951</v>
      </c>
      <c r="C5762" t="s">
        <v>14764</v>
      </c>
      <c r="D5762" t="s">
        <v>14763</v>
      </c>
      <c r="E5762" s="2" t="s">
        <v>840</v>
      </c>
      <c r="F5762" t="s">
        <v>14762</v>
      </c>
      <c r="G5762" t="str">
        <f>HYPERLINK("https://n.news.naver.com/mnews/article/081/0003553999?sid=104")</f>
        <v>https://n.news.naver.com/mnews/article/081/0003553999?sid=104</v>
      </c>
      <c r="H5762">
        <v>0.33400000000000002</v>
      </c>
    </row>
    <row r="5763" spans="1:8" x14ac:dyDescent="0.3">
      <c r="A5763" t="s">
        <v>14761</v>
      </c>
      <c r="B5763" t="s">
        <v>26951</v>
      </c>
      <c r="C5763" t="s">
        <v>14767</v>
      </c>
      <c r="D5763" t="s">
        <v>14766</v>
      </c>
      <c r="E5763" s="2" t="s">
        <v>840</v>
      </c>
      <c r="F5763" t="s">
        <v>14765</v>
      </c>
      <c r="G5763" t="str">
        <f>HYPERLINK("http://www.interview365.com/news/articleView.html?idxno=91014")</f>
        <v>http://www.interview365.com/news/articleView.html?idxno=91014</v>
      </c>
      <c r="H5763">
        <v>0.317</v>
      </c>
    </row>
    <row r="5764" spans="1:8" x14ac:dyDescent="0.3">
      <c r="A5764" t="s">
        <v>14761</v>
      </c>
      <c r="B5764" t="s">
        <v>26951</v>
      </c>
      <c r="C5764" t="s">
        <v>14769</v>
      </c>
      <c r="D5764" t="s">
        <v>14768</v>
      </c>
      <c r="E5764" s="2" t="s">
        <v>840</v>
      </c>
      <c r="F5764" t="s">
        <v>5548</v>
      </c>
      <c r="G5764" t="str">
        <f>HYPERLINK("https://www.lecturernews.com/news/articleView.html?idxno=181393")</f>
        <v>https://www.lecturernews.com/news/articleView.html?idxno=181393</v>
      </c>
      <c r="H5764">
        <v>0.55800000000000005</v>
      </c>
    </row>
    <row r="5765" spans="1:8" x14ac:dyDescent="0.3">
      <c r="A5765" t="s">
        <v>14761</v>
      </c>
      <c r="B5765" t="s">
        <v>26951</v>
      </c>
      <c r="C5765" t="s">
        <v>14772</v>
      </c>
      <c r="D5765" t="s">
        <v>14771</v>
      </c>
      <c r="E5765" s="2" t="s">
        <v>840</v>
      </c>
      <c r="F5765" t="s">
        <v>14770</v>
      </c>
      <c r="G5765" t="str">
        <f>HYPERLINK("http://www.apsk.co.kr/news/articleView.html?idxno=32509")</f>
        <v>http://www.apsk.co.kr/news/articleView.html?idxno=32509</v>
      </c>
      <c r="H5765">
        <v>0.44500000000000001</v>
      </c>
    </row>
    <row r="5766" spans="1:8" x14ac:dyDescent="0.3">
      <c r="A5766" t="s">
        <v>14761</v>
      </c>
      <c r="B5766" t="s">
        <v>26951</v>
      </c>
      <c r="C5766" t="s">
        <v>14774</v>
      </c>
      <c r="D5766" t="s">
        <v>14773</v>
      </c>
      <c r="E5766" s="2" t="s">
        <v>840</v>
      </c>
      <c r="F5766" t="s">
        <v>10470</v>
      </c>
      <c r="G5766" t="str">
        <f>HYPERLINK("https://www.joongangenews.com/news/articleView.html?idxno=429862")</f>
        <v>https://www.joongangenews.com/news/articleView.html?idxno=429862</v>
      </c>
      <c r="H5766">
        <v>0.73699999999999999</v>
      </c>
    </row>
    <row r="5767" spans="1:8" x14ac:dyDescent="0.3">
      <c r="A5767" t="s">
        <v>14761</v>
      </c>
      <c r="B5767" t="s">
        <v>26951</v>
      </c>
      <c r="C5767" t="s">
        <v>14776</v>
      </c>
      <c r="D5767" t="s">
        <v>14775</v>
      </c>
      <c r="E5767" s="2" t="s">
        <v>840</v>
      </c>
      <c r="F5767" t="s">
        <v>9738</v>
      </c>
      <c r="G5767" t="str">
        <f>HYPERLINK("https://sports.hankooki.com/news/articleView.html?idxno=6899831")</f>
        <v>https://sports.hankooki.com/news/articleView.html?idxno=6899831</v>
      </c>
      <c r="H5767">
        <v>0.40799999999999997</v>
      </c>
    </row>
    <row r="5768" spans="1:8" x14ac:dyDescent="0.3">
      <c r="A5768" t="s">
        <v>14761</v>
      </c>
      <c r="B5768" t="s">
        <v>26951</v>
      </c>
      <c r="C5768" t="s">
        <v>14780</v>
      </c>
      <c r="D5768" t="s">
        <v>14779</v>
      </c>
      <c r="E5768" s="2" t="s">
        <v>840</v>
      </c>
      <c r="F5768" t="s">
        <v>14778</v>
      </c>
      <c r="G5768" t="str">
        <f>HYPERLINK("http://www.dynews.co.kr/news/articleView.html?idxno=805051")</f>
        <v>http://www.dynews.co.kr/news/articleView.html?idxno=805051</v>
      </c>
      <c r="H5768">
        <v>0.45600000000000002</v>
      </c>
    </row>
    <row r="5769" spans="1:8" x14ac:dyDescent="0.3">
      <c r="A5769" t="s">
        <v>14761</v>
      </c>
      <c r="B5769" t="s">
        <v>26951</v>
      </c>
      <c r="C5769" t="s">
        <v>14783</v>
      </c>
      <c r="D5769" t="s">
        <v>14782</v>
      </c>
      <c r="E5769" s="2" t="s">
        <v>840</v>
      </c>
      <c r="F5769" t="s">
        <v>14781</v>
      </c>
      <c r="G5769" t="str">
        <f>HYPERLINK("https://n.news.naver.com/mnews/article/277/0005615946?sid=102")</f>
        <v>https://n.news.naver.com/mnews/article/277/0005615946?sid=102</v>
      </c>
      <c r="H5769">
        <v>0.108</v>
      </c>
    </row>
    <row r="5770" spans="1:8" x14ac:dyDescent="0.3">
      <c r="A5770" t="s">
        <v>14761</v>
      </c>
      <c r="B5770" t="s">
        <v>26951</v>
      </c>
      <c r="C5770" t="s">
        <v>14786</v>
      </c>
      <c r="D5770" t="s">
        <v>14785</v>
      </c>
      <c r="E5770" s="2" t="s">
        <v>840</v>
      </c>
      <c r="F5770" t="s">
        <v>14784</v>
      </c>
      <c r="G5770" t="str">
        <f>HYPERLINK("https://n.news.naver.com/mnews/article/006/0000130329?sid=154")</f>
        <v>https://n.news.naver.com/mnews/article/006/0000130329?sid=154</v>
      </c>
      <c r="H5770">
        <v>0.16900000000000001</v>
      </c>
    </row>
    <row r="5771" spans="1:8" x14ac:dyDescent="0.3">
      <c r="A5771" t="s">
        <v>14761</v>
      </c>
      <c r="B5771" t="s">
        <v>26951</v>
      </c>
      <c r="C5771" t="s">
        <v>14789</v>
      </c>
      <c r="D5771" t="s">
        <v>14788</v>
      </c>
      <c r="E5771" s="2" t="s">
        <v>840</v>
      </c>
      <c r="F5771" t="s">
        <v>14787</v>
      </c>
      <c r="G5771" t="str">
        <f>HYPERLINK("http://www.biztribune.co.kr/news/articleView.html?idxno=335538")</f>
        <v>http://www.biztribune.co.kr/news/articleView.html?idxno=335538</v>
      </c>
      <c r="H5771">
        <v>0.05</v>
      </c>
    </row>
    <row r="5772" spans="1:8" x14ac:dyDescent="0.3">
      <c r="A5772" t="s">
        <v>14761</v>
      </c>
      <c r="B5772" t="s">
        <v>26951</v>
      </c>
      <c r="C5772" t="s">
        <v>14792</v>
      </c>
      <c r="D5772" t="s">
        <v>14791</v>
      </c>
      <c r="E5772" s="2" t="s">
        <v>840</v>
      </c>
      <c r="F5772" t="s">
        <v>14790</v>
      </c>
      <c r="G5772" t="str">
        <f>HYPERLINK("https://n.news.naver.com/mnews/article/032/0003378874?sid=104")</f>
        <v>https://n.news.naver.com/mnews/article/032/0003378874?sid=104</v>
      </c>
      <c r="H5772">
        <v>0.16700000000000001</v>
      </c>
    </row>
    <row r="5773" spans="1:8" x14ac:dyDescent="0.3">
      <c r="A5773" t="s">
        <v>14761</v>
      </c>
      <c r="B5773" t="s">
        <v>26951</v>
      </c>
      <c r="C5773" t="s">
        <v>14795</v>
      </c>
      <c r="D5773" t="s">
        <v>14794</v>
      </c>
      <c r="E5773" s="2" t="s">
        <v>840</v>
      </c>
      <c r="F5773" t="s">
        <v>14793</v>
      </c>
      <c r="G5773" t="str">
        <f>HYPERLINK("https://n.news.naver.com/mnews/article/008/0005202776?sid=102")</f>
        <v>https://n.news.naver.com/mnews/article/008/0005202776?sid=102</v>
      </c>
      <c r="H5773">
        <v>0.33600000000000002</v>
      </c>
    </row>
    <row r="5774" spans="1:8" x14ac:dyDescent="0.3">
      <c r="A5774" t="s">
        <v>14761</v>
      </c>
      <c r="B5774" t="s">
        <v>26951</v>
      </c>
      <c r="C5774" t="s">
        <v>14798</v>
      </c>
      <c r="D5774" t="s">
        <v>14797</v>
      </c>
      <c r="E5774" s="2" t="s">
        <v>840</v>
      </c>
      <c r="F5774" t="s">
        <v>14796</v>
      </c>
      <c r="G5774" t="str">
        <f>HYPERLINK("https://www.gqkorea.co.kr/2024/03/13/%ec%9a%94%eb%a6%ac%ec%99%80-%ed%95%a8%ea%bb%98-%ec%b1%85%ec%9d%84-%eb%b0%b0%eb%8b%ac-%ec%8b%9c%ed%82%a8%eb%8b%a4%eb%a9%b4/?utm_source=naver&amp;utm_medium=partnership")</f>
        <v>https://www.gqkorea.co.kr/2024/03/13/%ec%9a%94%eb%a6%ac%ec%99%80-%ed%95%a8%ea%bb%98-%ec%b1%85%ec%9d%84-%eb%b0%b0%eb%8b%ac-%ec%8b%9c%ed%82%a8%eb%8b%a4%eb%a9%b4/?utm_source=naver&amp;utm_medium=partnership</v>
      </c>
      <c r="H5774">
        <v>0.68200000000000005</v>
      </c>
    </row>
    <row r="5775" spans="1:8" x14ac:dyDescent="0.3">
      <c r="A5775" t="s">
        <v>14761</v>
      </c>
      <c r="B5775" t="s">
        <v>26951</v>
      </c>
      <c r="C5775" t="s">
        <v>14801</v>
      </c>
      <c r="D5775" t="s">
        <v>14800</v>
      </c>
      <c r="E5775" s="2" t="s">
        <v>840</v>
      </c>
      <c r="F5775" t="s">
        <v>14799</v>
      </c>
      <c r="G5775" t="str">
        <f>HYPERLINK("http://www.enewstoday.co.kr/news/articleView.html?idxno=2289222")</f>
        <v>http://www.enewstoday.co.kr/news/articleView.html?idxno=2289222</v>
      </c>
      <c r="H5775">
        <v>0.49199999999999999</v>
      </c>
    </row>
    <row r="5776" spans="1:8" x14ac:dyDescent="0.3">
      <c r="A5776" t="s">
        <v>14761</v>
      </c>
      <c r="B5776" t="s">
        <v>26951</v>
      </c>
      <c r="C5776" t="s">
        <v>14804</v>
      </c>
      <c r="D5776" t="s">
        <v>14803</v>
      </c>
      <c r="E5776" s="2" t="s">
        <v>840</v>
      </c>
      <c r="F5776" t="s">
        <v>14802</v>
      </c>
      <c r="G5776" t="str">
        <f>HYPERLINK("https://www.geconomy.co.kr/news/article.html?no=300411")</f>
        <v>https://www.geconomy.co.kr/news/article.html?no=300411</v>
      </c>
      <c r="H5776">
        <v>0.91100000000000003</v>
      </c>
    </row>
    <row r="5777" spans="1:8" x14ac:dyDescent="0.3">
      <c r="A5777" t="s">
        <v>14761</v>
      </c>
      <c r="B5777" t="s">
        <v>26951</v>
      </c>
      <c r="C5777" t="s">
        <v>14807</v>
      </c>
      <c r="D5777" t="s">
        <v>14806</v>
      </c>
      <c r="E5777" s="2" t="s">
        <v>840</v>
      </c>
      <c r="F5777" t="s">
        <v>14805</v>
      </c>
      <c r="G5777" t="str">
        <f>HYPERLINK("https://n.news.naver.com/mnews/article/014/0005370944?sid=102")</f>
        <v>https://n.news.naver.com/mnews/article/014/0005370944?sid=102</v>
      </c>
      <c r="H5777">
        <v>0.29499999999999998</v>
      </c>
    </row>
    <row r="5778" spans="1:8" x14ac:dyDescent="0.3">
      <c r="A5778" t="s">
        <v>14761</v>
      </c>
      <c r="B5778" t="s">
        <v>26951</v>
      </c>
      <c r="C5778" t="s">
        <v>14810</v>
      </c>
      <c r="D5778" t="s">
        <v>14809</v>
      </c>
      <c r="E5778" s="2" t="s">
        <v>840</v>
      </c>
      <c r="F5778" t="s">
        <v>14808</v>
      </c>
      <c r="G5778" t="str">
        <f>HYPERLINK("http://www.pdjournal.com/news/articleView.html?idxno=26750")</f>
        <v>http://www.pdjournal.com/news/articleView.html?idxno=26750</v>
      </c>
      <c r="H5778">
        <v>0.51400000000000001</v>
      </c>
    </row>
    <row r="5779" spans="1:8" x14ac:dyDescent="0.3">
      <c r="A5779" t="s">
        <v>14761</v>
      </c>
      <c r="B5779" t="s">
        <v>26951</v>
      </c>
      <c r="C5779" t="s">
        <v>9931</v>
      </c>
      <c r="D5779" t="s">
        <v>9930</v>
      </c>
      <c r="E5779" s="2" t="s">
        <v>840</v>
      </c>
      <c r="F5779" t="s">
        <v>9929</v>
      </c>
      <c r="G5779" t="str">
        <f>HYPERLINK("http://www.newsway.co.kr/view.php?tp=1&amp;ud=2016053016431733907")</f>
        <v>http://www.newsway.co.kr/view.php?tp=1&amp;ud=2016053016431733907</v>
      </c>
      <c r="H5779">
        <v>0.372</v>
      </c>
    </row>
    <row r="5780" spans="1:8" x14ac:dyDescent="0.3">
      <c r="A5780" t="s">
        <v>14761</v>
      </c>
      <c r="B5780" t="s">
        <v>26951</v>
      </c>
      <c r="C5780" t="s">
        <v>14813</v>
      </c>
      <c r="D5780" t="s">
        <v>14812</v>
      </c>
      <c r="E5780" s="2" t="s">
        <v>840</v>
      </c>
      <c r="F5780" t="s">
        <v>14811</v>
      </c>
      <c r="G5780" t="str">
        <f>HYPERLINK("https://www.discoverynews.kr/news/articleView.html?idxno=1042001")</f>
        <v>https://www.discoverynews.kr/news/articleView.html?idxno=1042001</v>
      </c>
      <c r="H5780">
        <v>0.39300000000000002</v>
      </c>
    </row>
    <row r="5781" spans="1:8" x14ac:dyDescent="0.3">
      <c r="A5781" t="s">
        <v>14761</v>
      </c>
      <c r="B5781" t="s">
        <v>26951</v>
      </c>
      <c r="C5781" t="s">
        <v>14815</v>
      </c>
      <c r="D5781" t="s">
        <v>14814</v>
      </c>
      <c r="E5781" s="2" t="s">
        <v>840</v>
      </c>
      <c r="F5781" t="s">
        <v>171</v>
      </c>
      <c r="G5781" t="str">
        <f>HYPERLINK("http://www.ggilbo.com/news/articleView.html?idxno=701020")</f>
        <v>http://www.ggilbo.com/news/articleView.html?idxno=701020</v>
      </c>
      <c r="H5781">
        <v>0.5</v>
      </c>
    </row>
    <row r="5782" spans="1:8" x14ac:dyDescent="0.3">
      <c r="A5782" t="s">
        <v>14761</v>
      </c>
      <c r="B5782" t="s">
        <v>26951</v>
      </c>
      <c r="C5782" t="s">
        <v>14818</v>
      </c>
      <c r="D5782" t="s">
        <v>14817</v>
      </c>
      <c r="E5782" s="2" t="s">
        <v>840</v>
      </c>
      <c r="F5782" t="s">
        <v>14816</v>
      </c>
      <c r="G5782" t="str">
        <f>HYPERLINK("https://www.lecturernews.com/news/articleView.html?idxno=179463")</f>
        <v>https://www.lecturernews.com/news/articleView.html?idxno=179463</v>
      </c>
      <c r="H5782">
        <v>0.58799999999999997</v>
      </c>
    </row>
    <row r="5783" spans="1:8" x14ac:dyDescent="0.3">
      <c r="A5783" t="s">
        <v>14761</v>
      </c>
      <c r="B5783" t="s">
        <v>26951</v>
      </c>
      <c r="C5783" t="s">
        <v>14820</v>
      </c>
      <c r="D5783" t="s">
        <v>14819</v>
      </c>
      <c r="E5783" s="2" t="s">
        <v>840</v>
      </c>
      <c r="F5783" t="s">
        <v>817</v>
      </c>
      <c r="G5783" t="str">
        <f>HYPERLINK("http://www.etoday.co.kr/news/section/newsview.php?idxno=1519153")</f>
        <v>http://www.etoday.co.kr/news/section/newsview.php?idxno=1519153</v>
      </c>
      <c r="H5783">
        <v>0.47099999999999997</v>
      </c>
    </row>
    <row r="5784" spans="1:8" x14ac:dyDescent="0.3">
      <c r="A5784" t="s">
        <v>14761</v>
      </c>
      <c r="B5784" t="s">
        <v>26951</v>
      </c>
      <c r="C5784" t="s">
        <v>14823</v>
      </c>
      <c r="D5784" t="s">
        <v>14822</v>
      </c>
      <c r="E5784" s="2" t="s">
        <v>840</v>
      </c>
      <c r="F5784" t="s">
        <v>14821</v>
      </c>
      <c r="G5784" t="str">
        <f>HYPERLINK("https://www.vogue.co.kr/2025/06/23/%ec%9a%b0%eb%a6%ac%ec%9d%98-%ea%b7%b8%eb%85%80%eb%93%a4-%ec%ba%90%eb%a6%ac%ec%99%80-%ec%83%ac%eb%a1%af-%eb%af%b8%eb%9e%80%eb%8b%a4%eb%a5%bc-%eb%a7%8c%eb%82%98%eb%8b%a4/?utm_source=naver&amp;utm_medium=partnership")</f>
        <v>https://www.vogue.co.kr/2025/06/23/%ec%9a%b0%eb%a6%ac%ec%9d%98-%ea%b7%b8%eb%85%80%eb%93%a4-%ec%ba%90%eb%a6%ac%ec%99%80-%ec%83%ac%eb%a1%af-%eb%af%b8%eb%9e%80%eb%8b%a4%eb%a5%bc-%eb%a7%8c%eb%82%98%eb%8b%a4/?utm_source=naver&amp;utm_medium=partnership</v>
      </c>
      <c r="H5784">
        <v>0.498</v>
      </c>
    </row>
    <row r="5785" spans="1:8" x14ac:dyDescent="0.3">
      <c r="A5785" t="s">
        <v>14761</v>
      </c>
      <c r="B5785" t="s">
        <v>26951</v>
      </c>
      <c r="C5785" t="s">
        <v>14825</v>
      </c>
      <c r="D5785" t="s">
        <v>14824</v>
      </c>
      <c r="E5785" s="2" t="s">
        <v>840</v>
      </c>
      <c r="F5785" t="s">
        <v>1377</v>
      </c>
      <c r="G5785" t="str">
        <f>HYPERLINK("https://dealsite.co.kr/articles/140834")</f>
        <v>https://dealsite.co.kr/articles/140834</v>
      </c>
      <c r="H5785">
        <v>0.24</v>
      </c>
    </row>
    <row r="5786" spans="1:8" x14ac:dyDescent="0.3">
      <c r="A5786" t="s">
        <v>14761</v>
      </c>
      <c r="B5786" t="s">
        <v>26951</v>
      </c>
      <c r="C5786" t="s">
        <v>14827</v>
      </c>
      <c r="D5786" t="s">
        <v>14826</v>
      </c>
      <c r="E5786" s="2" t="s">
        <v>840</v>
      </c>
      <c r="F5786" t="s">
        <v>6486</v>
      </c>
      <c r="G5786" t="str">
        <f>HYPERLINK("https://www.ggilbo.com/news/articleView.html?idxno=1097294")</f>
        <v>https://www.ggilbo.com/news/articleView.html?idxno=1097294</v>
      </c>
      <c r="H5786">
        <v>0.36799999999999999</v>
      </c>
    </row>
    <row r="5787" spans="1:8" x14ac:dyDescent="0.3">
      <c r="A5787" t="s">
        <v>14761</v>
      </c>
      <c r="B5787" t="s">
        <v>26951</v>
      </c>
      <c r="C5787" t="s">
        <v>14829</v>
      </c>
      <c r="D5787" t="s">
        <v>14828</v>
      </c>
      <c r="E5787" s="2" t="s">
        <v>725</v>
      </c>
      <c r="F5787" t="s">
        <v>10227</v>
      </c>
      <c r="G5787" t="str">
        <f>HYPERLINK("https://n.news.naver.com/mnews/article/055/0001270714?sid=104")</f>
        <v>https://n.news.naver.com/mnews/article/055/0001270714?sid=104</v>
      </c>
      <c r="H5787">
        <v>0.27600000000000002</v>
      </c>
    </row>
    <row r="5788" spans="1:8" x14ac:dyDescent="0.3">
      <c r="A5788" t="s">
        <v>14761</v>
      </c>
      <c r="B5788" t="s">
        <v>26951</v>
      </c>
      <c r="C5788" t="s">
        <v>14831</v>
      </c>
      <c r="D5788" t="s">
        <v>14830</v>
      </c>
      <c r="E5788" s="2" t="s">
        <v>725</v>
      </c>
      <c r="F5788" t="s">
        <v>1377</v>
      </c>
      <c r="G5788" t="str">
        <f>HYPERLINK("https://sports.hankooki.com/news/articleView.html?idxno=6900067")</f>
        <v>https://sports.hankooki.com/news/articleView.html?idxno=6900067</v>
      </c>
      <c r="H5788">
        <v>0.56299999999999994</v>
      </c>
    </row>
    <row r="5789" spans="1:8" x14ac:dyDescent="0.3">
      <c r="A5789" t="s">
        <v>14761</v>
      </c>
      <c r="B5789" t="s">
        <v>26951</v>
      </c>
      <c r="C5789" t="s">
        <v>14834</v>
      </c>
      <c r="D5789" t="s">
        <v>14833</v>
      </c>
      <c r="E5789" s="2" t="s">
        <v>725</v>
      </c>
      <c r="F5789" t="s">
        <v>14832</v>
      </c>
      <c r="G5789" t="str">
        <f>HYPERLINK("https://www.ablenews.co.kr/news/articleView.html?idxno=222050")</f>
        <v>https://www.ablenews.co.kr/news/articleView.html?idxno=222050</v>
      </c>
      <c r="H5789">
        <v>0.504</v>
      </c>
    </row>
    <row r="5790" spans="1:8" x14ac:dyDescent="0.3">
      <c r="A5790" t="s">
        <v>14761</v>
      </c>
      <c r="B5790" t="s">
        <v>26951</v>
      </c>
      <c r="C5790" t="s">
        <v>14837</v>
      </c>
      <c r="D5790" t="s">
        <v>14836</v>
      </c>
      <c r="E5790" s="2" t="s">
        <v>725</v>
      </c>
      <c r="F5790" t="s">
        <v>14835</v>
      </c>
      <c r="G5790" t="str">
        <f>HYPERLINK("http://www.jbnews.com/news/articleView.html?idxno=1434979")</f>
        <v>http://www.jbnews.com/news/articleView.html?idxno=1434979</v>
      </c>
      <c r="H5790">
        <v>0.54</v>
      </c>
    </row>
    <row r="5791" spans="1:8" x14ac:dyDescent="0.3">
      <c r="A5791" t="s">
        <v>14761</v>
      </c>
      <c r="B5791" t="s">
        <v>26951</v>
      </c>
      <c r="C5791" t="s">
        <v>14840</v>
      </c>
      <c r="D5791" t="s">
        <v>14839</v>
      </c>
      <c r="E5791" s="2" t="s">
        <v>725</v>
      </c>
      <c r="F5791" t="s">
        <v>14838</v>
      </c>
      <c r="G5791" t="str">
        <f>HYPERLINK("http://www.incheonin.com/news/articleView.html?idxno=110437")</f>
        <v>http://www.incheonin.com/news/articleView.html?idxno=110437</v>
      </c>
      <c r="H5791">
        <v>0.34699999999999998</v>
      </c>
    </row>
    <row r="5792" spans="1:8" x14ac:dyDescent="0.3">
      <c r="A5792" t="s">
        <v>14761</v>
      </c>
      <c r="B5792" t="s">
        <v>26951</v>
      </c>
      <c r="C5792" t="s">
        <v>14842</v>
      </c>
      <c r="D5792" t="s">
        <v>14841</v>
      </c>
      <c r="E5792" s="2" t="s">
        <v>725</v>
      </c>
      <c r="F5792" t="s">
        <v>10120</v>
      </c>
      <c r="G5792" t="str">
        <f>HYPERLINK("https://www.viva100.com/article/20250701501174")</f>
        <v>https://www.viva100.com/article/20250701501174</v>
      </c>
      <c r="H5792">
        <v>0.30099999999999999</v>
      </c>
    </row>
    <row r="5793" spans="1:8" x14ac:dyDescent="0.3">
      <c r="A5793" t="s">
        <v>14761</v>
      </c>
      <c r="B5793" t="s">
        <v>26951</v>
      </c>
      <c r="C5793" t="s">
        <v>14845</v>
      </c>
      <c r="D5793" t="s">
        <v>14844</v>
      </c>
      <c r="E5793" s="2" t="s">
        <v>725</v>
      </c>
      <c r="F5793" t="s">
        <v>14843</v>
      </c>
      <c r="G5793" t="str">
        <f>HYPERLINK("https://www.goodkyung.com/news/articleView.html?idxno=262998")</f>
        <v>https://www.goodkyung.com/news/articleView.html?idxno=262998</v>
      </c>
      <c r="H5793">
        <v>0.33600000000000002</v>
      </c>
    </row>
    <row r="5794" spans="1:8" x14ac:dyDescent="0.3">
      <c r="A5794" t="s">
        <v>14761</v>
      </c>
      <c r="B5794" t="s">
        <v>26951</v>
      </c>
      <c r="C5794" t="s">
        <v>14848</v>
      </c>
      <c r="D5794" t="s">
        <v>14847</v>
      </c>
      <c r="E5794" s="2" t="s">
        <v>725</v>
      </c>
      <c r="F5794" t="s">
        <v>14846</v>
      </c>
      <c r="G5794" t="str">
        <f>HYPERLINK("http://www.sisaon.co.kr/news/articleView.html?idxno=172518")</f>
        <v>http://www.sisaon.co.kr/news/articleView.html?idxno=172518</v>
      </c>
      <c r="H5794">
        <v>0.52</v>
      </c>
    </row>
    <row r="5795" spans="1:8" x14ac:dyDescent="0.3">
      <c r="A5795" t="s">
        <v>14761</v>
      </c>
      <c r="B5795" t="s">
        <v>26951</v>
      </c>
      <c r="C5795" t="s">
        <v>14851</v>
      </c>
      <c r="D5795" t="s">
        <v>14850</v>
      </c>
      <c r="E5795" s="2" t="s">
        <v>725</v>
      </c>
      <c r="F5795" t="s">
        <v>14849</v>
      </c>
      <c r="G5795" t="str">
        <f>HYPERLINK("https://www.meconomynews.com/news/articleView.html?idxno=105034")</f>
        <v>https://www.meconomynews.com/news/articleView.html?idxno=105034</v>
      </c>
      <c r="H5795">
        <v>0.58499999999999996</v>
      </c>
    </row>
    <row r="5796" spans="1:8" x14ac:dyDescent="0.3">
      <c r="A5796" t="s">
        <v>14761</v>
      </c>
      <c r="B5796" t="s">
        <v>26951</v>
      </c>
      <c r="C5796" t="s">
        <v>14854</v>
      </c>
      <c r="D5796" t="s">
        <v>14853</v>
      </c>
      <c r="E5796" s="2" t="s">
        <v>725</v>
      </c>
      <c r="F5796" t="s">
        <v>14852</v>
      </c>
      <c r="G5796" t="str">
        <f>HYPERLINK("https://n.news.naver.com/mnews/article/014/0005370472?sid=100")</f>
        <v>https://n.news.naver.com/mnews/article/014/0005370472?sid=100</v>
      </c>
      <c r="H5796">
        <v>0.128</v>
      </c>
    </row>
    <row r="5797" spans="1:8" x14ac:dyDescent="0.3">
      <c r="A5797" t="s">
        <v>14761</v>
      </c>
      <c r="B5797" t="s">
        <v>26951</v>
      </c>
      <c r="C5797" t="s">
        <v>14856</v>
      </c>
      <c r="D5797" t="s">
        <v>14855</v>
      </c>
      <c r="E5797" s="2" t="s">
        <v>725</v>
      </c>
      <c r="F5797" t="s">
        <v>9679</v>
      </c>
      <c r="G5797" t="str">
        <f>HYPERLINK("https://n.news.naver.com/mnews/article/008/0003670031?sid=100")</f>
        <v>https://n.news.naver.com/mnews/article/008/0003670031?sid=100</v>
      </c>
      <c r="H5797">
        <v>0.30199999999999999</v>
      </c>
    </row>
    <row r="5798" spans="1:8" x14ac:dyDescent="0.3">
      <c r="A5798" t="s">
        <v>14761</v>
      </c>
      <c r="B5798" t="s">
        <v>26951</v>
      </c>
      <c r="C5798" t="s">
        <v>14859</v>
      </c>
      <c r="D5798" t="s">
        <v>14858</v>
      </c>
      <c r="E5798" s="2" t="s">
        <v>725</v>
      </c>
      <c r="F5798" t="s">
        <v>14857</v>
      </c>
      <c r="G5798" t="str">
        <f>HYPERLINK("https://n.news.naver.com/mnews/article/055/0001146591?sid=165")</f>
        <v>https://n.news.naver.com/mnews/article/055/0001146591?sid=165</v>
      </c>
      <c r="H5798">
        <v>4.1000000000000002E-2</v>
      </c>
    </row>
    <row r="5799" spans="1:8" x14ac:dyDescent="0.3">
      <c r="A5799" t="s">
        <v>14761</v>
      </c>
      <c r="B5799" t="s">
        <v>26951</v>
      </c>
      <c r="C5799" t="s">
        <v>14861</v>
      </c>
      <c r="D5799" t="s">
        <v>14860</v>
      </c>
      <c r="E5799" s="2" t="s">
        <v>725</v>
      </c>
      <c r="F5799" t="s">
        <v>1606</v>
      </c>
      <c r="G5799" t="str">
        <f>HYPERLINK("https://www.pointe.co.kr/news/articleView.html?idxno=46182")</f>
        <v>https://www.pointe.co.kr/news/articleView.html?idxno=46182</v>
      </c>
      <c r="H5799">
        <v>0.54100000000000004</v>
      </c>
    </row>
    <row r="5800" spans="1:8" x14ac:dyDescent="0.3">
      <c r="A5800" t="s">
        <v>14761</v>
      </c>
      <c r="B5800" t="s">
        <v>26951</v>
      </c>
      <c r="C5800" t="s">
        <v>14864</v>
      </c>
      <c r="D5800" t="s">
        <v>14863</v>
      </c>
      <c r="E5800" s="2" t="s">
        <v>725</v>
      </c>
      <c r="F5800" t="s">
        <v>14862</v>
      </c>
      <c r="G5800" t="str">
        <f>HYPERLINK("http://www.etoday.co.kr/news/section/newsview.php?TM=news&amp;SM=5199&amp;idxno=394740")</f>
        <v>http://www.etoday.co.kr/news/section/newsview.php?TM=news&amp;SM=5199&amp;idxno=394740</v>
      </c>
      <c r="H5800">
        <v>0.42699999999999999</v>
      </c>
    </row>
    <row r="5801" spans="1:8" x14ac:dyDescent="0.3">
      <c r="A5801" t="s">
        <v>14761</v>
      </c>
      <c r="B5801" t="s">
        <v>26951</v>
      </c>
      <c r="C5801" t="s">
        <v>14867</v>
      </c>
      <c r="D5801" t="s">
        <v>14866</v>
      </c>
      <c r="E5801" s="2" t="s">
        <v>725</v>
      </c>
      <c r="F5801" t="s">
        <v>14865</v>
      </c>
      <c r="G5801" t="str">
        <f>HYPERLINK("https://sports.hankooki.com/news/articleView.html?idxno=6889307")</f>
        <v>https://sports.hankooki.com/news/articleView.html?idxno=6889307</v>
      </c>
      <c r="H5801">
        <v>0.49199999999999999</v>
      </c>
    </row>
    <row r="5802" spans="1:8" x14ac:dyDescent="0.3">
      <c r="A5802" t="s">
        <v>14761</v>
      </c>
      <c r="B5802" t="s">
        <v>26951</v>
      </c>
      <c r="C5802" t="s">
        <v>14870</v>
      </c>
      <c r="D5802" t="s">
        <v>14869</v>
      </c>
      <c r="E5802" s="2" t="s">
        <v>725</v>
      </c>
      <c r="F5802" t="s">
        <v>14868</v>
      </c>
      <c r="G5802" t="str">
        <f>HYPERLINK("https://www.it-b.co.kr/news/articleView.html?idxno=82226")</f>
        <v>https://www.it-b.co.kr/news/articleView.html?idxno=82226</v>
      </c>
      <c r="H5802">
        <v>0.67100000000000004</v>
      </c>
    </row>
    <row r="5803" spans="1:8" x14ac:dyDescent="0.3">
      <c r="A5803" t="s">
        <v>14761</v>
      </c>
      <c r="B5803" t="s">
        <v>26951</v>
      </c>
      <c r="C5803" t="s">
        <v>14872</v>
      </c>
      <c r="D5803" t="s">
        <v>14871</v>
      </c>
      <c r="E5803" s="2" t="s">
        <v>725</v>
      </c>
      <c r="F5803" t="s">
        <v>9932</v>
      </c>
      <c r="G5803" t="str">
        <f>HYPERLINK("https://sports.hankooki.com/news/articleView.html?idxno=6900065")</f>
        <v>https://sports.hankooki.com/news/articleView.html?idxno=6900065</v>
      </c>
      <c r="H5803">
        <v>0.71199999999999997</v>
      </c>
    </row>
    <row r="5804" spans="1:8" x14ac:dyDescent="0.3">
      <c r="A5804" t="s">
        <v>14761</v>
      </c>
      <c r="B5804" t="s">
        <v>26951</v>
      </c>
      <c r="C5804" t="s">
        <v>14875</v>
      </c>
      <c r="D5804" t="s">
        <v>14874</v>
      </c>
      <c r="E5804" s="2" t="s">
        <v>725</v>
      </c>
      <c r="F5804" t="s">
        <v>14873</v>
      </c>
      <c r="G5804" t="str">
        <f>HYPERLINK("https://n.news.naver.com/mnews/article/081/0003553999?sid=104")</f>
        <v>https://n.news.naver.com/mnews/article/081/0003553999?sid=104</v>
      </c>
      <c r="H5804">
        <v>0.28199999999999997</v>
      </c>
    </row>
    <row r="5805" spans="1:8" x14ac:dyDescent="0.3">
      <c r="A5805" t="s">
        <v>14761</v>
      </c>
      <c r="B5805" t="s">
        <v>26951</v>
      </c>
      <c r="C5805" t="s">
        <v>14877</v>
      </c>
      <c r="D5805" t="s">
        <v>14876</v>
      </c>
      <c r="E5805" s="2" t="s">
        <v>725</v>
      </c>
      <c r="F5805" t="s">
        <v>11313</v>
      </c>
      <c r="G5805" t="str">
        <f>HYPERLINK("https://sports.hankooki.com/news/articleView.html?idxno=6899896")</f>
        <v>https://sports.hankooki.com/news/articleView.html?idxno=6899896</v>
      </c>
      <c r="H5805">
        <v>0.56100000000000005</v>
      </c>
    </row>
    <row r="5806" spans="1:8" x14ac:dyDescent="0.3">
      <c r="A5806" t="s">
        <v>14761</v>
      </c>
      <c r="B5806" t="s">
        <v>26951</v>
      </c>
      <c r="C5806" t="s">
        <v>14881</v>
      </c>
      <c r="D5806" t="s">
        <v>14880</v>
      </c>
      <c r="E5806" s="2" t="s">
        <v>725</v>
      </c>
      <c r="F5806" t="s">
        <v>14879</v>
      </c>
      <c r="G5806" t="str">
        <f>HYPERLINK("https://www.ibabynews.com/news/articleView.html?idxno=100413")</f>
        <v>https://www.ibabynews.com/news/articleView.html?idxno=100413</v>
      </c>
      <c r="H5806">
        <v>0.41299999999999998</v>
      </c>
    </row>
    <row r="5807" spans="1:8" x14ac:dyDescent="0.3">
      <c r="A5807" t="s">
        <v>14761</v>
      </c>
      <c r="B5807" t="s">
        <v>26951</v>
      </c>
      <c r="C5807" t="s">
        <v>14884</v>
      </c>
      <c r="D5807" t="s">
        <v>14883</v>
      </c>
      <c r="E5807" s="2" t="s">
        <v>725</v>
      </c>
      <c r="F5807" t="s">
        <v>14882</v>
      </c>
      <c r="G5807" t="str">
        <f>HYPERLINK("http://www.pdjournal.com/news/articleView.html?idxno=37402")</f>
        <v>http://www.pdjournal.com/news/articleView.html?idxno=37402</v>
      </c>
      <c r="H5807">
        <v>0.46300000000000002</v>
      </c>
    </row>
    <row r="5808" spans="1:8" x14ac:dyDescent="0.3">
      <c r="A5808" t="s">
        <v>14761</v>
      </c>
      <c r="B5808" t="s">
        <v>26951</v>
      </c>
      <c r="C5808" t="s">
        <v>14887</v>
      </c>
      <c r="D5808" t="s">
        <v>14886</v>
      </c>
      <c r="E5808" s="2" t="s">
        <v>725</v>
      </c>
      <c r="F5808" t="s">
        <v>14885</v>
      </c>
      <c r="G5808" t="str">
        <f>HYPERLINK("http://www.hansbiz.co.kr/news/articleView.html?idxno=756411")</f>
        <v>http://www.hansbiz.co.kr/news/articleView.html?idxno=756411</v>
      </c>
      <c r="H5808">
        <v>0.56599999999999995</v>
      </c>
    </row>
    <row r="5809" spans="1:8" x14ac:dyDescent="0.3">
      <c r="A5809" t="s">
        <v>14761</v>
      </c>
      <c r="B5809" t="s">
        <v>26951</v>
      </c>
      <c r="C5809" t="s">
        <v>14889</v>
      </c>
      <c r="D5809" t="s">
        <v>14888</v>
      </c>
      <c r="E5809" s="2" t="s">
        <v>725</v>
      </c>
      <c r="F5809" t="s">
        <v>9944</v>
      </c>
      <c r="G5809" t="str">
        <f>HYPERLINK("http://www.koreastocknews.com/news/articleView.html?idxno=78804")</f>
        <v>http://www.koreastocknews.com/news/articleView.html?idxno=78804</v>
      </c>
      <c r="H5809">
        <v>0.46</v>
      </c>
    </row>
    <row r="5810" spans="1:8" x14ac:dyDescent="0.3">
      <c r="A5810" t="s">
        <v>14761</v>
      </c>
      <c r="B5810" t="s">
        <v>26951</v>
      </c>
      <c r="C5810" t="s">
        <v>14891</v>
      </c>
      <c r="D5810" t="s">
        <v>14890</v>
      </c>
      <c r="E5810" s="2" t="s">
        <v>725</v>
      </c>
      <c r="F5810" t="s">
        <v>171</v>
      </c>
      <c r="G5810" t="str">
        <f>HYPERLINK("https://sports.hankooki.com/news/articleView.html?idxno=6900119")</f>
        <v>https://sports.hankooki.com/news/articleView.html?idxno=6900119</v>
      </c>
      <c r="H5810">
        <v>0.629</v>
      </c>
    </row>
    <row r="5811" spans="1:8" x14ac:dyDescent="0.3">
      <c r="A5811" t="s">
        <v>14761</v>
      </c>
      <c r="B5811" t="s">
        <v>26951</v>
      </c>
      <c r="C5811" t="s">
        <v>14893</v>
      </c>
      <c r="D5811" t="s">
        <v>14892</v>
      </c>
      <c r="E5811" s="2" t="s">
        <v>725</v>
      </c>
      <c r="F5811" t="s">
        <v>171</v>
      </c>
      <c r="G5811" t="str">
        <f>HYPERLINK("http://www.koreastocknews.com/news/articleView.html?idxno=97965")</f>
        <v>http://www.koreastocknews.com/news/articleView.html?idxno=97965</v>
      </c>
      <c r="H5811">
        <v>0.56399999999999995</v>
      </c>
    </row>
    <row r="5812" spans="1:8" x14ac:dyDescent="0.3">
      <c r="A5812" t="s">
        <v>14761</v>
      </c>
      <c r="B5812" t="s">
        <v>26951</v>
      </c>
      <c r="C5812" t="s">
        <v>14896</v>
      </c>
      <c r="D5812" t="s">
        <v>14895</v>
      </c>
      <c r="E5812" s="2" t="s">
        <v>725</v>
      </c>
      <c r="F5812" t="s">
        <v>14894</v>
      </c>
      <c r="G5812" t="str">
        <f>HYPERLINK("https://www.joongboo.com/news/articleView.html?idxno=363693085")</f>
        <v>https://www.joongboo.com/news/articleView.html?idxno=363693085</v>
      </c>
      <c r="H5812">
        <v>0.317</v>
      </c>
    </row>
    <row r="5813" spans="1:8" x14ac:dyDescent="0.3">
      <c r="A5813" t="s">
        <v>14761</v>
      </c>
      <c r="B5813" t="s">
        <v>26951</v>
      </c>
      <c r="C5813" t="s">
        <v>14898</v>
      </c>
      <c r="D5813" t="s">
        <v>14897</v>
      </c>
      <c r="E5813" s="2" t="s">
        <v>725</v>
      </c>
      <c r="F5813" t="s">
        <v>5630</v>
      </c>
      <c r="G5813" t="str">
        <f>HYPERLINK("http://www.sisaon.co.kr/news/articleView.html?idxno=172459")</f>
        <v>http://www.sisaon.co.kr/news/articleView.html?idxno=172459</v>
      </c>
      <c r="H5813">
        <v>0.47199999999999998</v>
      </c>
    </row>
    <row r="5814" spans="1:8" x14ac:dyDescent="0.3">
      <c r="A5814" t="s">
        <v>14761</v>
      </c>
      <c r="B5814" t="s">
        <v>26951</v>
      </c>
      <c r="C5814" t="s">
        <v>14901</v>
      </c>
      <c r="D5814" t="s">
        <v>14900</v>
      </c>
      <c r="E5814" s="2" t="s">
        <v>725</v>
      </c>
      <c r="F5814" t="s">
        <v>14899</v>
      </c>
      <c r="G5814" t="str">
        <f>HYPERLINK("http://www.newsquest.co.kr/news/articleView.html?idxno=77145")</f>
        <v>http://www.newsquest.co.kr/news/articleView.html?idxno=77145</v>
      </c>
      <c r="H5814">
        <v>0.33900000000000002</v>
      </c>
    </row>
    <row r="5815" spans="1:8" x14ac:dyDescent="0.3">
      <c r="A5815" t="s">
        <v>14761</v>
      </c>
      <c r="B5815" t="s">
        <v>26951</v>
      </c>
      <c r="C5815" t="s">
        <v>14904</v>
      </c>
      <c r="D5815" t="s">
        <v>14903</v>
      </c>
      <c r="E5815" s="2" t="s">
        <v>725</v>
      </c>
      <c r="F5815" t="s">
        <v>14902</v>
      </c>
      <c r="G5815" t="str">
        <f>HYPERLINK("https://n.news.naver.com/mnews/article/006/0000130257?sid=154")</f>
        <v>https://n.news.naver.com/mnews/article/006/0000130257?sid=154</v>
      </c>
      <c r="H5815">
        <v>0.111</v>
      </c>
    </row>
    <row r="5816" spans="1:8" x14ac:dyDescent="0.3">
      <c r="A5816" t="s">
        <v>14761</v>
      </c>
      <c r="B5816" t="s">
        <v>26951</v>
      </c>
      <c r="C5816" t="s">
        <v>14907</v>
      </c>
      <c r="D5816" t="s">
        <v>14906</v>
      </c>
      <c r="E5816" s="2" t="s">
        <v>725</v>
      </c>
      <c r="F5816" t="s">
        <v>14905</v>
      </c>
      <c r="G5816" t="str">
        <f>HYPERLINK("https://n.news.naver.com/mnews/article/055/0001264156?sid=103")</f>
        <v>https://n.news.naver.com/mnews/article/055/0001264156?sid=103</v>
      </c>
      <c r="H5816">
        <v>0.124</v>
      </c>
    </row>
    <row r="5817" spans="1:8" x14ac:dyDescent="0.3">
      <c r="A5817" t="s">
        <v>14761</v>
      </c>
      <c r="B5817" t="s">
        <v>26951</v>
      </c>
      <c r="C5817" t="s">
        <v>14909</v>
      </c>
      <c r="D5817" t="s">
        <v>14908</v>
      </c>
      <c r="E5817" s="2" t="s">
        <v>725</v>
      </c>
      <c r="F5817" t="s">
        <v>817</v>
      </c>
      <c r="G5817" t="str">
        <f>HYPERLINK("https://sports.hankooki.com/news/articleView.html?idxno=6901592")</f>
        <v>https://sports.hankooki.com/news/articleView.html?idxno=6901592</v>
      </c>
      <c r="H5817">
        <v>0.496</v>
      </c>
    </row>
    <row r="5818" spans="1:8" x14ac:dyDescent="0.3">
      <c r="A5818" t="s">
        <v>14761</v>
      </c>
      <c r="B5818" t="s">
        <v>26951</v>
      </c>
      <c r="C5818" t="s">
        <v>14911</v>
      </c>
      <c r="D5818" t="s">
        <v>14910</v>
      </c>
      <c r="E5818" s="2" t="s">
        <v>725</v>
      </c>
      <c r="F5818" t="s">
        <v>1206</v>
      </c>
      <c r="G5818" t="str">
        <f>HYPERLINK("https://n.news.naver.com/mnews/article/079/0003732058?sid=004")</f>
        <v>https://n.news.naver.com/mnews/article/079/0003732058?sid=004</v>
      </c>
      <c r="H5818">
        <v>0.223</v>
      </c>
    </row>
    <row r="5819" spans="1:8" x14ac:dyDescent="0.3">
      <c r="A5819" t="s">
        <v>14761</v>
      </c>
      <c r="B5819" t="s">
        <v>26951</v>
      </c>
      <c r="C5819" t="s">
        <v>14913</v>
      </c>
      <c r="D5819" t="s">
        <v>14912</v>
      </c>
      <c r="E5819" s="2" t="s">
        <v>725</v>
      </c>
      <c r="F5819" t="s">
        <v>10178</v>
      </c>
      <c r="G5819" t="str">
        <f>HYPERLINK("https://www.dailysportshankook.co.kr/news/articleView.html?idxno=408615")</f>
        <v>https://www.dailysportshankook.co.kr/news/articleView.html?idxno=408615</v>
      </c>
      <c r="H5819">
        <v>0.53600000000000003</v>
      </c>
    </row>
    <row r="5820" spans="1:8" x14ac:dyDescent="0.3">
      <c r="A5820" t="s">
        <v>14761</v>
      </c>
      <c r="B5820" t="s">
        <v>26951</v>
      </c>
      <c r="C5820" t="s">
        <v>14915</v>
      </c>
      <c r="D5820" t="s">
        <v>14914</v>
      </c>
      <c r="E5820" s="2" t="s">
        <v>725</v>
      </c>
      <c r="F5820" t="s">
        <v>171</v>
      </c>
      <c r="G5820" t="str">
        <f>HYPERLINK("https://sports.hankooki.com/news/articleView.html?idxno=6901444")</f>
        <v>https://sports.hankooki.com/news/articleView.html?idxno=6901444</v>
      </c>
      <c r="H5820">
        <v>0.80400000000000005</v>
      </c>
    </row>
    <row r="5821" spans="1:8" x14ac:dyDescent="0.3">
      <c r="A5821" t="s">
        <v>14761</v>
      </c>
      <c r="B5821" t="s">
        <v>26951</v>
      </c>
      <c r="C5821" t="s">
        <v>14917</v>
      </c>
      <c r="D5821" t="s">
        <v>14916</v>
      </c>
      <c r="E5821" s="2" t="s">
        <v>725</v>
      </c>
      <c r="F5821" t="s">
        <v>5548</v>
      </c>
      <c r="G5821" t="str">
        <f>HYPERLINK("https://www.lecturernews.com/news/articleView.html?idxno=139303")</f>
        <v>https://www.lecturernews.com/news/articleView.html?idxno=139303</v>
      </c>
      <c r="H5821">
        <v>0.52500000000000002</v>
      </c>
    </row>
    <row r="5822" spans="1:8" x14ac:dyDescent="0.3">
      <c r="A5822" t="s">
        <v>14761</v>
      </c>
      <c r="B5822" t="s">
        <v>26951</v>
      </c>
      <c r="C5822" t="s">
        <v>14919</v>
      </c>
      <c r="D5822" t="s">
        <v>14918</v>
      </c>
      <c r="E5822" s="2" t="s">
        <v>725</v>
      </c>
      <c r="F5822" t="s">
        <v>171</v>
      </c>
      <c r="G5822" t="str">
        <f>HYPERLINK("https://www.etoday.co.kr/news/view/2440167")</f>
        <v>https://www.etoday.co.kr/news/view/2440167</v>
      </c>
      <c r="H5822">
        <v>0.627</v>
      </c>
    </row>
    <row r="5823" spans="1:8" x14ac:dyDescent="0.3">
      <c r="A5823" t="s">
        <v>14761</v>
      </c>
      <c r="B5823" t="s">
        <v>26951</v>
      </c>
      <c r="C5823" t="s">
        <v>14921</v>
      </c>
      <c r="D5823" t="s">
        <v>14920</v>
      </c>
      <c r="E5823" s="2" t="s">
        <v>725</v>
      </c>
      <c r="F5823" t="s">
        <v>3235</v>
      </c>
      <c r="G5823" t="str">
        <f>HYPERLINK("http://www.starnewsk.com/news/articleView.html?idxno=46888")</f>
        <v>http://www.starnewsk.com/news/articleView.html?idxno=46888</v>
      </c>
      <c r="H5823">
        <v>0.54500000000000004</v>
      </c>
    </row>
    <row r="5824" spans="1:8" x14ac:dyDescent="0.3">
      <c r="A5824" t="s">
        <v>14761</v>
      </c>
      <c r="B5824" t="s">
        <v>26951</v>
      </c>
      <c r="C5824" t="s">
        <v>14923</v>
      </c>
      <c r="D5824" t="s">
        <v>14922</v>
      </c>
      <c r="E5824" s="2" t="s">
        <v>742</v>
      </c>
      <c r="F5824" t="s">
        <v>9786</v>
      </c>
      <c r="G5824" t="str">
        <f>HYPERLINK("http://ch.yes24.com/Article/View/21574")</f>
        <v>http://ch.yes24.com/Article/View/21574</v>
      </c>
      <c r="H5824">
        <v>2.5000000000000001E-2</v>
      </c>
    </row>
    <row r="5825" spans="1:8" x14ac:dyDescent="0.3">
      <c r="A5825" t="s">
        <v>14761</v>
      </c>
      <c r="B5825" t="s">
        <v>26951</v>
      </c>
      <c r="C5825" t="s">
        <v>14925</v>
      </c>
      <c r="D5825" t="s">
        <v>14924</v>
      </c>
      <c r="E5825" s="2" t="s">
        <v>742</v>
      </c>
      <c r="F5825" t="s">
        <v>9786</v>
      </c>
      <c r="G5825" t="str">
        <f>HYPERLINK("http://www.mediapen.com/news/articleView.html?idxno=53785")</f>
        <v>http://www.mediapen.com/news/articleView.html?idxno=53785</v>
      </c>
      <c r="H5825">
        <v>9.2999999999999999E-2</v>
      </c>
    </row>
    <row r="5826" spans="1:8" x14ac:dyDescent="0.3">
      <c r="A5826" t="s">
        <v>14761</v>
      </c>
      <c r="B5826" t="s">
        <v>26951</v>
      </c>
      <c r="C5826" t="s">
        <v>14928</v>
      </c>
      <c r="D5826" t="s">
        <v>14927</v>
      </c>
      <c r="E5826" s="2" t="s">
        <v>742</v>
      </c>
      <c r="F5826" t="s">
        <v>14926</v>
      </c>
      <c r="G5826" t="str">
        <f>HYPERLINK("http://www.kyosu.net/news/articleView.html?idxno=138467")</f>
        <v>http://www.kyosu.net/news/articleView.html?idxno=138467</v>
      </c>
      <c r="H5826">
        <v>6.2E-2</v>
      </c>
    </row>
    <row r="5827" spans="1:8" x14ac:dyDescent="0.3">
      <c r="A5827" t="s">
        <v>14761</v>
      </c>
      <c r="B5827" t="s">
        <v>26951</v>
      </c>
      <c r="C5827" t="s">
        <v>14931</v>
      </c>
      <c r="D5827" t="s">
        <v>14930</v>
      </c>
      <c r="E5827" s="2" t="s">
        <v>742</v>
      </c>
      <c r="F5827" t="s">
        <v>14929</v>
      </c>
      <c r="G5827" t="str">
        <f>HYPERLINK("https://n.news.naver.com/mnews/article/052/0002212754?sid=102")</f>
        <v>https://n.news.naver.com/mnews/article/052/0002212754?sid=102</v>
      </c>
      <c r="H5827">
        <v>0.24399999999999999</v>
      </c>
    </row>
    <row r="5828" spans="1:8" x14ac:dyDescent="0.3">
      <c r="A5828" t="s">
        <v>14761</v>
      </c>
      <c r="B5828" t="s">
        <v>26951</v>
      </c>
      <c r="C5828" t="s">
        <v>14935</v>
      </c>
      <c r="D5828" t="s">
        <v>14934</v>
      </c>
      <c r="E5828" s="2" t="s">
        <v>742</v>
      </c>
      <c r="F5828" t="s">
        <v>14933</v>
      </c>
      <c r="G5828" t="str">
        <f>HYPERLINK("https://n.news.naver.com/mnews/article/079/0003431336?sid=102")</f>
        <v>https://n.news.naver.com/mnews/article/079/0003431336?sid=102</v>
      </c>
      <c r="H5828">
        <v>0.29899999999999999</v>
      </c>
    </row>
    <row r="5829" spans="1:8" x14ac:dyDescent="0.3">
      <c r="A5829" t="s">
        <v>14761</v>
      </c>
      <c r="B5829" t="s">
        <v>26951</v>
      </c>
      <c r="C5829" t="s">
        <v>14937</v>
      </c>
      <c r="D5829" t="s">
        <v>14936</v>
      </c>
      <c r="E5829" s="2" t="s">
        <v>742</v>
      </c>
      <c r="F5829" t="s">
        <v>10111</v>
      </c>
      <c r="G5829" t="str">
        <f>HYPERLINK("https://www.jemin.com/news/articleView.html?idxno=817682")</f>
        <v>https://www.jemin.com/news/articleView.html?idxno=817682</v>
      </c>
      <c r="H5829">
        <v>0.193</v>
      </c>
    </row>
    <row r="5830" spans="1:8" x14ac:dyDescent="0.3">
      <c r="A5830" t="s">
        <v>14761</v>
      </c>
      <c r="B5830" t="s">
        <v>26951</v>
      </c>
      <c r="C5830" t="s">
        <v>14940</v>
      </c>
      <c r="D5830" t="s">
        <v>14939</v>
      </c>
      <c r="E5830" s="2" t="s">
        <v>742</v>
      </c>
      <c r="F5830" t="s">
        <v>14938</v>
      </c>
      <c r="G5830" t="str">
        <f>HYPERLINK("https://daily.hankooki.com/news/articleView.html?idxno=1227675")</f>
        <v>https://daily.hankooki.com/news/articleView.html?idxno=1227675</v>
      </c>
      <c r="H5830">
        <v>0.52</v>
      </c>
    </row>
    <row r="5831" spans="1:8" x14ac:dyDescent="0.3">
      <c r="A5831" t="s">
        <v>14761</v>
      </c>
      <c r="B5831" t="s">
        <v>26951</v>
      </c>
      <c r="C5831" t="s">
        <v>14942</v>
      </c>
      <c r="D5831" t="s">
        <v>14941</v>
      </c>
      <c r="E5831" s="2" t="s">
        <v>742</v>
      </c>
      <c r="F5831" t="s">
        <v>5548</v>
      </c>
      <c r="G5831" t="str">
        <f>HYPERLINK("https://sports.hankooki.com/news/articleView.html?idxno=6880226")</f>
        <v>https://sports.hankooki.com/news/articleView.html?idxno=6880226</v>
      </c>
      <c r="H5831">
        <v>0.59</v>
      </c>
    </row>
    <row r="5832" spans="1:8" x14ac:dyDescent="0.3">
      <c r="A5832" t="s">
        <v>14761</v>
      </c>
      <c r="B5832" t="s">
        <v>26951</v>
      </c>
      <c r="C5832" t="s">
        <v>14944</v>
      </c>
      <c r="D5832" t="s">
        <v>14943</v>
      </c>
      <c r="E5832" s="2" t="s">
        <v>742</v>
      </c>
      <c r="F5832" t="s">
        <v>9637</v>
      </c>
      <c r="G5832" t="str">
        <f>HYPERLINK("https://www.smartfn.co.kr/news/articleView.html?idxno=113143")</f>
        <v>https://www.smartfn.co.kr/news/articleView.html?idxno=113143</v>
      </c>
      <c r="H5832">
        <v>0.47799999999999998</v>
      </c>
    </row>
    <row r="5833" spans="1:8" x14ac:dyDescent="0.3">
      <c r="A5833" t="s">
        <v>14761</v>
      </c>
      <c r="B5833" t="s">
        <v>26951</v>
      </c>
      <c r="C5833" t="s">
        <v>14946</v>
      </c>
      <c r="D5833" t="s">
        <v>14945</v>
      </c>
      <c r="E5833" s="2" t="s">
        <v>742</v>
      </c>
      <c r="F5833" t="s">
        <v>14777</v>
      </c>
      <c r="G5833" t="str">
        <f>HYPERLINK("https://www.dailysportshankook.co.kr/news/articleView.html?idxno=408615")</f>
        <v>https://www.dailysportshankook.co.kr/news/articleView.html?idxno=408615</v>
      </c>
      <c r="H5833">
        <v>0.48799999999999999</v>
      </c>
    </row>
    <row r="5834" spans="1:8" x14ac:dyDescent="0.3">
      <c r="A5834" t="s">
        <v>14761</v>
      </c>
      <c r="B5834" t="s">
        <v>26951</v>
      </c>
      <c r="C5834" t="s">
        <v>14949</v>
      </c>
      <c r="D5834" t="s">
        <v>14948</v>
      </c>
      <c r="E5834" s="2" t="s">
        <v>742</v>
      </c>
      <c r="F5834" t="s">
        <v>14947</v>
      </c>
      <c r="G5834" t="str">
        <f>HYPERLINK("http://www.nbntv.co.kr/news/articleView.html?idxno=352324")</f>
        <v>http://www.nbntv.co.kr/news/articleView.html?idxno=352324</v>
      </c>
      <c r="H5834">
        <v>0.27600000000000002</v>
      </c>
    </row>
    <row r="5835" spans="1:8" x14ac:dyDescent="0.3">
      <c r="A5835" t="s">
        <v>14761</v>
      </c>
      <c r="B5835" t="s">
        <v>26951</v>
      </c>
      <c r="C5835" t="s">
        <v>14952</v>
      </c>
      <c r="D5835" t="s">
        <v>14951</v>
      </c>
      <c r="E5835" s="2" t="s">
        <v>742</v>
      </c>
      <c r="F5835" t="s">
        <v>14950</v>
      </c>
      <c r="G5835" t="str">
        <f>HYPERLINK("https://www.newspim.com/news/view/20250210000915")</f>
        <v>https://www.newspim.com/news/view/20250210000915</v>
      </c>
      <c r="H5835">
        <v>0.373</v>
      </c>
    </row>
    <row r="5836" spans="1:8" x14ac:dyDescent="0.3">
      <c r="A5836" t="s">
        <v>14761</v>
      </c>
      <c r="B5836" t="s">
        <v>26951</v>
      </c>
      <c r="C5836" t="s">
        <v>14954</v>
      </c>
      <c r="D5836" t="s">
        <v>14953</v>
      </c>
      <c r="E5836" s="2" t="s">
        <v>742</v>
      </c>
      <c r="F5836" t="s">
        <v>9944</v>
      </c>
      <c r="G5836" t="str">
        <f>HYPERLINK("https://www.jemin.com/news/articleView.html?idxno=818816")</f>
        <v>https://www.jemin.com/news/articleView.html?idxno=818816</v>
      </c>
      <c r="H5836">
        <v>0.36399999999999999</v>
      </c>
    </row>
    <row r="5837" spans="1:8" x14ac:dyDescent="0.3">
      <c r="A5837" t="s">
        <v>14761</v>
      </c>
      <c r="B5837" t="s">
        <v>26951</v>
      </c>
      <c r="C5837" t="s">
        <v>14956</v>
      </c>
      <c r="D5837" t="s">
        <v>14955</v>
      </c>
      <c r="E5837" s="2" t="s">
        <v>742</v>
      </c>
      <c r="F5837" t="s">
        <v>11617</v>
      </c>
      <c r="G5837" t="str">
        <f>HYPERLINK("https://www.etoday.co.kr/news/view/2476705")</f>
        <v>https://www.etoday.co.kr/news/view/2476705</v>
      </c>
      <c r="H5837">
        <v>0.41</v>
      </c>
    </row>
    <row r="5838" spans="1:8" x14ac:dyDescent="0.3">
      <c r="A5838" t="s">
        <v>14761</v>
      </c>
      <c r="B5838" t="s">
        <v>26951</v>
      </c>
      <c r="C5838" t="s">
        <v>14958</v>
      </c>
      <c r="D5838" t="s">
        <v>14957</v>
      </c>
      <c r="E5838" s="2" t="s">
        <v>742</v>
      </c>
      <c r="F5838" t="s">
        <v>441</v>
      </c>
      <c r="G5838" t="str">
        <f>HYPERLINK("https://n.news.naver.com/mnews/article/028/0002749760?sid=104")</f>
        <v>https://n.news.naver.com/mnews/article/028/0002749760?sid=104</v>
      </c>
      <c r="H5838">
        <v>0.19900000000000001</v>
      </c>
    </row>
    <row r="5839" spans="1:8" x14ac:dyDescent="0.3">
      <c r="A5839" t="s">
        <v>14761</v>
      </c>
      <c r="B5839" t="s">
        <v>26951</v>
      </c>
      <c r="C5839" t="s">
        <v>14960</v>
      </c>
      <c r="D5839" t="s">
        <v>14959</v>
      </c>
      <c r="E5839" s="2" t="s">
        <v>742</v>
      </c>
      <c r="F5839" t="s">
        <v>8742</v>
      </c>
      <c r="G5839" t="str">
        <f>HYPERLINK("https://n.news.naver.com/mnews/article/082/0001314173?sid=103")</f>
        <v>https://n.news.naver.com/mnews/article/082/0001314173?sid=103</v>
      </c>
      <c r="H5839">
        <v>0.13600000000000001</v>
      </c>
    </row>
    <row r="5840" spans="1:8" x14ac:dyDescent="0.3">
      <c r="A5840" t="s">
        <v>14761</v>
      </c>
      <c r="B5840" t="s">
        <v>26951</v>
      </c>
      <c r="C5840" t="s">
        <v>14962</v>
      </c>
      <c r="D5840" t="s">
        <v>14961</v>
      </c>
      <c r="E5840" s="2" t="s">
        <v>742</v>
      </c>
      <c r="F5840" t="s">
        <v>5548</v>
      </c>
      <c r="G5840" t="str">
        <f>HYPERLINK("https://sports.hankooki.com/news/articleView.html?idxno=6870911")</f>
        <v>https://sports.hankooki.com/news/articleView.html?idxno=6870911</v>
      </c>
      <c r="H5840">
        <v>0.45800000000000002</v>
      </c>
    </row>
    <row r="5841" spans="1:8" x14ac:dyDescent="0.3">
      <c r="A5841" t="s">
        <v>14761</v>
      </c>
      <c r="B5841" t="s">
        <v>26951</v>
      </c>
      <c r="C5841" t="s">
        <v>14964</v>
      </c>
      <c r="D5841" t="s">
        <v>14963</v>
      </c>
      <c r="E5841" s="2" t="s">
        <v>742</v>
      </c>
      <c r="F5841" t="s">
        <v>10140</v>
      </c>
      <c r="G5841" t="str">
        <f>HYPERLINK("http://www.ntoday.co.kr/news/articleView.html?idxno=67250")</f>
        <v>http://www.ntoday.co.kr/news/articleView.html?idxno=67250</v>
      </c>
      <c r="H5841">
        <v>0.40799999999999997</v>
      </c>
    </row>
    <row r="5842" spans="1:8" x14ac:dyDescent="0.3">
      <c r="A5842" t="s">
        <v>14761</v>
      </c>
      <c r="B5842" t="s">
        <v>26951</v>
      </c>
      <c r="C5842" t="s">
        <v>14966</v>
      </c>
      <c r="D5842" t="s">
        <v>14965</v>
      </c>
      <c r="E5842" s="2" t="s">
        <v>742</v>
      </c>
      <c r="F5842" t="s">
        <v>9944</v>
      </c>
      <c r="G5842" t="str">
        <f>HYPERLINK("https://www.etoday.co.kr/news/view/2480112")</f>
        <v>https://www.etoday.co.kr/news/view/2480112</v>
      </c>
      <c r="H5842">
        <v>0.501</v>
      </c>
    </row>
    <row r="5843" spans="1:8" x14ac:dyDescent="0.3">
      <c r="A5843" t="s">
        <v>14761</v>
      </c>
      <c r="B5843" t="s">
        <v>26951</v>
      </c>
      <c r="C5843" t="s">
        <v>14969</v>
      </c>
      <c r="D5843" t="s">
        <v>14968</v>
      </c>
      <c r="E5843" s="2" t="s">
        <v>742</v>
      </c>
      <c r="F5843" t="s">
        <v>14967</v>
      </c>
      <c r="G5843" t="str">
        <f>HYPERLINK("https://www.etoday.co.kr/news/view/2476705")</f>
        <v>https://www.etoday.co.kr/news/view/2476705</v>
      </c>
      <c r="H5843">
        <v>0.39500000000000002</v>
      </c>
    </row>
    <row r="5844" spans="1:8" x14ac:dyDescent="0.3">
      <c r="A5844" t="s">
        <v>14761</v>
      </c>
      <c r="B5844" t="s">
        <v>26951</v>
      </c>
      <c r="C5844" t="s">
        <v>14971</v>
      </c>
      <c r="D5844" t="s">
        <v>14970</v>
      </c>
      <c r="E5844" s="2" t="s">
        <v>742</v>
      </c>
      <c r="F5844" t="s">
        <v>171</v>
      </c>
      <c r="G5844" t="str">
        <f>HYPERLINK("http://www.starnewsk.com/news/articleView.html?idxno=46968")</f>
        <v>http://www.starnewsk.com/news/articleView.html?idxno=46968</v>
      </c>
      <c r="H5844">
        <v>0.50900000000000001</v>
      </c>
    </row>
    <row r="5845" spans="1:8" x14ac:dyDescent="0.3">
      <c r="A5845" t="s">
        <v>14761</v>
      </c>
      <c r="B5845" t="s">
        <v>26951</v>
      </c>
      <c r="C5845" t="s">
        <v>14974</v>
      </c>
      <c r="D5845" t="s">
        <v>14973</v>
      </c>
      <c r="E5845" s="2" t="s">
        <v>742</v>
      </c>
      <c r="F5845" t="s">
        <v>14972</v>
      </c>
      <c r="G5845" t="str">
        <f>HYPERLINK("https://ditoday.com/%eb%94%94%ec%a6%88%eb%8b%88%ea%b0%80-%ec%8a%a4%ec%9a%b0%ed%8c%8c%eb%a5%bc-%eb%a7%8c%eb%93%a4%ec%97%88%eb%8b%a4%eb%a9%b4/")</f>
        <v>https://ditoday.com/%eb%94%94%ec%a6%88%eb%8b%88%ea%b0%80-%ec%8a%a4%ec%9a%b0%ed%8c%8c%eb%a5%bc-%eb%a7%8c%eb%93%a4%ec%97%88%eb%8b%a4%eb%a9%b4/</v>
      </c>
      <c r="H5845">
        <v>0.39400000000000002</v>
      </c>
    </row>
    <row r="5846" spans="1:8" x14ac:dyDescent="0.3">
      <c r="A5846" t="s">
        <v>14761</v>
      </c>
      <c r="B5846" t="s">
        <v>26951</v>
      </c>
      <c r="C5846" t="s">
        <v>14976</v>
      </c>
      <c r="D5846" t="s">
        <v>14975</v>
      </c>
      <c r="E5846" s="2" t="s">
        <v>742</v>
      </c>
      <c r="F5846" t="s">
        <v>8742</v>
      </c>
      <c r="G5846" t="str">
        <f>HYPERLINK("https://n.news.naver.com/mnews/article/082/0001323252?sid=103")</f>
        <v>https://n.news.naver.com/mnews/article/082/0001323252?sid=103</v>
      </c>
      <c r="H5846">
        <v>0.121</v>
      </c>
    </row>
    <row r="5847" spans="1:8" x14ac:dyDescent="0.3">
      <c r="A5847" t="s">
        <v>14761</v>
      </c>
      <c r="B5847" t="s">
        <v>26951</v>
      </c>
      <c r="C5847" t="s">
        <v>14978</v>
      </c>
      <c r="D5847" t="s">
        <v>14977</v>
      </c>
      <c r="E5847" s="2" t="s">
        <v>742</v>
      </c>
      <c r="F5847" t="s">
        <v>11616</v>
      </c>
      <c r="G5847" t="str">
        <f>HYPERLINK("https://www.etoday.co.kr/news/view/2476705")</f>
        <v>https://www.etoday.co.kr/news/view/2476705</v>
      </c>
      <c r="H5847">
        <v>0.41099999999999998</v>
      </c>
    </row>
    <row r="5848" spans="1:8" x14ac:dyDescent="0.3">
      <c r="A5848" t="s">
        <v>14761</v>
      </c>
      <c r="B5848" t="s">
        <v>26951</v>
      </c>
      <c r="C5848" t="s">
        <v>14980</v>
      </c>
      <c r="D5848" t="s">
        <v>14979</v>
      </c>
      <c r="E5848" s="2" t="s">
        <v>742</v>
      </c>
      <c r="F5848" t="s">
        <v>8742</v>
      </c>
      <c r="G5848" t="str">
        <f>HYPERLINK("https://www.viva100.com/article/20250618501015")</f>
        <v>https://www.viva100.com/article/20250618501015</v>
      </c>
      <c r="H5848">
        <v>0.22</v>
      </c>
    </row>
    <row r="5849" spans="1:8" x14ac:dyDescent="0.3">
      <c r="A5849" t="s">
        <v>14761</v>
      </c>
      <c r="B5849" t="s">
        <v>26951</v>
      </c>
      <c r="C5849" t="s">
        <v>14982</v>
      </c>
      <c r="D5849" t="s">
        <v>14981</v>
      </c>
      <c r="E5849" s="2" t="s">
        <v>742</v>
      </c>
      <c r="F5849" t="s">
        <v>8742</v>
      </c>
      <c r="G5849" t="str">
        <f>HYPERLINK("https://www.jeonmae.co.kr/news/articleView.html?idxno=1157591")</f>
        <v>https://www.jeonmae.co.kr/news/articleView.html?idxno=1157591</v>
      </c>
      <c r="H5849">
        <v>0.32300000000000001</v>
      </c>
    </row>
    <row r="5850" spans="1:8" x14ac:dyDescent="0.3">
      <c r="A5850" t="s">
        <v>14761</v>
      </c>
      <c r="B5850" t="s">
        <v>26951</v>
      </c>
      <c r="C5850" t="s">
        <v>14984</v>
      </c>
      <c r="D5850" t="s">
        <v>14983</v>
      </c>
      <c r="E5850" s="2" t="s">
        <v>742</v>
      </c>
      <c r="F5850" t="s">
        <v>10341</v>
      </c>
      <c r="G5850" t="str">
        <f>HYPERLINK("https://sports.hankooki.com/news/articleView.html?idxno=6899934")</f>
        <v>https://sports.hankooki.com/news/articleView.html?idxno=6899934</v>
      </c>
      <c r="H5850">
        <v>0.95</v>
      </c>
    </row>
    <row r="5851" spans="1:8" x14ac:dyDescent="0.3">
      <c r="A5851" t="s">
        <v>14761</v>
      </c>
      <c r="B5851" t="s">
        <v>26951</v>
      </c>
      <c r="C5851" t="s">
        <v>14987</v>
      </c>
      <c r="D5851" t="s">
        <v>14986</v>
      </c>
      <c r="E5851" s="2" t="s">
        <v>742</v>
      </c>
      <c r="F5851" t="s">
        <v>14985</v>
      </c>
      <c r="G5851" t="str">
        <f>HYPERLINK("https://www.lecturernews.com/news/articleView.html?idxno=149416")</f>
        <v>https://www.lecturernews.com/news/articleView.html?idxno=149416</v>
      </c>
      <c r="H5851">
        <v>0.66700000000000004</v>
      </c>
    </row>
    <row r="5852" spans="1:8" x14ac:dyDescent="0.3">
      <c r="A5852" t="s">
        <v>14761</v>
      </c>
      <c r="B5852" t="s">
        <v>26951</v>
      </c>
      <c r="C5852" t="s">
        <v>14989</v>
      </c>
      <c r="D5852" t="s">
        <v>14988</v>
      </c>
      <c r="E5852" s="2" t="s">
        <v>742</v>
      </c>
      <c r="F5852" t="s">
        <v>11181</v>
      </c>
      <c r="G5852" t="str">
        <f>HYPERLINK("http://www.kjdaily.com/article.php?aid=1737644400649227227")</f>
        <v>http://www.kjdaily.com/article.php?aid=1737644400649227227</v>
      </c>
      <c r="H5852">
        <v>3.4000000000000002E-2</v>
      </c>
    </row>
    <row r="5853" spans="1:8" x14ac:dyDescent="0.3">
      <c r="A5853" t="s">
        <v>14761</v>
      </c>
      <c r="B5853" t="s">
        <v>26951</v>
      </c>
      <c r="C5853" t="s">
        <v>14991</v>
      </c>
      <c r="D5853" t="s">
        <v>14990</v>
      </c>
      <c r="E5853" s="2" t="s">
        <v>742</v>
      </c>
      <c r="F5853" t="s">
        <v>10111</v>
      </c>
      <c r="G5853" t="str">
        <f>HYPERLINK("https://www.jemin.com/news/articleView.html?idxno=817682")</f>
        <v>https://www.jemin.com/news/articleView.html?idxno=817682</v>
      </c>
      <c r="H5853">
        <v>0.17599999999999999</v>
      </c>
    </row>
    <row r="5854" spans="1:8" x14ac:dyDescent="0.3">
      <c r="A5854" t="s">
        <v>14761</v>
      </c>
      <c r="B5854" t="s">
        <v>26951</v>
      </c>
      <c r="C5854" t="s">
        <v>14994</v>
      </c>
      <c r="D5854" t="s">
        <v>14993</v>
      </c>
      <c r="E5854" s="2" t="s">
        <v>742</v>
      </c>
      <c r="F5854" t="s">
        <v>14992</v>
      </c>
      <c r="G5854" t="str">
        <f>HYPERLINK("http://www.kdpress.co.kr/news/articleView.html?idxno=138281")</f>
        <v>http://www.kdpress.co.kr/news/articleView.html?idxno=138281</v>
      </c>
      <c r="H5854">
        <v>0.878</v>
      </c>
    </row>
    <row r="5855" spans="1:8" x14ac:dyDescent="0.3">
      <c r="A5855" t="s">
        <v>14761</v>
      </c>
      <c r="B5855" t="s">
        <v>26951</v>
      </c>
      <c r="C5855" t="s">
        <v>14997</v>
      </c>
      <c r="D5855" t="s">
        <v>14996</v>
      </c>
      <c r="E5855" s="2" t="s">
        <v>742</v>
      </c>
      <c r="F5855" t="s">
        <v>14995</v>
      </c>
      <c r="G5855" t="str">
        <f>HYPERLINK("http://www.greened.kr/news/articleView.html?idxno=306948")</f>
        <v>http://www.greened.kr/news/articleView.html?idxno=306948</v>
      </c>
      <c r="H5855">
        <v>0.35599999999999998</v>
      </c>
    </row>
    <row r="5856" spans="1:8" x14ac:dyDescent="0.3">
      <c r="A5856" t="s">
        <v>14761</v>
      </c>
      <c r="B5856" t="s">
        <v>26951</v>
      </c>
      <c r="C5856" t="s">
        <v>14999</v>
      </c>
      <c r="D5856" t="s">
        <v>14998</v>
      </c>
      <c r="E5856" s="2" t="s">
        <v>742</v>
      </c>
      <c r="F5856" t="s">
        <v>588</v>
      </c>
      <c r="G5856" t="str">
        <f>HYPERLINK("https://www.sisaweek.com/news/articleView.html?idxno=220826")</f>
        <v>https://www.sisaweek.com/news/articleView.html?idxno=220826</v>
      </c>
      <c r="H5856">
        <v>0.60599999999999998</v>
      </c>
    </row>
    <row r="5857" spans="1:8" x14ac:dyDescent="0.3">
      <c r="A5857" t="s">
        <v>14761</v>
      </c>
      <c r="B5857" t="s">
        <v>26951</v>
      </c>
      <c r="C5857" t="s">
        <v>15002</v>
      </c>
      <c r="D5857" t="s">
        <v>15001</v>
      </c>
      <c r="E5857" s="2" t="s">
        <v>742</v>
      </c>
      <c r="F5857" t="s">
        <v>15000</v>
      </c>
      <c r="G5857" t="str">
        <f>HYPERLINK("https://weekly.hankooki.com/news/articleView.html?idxno=7114350")</f>
        <v>https://weekly.hankooki.com/news/articleView.html?idxno=7114350</v>
      </c>
      <c r="H5857">
        <v>0.93700000000000006</v>
      </c>
    </row>
    <row r="5858" spans="1:8" x14ac:dyDescent="0.3">
      <c r="A5858" t="s">
        <v>14761</v>
      </c>
      <c r="B5858" t="s">
        <v>26951</v>
      </c>
      <c r="C5858" t="s">
        <v>15004</v>
      </c>
      <c r="D5858" t="s">
        <v>15003</v>
      </c>
      <c r="E5858" s="2" t="s">
        <v>742</v>
      </c>
      <c r="F5858" t="s">
        <v>10021</v>
      </c>
      <c r="G5858" t="str">
        <f>HYPERLINK("http://www.koreastocknews.com/news/articleView.html?idxno=76967")</f>
        <v>http://www.koreastocknews.com/news/articleView.html?idxno=76967</v>
      </c>
      <c r="H5858">
        <v>0.41599999999999998</v>
      </c>
    </row>
    <row r="5859" spans="1:8" x14ac:dyDescent="0.3">
      <c r="A5859" t="s">
        <v>14761</v>
      </c>
      <c r="B5859" t="s">
        <v>26951</v>
      </c>
      <c r="C5859" t="s">
        <v>15007</v>
      </c>
      <c r="D5859" t="s">
        <v>15006</v>
      </c>
      <c r="E5859" s="2" t="s">
        <v>742</v>
      </c>
      <c r="F5859" t="s">
        <v>15005</v>
      </c>
      <c r="G5859" t="str">
        <f>HYPERLINK("https://n.news.naver.com/mnews/article/052/0002181950?sid=100")</f>
        <v>https://n.news.naver.com/mnews/article/052/0002181950?sid=100</v>
      </c>
      <c r="H5859">
        <v>0.152</v>
      </c>
    </row>
    <row r="5860" spans="1:8" x14ac:dyDescent="0.3">
      <c r="A5860" t="s">
        <v>14761</v>
      </c>
      <c r="B5860" t="s">
        <v>26951</v>
      </c>
      <c r="C5860" t="s">
        <v>15010</v>
      </c>
      <c r="D5860" t="s">
        <v>15009</v>
      </c>
      <c r="E5860" s="2" t="s">
        <v>742</v>
      </c>
      <c r="F5860" t="s">
        <v>15008</v>
      </c>
      <c r="G5860" t="str">
        <f>HYPERLINK("http://www.kbmaeil.com/news/articleView.html?idxno=857432")</f>
        <v>http://www.kbmaeil.com/news/articleView.html?idxno=857432</v>
      </c>
      <c r="H5860">
        <v>0.09</v>
      </c>
    </row>
    <row r="5861" spans="1:8" x14ac:dyDescent="0.3">
      <c r="A5861" t="s">
        <v>14761</v>
      </c>
      <c r="B5861" t="s">
        <v>26951</v>
      </c>
      <c r="C5861" t="s">
        <v>15012</v>
      </c>
      <c r="D5861" t="s">
        <v>15011</v>
      </c>
      <c r="E5861" s="2" t="s">
        <v>742</v>
      </c>
      <c r="F5861" t="s">
        <v>1822</v>
      </c>
      <c r="G5861" t="str">
        <f>HYPERLINK("http://www.segyebiz.com/newsView/20241129504659?OutUrl=naver")</f>
        <v>http://www.segyebiz.com/newsView/20241129504659?OutUrl=naver</v>
      </c>
      <c r="H5861">
        <v>0.38100000000000001</v>
      </c>
    </row>
    <row r="5862" spans="1:8" x14ac:dyDescent="0.3">
      <c r="A5862" t="s">
        <v>14761</v>
      </c>
      <c r="B5862" t="s">
        <v>26951</v>
      </c>
      <c r="C5862" t="s">
        <v>15014</v>
      </c>
      <c r="D5862" t="s">
        <v>15013</v>
      </c>
      <c r="E5862" s="2" t="s">
        <v>742</v>
      </c>
      <c r="F5862" t="s">
        <v>9944</v>
      </c>
      <c r="G5862" t="str">
        <f>HYPERLINK("https://www.etoday.co.kr/news/view/2476448")</f>
        <v>https://www.etoday.co.kr/news/view/2476448</v>
      </c>
      <c r="H5862">
        <v>0.38100000000000001</v>
      </c>
    </row>
    <row r="5863" spans="1:8" x14ac:dyDescent="0.3">
      <c r="A5863" t="s">
        <v>14761</v>
      </c>
      <c r="B5863" t="s">
        <v>26951</v>
      </c>
      <c r="C5863" t="s">
        <v>15016</v>
      </c>
      <c r="D5863" t="s">
        <v>15015</v>
      </c>
      <c r="E5863" s="2" t="s">
        <v>742</v>
      </c>
      <c r="F5863" t="s">
        <v>9995</v>
      </c>
      <c r="G5863" t="str">
        <f>HYPERLINK("https://www.ggilbo.com/news/articleView.html?idxno=1097294")</f>
        <v>https://www.ggilbo.com/news/articleView.html?idxno=1097294</v>
      </c>
      <c r="H5863">
        <v>0.502</v>
      </c>
    </row>
    <row r="5864" spans="1:8" x14ac:dyDescent="0.3">
      <c r="A5864" t="s">
        <v>14761</v>
      </c>
      <c r="B5864" t="s">
        <v>26951</v>
      </c>
      <c r="C5864" t="s">
        <v>15019</v>
      </c>
      <c r="D5864" t="s">
        <v>15018</v>
      </c>
      <c r="E5864" s="2" t="s">
        <v>742</v>
      </c>
      <c r="F5864" t="s">
        <v>15017</v>
      </c>
      <c r="G5864" t="str">
        <f>HYPERLINK("http://www.sisafocus.co.kr/news/articleView.html?idxno=339064")</f>
        <v>http://www.sisafocus.co.kr/news/articleView.html?idxno=339064</v>
      </c>
      <c r="H5864">
        <v>0.435</v>
      </c>
    </row>
    <row r="5865" spans="1:8" x14ac:dyDescent="0.3">
      <c r="A5865" t="s">
        <v>14761</v>
      </c>
      <c r="B5865" t="s">
        <v>26951</v>
      </c>
      <c r="C5865" t="s">
        <v>15021</v>
      </c>
      <c r="D5865" t="s">
        <v>15020</v>
      </c>
      <c r="E5865" s="2" t="s">
        <v>742</v>
      </c>
      <c r="F5865" t="s">
        <v>171</v>
      </c>
      <c r="G5865" t="str">
        <f>HYPERLINK("https://n.news.naver.com/mnews/article/052/0001121086?sid=102")</f>
        <v>https://n.news.naver.com/mnews/article/052/0001121086?sid=102</v>
      </c>
      <c r="H5865">
        <v>0.309</v>
      </c>
    </row>
    <row r="5866" spans="1:8" x14ac:dyDescent="0.3">
      <c r="A5866" t="s">
        <v>14761</v>
      </c>
      <c r="B5866" t="s">
        <v>26951</v>
      </c>
      <c r="C5866" t="s">
        <v>15024</v>
      </c>
      <c r="D5866" t="s">
        <v>15023</v>
      </c>
      <c r="E5866" s="2" t="s">
        <v>742</v>
      </c>
      <c r="F5866" t="s">
        <v>15022</v>
      </c>
      <c r="G5866" t="str">
        <f>HYPERLINK("https://daily.hankooki.com/news/articleView.html?idxno=1225285")</f>
        <v>https://daily.hankooki.com/news/articleView.html?idxno=1225285</v>
      </c>
      <c r="H5866">
        <v>0.97099999999999997</v>
      </c>
    </row>
    <row r="5867" spans="1:8" x14ac:dyDescent="0.3">
      <c r="A5867" t="s">
        <v>14761</v>
      </c>
      <c r="B5867" t="s">
        <v>26951</v>
      </c>
      <c r="C5867" t="s">
        <v>15027</v>
      </c>
      <c r="D5867" t="s">
        <v>15026</v>
      </c>
      <c r="E5867" s="2" t="s">
        <v>742</v>
      </c>
      <c r="F5867" t="s">
        <v>4015</v>
      </c>
      <c r="G5867" t="str">
        <f>HYPERLINK("https://www.etoday.co.kr/news/view/2475520")</f>
        <v>https://www.etoday.co.kr/news/view/2475520</v>
      </c>
      <c r="H5867">
        <v>0.20200000000000001</v>
      </c>
    </row>
    <row r="5868" spans="1:8" x14ac:dyDescent="0.3">
      <c r="A5868" t="s">
        <v>14761</v>
      </c>
      <c r="B5868" t="s">
        <v>26951</v>
      </c>
      <c r="C5868" t="s">
        <v>15028</v>
      </c>
      <c r="D5868" t="s">
        <v>15001</v>
      </c>
      <c r="E5868" s="2" t="s">
        <v>742</v>
      </c>
      <c r="F5868" t="s">
        <v>15000</v>
      </c>
      <c r="G5868" t="str">
        <f>HYPERLINK("https://weekly.hankooki.com/news/articleView.html?idxno=7114350")</f>
        <v>https://weekly.hankooki.com/news/articleView.html?idxno=7114350</v>
      </c>
      <c r="H5868">
        <v>0.94399999999999995</v>
      </c>
    </row>
    <row r="5869" spans="1:8" x14ac:dyDescent="0.3">
      <c r="A5869" t="s">
        <v>14761</v>
      </c>
      <c r="B5869" t="s">
        <v>26951</v>
      </c>
      <c r="C5869" t="s">
        <v>15031</v>
      </c>
      <c r="D5869" t="s">
        <v>15030</v>
      </c>
      <c r="E5869" s="2" t="s">
        <v>742</v>
      </c>
      <c r="F5869" t="s">
        <v>15029</v>
      </c>
      <c r="G5869" t="str">
        <f>HYPERLINK("https://www.pennmike.com/news/articleView.html?idxno=103884")</f>
        <v>https://www.pennmike.com/news/articleView.html?idxno=103884</v>
      </c>
      <c r="H5869">
        <v>0.4</v>
      </c>
    </row>
    <row r="5870" spans="1:8" x14ac:dyDescent="0.3">
      <c r="A5870" t="s">
        <v>14761</v>
      </c>
      <c r="B5870" t="s">
        <v>26951</v>
      </c>
      <c r="C5870" t="s">
        <v>15034</v>
      </c>
      <c r="D5870" t="s">
        <v>15033</v>
      </c>
      <c r="E5870" s="2" t="s">
        <v>742</v>
      </c>
      <c r="F5870" t="s">
        <v>15032</v>
      </c>
      <c r="G5870" t="str">
        <f>HYPERLINK("https://www.womaneconomy.co.kr/news/articleView.html?idxno=95418")</f>
        <v>https://www.womaneconomy.co.kr/news/articleView.html?idxno=95418</v>
      </c>
      <c r="H5870">
        <v>0.20200000000000001</v>
      </c>
    </row>
    <row r="5871" spans="1:8" x14ac:dyDescent="0.3">
      <c r="A5871" t="s">
        <v>14761</v>
      </c>
      <c r="B5871" t="s">
        <v>26951</v>
      </c>
      <c r="C5871" t="s">
        <v>15037</v>
      </c>
      <c r="D5871" t="s">
        <v>15036</v>
      </c>
      <c r="E5871" s="2" t="s">
        <v>742</v>
      </c>
      <c r="F5871" t="s">
        <v>15035</v>
      </c>
      <c r="G5871" t="str">
        <f>HYPERLINK("https://n.news.naver.com/mnews/article/018/0005948935?sid=100")</f>
        <v>https://n.news.naver.com/mnews/article/018/0005948935?sid=100</v>
      </c>
      <c r="H5871">
        <v>0.14099999999999999</v>
      </c>
    </row>
    <row r="5872" spans="1:8" x14ac:dyDescent="0.3">
      <c r="A5872" t="s">
        <v>14761</v>
      </c>
      <c r="B5872" t="s">
        <v>26951</v>
      </c>
      <c r="C5872" t="s">
        <v>15039</v>
      </c>
      <c r="D5872" t="s">
        <v>15038</v>
      </c>
      <c r="E5872" s="2" t="s">
        <v>742</v>
      </c>
      <c r="F5872" t="s">
        <v>10037</v>
      </c>
      <c r="G5872" t="str">
        <f>HYPERLINK("https://www.pennmike.com/news/articleView.html?idxno=101639")</f>
        <v>https://www.pennmike.com/news/articleView.html?idxno=101639</v>
      </c>
      <c r="H5872">
        <v>0.55200000000000005</v>
      </c>
    </row>
    <row r="5873" spans="1:8" x14ac:dyDescent="0.3">
      <c r="A5873" t="s">
        <v>14761</v>
      </c>
      <c r="B5873" t="s">
        <v>26951</v>
      </c>
      <c r="C5873" t="s">
        <v>15041</v>
      </c>
      <c r="D5873" t="s">
        <v>15040</v>
      </c>
      <c r="E5873" s="2" t="s">
        <v>742</v>
      </c>
      <c r="F5873" t="s">
        <v>9749</v>
      </c>
      <c r="G5873" t="str">
        <f>HYPERLINK("https://www.ekn.kr/web/view.php?key=20230519010005173")</f>
        <v>https://www.ekn.kr/web/view.php?key=20230519010005173</v>
      </c>
      <c r="H5873">
        <v>0.108</v>
      </c>
    </row>
    <row r="5874" spans="1:8" x14ac:dyDescent="0.3">
      <c r="A5874" t="s">
        <v>14761</v>
      </c>
      <c r="B5874" t="s">
        <v>26951</v>
      </c>
      <c r="C5874" t="s">
        <v>15043</v>
      </c>
      <c r="D5874" t="s">
        <v>15042</v>
      </c>
      <c r="E5874" s="2" t="s">
        <v>742</v>
      </c>
      <c r="F5874" t="s">
        <v>10421</v>
      </c>
      <c r="G5874" t="str">
        <f>HYPERLINK("https://www.huffingtonpost.kr/news/articleView.html?idxno=233613")</f>
        <v>https://www.huffingtonpost.kr/news/articleView.html?idxno=233613</v>
      </c>
      <c r="H5874">
        <v>0.45900000000000002</v>
      </c>
    </row>
    <row r="5875" spans="1:8" x14ac:dyDescent="0.3">
      <c r="A5875" t="s">
        <v>14761</v>
      </c>
      <c r="B5875" t="s">
        <v>26951</v>
      </c>
      <c r="C5875" t="s">
        <v>15046</v>
      </c>
      <c r="D5875" t="s">
        <v>15045</v>
      </c>
      <c r="E5875" s="2" t="s">
        <v>742</v>
      </c>
      <c r="F5875" t="s">
        <v>15044</v>
      </c>
      <c r="G5875" t="str">
        <f>HYPERLINK("https://www.pointdaily.co.kr/news/articleView.html?idxno=245379")</f>
        <v>https://www.pointdaily.co.kr/news/articleView.html?idxno=245379</v>
      </c>
      <c r="H5875">
        <v>0.17599999999999999</v>
      </c>
    </row>
    <row r="5876" spans="1:8" x14ac:dyDescent="0.3">
      <c r="A5876" t="s">
        <v>14761</v>
      </c>
      <c r="B5876" t="s">
        <v>26951</v>
      </c>
      <c r="C5876" t="s">
        <v>15049</v>
      </c>
      <c r="D5876" t="s">
        <v>15048</v>
      </c>
      <c r="E5876" s="2" t="s">
        <v>799</v>
      </c>
      <c r="F5876" t="s">
        <v>15047</v>
      </c>
      <c r="G5876" t="str">
        <f>HYPERLINK("https://m.entertain.naver.com/article/076/0000038827")</f>
        <v>https://m.entertain.naver.com/article/076/0000038827</v>
      </c>
      <c r="H5876">
        <v>0.40600000000000003</v>
      </c>
    </row>
    <row r="5877" spans="1:8" x14ac:dyDescent="0.3">
      <c r="A5877" t="s">
        <v>14761</v>
      </c>
      <c r="B5877" t="s">
        <v>26951</v>
      </c>
      <c r="C5877" t="s">
        <v>15051</v>
      </c>
      <c r="D5877" t="s">
        <v>15050</v>
      </c>
      <c r="E5877" s="2" t="s">
        <v>799</v>
      </c>
      <c r="F5877" t="s">
        <v>9738</v>
      </c>
      <c r="G5877" t="str">
        <f>HYPERLINK("http://www.srtimes.kr/news/articleView.html?idxno=151093")</f>
        <v>http://www.srtimes.kr/news/articleView.html?idxno=151093</v>
      </c>
      <c r="H5877">
        <v>0.65100000000000002</v>
      </c>
    </row>
    <row r="5878" spans="1:8" x14ac:dyDescent="0.3">
      <c r="A5878" t="s">
        <v>14761</v>
      </c>
      <c r="B5878" t="s">
        <v>26951</v>
      </c>
      <c r="C5878" t="s">
        <v>15054</v>
      </c>
      <c r="D5878" t="s">
        <v>15053</v>
      </c>
      <c r="E5878" s="2" t="s">
        <v>799</v>
      </c>
      <c r="F5878" t="s">
        <v>15052</v>
      </c>
      <c r="G5878" t="str">
        <f>HYPERLINK("https://www.etoday.co.kr/news/view/2482618")</f>
        <v>https://www.etoday.co.kr/news/view/2482618</v>
      </c>
      <c r="H5878">
        <v>0.315</v>
      </c>
    </row>
    <row r="5879" spans="1:8" x14ac:dyDescent="0.3">
      <c r="A5879" t="s">
        <v>14761</v>
      </c>
      <c r="B5879" t="s">
        <v>26951</v>
      </c>
      <c r="C5879" t="s">
        <v>15056</v>
      </c>
      <c r="D5879" t="s">
        <v>15055</v>
      </c>
      <c r="E5879" s="2" t="s">
        <v>799</v>
      </c>
      <c r="F5879" t="s">
        <v>7224</v>
      </c>
      <c r="G5879" t="str">
        <f>HYPERLINK("https://www.newscj.com/news/articleView.html?idxno=3271146")</f>
        <v>https://www.newscj.com/news/articleView.html?idxno=3271146</v>
      </c>
      <c r="H5879">
        <v>0.68600000000000005</v>
      </c>
    </row>
    <row r="5880" spans="1:8" x14ac:dyDescent="0.3">
      <c r="A5880" t="s">
        <v>14761</v>
      </c>
      <c r="B5880" t="s">
        <v>26951</v>
      </c>
      <c r="C5880" t="s">
        <v>15059</v>
      </c>
      <c r="D5880" t="s">
        <v>15058</v>
      </c>
      <c r="E5880" s="2" t="s">
        <v>799</v>
      </c>
      <c r="F5880" t="s">
        <v>15057</v>
      </c>
      <c r="G5880" t="str">
        <f>HYPERLINK("https://www.allurekorea.com/2023/11/05/savor-the-endless-maldives/?utm_source=naver&amp;utm_medium=partnership")</f>
        <v>https://www.allurekorea.com/2023/11/05/savor-the-endless-maldives/?utm_source=naver&amp;utm_medium=partnership</v>
      </c>
      <c r="H5880">
        <v>0.44400000000000001</v>
      </c>
    </row>
    <row r="5881" spans="1:8" x14ac:dyDescent="0.3">
      <c r="A5881" t="s">
        <v>14761</v>
      </c>
      <c r="B5881" t="s">
        <v>26951</v>
      </c>
      <c r="C5881" t="s">
        <v>15062</v>
      </c>
      <c r="D5881" t="s">
        <v>15061</v>
      </c>
      <c r="E5881" s="2" t="s">
        <v>799</v>
      </c>
      <c r="F5881" t="s">
        <v>15060</v>
      </c>
      <c r="G5881" t="str">
        <f>HYPERLINK("https://ppss.kr/archives/185762")</f>
        <v>https://ppss.kr/archives/185762</v>
      </c>
      <c r="H5881">
        <v>0.33300000000000002</v>
      </c>
    </row>
    <row r="5882" spans="1:8" x14ac:dyDescent="0.3">
      <c r="A5882" t="s">
        <v>14761</v>
      </c>
      <c r="B5882" t="s">
        <v>26951</v>
      </c>
      <c r="C5882" t="s">
        <v>15065</v>
      </c>
      <c r="D5882" t="s">
        <v>15064</v>
      </c>
      <c r="E5882" s="2" t="s">
        <v>799</v>
      </c>
      <c r="F5882" t="s">
        <v>15063</v>
      </c>
      <c r="G5882" t="str">
        <f>HYPERLINK("https://www.foodneconomy.com/news/articleView.html?idxno=351795")</f>
        <v>https://www.foodneconomy.com/news/articleView.html?idxno=351795</v>
      </c>
      <c r="H5882">
        <v>0.27900000000000003</v>
      </c>
    </row>
    <row r="5883" spans="1:8" x14ac:dyDescent="0.3">
      <c r="A5883" t="s">
        <v>14761</v>
      </c>
      <c r="B5883" t="s">
        <v>26951</v>
      </c>
      <c r="C5883" t="s">
        <v>15068</v>
      </c>
      <c r="D5883" t="s">
        <v>15067</v>
      </c>
      <c r="E5883" s="2" t="s">
        <v>799</v>
      </c>
      <c r="F5883" t="s">
        <v>15066</v>
      </c>
      <c r="G5883" t="str">
        <f>HYPERLINK("http://www.gocj.net/news/articleView.html?idxno=140310")</f>
        <v>http://www.gocj.net/news/articleView.html?idxno=140310</v>
      </c>
      <c r="H5883">
        <v>0.76700000000000002</v>
      </c>
    </row>
    <row r="5884" spans="1:8" x14ac:dyDescent="0.3">
      <c r="A5884" t="s">
        <v>14761</v>
      </c>
      <c r="B5884" t="s">
        <v>26951</v>
      </c>
      <c r="C5884" t="s">
        <v>15071</v>
      </c>
      <c r="D5884" t="s">
        <v>15070</v>
      </c>
      <c r="E5884" s="2" t="s">
        <v>799</v>
      </c>
      <c r="F5884" t="s">
        <v>15069</v>
      </c>
      <c r="G5884" t="str">
        <f>HYPERLINK("https://www.jejusori.net/news/articleView.html?idxno=436108")</f>
        <v>https://www.jejusori.net/news/articleView.html?idxno=436108</v>
      </c>
      <c r="H5884">
        <v>0.47799999999999998</v>
      </c>
    </row>
    <row r="5885" spans="1:8" x14ac:dyDescent="0.3">
      <c r="A5885" t="s">
        <v>14761</v>
      </c>
      <c r="B5885" t="s">
        <v>26951</v>
      </c>
      <c r="C5885" t="s">
        <v>15073</v>
      </c>
      <c r="D5885" t="s">
        <v>15072</v>
      </c>
      <c r="E5885" s="2" t="s">
        <v>799</v>
      </c>
      <c r="F5885" t="s">
        <v>11313</v>
      </c>
      <c r="G5885" t="str">
        <f>HYPERLINK("https://www.jemin.com/news/articleView.html?idxno=797747")</f>
        <v>https://www.jemin.com/news/articleView.html?idxno=797747</v>
      </c>
      <c r="H5885">
        <v>0.42099999999999999</v>
      </c>
    </row>
    <row r="5886" spans="1:8" x14ac:dyDescent="0.3">
      <c r="A5886" t="s">
        <v>14761</v>
      </c>
      <c r="B5886" t="s">
        <v>26951</v>
      </c>
      <c r="C5886" t="s">
        <v>15076</v>
      </c>
      <c r="D5886" t="s">
        <v>15075</v>
      </c>
      <c r="E5886" s="2" t="s">
        <v>799</v>
      </c>
      <c r="F5886" t="s">
        <v>15074</v>
      </c>
      <c r="G5886" t="str">
        <f>HYPERLINK("https://www.startuptoday.co.kr/news/articleView.html?idxno=457793")</f>
        <v>https://www.startuptoday.co.kr/news/articleView.html?idxno=457793</v>
      </c>
      <c r="H5886">
        <v>0.97599999999999998</v>
      </c>
    </row>
    <row r="5887" spans="1:8" x14ac:dyDescent="0.3">
      <c r="A5887" t="s">
        <v>14761</v>
      </c>
      <c r="B5887" t="s">
        <v>26951</v>
      </c>
      <c r="C5887" t="s">
        <v>15078</v>
      </c>
      <c r="D5887" t="s">
        <v>15077</v>
      </c>
      <c r="E5887" s="2" t="s">
        <v>799</v>
      </c>
      <c r="F5887" t="s">
        <v>10172</v>
      </c>
      <c r="G5887" t="str">
        <f>HYPERLINK("https://www.etoday.co.kr/news/view/2480112")</f>
        <v>https://www.etoday.co.kr/news/view/2480112</v>
      </c>
      <c r="H5887">
        <v>0.51200000000000001</v>
      </c>
    </row>
    <row r="5888" spans="1:8" x14ac:dyDescent="0.3">
      <c r="A5888" t="s">
        <v>14761</v>
      </c>
      <c r="B5888" t="s">
        <v>26951</v>
      </c>
      <c r="C5888" t="s">
        <v>15081</v>
      </c>
      <c r="D5888" t="s">
        <v>15080</v>
      </c>
      <c r="E5888" s="2" t="s">
        <v>799</v>
      </c>
      <c r="F5888" t="s">
        <v>15079</v>
      </c>
      <c r="G5888" t="str">
        <f>HYPERLINK("http://ch.yes24.com/Article/View/42647")</f>
        <v>http://ch.yes24.com/Article/View/42647</v>
      </c>
      <c r="H5888">
        <v>0.23699999999999999</v>
      </c>
    </row>
    <row r="5889" spans="1:8" x14ac:dyDescent="0.3">
      <c r="A5889" t="s">
        <v>14761</v>
      </c>
      <c r="B5889" t="s">
        <v>26951</v>
      </c>
      <c r="C5889" t="s">
        <v>15084</v>
      </c>
      <c r="D5889" t="s">
        <v>15083</v>
      </c>
      <c r="E5889" s="2" t="s">
        <v>799</v>
      </c>
      <c r="F5889" t="s">
        <v>15082</v>
      </c>
      <c r="G5889" t="str">
        <f>HYPERLINK("http://jmagazine.joins.com/monthly/view/312023")</f>
        <v>http://jmagazine.joins.com/monthly/view/312023</v>
      </c>
      <c r="H5889">
        <v>0.68500000000000005</v>
      </c>
    </row>
    <row r="5890" spans="1:8" x14ac:dyDescent="0.3">
      <c r="A5890" t="s">
        <v>14761</v>
      </c>
      <c r="B5890" t="s">
        <v>26951</v>
      </c>
      <c r="C5890" t="s">
        <v>15086</v>
      </c>
      <c r="D5890" t="s">
        <v>15085</v>
      </c>
      <c r="E5890" s="2" t="s">
        <v>799</v>
      </c>
      <c r="F5890" t="s">
        <v>10783</v>
      </c>
      <c r="G5890" t="str">
        <f>HYPERLINK("http://www.naeil.com/news_view/?id_art=262968")</f>
        <v>http://www.naeil.com/news_view/?id_art=262968</v>
      </c>
      <c r="H5890">
        <v>0.51900000000000002</v>
      </c>
    </row>
    <row r="5891" spans="1:8" x14ac:dyDescent="0.3">
      <c r="A5891" t="s">
        <v>14761</v>
      </c>
      <c r="B5891" t="s">
        <v>26951</v>
      </c>
      <c r="C5891" t="s">
        <v>15089</v>
      </c>
      <c r="D5891" t="s">
        <v>15088</v>
      </c>
      <c r="E5891" s="2" t="s">
        <v>799</v>
      </c>
      <c r="F5891" t="s">
        <v>15087</v>
      </c>
      <c r="G5891" t="str">
        <f>HYPERLINK("https://www.lecturernews.com/news/articleView.html?idxno=177792")</f>
        <v>https://www.lecturernews.com/news/articleView.html?idxno=177792</v>
      </c>
      <c r="H5891">
        <v>0.97499999999999998</v>
      </c>
    </row>
    <row r="5892" spans="1:8" x14ac:dyDescent="0.3">
      <c r="A5892" t="s">
        <v>14761</v>
      </c>
      <c r="B5892" t="s">
        <v>26951</v>
      </c>
      <c r="C5892" t="s">
        <v>15092</v>
      </c>
      <c r="D5892" t="s">
        <v>15091</v>
      </c>
      <c r="E5892" s="2" t="s">
        <v>799</v>
      </c>
      <c r="F5892" t="s">
        <v>15090</v>
      </c>
      <c r="G5892" t="str">
        <f>HYPERLINK("https://n.news.naver.com/mnews/article/277/0005534588?sid=102")</f>
        <v>https://n.news.naver.com/mnews/article/277/0005534588?sid=102</v>
      </c>
      <c r="H5892">
        <v>0.23200000000000001</v>
      </c>
    </row>
    <row r="5893" spans="1:8" x14ac:dyDescent="0.3">
      <c r="A5893" t="s">
        <v>14761</v>
      </c>
      <c r="B5893" t="s">
        <v>26951</v>
      </c>
      <c r="C5893" t="s">
        <v>15095</v>
      </c>
      <c r="D5893" t="s">
        <v>15094</v>
      </c>
      <c r="E5893" s="2" t="s">
        <v>799</v>
      </c>
      <c r="F5893" t="s">
        <v>15093</v>
      </c>
      <c r="G5893" t="str">
        <f>HYPERLINK("https://n.news.naver.com/mnews/article/052/0002213014?sid=102")</f>
        <v>https://n.news.naver.com/mnews/article/052/0002213014?sid=102</v>
      </c>
      <c r="H5893">
        <v>0.13500000000000001</v>
      </c>
    </row>
    <row r="5894" spans="1:8" x14ac:dyDescent="0.3">
      <c r="A5894" t="s">
        <v>14761</v>
      </c>
      <c r="B5894" t="s">
        <v>26951</v>
      </c>
      <c r="C5894" t="s">
        <v>15098</v>
      </c>
      <c r="D5894" t="s">
        <v>15097</v>
      </c>
      <c r="E5894" s="2" t="s">
        <v>799</v>
      </c>
      <c r="F5894" t="s">
        <v>15096</v>
      </c>
      <c r="G5894" t="str">
        <f>HYPERLINK("http://www.newsmp.com/news/articleView.html?idxno=246858")</f>
        <v>http://www.newsmp.com/news/articleView.html?idxno=246858</v>
      </c>
      <c r="H5894">
        <v>0.57799999999999996</v>
      </c>
    </row>
    <row r="5895" spans="1:8" x14ac:dyDescent="0.3">
      <c r="A5895" t="s">
        <v>14761</v>
      </c>
      <c r="B5895" t="s">
        <v>26951</v>
      </c>
      <c r="C5895" t="s">
        <v>15100</v>
      </c>
      <c r="D5895" t="s">
        <v>15099</v>
      </c>
      <c r="E5895" s="2" t="s">
        <v>799</v>
      </c>
      <c r="F5895" t="s">
        <v>9755</v>
      </c>
      <c r="G5895" t="str">
        <f>HYPERLINK("https://n.news.naver.com/mnews/article/022/0004043290?sid=101")</f>
        <v>https://n.news.naver.com/mnews/article/022/0004043290?sid=101</v>
      </c>
      <c r="H5895">
        <v>0.26700000000000002</v>
      </c>
    </row>
    <row r="5896" spans="1:8" x14ac:dyDescent="0.3">
      <c r="A5896" t="s">
        <v>14761</v>
      </c>
      <c r="B5896" t="s">
        <v>26951</v>
      </c>
      <c r="C5896" t="s">
        <v>15103</v>
      </c>
      <c r="D5896" t="s">
        <v>15102</v>
      </c>
      <c r="E5896" s="2" t="s">
        <v>799</v>
      </c>
      <c r="F5896" t="s">
        <v>15101</v>
      </c>
      <c r="G5896" t="str">
        <f>HYPERLINK("https://www.nbntv.co.kr/news/articleView.html?idxno=3039046")</f>
        <v>https://www.nbntv.co.kr/news/articleView.html?idxno=3039046</v>
      </c>
      <c r="H5896">
        <v>0.621</v>
      </c>
    </row>
    <row r="5897" spans="1:8" x14ac:dyDescent="0.3">
      <c r="A5897" t="s">
        <v>14761</v>
      </c>
      <c r="B5897" t="s">
        <v>26951</v>
      </c>
      <c r="C5897" t="s">
        <v>15105</v>
      </c>
      <c r="D5897" t="s">
        <v>15104</v>
      </c>
      <c r="E5897" s="2" t="s">
        <v>799</v>
      </c>
      <c r="F5897" t="s">
        <v>7640</v>
      </c>
      <c r="G5897" t="str">
        <f>HYPERLINK("http://www.iusm.co.kr/news/articleView.html?idxno=661737")</f>
        <v>http://www.iusm.co.kr/news/articleView.html?idxno=661737</v>
      </c>
      <c r="H5897">
        <v>0.30099999999999999</v>
      </c>
    </row>
    <row r="5898" spans="1:8" x14ac:dyDescent="0.3">
      <c r="A5898" t="s">
        <v>14761</v>
      </c>
      <c r="B5898" t="s">
        <v>26951</v>
      </c>
      <c r="C5898" t="s">
        <v>15107</v>
      </c>
      <c r="D5898" t="s">
        <v>15106</v>
      </c>
      <c r="E5898" s="2" t="s">
        <v>799</v>
      </c>
      <c r="F5898" t="s">
        <v>4207</v>
      </c>
      <c r="G5898" t="str">
        <f>HYPERLINK("http://www.seoulfn.com/news/articleView.html?idxno=543491")</f>
        <v>http://www.seoulfn.com/news/articleView.html?idxno=543491</v>
      </c>
      <c r="H5898">
        <v>0.55800000000000005</v>
      </c>
    </row>
    <row r="5899" spans="1:8" x14ac:dyDescent="0.3">
      <c r="A5899" t="s">
        <v>14761</v>
      </c>
      <c r="B5899" t="s">
        <v>26951</v>
      </c>
      <c r="C5899" t="s">
        <v>11036</v>
      </c>
      <c r="D5899" t="s">
        <v>11035</v>
      </c>
      <c r="E5899" s="2" t="s">
        <v>799</v>
      </c>
      <c r="F5899" t="s">
        <v>11031</v>
      </c>
      <c r="G5899" t="str">
        <f>HYPERLINK("https://www.pennmike.com/news/articleView.html?idxno=102601")</f>
        <v>https://www.pennmike.com/news/articleView.html?idxno=102601</v>
      </c>
      <c r="H5899">
        <v>0.33700000000000002</v>
      </c>
    </row>
    <row r="5900" spans="1:8" x14ac:dyDescent="0.3">
      <c r="A5900" t="s">
        <v>14761</v>
      </c>
      <c r="B5900" t="s">
        <v>26951</v>
      </c>
      <c r="C5900" t="s">
        <v>15109</v>
      </c>
      <c r="D5900" t="s">
        <v>15108</v>
      </c>
      <c r="E5900" s="2" t="s">
        <v>799</v>
      </c>
      <c r="F5900" t="s">
        <v>9944</v>
      </c>
      <c r="G5900" t="str">
        <f>HYPERLINK("https://sports.hankooki.com/news/articleView.html?idxno=6901227")</f>
        <v>https://sports.hankooki.com/news/articleView.html?idxno=6901227</v>
      </c>
      <c r="H5900">
        <v>0.47</v>
      </c>
    </row>
    <row r="5901" spans="1:8" x14ac:dyDescent="0.3">
      <c r="A5901" t="s">
        <v>14761</v>
      </c>
      <c r="B5901" t="s">
        <v>26951</v>
      </c>
      <c r="C5901" t="s">
        <v>15112</v>
      </c>
      <c r="D5901" t="s">
        <v>15111</v>
      </c>
      <c r="E5901" s="2" t="s">
        <v>799</v>
      </c>
      <c r="F5901" t="s">
        <v>15110</v>
      </c>
      <c r="G5901" t="str">
        <f>HYPERLINK("http://www.farminsight.net/news/articleView.html?idxno=4239")</f>
        <v>http://www.farminsight.net/news/articleView.html?idxno=4239</v>
      </c>
      <c r="H5901">
        <v>0.22900000000000001</v>
      </c>
    </row>
    <row r="5902" spans="1:8" x14ac:dyDescent="0.3">
      <c r="A5902" t="s">
        <v>14761</v>
      </c>
      <c r="B5902" t="s">
        <v>26951</v>
      </c>
      <c r="C5902" t="s">
        <v>15114</v>
      </c>
      <c r="D5902" t="s">
        <v>15113</v>
      </c>
      <c r="E5902" s="2" t="s">
        <v>799</v>
      </c>
      <c r="F5902" t="s">
        <v>171</v>
      </c>
      <c r="G5902" t="str">
        <f>HYPERLINK("https://www.jemin.com/news/articleView.html?idxno=808760")</f>
        <v>https://www.jemin.com/news/articleView.html?idxno=808760</v>
      </c>
      <c r="H5902">
        <v>0.65300000000000002</v>
      </c>
    </row>
    <row r="5903" spans="1:8" x14ac:dyDescent="0.3">
      <c r="A5903" t="s">
        <v>14761</v>
      </c>
      <c r="B5903" t="s">
        <v>26951</v>
      </c>
      <c r="C5903" t="s">
        <v>15116</v>
      </c>
      <c r="D5903" t="s">
        <v>15115</v>
      </c>
      <c r="E5903" s="2" t="s">
        <v>799</v>
      </c>
      <c r="F5903" t="s">
        <v>10021</v>
      </c>
      <c r="G5903" t="str">
        <f>HYPERLINK("http://www.starnewsk.com/news/articleView.html?idxno=46469")</f>
        <v>http://www.starnewsk.com/news/articleView.html?idxno=46469</v>
      </c>
      <c r="H5903">
        <v>0.65100000000000002</v>
      </c>
    </row>
    <row r="5904" spans="1:8" x14ac:dyDescent="0.3">
      <c r="A5904" t="s">
        <v>14761</v>
      </c>
      <c r="B5904" t="s">
        <v>26951</v>
      </c>
      <c r="C5904" t="s">
        <v>15119</v>
      </c>
      <c r="D5904" t="s">
        <v>15118</v>
      </c>
      <c r="E5904" s="2" t="s">
        <v>799</v>
      </c>
      <c r="F5904" t="s">
        <v>15117</v>
      </c>
      <c r="G5904" t="str">
        <f>HYPERLINK("http://www.sisafocus.co.kr/news/articleView.html?idxno=340389")</f>
        <v>http://www.sisafocus.co.kr/news/articleView.html?idxno=340389</v>
      </c>
      <c r="H5904">
        <v>0.121</v>
      </c>
    </row>
    <row r="5905" spans="1:8" x14ac:dyDescent="0.3">
      <c r="A5905" t="s">
        <v>14761</v>
      </c>
      <c r="B5905" t="s">
        <v>26951</v>
      </c>
      <c r="C5905" t="s">
        <v>15122</v>
      </c>
      <c r="D5905" t="s">
        <v>15121</v>
      </c>
      <c r="E5905" s="2" t="s">
        <v>799</v>
      </c>
      <c r="F5905" t="s">
        <v>15120</v>
      </c>
      <c r="G5905" t="str">
        <f>HYPERLINK("https://www.jemin.com/news/articleView.html?idxno=807600")</f>
        <v>https://www.jemin.com/news/articleView.html?idxno=807600</v>
      </c>
      <c r="H5905">
        <v>0.63700000000000001</v>
      </c>
    </row>
    <row r="5906" spans="1:8" x14ac:dyDescent="0.3">
      <c r="A5906" t="s">
        <v>14761</v>
      </c>
      <c r="B5906" t="s">
        <v>26951</v>
      </c>
      <c r="C5906" t="s">
        <v>15125</v>
      </c>
      <c r="D5906" t="s">
        <v>15124</v>
      </c>
      <c r="E5906" s="2" t="s">
        <v>799</v>
      </c>
      <c r="F5906" t="s">
        <v>15123</v>
      </c>
      <c r="G5906" t="str">
        <f>HYPERLINK("http://www.kyeongin.com/main/view.php?key=20180930001537229")</f>
        <v>http://www.kyeongin.com/main/view.php?key=20180930001537229</v>
      </c>
      <c r="H5906">
        <v>0.38900000000000001</v>
      </c>
    </row>
    <row r="5907" spans="1:8" x14ac:dyDescent="0.3">
      <c r="A5907" t="s">
        <v>14761</v>
      </c>
      <c r="B5907" t="s">
        <v>26951</v>
      </c>
      <c r="C5907" t="s">
        <v>15127</v>
      </c>
      <c r="D5907" t="s">
        <v>15126</v>
      </c>
      <c r="E5907" s="2" t="s">
        <v>799</v>
      </c>
      <c r="F5907" t="s">
        <v>6429</v>
      </c>
      <c r="G5907" t="str">
        <f>HYPERLINK("http://www.ajunews.com/view/20180115173641873")</f>
        <v>http://www.ajunews.com/view/20180115173641873</v>
      </c>
      <c r="H5907">
        <v>0.18</v>
      </c>
    </row>
    <row r="5908" spans="1:8" x14ac:dyDescent="0.3">
      <c r="A5908" t="s">
        <v>14761</v>
      </c>
      <c r="B5908" t="s">
        <v>26951</v>
      </c>
      <c r="C5908" t="s">
        <v>11090</v>
      </c>
      <c r="D5908" t="s">
        <v>11089</v>
      </c>
      <c r="E5908" s="2" t="s">
        <v>799</v>
      </c>
      <c r="F5908" t="s">
        <v>9962</v>
      </c>
      <c r="G5908" t="str">
        <f>HYPERLINK("http://www.sisamagazine.co.kr/news/articleView.html?idxno=227134")</f>
        <v>http://www.sisamagazine.co.kr/news/articleView.html?idxno=227134</v>
      </c>
      <c r="H5908">
        <v>0.47</v>
      </c>
    </row>
    <row r="5909" spans="1:8" x14ac:dyDescent="0.3">
      <c r="A5909" t="s">
        <v>14761</v>
      </c>
      <c r="B5909" t="s">
        <v>26951</v>
      </c>
      <c r="C5909" t="s">
        <v>15131</v>
      </c>
      <c r="D5909" t="s">
        <v>15130</v>
      </c>
      <c r="E5909" s="2" t="s">
        <v>799</v>
      </c>
      <c r="F5909" t="s">
        <v>15129</v>
      </c>
      <c r="G5909" t="str">
        <f>HYPERLINK("http://www.lecturernews.com/news/articleView.html?idxno=33717")</f>
        <v>http://www.lecturernews.com/news/articleView.html?idxno=33717</v>
      </c>
      <c r="H5909">
        <v>0.36499999999999999</v>
      </c>
    </row>
    <row r="5910" spans="1:8" x14ac:dyDescent="0.3">
      <c r="A5910" t="s">
        <v>14761</v>
      </c>
      <c r="B5910" t="s">
        <v>26951</v>
      </c>
      <c r="C5910" t="s">
        <v>15134</v>
      </c>
      <c r="D5910" t="s">
        <v>15133</v>
      </c>
      <c r="E5910" s="2" t="s">
        <v>799</v>
      </c>
      <c r="F5910" t="s">
        <v>15132</v>
      </c>
      <c r="G5910" t="str">
        <f>HYPERLINK("http://www.netongs.com/news/articleView.html?idxno=308976")</f>
        <v>http://www.netongs.com/news/articleView.html?idxno=308976</v>
      </c>
      <c r="H5910">
        <v>0.309</v>
      </c>
    </row>
    <row r="5911" spans="1:8" x14ac:dyDescent="0.3">
      <c r="A5911" t="s">
        <v>14761</v>
      </c>
      <c r="B5911" t="s">
        <v>26951</v>
      </c>
      <c r="C5911" t="s">
        <v>15137</v>
      </c>
      <c r="D5911" t="s">
        <v>15136</v>
      </c>
      <c r="E5911" s="2" t="s">
        <v>799</v>
      </c>
      <c r="F5911" t="s">
        <v>15135</v>
      </c>
      <c r="G5911" t="str">
        <f>HYPERLINK("https://sports.hankooki.com/news/articleView.html?idxno=6902211")</f>
        <v>https://sports.hankooki.com/news/articleView.html?idxno=6902211</v>
      </c>
      <c r="H5911">
        <v>0.19900000000000001</v>
      </c>
    </row>
    <row r="5912" spans="1:8" x14ac:dyDescent="0.3">
      <c r="A5912" t="s">
        <v>14761</v>
      </c>
      <c r="B5912" t="s">
        <v>26951</v>
      </c>
      <c r="C5912" t="s">
        <v>15140</v>
      </c>
      <c r="D5912" t="s">
        <v>15139</v>
      </c>
      <c r="E5912" s="2" t="s">
        <v>799</v>
      </c>
      <c r="F5912" t="s">
        <v>15138</v>
      </c>
      <c r="G5912" t="str">
        <f>HYPERLINK("https://www.etoday.co.kr/news/view/2335636")</f>
        <v>https://www.etoday.co.kr/news/view/2335636</v>
      </c>
      <c r="H5912">
        <v>0.1</v>
      </c>
    </row>
    <row r="5913" spans="1:8" x14ac:dyDescent="0.3">
      <c r="A5913" t="s">
        <v>14761</v>
      </c>
      <c r="B5913" t="s">
        <v>26951</v>
      </c>
      <c r="C5913" t="s">
        <v>15143</v>
      </c>
      <c r="D5913" t="s">
        <v>15142</v>
      </c>
      <c r="E5913" s="2" t="s">
        <v>799</v>
      </c>
      <c r="F5913" t="s">
        <v>15141</v>
      </c>
      <c r="G5913" t="str">
        <f>HYPERLINK("http://www.ccnnews.co.kr/news/articleView.html?idxno=373376")</f>
        <v>http://www.ccnnews.co.kr/news/articleView.html?idxno=373376</v>
      </c>
      <c r="H5913">
        <v>0.37</v>
      </c>
    </row>
    <row r="5914" spans="1:8" x14ac:dyDescent="0.3">
      <c r="A5914" t="s">
        <v>14761</v>
      </c>
      <c r="B5914" t="s">
        <v>26951</v>
      </c>
      <c r="C5914" t="s">
        <v>15145</v>
      </c>
      <c r="D5914" t="s">
        <v>15144</v>
      </c>
      <c r="E5914" s="2" t="s">
        <v>799</v>
      </c>
      <c r="F5914" t="s">
        <v>677</v>
      </c>
      <c r="G5914" t="str">
        <f>HYPERLINK("http://www.sisaon.co.kr/news/articleView.html?idxno=126230")</f>
        <v>http://www.sisaon.co.kr/news/articleView.html?idxno=126230</v>
      </c>
      <c r="H5914">
        <v>0.55200000000000005</v>
      </c>
    </row>
    <row r="5915" spans="1:8" x14ac:dyDescent="0.3">
      <c r="A5915" t="s">
        <v>14761</v>
      </c>
      <c r="B5915" t="s">
        <v>26951</v>
      </c>
      <c r="C5915" t="s">
        <v>15147</v>
      </c>
      <c r="D5915" t="s">
        <v>15146</v>
      </c>
      <c r="E5915" s="2" t="s">
        <v>799</v>
      </c>
      <c r="F5915" t="s">
        <v>8299</v>
      </c>
      <c r="G5915" t="str">
        <f>HYPERLINK("https://www.womaneconomy.co.kr/news/articleView.html?idxno=95533")</f>
        <v>https://www.womaneconomy.co.kr/news/articleView.html?idxno=95533</v>
      </c>
      <c r="H5915">
        <v>0.248</v>
      </c>
    </row>
    <row r="5916" spans="1:8" x14ac:dyDescent="0.3">
      <c r="A5916" t="s">
        <v>14761</v>
      </c>
      <c r="B5916" t="s">
        <v>26951</v>
      </c>
      <c r="C5916" t="s">
        <v>15149</v>
      </c>
      <c r="D5916" t="s">
        <v>15148</v>
      </c>
      <c r="E5916" s="2" t="s">
        <v>799</v>
      </c>
      <c r="F5916" t="s">
        <v>166</v>
      </c>
      <c r="G5916" t="str">
        <f>HYPERLINK("http://www.chungnamilbo.co.kr/news/articleView.html?idxno=836780")</f>
        <v>http://www.chungnamilbo.co.kr/news/articleView.html?idxno=836780</v>
      </c>
      <c r="H5916">
        <v>0.18</v>
      </c>
    </row>
    <row r="5917" spans="1:8" x14ac:dyDescent="0.3">
      <c r="A5917" t="s">
        <v>14761</v>
      </c>
      <c r="B5917" t="s">
        <v>26951</v>
      </c>
      <c r="C5917" t="s">
        <v>15152</v>
      </c>
      <c r="D5917" t="s">
        <v>15151</v>
      </c>
      <c r="E5917" s="2" t="s">
        <v>799</v>
      </c>
      <c r="F5917" t="s">
        <v>15150</v>
      </c>
      <c r="G5917" t="str">
        <f>HYPERLINK("https://n.news.naver.com/mnews/article/014/0005370944?sid=102")</f>
        <v>https://n.news.naver.com/mnews/article/014/0005370944?sid=102</v>
      </c>
      <c r="H5917">
        <v>0.33800000000000002</v>
      </c>
    </row>
    <row r="5918" spans="1:8" x14ac:dyDescent="0.3">
      <c r="A5918" t="s">
        <v>14761</v>
      </c>
      <c r="B5918" t="s">
        <v>26951</v>
      </c>
      <c r="C5918" t="s">
        <v>15154</v>
      </c>
      <c r="D5918" t="s">
        <v>15153</v>
      </c>
      <c r="E5918" s="2" t="s">
        <v>799</v>
      </c>
      <c r="F5918" t="s">
        <v>3235</v>
      </c>
      <c r="G5918" t="str">
        <f>HYPERLINK("https://www.etoday.co.kr/news/view/2476448")</f>
        <v>https://www.etoday.co.kr/news/view/2476448</v>
      </c>
      <c r="H5918">
        <v>0.55900000000000005</v>
      </c>
    </row>
    <row r="5919" spans="1:8" x14ac:dyDescent="0.3">
      <c r="A5919" t="s">
        <v>14761</v>
      </c>
      <c r="B5919" t="s">
        <v>26951</v>
      </c>
      <c r="C5919" t="s">
        <v>15156</v>
      </c>
      <c r="D5919" t="s">
        <v>15155</v>
      </c>
      <c r="E5919" s="2" t="s">
        <v>799</v>
      </c>
      <c r="F5919" t="s">
        <v>5548</v>
      </c>
      <c r="G5919" t="str">
        <f>HYPERLINK("https://sports.hankooki.com/news/articleView.html?idxno=6893717")</f>
        <v>https://sports.hankooki.com/news/articleView.html?idxno=6893717</v>
      </c>
      <c r="H5919">
        <v>0.434</v>
      </c>
    </row>
    <row r="5920" spans="1:8" x14ac:dyDescent="0.3">
      <c r="A5920" t="s">
        <v>14761</v>
      </c>
      <c r="B5920" t="s">
        <v>26951</v>
      </c>
      <c r="C5920" t="s">
        <v>15159</v>
      </c>
      <c r="D5920" t="s">
        <v>15158</v>
      </c>
      <c r="E5920" s="2" t="s">
        <v>799</v>
      </c>
      <c r="F5920" t="s">
        <v>15157</v>
      </c>
      <c r="G5920" t="str">
        <f>HYPERLINK("https://www.apnews.kr/news/articleView.html?idxno=3026830")</f>
        <v>https://www.apnews.kr/news/articleView.html?idxno=3026830</v>
      </c>
      <c r="H5920">
        <v>0.33500000000000002</v>
      </c>
    </row>
    <row r="5921" spans="1:8" x14ac:dyDescent="0.3">
      <c r="A5921" t="s">
        <v>14761</v>
      </c>
      <c r="B5921" t="s">
        <v>26951</v>
      </c>
      <c r="C5921" t="s">
        <v>15162</v>
      </c>
      <c r="D5921" t="s">
        <v>15161</v>
      </c>
      <c r="E5921" s="2" t="s">
        <v>799</v>
      </c>
      <c r="F5921" t="s">
        <v>15160</v>
      </c>
      <c r="G5921" t="str">
        <f>HYPERLINK("https://www.ccdailynews.com/news/articleView.html?idxno=2347295")</f>
        <v>https://www.ccdailynews.com/news/articleView.html?idxno=2347295</v>
      </c>
      <c r="H5921">
        <v>0.74</v>
      </c>
    </row>
    <row r="5922" spans="1:8" x14ac:dyDescent="0.3">
      <c r="A5922" t="s">
        <v>14761</v>
      </c>
      <c r="B5922" t="s">
        <v>26951</v>
      </c>
      <c r="C5922" t="s">
        <v>15165</v>
      </c>
      <c r="D5922" t="s">
        <v>15164</v>
      </c>
      <c r="E5922" s="2" t="s">
        <v>799</v>
      </c>
      <c r="F5922" t="s">
        <v>15163</v>
      </c>
      <c r="G5922" t="str">
        <f>HYPERLINK("https://n.news.naver.com/mnews/article/277/0005615923?sid=101")</f>
        <v>https://n.news.naver.com/mnews/article/277/0005615923?sid=101</v>
      </c>
      <c r="H5922">
        <v>0.311</v>
      </c>
    </row>
    <row r="5923" spans="1:8" x14ac:dyDescent="0.3">
      <c r="A5923" t="s">
        <v>14761</v>
      </c>
      <c r="B5923" t="s">
        <v>26951</v>
      </c>
      <c r="C5923" t="s">
        <v>15167</v>
      </c>
      <c r="D5923" t="s">
        <v>15166</v>
      </c>
      <c r="E5923" s="2" t="s">
        <v>609</v>
      </c>
      <c r="F5923" t="s">
        <v>10565</v>
      </c>
      <c r="G5923" t="str">
        <f>HYPERLINK("https://sports.hankooki.com/news/articleView.html?idxno=6901444")</f>
        <v>https://sports.hankooki.com/news/articleView.html?idxno=6901444</v>
      </c>
      <c r="H5923">
        <v>0.75</v>
      </c>
    </row>
    <row r="5924" spans="1:8" x14ac:dyDescent="0.3">
      <c r="A5924" t="s">
        <v>14761</v>
      </c>
      <c r="B5924" t="s">
        <v>26951</v>
      </c>
      <c r="C5924" t="s">
        <v>15170</v>
      </c>
      <c r="D5924" t="s">
        <v>15169</v>
      </c>
      <c r="E5924" s="2" t="s">
        <v>609</v>
      </c>
      <c r="F5924" t="s">
        <v>15168</v>
      </c>
      <c r="G5924" t="str">
        <f>HYPERLINK("https://www.pinpointnews.co.kr/news/articleView.html?idxno=326718")</f>
        <v>https://www.pinpointnews.co.kr/news/articleView.html?idxno=326718</v>
      </c>
      <c r="H5924">
        <v>0.35099999999999998</v>
      </c>
    </row>
    <row r="5925" spans="1:8" x14ac:dyDescent="0.3">
      <c r="A5925" t="s">
        <v>14761</v>
      </c>
      <c r="B5925" t="s">
        <v>26951</v>
      </c>
      <c r="C5925" t="s">
        <v>15173</v>
      </c>
      <c r="D5925" t="s">
        <v>15172</v>
      </c>
      <c r="E5925" s="2" t="s">
        <v>609</v>
      </c>
      <c r="F5925" t="s">
        <v>15171</v>
      </c>
      <c r="G5925" t="str">
        <f>HYPERLINK("https://sports.hankooki.com/news/articleView.html?idxno=6902462")</f>
        <v>https://sports.hankooki.com/news/articleView.html?idxno=6902462</v>
      </c>
      <c r="H5925">
        <v>0.61499999999999999</v>
      </c>
    </row>
    <row r="5926" spans="1:8" x14ac:dyDescent="0.3">
      <c r="A5926" t="s">
        <v>14761</v>
      </c>
      <c r="B5926" t="s">
        <v>26951</v>
      </c>
      <c r="C5926" t="s">
        <v>15175</v>
      </c>
      <c r="D5926" t="s">
        <v>15174</v>
      </c>
      <c r="E5926" s="2" t="s">
        <v>609</v>
      </c>
      <c r="F5926" t="s">
        <v>10260</v>
      </c>
      <c r="G5926" t="str">
        <f>HYPERLINK("https://www.huffingtonpost.kr/entry/ji-so-yeon-car_kr_60cd9effe4b0dd017427a6ed?utm_id=naver")</f>
        <v>https://www.huffingtonpost.kr/entry/ji-so-yeon-car_kr_60cd9effe4b0dd017427a6ed?utm_id=naver</v>
      </c>
      <c r="H5926">
        <v>0.45</v>
      </c>
    </row>
    <row r="5927" spans="1:8" x14ac:dyDescent="0.3">
      <c r="A5927" t="s">
        <v>14761</v>
      </c>
      <c r="B5927" t="s">
        <v>26951</v>
      </c>
      <c r="C5927" t="s">
        <v>15178</v>
      </c>
      <c r="D5927" t="s">
        <v>15177</v>
      </c>
      <c r="E5927" s="2" t="s">
        <v>609</v>
      </c>
      <c r="F5927" t="s">
        <v>15176</v>
      </c>
      <c r="G5927" t="str">
        <f>HYPERLINK("https://n.news.naver.com/mnews/article/079/0004040073?sid=102")</f>
        <v>https://n.news.naver.com/mnews/article/079/0004040073?sid=102</v>
      </c>
      <c r="H5927">
        <v>0.18</v>
      </c>
    </row>
    <row r="5928" spans="1:8" x14ac:dyDescent="0.3">
      <c r="A5928" t="s">
        <v>14761</v>
      </c>
      <c r="B5928" t="s">
        <v>26951</v>
      </c>
      <c r="C5928" t="s">
        <v>15181</v>
      </c>
      <c r="D5928" t="s">
        <v>15180</v>
      </c>
      <c r="E5928" s="2" t="s">
        <v>609</v>
      </c>
      <c r="F5928" t="s">
        <v>15179</v>
      </c>
      <c r="G5928" t="str">
        <f>HYPERLINK("https://sports.hankooki.com/news/articleView.html?idxno=6900152")</f>
        <v>https://sports.hankooki.com/news/articleView.html?idxno=6900152</v>
      </c>
      <c r="H5928">
        <v>0.59</v>
      </c>
    </row>
    <row r="5929" spans="1:8" x14ac:dyDescent="0.3">
      <c r="A5929" t="s">
        <v>14761</v>
      </c>
      <c r="B5929" t="s">
        <v>26951</v>
      </c>
      <c r="C5929" t="s">
        <v>15183</v>
      </c>
      <c r="D5929" t="s">
        <v>15182</v>
      </c>
      <c r="E5929" s="2" t="s">
        <v>609</v>
      </c>
      <c r="F5929" t="s">
        <v>1108</v>
      </c>
      <c r="G5929" t="str">
        <f>HYPERLINK("https://ppss.kr/archives/126749")</f>
        <v>https://ppss.kr/archives/126749</v>
      </c>
      <c r="H5929">
        <v>0.29699999999999999</v>
      </c>
    </row>
    <row r="5930" spans="1:8" x14ac:dyDescent="0.3">
      <c r="A5930" t="s">
        <v>14761</v>
      </c>
      <c r="B5930" t="s">
        <v>26951</v>
      </c>
      <c r="C5930" t="s">
        <v>15186</v>
      </c>
      <c r="D5930" t="s">
        <v>15185</v>
      </c>
      <c r="E5930" s="2" t="s">
        <v>609</v>
      </c>
      <c r="F5930" t="s">
        <v>15184</v>
      </c>
      <c r="G5930" t="str">
        <f>HYPERLINK("https://sports.hankooki.com/news/articleView.html?idxno=6899657")</f>
        <v>https://sports.hankooki.com/news/articleView.html?idxno=6899657</v>
      </c>
      <c r="H5930">
        <v>0.25800000000000001</v>
      </c>
    </row>
    <row r="5931" spans="1:8" x14ac:dyDescent="0.3">
      <c r="A5931" t="s">
        <v>14761</v>
      </c>
      <c r="B5931" t="s">
        <v>26951</v>
      </c>
      <c r="C5931" t="s">
        <v>15189</v>
      </c>
      <c r="D5931" t="s">
        <v>15188</v>
      </c>
      <c r="E5931" s="2" t="s">
        <v>609</v>
      </c>
      <c r="F5931" t="s">
        <v>15187</v>
      </c>
      <c r="G5931" t="str">
        <f>HYPERLINK("http://www.seoulwire.com/news/articleView.html?idxno=404329")</f>
        <v>http://www.seoulwire.com/news/articleView.html?idxno=404329</v>
      </c>
      <c r="H5931">
        <v>0.41399999999999998</v>
      </c>
    </row>
    <row r="5932" spans="1:8" x14ac:dyDescent="0.3">
      <c r="A5932" t="s">
        <v>14761</v>
      </c>
      <c r="B5932" t="s">
        <v>26951</v>
      </c>
      <c r="C5932" t="s">
        <v>15192</v>
      </c>
      <c r="D5932" t="s">
        <v>15191</v>
      </c>
      <c r="E5932" s="2" t="s">
        <v>609</v>
      </c>
      <c r="F5932" t="s">
        <v>15190</v>
      </c>
      <c r="G5932" t="str">
        <f>HYPERLINK("https://sports.hankooki.com/news/articleView.html?idxno=6900905")</f>
        <v>https://sports.hankooki.com/news/articleView.html?idxno=6900905</v>
      </c>
      <c r="H5932">
        <v>0.248</v>
      </c>
    </row>
    <row r="5933" spans="1:8" x14ac:dyDescent="0.3">
      <c r="A5933" t="s">
        <v>14761</v>
      </c>
      <c r="B5933" t="s">
        <v>26951</v>
      </c>
      <c r="C5933" t="s">
        <v>5973</v>
      </c>
      <c r="D5933" t="s">
        <v>5972</v>
      </c>
      <c r="E5933" s="2" t="s">
        <v>609</v>
      </c>
      <c r="F5933" t="s">
        <v>197</v>
      </c>
      <c r="G5933" t="str">
        <f>HYPERLINK("http://www.sisafocus.co.kr/news/articleView.html?idxno=341651")</f>
        <v>http://www.sisafocus.co.kr/news/articleView.html?idxno=341651</v>
      </c>
      <c r="H5933">
        <v>0.51700000000000002</v>
      </c>
    </row>
    <row r="5934" spans="1:8" x14ac:dyDescent="0.3">
      <c r="A5934" t="s">
        <v>14761</v>
      </c>
      <c r="B5934" t="s">
        <v>26951</v>
      </c>
      <c r="C5934" t="s">
        <v>15195</v>
      </c>
      <c r="D5934" t="s">
        <v>15194</v>
      </c>
      <c r="E5934" s="2" t="s">
        <v>609</v>
      </c>
      <c r="F5934" t="s">
        <v>15193</v>
      </c>
      <c r="G5934" t="str">
        <f>HYPERLINK("https://n.news.naver.com/mnews/article/081/0003476188?sid=103")</f>
        <v>https://n.news.naver.com/mnews/article/081/0003476188?sid=103</v>
      </c>
      <c r="H5934">
        <v>0.35399999999999998</v>
      </c>
    </row>
    <row r="5935" spans="1:8" x14ac:dyDescent="0.3">
      <c r="A5935" t="s">
        <v>14761</v>
      </c>
      <c r="B5935" t="s">
        <v>26951</v>
      </c>
      <c r="C5935" t="s">
        <v>15197</v>
      </c>
      <c r="D5935" t="s">
        <v>15196</v>
      </c>
      <c r="E5935" s="2" t="s">
        <v>609</v>
      </c>
      <c r="F5935" t="s">
        <v>8417</v>
      </c>
      <c r="G5935" t="str">
        <f>HYPERLINK("https://n.news.naver.com/mnews/article/011/0004503566?sid=102")</f>
        <v>https://n.news.naver.com/mnews/article/011/0004503566?sid=102</v>
      </c>
      <c r="H5935">
        <v>0.19900000000000001</v>
      </c>
    </row>
    <row r="5936" spans="1:8" x14ac:dyDescent="0.3">
      <c r="A5936" t="s">
        <v>14761</v>
      </c>
      <c r="B5936" t="s">
        <v>26951</v>
      </c>
      <c r="C5936" t="s">
        <v>15199</v>
      </c>
      <c r="D5936" t="s">
        <v>15198</v>
      </c>
      <c r="E5936" s="2" t="s">
        <v>609</v>
      </c>
      <c r="F5936" t="s">
        <v>1093</v>
      </c>
      <c r="G5936" t="str">
        <f>HYPERLINK("https://www.tokenpost.kr/news/briefing/253328")</f>
        <v>https://www.tokenpost.kr/news/briefing/253328</v>
      </c>
      <c r="H5936">
        <v>0.71199999999999997</v>
      </c>
    </row>
    <row r="5937" spans="1:8" x14ac:dyDescent="0.3">
      <c r="A5937" t="s">
        <v>14761</v>
      </c>
      <c r="B5937" t="s">
        <v>26951</v>
      </c>
      <c r="C5937" t="s">
        <v>15202</v>
      </c>
      <c r="D5937" t="s">
        <v>15201</v>
      </c>
      <c r="E5937" s="2" t="s">
        <v>609</v>
      </c>
      <c r="F5937" t="s">
        <v>15200</v>
      </c>
      <c r="G5937" t="str">
        <f>HYPERLINK("https://radio.ytn.co.kr/program/?f=2&amp;id=95623&amp;s_mcd=0206&amp;s_hcd=15")</f>
        <v>https://radio.ytn.co.kr/program/?f=2&amp;id=95623&amp;s_mcd=0206&amp;s_hcd=15</v>
      </c>
      <c r="H5937">
        <v>0.41099999999999998</v>
      </c>
    </row>
    <row r="5938" spans="1:8" x14ac:dyDescent="0.3">
      <c r="A5938" t="s">
        <v>14761</v>
      </c>
      <c r="B5938" t="s">
        <v>26951</v>
      </c>
      <c r="C5938" t="s">
        <v>15204</v>
      </c>
      <c r="D5938" t="s">
        <v>15203</v>
      </c>
      <c r="E5938" s="2" t="s">
        <v>609</v>
      </c>
      <c r="F5938" t="s">
        <v>10700</v>
      </c>
      <c r="G5938" t="str">
        <f>HYPERLINK("http://www.seoulwire.com/news/articleView.html?idxno=655222")</f>
        <v>http://www.seoulwire.com/news/articleView.html?idxno=655222</v>
      </c>
      <c r="H5938">
        <v>0.55200000000000005</v>
      </c>
    </row>
    <row r="5939" spans="1:8" x14ac:dyDescent="0.3">
      <c r="A5939" t="s">
        <v>14761</v>
      </c>
      <c r="B5939" t="s">
        <v>26951</v>
      </c>
      <c r="C5939" t="s">
        <v>15206</v>
      </c>
      <c r="D5939" t="s">
        <v>15205</v>
      </c>
      <c r="E5939" s="2" t="s">
        <v>609</v>
      </c>
      <c r="F5939" t="s">
        <v>1378</v>
      </c>
      <c r="G5939" t="str">
        <f>HYPERLINK("https://n.news.naver.com/mnews/article/008/0004004560?sid=103")</f>
        <v>https://n.news.naver.com/mnews/article/008/0004004560?sid=103</v>
      </c>
      <c r="H5939">
        <v>0.308</v>
      </c>
    </row>
    <row r="5940" spans="1:8" x14ac:dyDescent="0.3">
      <c r="A5940" t="s">
        <v>14761</v>
      </c>
      <c r="B5940" t="s">
        <v>26951</v>
      </c>
      <c r="C5940" t="s">
        <v>15208</v>
      </c>
      <c r="D5940" t="s">
        <v>15207</v>
      </c>
      <c r="E5940" s="2" t="s">
        <v>609</v>
      </c>
      <c r="F5940" t="s">
        <v>171</v>
      </c>
      <c r="G5940" t="str">
        <f>HYPERLINK("https://www.asiatoday.co.kr/view.php?key=20250611000921056")</f>
        <v>https://www.asiatoday.co.kr/view.php?key=20250611000921056</v>
      </c>
      <c r="H5940">
        <v>0.124</v>
      </c>
    </row>
    <row r="5941" spans="1:8" x14ac:dyDescent="0.3">
      <c r="A5941" t="s">
        <v>14761</v>
      </c>
      <c r="B5941" t="s">
        <v>26951</v>
      </c>
      <c r="C5941" t="s">
        <v>15210</v>
      </c>
      <c r="D5941" t="s">
        <v>15209</v>
      </c>
      <c r="E5941" s="2" t="s">
        <v>609</v>
      </c>
      <c r="F5941" t="s">
        <v>10581</v>
      </c>
      <c r="G5941" t="str">
        <f>HYPERLINK("http://www.kukinews.com/news/article.html?no=611226")</f>
        <v>http://www.kukinews.com/news/article.html?no=611226</v>
      </c>
      <c r="H5941">
        <v>0.64700000000000002</v>
      </c>
    </row>
    <row r="5942" spans="1:8" x14ac:dyDescent="0.3">
      <c r="A5942" t="s">
        <v>14761</v>
      </c>
      <c r="B5942" t="s">
        <v>26951</v>
      </c>
      <c r="C5942" t="s">
        <v>15213</v>
      </c>
      <c r="D5942" t="s">
        <v>15212</v>
      </c>
      <c r="E5942" s="2" t="s">
        <v>609</v>
      </c>
      <c r="F5942" t="s">
        <v>15211</v>
      </c>
      <c r="G5942" t="str">
        <f>HYPERLINK("https://www.gosiweek.com/article/1065572971153430")</f>
        <v>https://www.gosiweek.com/article/1065572971153430</v>
      </c>
      <c r="H5942">
        <v>0.185</v>
      </c>
    </row>
    <row r="5943" spans="1:8" x14ac:dyDescent="0.3">
      <c r="A5943" t="s">
        <v>14761</v>
      </c>
      <c r="B5943" t="s">
        <v>26951</v>
      </c>
      <c r="C5943" t="s">
        <v>15216</v>
      </c>
      <c r="D5943" t="s">
        <v>15215</v>
      </c>
      <c r="E5943" s="2" t="s">
        <v>609</v>
      </c>
      <c r="F5943" t="s">
        <v>15214</v>
      </c>
      <c r="G5943" t="str">
        <f>HYPERLINK("https://www.pinpointnews.co.kr/news/articleView.html?idxno=350572")</f>
        <v>https://www.pinpointnews.co.kr/news/articleView.html?idxno=350572</v>
      </c>
      <c r="H5943">
        <v>0.73599999999999999</v>
      </c>
    </row>
    <row r="5944" spans="1:8" x14ac:dyDescent="0.3">
      <c r="A5944" t="s">
        <v>14761</v>
      </c>
      <c r="B5944" t="s">
        <v>26951</v>
      </c>
      <c r="C5944" t="s">
        <v>15218</v>
      </c>
      <c r="D5944" t="s">
        <v>15217</v>
      </c>
      <c r="E5944" s="2" t="s">
        <v>609</v>
      </c>
      <c r="F5944" t="s">
        <v>9944</v>
      </c>
      <c r="G5944" t="str">
        <f>HYPERLINK("http://www.sisamagazine.co.kr/news/articleView.html?idxno=309071")</f>
        <v>http://www.sisamagazine.co.kr/news/articleView.html?idxno=309071</v>
      </c>
      <c r="H5944">
        <v>0.26500000000000001</v>
      </c>
    </row>
    <row r="5945" spans="1:8" x14ac:dyDescent="0.3">
      <c r="A5945" t="s">
        <v>14761</v>
      </c>
      <c r="B5945" t="s">
        <v>26951</v>
      </c>
      <c r="C5945" t="s">
        <v>15220</v>
      </c>
      <c r="D5945" t="s">
        <v>15219</v>
      </c>
      <c r="E5945" s="2" t="s">
        <v>609</v>
      </c>
      <c r="F5945" t="s">
        <v>6720</v>
      </c>
      <c r="G5945" t="str">
        <f>HYPERLINK("http://www.idjnews.kr/news/articleView.html?idxno=210312")</f>
        <v>http://www.idjnews.kr/news/articleView.html?idxno=210312</v>
      </c>
      <c r="H5945">
        <v>0.94899999999999995</v>
      </c>
    </row>
    <row r="5946" spans="1:8" x14ac:dyDescent="0.3">
      <c r="A5946" t="s">
        <v>14761</v>
      </c>
      <c r="B5946" t="s">
        <v>26951</v>
      </c>
      <c r="C5946" t="s">
        <v>15223</v>
      </c>
      <c r="D5946" t="s">
        <v>15222</v>
      </c>
      <c r="E5946" s="2" t="s">
        <v>609</v>
      </c>
      <c r="F5946" t="s">
        <v>15221</v>
      </c>
      <c r="G5946" t="str">
        <f>HYPERLINK("https://www.delighti.co.kr/news/articleView.html?idxno=97491")</f>
        <v>https://www.delighti.co.kr/news/articleView.html?idxno=97491</v>
      </c>
      <c r="H5946">
        <v>0.91800000000000004</v>
      </c>
    </row>
    <row r="5947" spans="1:8" x14ac:dyDescent="0.3">
      <c r="A5947" t="s">
        <v>14761</v>
      </c>
      <c r="B5947" t="s">
        <v>26951</v>
      </c>
      <c r="C5947" t="s">
        <v>15225</v>
      </c>
      <c r="D5947" t="s">
        <v>15224</v>
      </c>
      <c r="E5947" s="2" t="s">
        <v>609</v>
      </c>
      <c r="F5947" t="s">
        <v>10330</v>
      </c>
      <c r="G5947" t="str">
        <f>HYPERLINK("https://n.news.naver.com/mnews/article/079/0003313066?sid=102")</f>
        <v>https://n.news.naver.com/mnews/article/079/0003313066?sid=102</v>
      </c>
      <c r="H5947">
        <v>0.218</v>
      </c>
    </row>
    <row r="5948" spans="1:8" x14ac:dyDescent="0.3">
      <c r="A5948" t="s">
        <v>14761</v>
      </c>
      <c r="B5948" t="s">
        <v>26951</v>
      </c>
      <c r="C5948" t="s">
        <v>15228</v>
      </c>
      <c r="D5948" t="s">
        <v>15227</v>
      </c>
      <c r="E5948" s="2" t="s">
        <v>609</v>
      </c>
      <c r="F5948" t="s">
        <v>15226</v>
      </c>
      <c r="G5948" t="str">
        <f>HYPERLINK("http://www.mediapen.com/news/articleView.html?idxno=71940")</f>
        <v>http://www.mediapen.com/news/articleView.html?idxno=71940</v>
      </c>
      <c r="H5948">
        <v>0.52500000000000002</v>
      </c>
    </row>
    <row r="5949" spans="1:8" x14ac:dyDescent="0.3">
      <c r="A5949" t="s">
        <v>14761</v>
      </c>
      <c r="B5949" t="s">
        <v>26951</v>
      </c>
      <c r="C5949" t="s">
        <v>15231</v>
      </c>
      <c r="D5949" t="s">
        <v>15230</v>
      </c>
      <c r="E5949" s="2" t="s">
        <v>609</v>
      </c>
      <c r="F5949" t="s">
        <v>15229</v>
      </c>
      <c r="G5949" t="str">
        <f>HYPERLINK("https://www.newsquest.co.kr/news/articleView.html?idxno=244058")</f>
        <v>https://www.newsquest.co.kr/news/articleView.html?idxno=244058</v>
      </c>
      <c r="H5949">
        <v>0.33</v>
      </c>
    </row>
    <row r="5950" spans="1:8" x14ac:dyDescent="0.3">
      <c r="A5950" t="s">
        <v>14761</v>
      </c>
      <c r="B5950" t="s">
        <v>26951</v>
      </c>
      <c r="C5950" t="s">
        <v>15233</v>
      </c>
      <c r="D5950" t="s">
        <v>15232</v>
      </c>
      <c r="E5950" s="2" t="s">
        <v>609</v>
      </c>
      <c r="F5950" t="s">
        <v>10317</v>
      </c>
      <c r="G5950" t="str">
        <f>HYPERLINK("http://www.viva100.com/main/view.php?key=20180304010000767")</f>
        <v>http://www.viva100.com/main/view.php?key=20180304010000767</v>
      </c>
      <c r="H5950">
        <v>0.42</v>
      </c>
    </row>
    <row r="5951" spans="1:8" x14ac:dyDescent="0.3">
      <c r="A5951" t="s">
        <v>14761</v>
      </c>
      <c r="B5951" t="s">
        <v>26951</v>
      </c>
      <c r="C5951" t="s">
        <v>15235</v>
      </c>
      <c r="D5951" t="s">
        <v>15234</v>
      </c>
      <c r="E5951" s="2" t="s">
        <v>609</v>
      </c>
      <c r="F5951" t="s">
        <v>10341</v>
      </c>
      <c r="G5951" t="str">
        <f>HYPERLINK("https://n.news.naver.com/mnews/article/088/0000889953?sid=103")</f>
        <v>https://n.news.naver.com/mnews/article/088/0000889953?sid=103</v>
      </c>
      <c r="H5951">
        <v>0.27700000000000002</v>
      </c>
    </row>
    <row r="5952" spans="1:8" x14ac:dyDescent="0.3">
      <c r="A5952" t="s">
        <v>14761</v>
      </c>
      <c r="B5952" t="s">
        <v>26951</v>
      </c>
      <c r="C5952" t="s">
        <v>15237</v>
      </c>
      <c r="D5952" t="s">
        <v>15236</v>
      </c>
      <c r="E5952" s="2" t="s">
        <v>609</v>
      </c>
      <c r="F5952" t="s">
        <v>14802</v>
      </c>
      <c r="G5952" t="str">
        <f>HYPERLINK("https://www.kukinews.com/article/view/kuk202506100222")</f>
        <v>https://www.kukinews.com/article/view/kuk202506100222</v>
      </c>
      <c r="H5952">
        <v>0.43</v>
      </c>
    </row>
    <row r="5953" spans="1:8" x14ac:dyDescent="0.3">
      <c r="A5953" t="s">
        <v>14761</v>
      </c>
      <c r="B5953" t="s">
        <v>26951</v>
      </c>
      <c r="C5953" t="s">
        <v>15240</v>
      </c>
      <c r="D5953" t="s">
        <v>15239</v>
      </c>
      <c r="E5953" s="2" t="s">
        <v>609</v>
      </c>
      <c r="F5953" t="s">
        <v>15238</v>
      </c>
      <c r="G5953" t="str">
        <f>HYPERLINK("https://n.news.naver.com/mnews/article/022/0004047825?sid=102")</f>
        <v>https://n.news.naver.com/mnews/article/022/0004047825?sid=102</v>
      </c>
      <c r="H5953">
        <v>0.32400000000000001</v>
      </c>
    </row>
    <row r="5954" spans="1:8" x14ac:dyDescent="0.3">
      <c r="A5954" t="s">
        <v>14761</v>
      </c>
      <c r="B5954" t="s">
        <v>26951</v>
      </c>
      <c r="C5954" t="s">
        <v>15242</v>
      </c>
      <c r="D5954" t="s">
        <v>15241</v>
      </c>
      <c r="E5954" s="2" t="s">
        <v>609</v>
      </c>
      <c r="F5954" t="s">
        <v>1378</v>
      </c>
      <c r="G5954" t="str">
        <f>HYPERLINK("https://n.news.naver.com/mnews/article/008/0004004560?sid=103")</f>
        <v>https://n.news.naver.com/mnews/article/008/0004004560?sid=103</v>
      </c>
      <c r="H5954">
        <v>0.38200000000000001</v>
      </c>
    </row>
    <row r="5955" spans="1:8" x14ac:dyDescent="0.3">
      <c r="A5955" t="s">
        <v>14761</v>
      </c>
      <c r="B5955" t="s">
        <v>26951</v>
      </c>
      <c r="C5955" t="s">
        <v>15245</v>
      </c>
      <c r="D5955" t="s">
        <v>15244</v>
      </c>
      <c r="E5955" s="2" t="s">
        <v>609</v>
      </c>
      <c r="F5955" t="s">
        <v>15243</v>
      </c>
      <c r="G5955" t="str">
        <f>HYPERLINK("https://n.news.naver.com/mnews/article/008/0005212052?sid=100")</f>
        <v>https://n.news.naver.com/mnews/article/008/0005212052?sid=100</v>
      </c>
      <c r="H5955">
        <v>0.156</v>
      </c>
    </row>
    <row r="5956" spans="1:8" x14ac:dyDescent="0.3">
      <c r="A5956" t="s">
        <v>14761</v>
      </c>
      <c r="B5956" t="s">
        <v>26951</v>
      </c>
      <c r="C5956" t="s">
        <v>15247</v>
      </c>
      <c r="D5956" t="s">
        <v>15246</v>
      </c>
      <c r="E5956" s="2" t="s">
        <v>609</v>
      </c>
      <c r="F5956" t="s">
        <v>10412</v>
      </c>
      <c r="G5956" t="str">
        <f>HYPERLINK("https://sports.hankooki.com/news/articleView.html?idxno=6902462")</f>
        <v>https://sports.hankooki.com/news/articleView.html?idxno=6902462</v>
      </c>
      <c r="H5956">
        <v>0.55200000000000005</v>
      </c>
    </row>
    <row r="5957" spans="1:8" x14ac:dyDescent="0.3">
      <c r="A5957" t="s">
        <v>14761</v>
      </c>
      <c r="B5957" t="s">
        <v>26951</v>
      </c>
      <c r="C5957" t="s">
        <v>15250</v>
      </c>
      <c r="D5957" t="s">
        <v>15249</v>
      </c>
      <c r="E5957" s="2" t="s">
        <v>609</v>
      </c>
      <c r="F5957" t="s">
        <v>15248</v>
      </c>
      <c r="G5957" t="str">
        <f>HYPERLINK("http://www.handmk.com/news/articleView.html?idxno=20227")</f>
        <v>http://www.handmk.com/news/articleView.html?idxno=20227</v>
      </c>
      <c r="H5957">
        <v>0.38900000000000001</v>
      </c>
    </row>
    <row r="5958" spans="1:8" x14ac:dyDescent="0.3">
      <c r="A5958" t="s">
        <v>14761</v>
      </c>
      <c r="B5958" t="s">
        <v>26951</v>
      </c>
      <c r="C5958" t="s">
        <v>15252</v>
      </c>
      <c r="D5958" t="s">
        <v>15251</v>
      </c>
      <c r="E5958" s="2" t="s">
        <v>609</v>
      </c>
      <c r="F5958" t="s">
        <v>10149</v>
      </c>
      <c r="G5958" t="str">
        <f>HYPERLINK("https://n.news.naver.com/mnews/article/014/0005361403?sid=102")</f>
        <v>https://n.news.naver.com/mnews/article/014/0005361403?sid=102</v>
      </c>
      <c r="H5958">
        <v>0.20300000000000001</v>
      </c>
    </row>
    <row r="5959" spans="1:8" x14ac:dyDescent="0.3">
      <c r="A5959" t="s">
        <v>14761</v>
      </c>
      <c r="B5959" t="s">
        <v>26951</v>
      </c>
      <c r="C5959" t="s">
        <v>15254</v>
      </c>
      <c r="D5959" t="s">
        <v>15253</v>
      </c>
      <c r="E5959" s="2" t="s">
        <v>609</v>
      </c>
      <c r="F5959" t="s">
        <v>12397</v>
      </c>
      <c r="G5959" t="str">
        <f>HYPERLINK("https://n.news.naver.com/mnews/article/030/0001968724?sid=105")</f>
        <v>https://n.news.naver.com/mnews/article/030/0001968724?sid=105</v>
      </c>
      <c r="H5959">
        <v>0.161</v>
      </c>
    </row>
    <row r="5960" spans="1:8" x14ac:dyDescent="0.3">
      <c r="A5960" t="s">
        <v>14761</v>
      </c>
      <c r="B5960" t="s">
        <v>26951</v>
      </c>
      <c r="C5960" t="s">
        <v>15256</v>
      </c>
      <c r="D5960" t="s">
        <v>15255</v>
      </c>
      <c r="E5960" s="2" t="s">
        <v>609</v>
      </c>
      <c r="F5960" t="s">
        <v>9428</v>
      </c>
      <c r="G5960" t="str">
        <f>HYPERLINK("https://news.unn.net/news/articleView.html?idxno=579201")</f>
        <v>https://news.unn.net/news/articleView.html?idxno=579201</v>
      </c>
      <c r="H5960">
        <v>0.59099999999999997</v>
      </c>
    </row>
    <row r="5961" spans="1:8" x14ac:dyDescent="0.3">
      <c r="A5961" t="s">
        <v>14761</v>
      </c>
      <c r="B5961" t="s">
        <v>26951</v>
      </c>
      <c r="C5961" t="s">
        <v>15259</v>
      </c>
      <c r="D5961" t="s">
        <v>15258</v>
      </c>
      <c r="E5961" s="2" t="s">
        <v>609</v>
      </c>
      <c r="F5961" t="s">
        <v>15257</v>
      </c>
      <c r="G5961" t="str">
        <f>HYPERLINK("http://www.ilemonde.com/news/articleView.html?idxno=17597")</f>
        <v>http://www.ilemonde.com/news/articleView.html?idxno=17597</v>
      </c>
      <c r="H5961">
        <v>0.313</v>
      </c>
    </row>
    <row r="5962" spans="1:8" x14ac:dyDescent="0.3">
      <c r="A5962" t="s">
        <v>14761</v>
      </c>
      <c r="B5962" t="s">
        <v>26951</v>
      </c>
      <c r="C5962" t="s">
        <v>15262</v>
      </c>
      <c r="D5962" t="s">
        <v>15261</v>
      </c>
      <c r="E5962" s="2" t="s">
        <v>609</v>
      </c>
      <c r="F5962" t="s">
        <v>15260</v>
      </c>
      <c r="G5962" t="str">
        <f>HYPERLINK("https://www.joongangenews.com/news/articleView.html?idxno=426084")</f>
        <v>https://www.joongangenews.com/news/articleView.html?idxno=426084</v>
      </c>
      <c r="H5962">
        <v>0.58199999999999996</v>
      </c>
    </row>
    <row r="5963" spans="1:8" x14ac:dyDescent="0.3">
      <c r="A5963" t="s">
        <v>14761</v>
      </c>
      <c r="B5963" t="s">
        <v>26951</v>
      </c>
      <c r="C5963" t="s">
        <v>15264</v>
      </c>
      <c r="D5963" t="s">
        <v>15263</v>
      </c>
      <c r="E5963" s="2" t="s">
        <v>609</v>
      </c>
      <c r="F5963" t="s">
        <v>11313</v>
      </c>
      <c r="G5963" t="str">
        <f>HYPERLINK("https://www.joongangenews.com/news/articleView.html?idxno=426821")</f>
        <v>https://www.joongangenews.com/news/articleView.html?idxno=426821</v>
      </c>
      <c r="H5963">
        <v>0.61299999999999999</v>
      </c>
    </row>
    <row r="5964" spans="1:8" x14ac:dyDescent="0.3">
      <c r="A5964" t="s">
        <v>14761</v>
      </c>
      <c r="B5964" t="s">
        <v>26951</v>
      </c>
      <c r="C5964" t="s">
        <v>15267</v>
      </c>
      <c r="D5964" t="s">
        <v>15266</v>
      </c>
      <c r="E5964" s="2" t="s">
        <v>609</v>
      </c>
      <c r="F5964" t="s">
        <v>15265</v>
      </c>
      <c r="G5964" t="str">
        <f>HYPERLINK("https://n.news.naver.com/mnews/article/006/0000130371?sid=103")</f>
        <v>https://n.news.naver.com/mnews/article/006/0000130371?sid=103</v>
      </c>
      <c r="H5964">
        <v>0.16900000000000001</v>
      </c>
    </row>
    <row r="5965" spans="1:8" x14ac:dyDescent="0.3">
      <c r="A5965" t="s">
        <v>14761</v>
      </c>
      <c r="B5965" t="s">
        <v>26951</v>
      </c>
      <c r="C5965" t="s">
        <v>15269</v>
      </c>
      <c r="D5965" t="s">
        <v>15268</v>
      </c>
      <c r="E5965" s="2" t="s">
        <v>609</v>
      </c>
      <c r="F5965" t="s">
        <v>3745</v>
      </c>
      <c r="G5965" t="str">
        <f>HYPERLINK("https://www.jeonmae.co.kr/news/articleView.html?idxno=931499")</f>
        <v>https://www.jeonmae.co.kr/news/articleView.html?idxno=931499</v>
      </c>
      <c r="H5965">
        <v>0.25700000000000001</v>
      </c>
    </row>
    <row r="5966" spans="1:8" x14ac:dyDescent="0.3">
      <c r="A5966" t="s">
        <v>14761</v>
      </c>
      <c r="B5966" t="s">
        <v>26951</v>
      </c>
      <c r="C5966" t="s">
        <v>15272</v>
      </c>
      <c r="D5966" t="s">
        <v>15271</v>
      </c>
      <c r="E5966" s="2" t="s">
        <v>609</v>
      </c>
      <c r="F5966" t="s">
        <v>15270</v>
      </c>
      <c r="G5966" t="str">
        <f>HYPERLINK("http://www.wolyo.co.kr/news/articleView.html?idxno=261192")</f>
        <v>http://www.wolyo.co.kr/news/articleView.html?idxno=261192</v>
      </c>
      <c r="H5966">
        <v>0.374</v>
      </c>
    </row>
    <row r="5967" spans="1:8" x14ac:dyDescent="0.3">
      <c r="A5967" t="s">
        <v>14761</v>
      </c>
      <c r="B5967" t="s">
        <v>26951</v>
      </c>
      <c r="C5967" t="s">
        <v>15274</v>
      </c>
      <c r="D5967" t="s">
        <v>15273</v>
      </c>
      <c r="E5967" s="2" t="s">
        <v>609</v>
      </c>
      <c r="F5967" t="s">
        <v>7131</v>
      </c>
      <c r="G5967" t="str">
        <f>HYPERLINK("https://www.viva100.com/article/20250624500543")</f>
        <v>https://www.viva100.com/article/20250624500543</v>
      </c>
      <c r="H5967">
        <v>0.36399999999999999</v>
      </c>
    </row>
    <row r="5968" spans="1:8" x14ac:dyDescent="0.3">
      <c r="A5968" t="s">
        <v>14761</v>
      </c>
      <c r="B5968" t="s">
        <v>26951</v>
      </c>
      <c r="C5968" t="s">
        <v>15276</v>
      </c>
      <c r="D5968" t="s">
        <v>15275</v>
      </c>
      <c r="E5968" s="2" t="s">
        <v>609</v>
      </c>
      <c r="F5968" t="s">
        <v>171</v>
      </c>
      <c r="G5968" t="str">
        <f>HYPERLINK("https://www.jemin.com/news/articleView.html?idxno=817962")</f>
        <v>https://www.jemin.com/news/articleView.html?idxno=817962</v>
      </c>
      <c r="H5968">
        <v>0.61899999999999999</v>
      </c>
    </row>
    <row r="5969" spans="1:8" x14ac:dyDescent="0.3">
      <c r="A5969" t="s">
        <v>14761</v>
      </c>
      <c r="B5969" t="s">
        <v>26951</v>
      </c>
      <c r="C5969" t="s">
        <v>15278</v>
      </c>
      <c r="D5969" t="s">
        <v>15277</v>
      </c>
      <c r="E5969" s="2" t="s">
        <v>609</v>
      </c>
      <c r="F5969" t="s">
        <v>305</v>
      </c>
      <c r="G5969" t="str">
        <f>HYPERLINK("http://dream.kotra.or.kr/kotranews/cms/news/actionKotraBoardDetail.do?SITE_NO=3&amp;MENU_ID=180&amp;CONTENTS_NO=1&amp;bbsGbn=243&amp;bbsSn=243&amp;pNttSn=226584")</f>
        <v>http://dream.kotra.or.kr/kotranews/cms/news/actionKotraBoardDetail.do?SITE_NO=3&amp;MENU_ID=180&amp;CONTENTS_NO=1&amp;bbsGbn=243&amp;bbsSn=243&amp;pNttSn=226584</v>
      </c>
      <c r="H5969">
        <v>0.377</v>
      </c>
    </row>
    <row r="5970" spans="1:8" x14ac:dyDescent="0.3">
      <c r="A5970" t="s">
        <v>14761</v>
      </c>
      <c r="B5970" t="s">
        <v>26951</v>
      </c>
      <c r="C5970" t="s">
        <v>15281</v>
      </c>
      <c r="D5970" t="s">
        <v>15280</v>
      </c>
      <c r="E5970" s="2" t="s">
        <v>609</v>
      </c>
      <c r="F5970" t="s">
        <v>15279</v>
      </c>
      <c r="G5970" t="str">
        <f>HYPERLINK("https://n.news.naver.com/mnews/article/008/0005214181?sid=100")</f>
        <v>https://n.news.naver.com/mnews/article/008/0005214181?sid=100</v>
      </c>
      <c r="H5970">
        <v>0.27900000000000003</v>
      </c>
    </row>
    <row r="5971" spans="1:8" x14ac:dyDescent="0.3">
      <c r="A5971" t="s">
        <v>14761</v>
      </c>
      <c r="B5971" t="s">
        <v>26951</v>
      </c>
      <c r="C5971" t="s">
        <v>15283</v>
      </c>
      <c r="D5971" t="s">
        <v>15282</v>
      </c>
      <c r="E5971" s="2" t="s">
        <v>609</v>
      </c>
      <c r="F5971" t="s">
        <v>14802</v>
      </c>
      <c r="G5971" t="str">
        <f>HYPERLINK("http://www.bokuennews.com/news/article.html?no=261912")</f>
        <v>http://www.bokuennews.com/news/article.html?no=261912</v>
      </c>
      <c r="H5971">
        <v>0.41299999999999998</v>
      </c>
    </row>
    <row r="5972" spans="1:8" x14ac:dyDescent="0.3">
      <c r="A5972" t="s">
        <v>14761</v>
      </c>
      <c r="B5972" t="s">
        <v>26951</v>
      </c>
      <c r="C5972" t="s">
        <v>15286</v>
      </c>
      <c r="D5972" t="s">
        <v>15285</v>
      </c>
      <c r="E5972" s="2" t="s">
        <v>609</v>
      </c>
      <c r="F5972" t="s">
        <v>15284</v>
      </c>
      <c r="G5972" t="str">
        <f>HYPERLINK("https://www.dnews.co.kr/uhtml/view.jsp?idxno=202506301740365620905")</f>
        <v>https://www.dnews.co.kr/uhtml/view.jsp?idxno=202506301740365620905</v>
      </c>
      <c r="H5972">
        <v>0.497</v>
      </c>
    </row>
    <row r="5973" spans="1:8" x14ac:dyDescent="0.3">
      <c r="A5973" t="s">
        <v>14761</v>
      </c>
      <c r="B5973" t="s">
        <v>26951</v>
      </c>
      <c r="C5973" t="s">
        <v>15289</v>
      </c>
      <c r="D5973" t="s">
        <v>15288</v>
      </c>
      <c r="E5973" s="2" t="s">
        <v>609</v>
      </c>
      <c r="F5973" t="s">
        <v>15287</v>
      </c>
      <c r="G5973" t="str">
        <f>HYPERLINK("https://www.lecturernews.com/news/articleView.html?idxno=121366")</f>
        <v>https://www.lecturernews.com/news/articleView.html?idxno=121366</v>
      </c>
      <c r="H5973">
        <v>0.66300000000000003</v>
      </c>
    </row>
    <row r="5974" spans="1:8" x14ac:dyDescent="0.3">
      <c r="A5974" t="s">
        <v>14761</v>
      </c>
      <c r="B5974" t="s">
        <v>26951</v>
      </c>
      <c r="C5974" t="s">
        <v>15291</v>
      </c>
      <c r="D5974" t="s">
        <v>15290</v>
      </c>
      <c r="E5974" s="2" t="s">
        <v>609</v>
      </c>
      <c r="F5974" t="s">
        <v>14721</v>
      </c>
      <c r="G5974" t="str">
        <f>HYPERLINK("https://www.etoday.co.kr/news/view/2481011")</f>
        <v>https://www.etoday.co.kr/news/view/2481011</v>
      </c>
      <c r="H5974">
        <v>0.442</v>
      </c>
    </row>
    <row r="5975" spans="1:8" x14ac:dyDescent="0.3">
      <c r="A5975" t="s">
        <v>14761</v>
      </c>
      <c r="B5975" t="s">
        <v>26951</v>
      </c>
      <c r="C5975" t="s">
        <v>15294</v>
      </c>
      <c r="D5975" t="s">
        <v>15293</v>
      </c>
      <c r="E5975" s="2" t="s">
        <v>609</v>
      </c>
      <c r="F5975" t="s">
        <v>15292</v>
      </c>
      <c r="G5975" t="str">
        <f>HYPERLINK("https://www.apnews.kr/news/articleView.html?idxno=3025855")</f>
        <v>https://www.apnews.kr/news/articleView.html?idxno=3025855</v>
      </c>
      <c r="H5975">
        <v>0.53400000000000003</v>
      </c>
    </row>
    <row r="5976" spans="1:8" x14ac:dyDescent="0.3">
      <c r="A5976" t="s">
        <v>14761</v>
      </c>
      <c r="B5976" t="s">
        <v>26951</v>
      </c>
      <c r="C5976" t="s">
        <v>15296</v>
      </c>
      <c r="D5976" t="s">
        <v>15295</v>
      </c>
      <c r="E5976" s="2" t="s">
        <v>609</v>
      </c>
      <c r="F5976" t="s">
        <v>11392</v>
      </c>
      <c r="G5976" t="str">
        <f>HYPERLINK("https://www.etoday.co.kr/news/view/2474998")</f>
        <v>https://www.etoday.co.kr/news/view/2474998</v>
      </c>
      <c r="H5976">
        <v>0.624</v>
      </c>
    </row>
    <row r="5977" spans="1:8" x14ac:dyDescent="0.3">
      <c r="A5977" t="s">
        <v>14761</v>
      </c>
      <c r="B5977" t="s">
        <v>26951</v>
      </c>
      <c r="C5977" t="s">
        <v>15299</v>
      </c>
      <c r="D5977" t="s">
        <v>15298</v>
      </c>
      <c r="E5977" s="2" t="s">
        <v>609</v>
      </c>
      <c r="F5977" t="s">
        <v>15297</v>
      </c>
      <c r="G5977" t="str">
        <f>HYPERLINK("https://n.news.naver.com/mnews/article/006/0000130371?sid=103")</f>
        <v>https://n.news.naver.com/mnews/article/006/0000130371?sid=103</v>
      </c>
      <c r="H5977">
        <v>0.15</v>
      </c>
    </row>
    <row r="5978" spans="1:8" x14ac:dyDescent="0.3">
      <c r="A5978" t="s">
        <v>14761</v>
      </c>
      <c r="B5978" t="s">
        <v>26951</v>
      </c>
      <c r="C5978" t="s">
        <v>15301</v>
      </c>
      <c r="D5978" t="s">
        <v>15300</v>
      </c>
      <c r="E5978" s="2" t="s">
        <v>653</v>
      </c>
      <c r="F5978" t="s">
        <v>10198</v>
      </c>
      <c r="G5978" t="str">
        <f>HYPERLINK("http://withinnews.co.kr/news/view.html?section=9&amp;category=126&amp;item=&amp;no=19371")</f>
        <v>http://withinnews.co.kr/news/view.html?section=9&amp;category=126&amp;item=&amp;no=19371</v>
      </c>
      <c r="H5978">
        <v>0.27900000000000003</v>
      </c>
    </row>
    <row r="5979" spans="1:8" x14ac:dyDescent="0.3">
      <c r="A5979" t="s">
        <v>14761</v>
      </c>
      <c r="B5979" t="s">
        <v>26951</v>
      </c>
      <c r="C5979" t="s">
        <v>15304</v>
      </c>
      <c r="D5979" t="s">
        <v>15303</v>
      </c>
      <c r="E5979" s="2" t="s">
        <v>653</v>
      </c>
      <c r="F5979" t="s">
        <v>15302</v>
      </c>
      <c r="G5979" t="str">
        <f>HYPERLINK("https://n.news.naver.com/mnews/article/008/0005211124?sid=102")</f>
        <v>https://n.news.naver.com/mnews/article/008/0005211124?sid=102</v>
      </c>
      <c r="H5979">
        <v>0.35499999999999998</v>
      </c>
    </row>
    <row r="5980" spans="1:8" x14ac:dyDescent="0.3">
      <c r="A5980" t="s">
        <v>14761</v>
      </c>
      <c r="B5980" t="s">
        <v>26951</v>
      </c>
      <c r="C5980" t="s">
        <v>15307</v>
      </c>
      <c r="D5980" t="s">
        <v>15306</v>
      </c>
      <c r="E5980" s="2" t="s">
        <v>653</v>
      </c>
      <c r="F5980" t="s">
        <v>15305</v>
      </c>
      <c r="G5980" t="str">
        <f>HYPERLINK("https://n.news.naver.com/mnews/article/056/0011980275?sid=101")</f>
        <v>https://n.news.naver.com/mnews/article/056/0011980275?sid=101</v>
      </c>
      <c r="H5980">
        <v>4.1000000000000002E-2</v>
      </c>
    </row>
    <row r="5981" spans="1:8" x14ac:dyDescent="0.3">
      <c r="A5981" t="s">
        <v>14761</v>
      </c>
      <c r="B5981" t="s">
        <v>26951</v>
      </c>
      <c r="C5981" t="s">
        <v>15309</v>
      </c>
      <c r="D5981" t="s">
        <v>15308</v>
      </c>
      <c r="E5981" s="2" t="s">
        <v>653</v>
      </c>
      <c r="F5981" t="s">
        <v>11264</v>
      </c>
      <c r="G5981" t="str">
        <f>HYPERLINK("http://www.starnewsk.com/news/articleView.html?idxno=47044")</f>
        <v>http://www.starnewsk.com/news/articleView.html?idxno=47044</v>
      </c>
      <c r="H5981">
        <v>0.26800000000000002</v>
      </c>
    </row>
    <row r="5982" spans="1:8" x14ac:dyDescent="0.3">
      <c r="A5982" t="s">
        <v>14761</v>
      </c>
      <c r="B5982" t="s">
        <v>26951</v>
      </c>
      <c r="C5982" t="s">
        <v>15311</v>
      </c>
      <c r="D5982" t="s">
        <v>15310</v>
      </c>
      <c r="E5982" s="2" t="s">
        <v>653</v>
      </c>
      <c r="F5982" t="s">
        <v>9749</v>
      </c>
      <c r="G5982" t="str">
        <f>HYPERLINK("https://n.news.naver.com/mnews/article/028/0002750169?sid=102")</f>
        <v>https://n.news.naver.com/mnews/article/028/0002750169?sid=102</v>
      </c>
      <c r="H5982">
        <v>0.23100000000000001</v>
      </c>
    </row>
    <row r="5983" spans="1:8" x14ac:dyDescent="0.3">
      <c r="A5983" t="s">
        <v>14761</v>
      </c>
      <c r="B5983" t="s">
        <v>26951</v>
      </c>
      <c r="C5983" t="s">
        <v>15314</v>
      </c>
      <c r="D5983" t="s">
        <v>15313</v>
      </c>
      <c r="E5983" s="2" t="s">
        <v>653</v>
      </c>
      <c r="F5983" t="s">
        <v>15312</v>
      </c>
      <c r="G5983" t="str">
        <f>HYPERLINK("https://n.news.naver.com/mnews/article/028/0002750477?sid=104")</f>
        <v>https://n.news.naver.com/mnews/article/028/0002750477?sid=104</v>
      </c>
      <c r="H5983">
        <v>0.189</v>
      </c>
    </row>
    <row r="5984" spans="1:8" x14ac:dyDescent="0.3">
      <c r="A5984" t="s">
        <v>14761</v>
      </c>
      <c r="B5984" t="s">
        <v>26951</v>
      </c>
      <c r="C5984" t="s">
        <v>15315</v>
      </c>
      <c r="D5984" t="s">
        <v>10706</v>
      </c>
      <c r="E5984" s="2" t="s">
        <v>653</v>
      </c>
      <c r="F5984" t="s">
        <v>9786</v>
      </c>
      <c r="G5984" t="str">
        <f>HYPERLINK("https://n.news.naver.com/mnews/article/005/0001644261?sid=103")</f>
        <v>https://n.news.naver.com/mnews/article/005/0001644261?sid=103</v>
      </c>
      <c r="H5984">
        <v>1.6E-2</v>
      </c>
    </row>
    <row r="5985" spans="1:8" x14ac:dyDescent="0.3">
      <c r="A5985" t="s">
        <v>14761</v>
      </c>
      <c r="B5985" t="s">
        <v>26951</v>
      </c>
      <c r="C5985" t="s">
        <v>15317</v>
      </c>
      <c r="D5985" t="s">
        <v>15316</v>
      </c>
      <c r="E5985" s="2" t="s">
        <v>653</v>
      </c>
      <c r="F5985" t="s">
        <v>4119</v>
      </c>
      <c r="G5985" t="str">
        <f>HYPERLINK("https://www.etoday.co.kr/news/view/2477258")</f>
        <v>https://www.etoday.co.kr/news/view/2477258</v>
      </c>
      <c r="H5985">
        <v>0.4</v>
      </c>
    </row>
    <row r="5986" spans="1:8" x14ac:dyDescent="0.3">
      <c r="A5986" t="s">
        <v>14761</v>
      </c>
      <c r="B5986" t="s">
        <v>26951</v>
      </c>
      <c r="C5986" t="s">
        <v>15320</v>
      </c>
      <c r="D5986" t="s">
        <v>15319</v>
      </c>
      <c r="E5986" s="2" t="s">
        <v>653</v>
      </c>
      <c r="F5986" t="s">
        <v>15318</v>
      </c>
      <c r="G5986" t="str">
        <f>HYPERLINK("http://www.newsnjoy.or.kr/news/articleView.html?idxno=301139")</f>
        <v>http://www.newsnjoy.or.kr/news/articleView.html?idxno=301139</v>
      </c>
      <c r="H5986">
        <v>0.61499999999999999</v>
      </c>
    </row>
    <row r="5987" spans="1:8" x14ac:dyDescent="0.3">
      <c r="A5987" t="s">
        <v>14761</v>
      </c>
      <c r="B5987" t="s">
        <v>26951</v>
      </c>
      <c r="C5987" t="s">
        <v>15322</v>
      </c>
      <c r="D5987" t="s">
        <v>15321</v>
      </c>
      <c r="E5987" s="2" t="s">
        <v>653</v>
      </c>
      <c r="F5987" t="s">
        <v>9944</v>
      </c>
      <c r="G5987" t="str">
        <f>HYPERLINK("https://sports.hankooki.com/news/articleView.html?idxno=6901356")</f>
        <v>https://sports.hankooki.com/news/articleView.html?idxno=6901356</v>
      </c>
      <c r="H5987">
        <v>0.42399999999999999</v>
      </c>
    </row>
    <row r="5988" spans="1:8" x14ac:dyDescent="0.3">
      <c r="A5988" t="s">
        <v>14761</v>
      </c>
      <c r="B5988" t="s">
        <v>26951</v>
      </c>
      <c r="C5988" t="s">
        <v>15324</v>
      </c>
      <c r="D5988" t="s">
        <v>15323</v>
      </c>
      <c r="E5988" s="2" t="s">
        <v>653</v>
      </c>
      <c r="F5988" t="s">
        <v>14846</v>
      </c>
      <c r="G5988" t="str">
        <f>HYPERLINK("https://www.jemin.com/news/articleView.html?idxno=809477")</f>
        <v>https://www.jemin.com/news/articleView.html?idxno=809477</v>
      </c>
      <c r="H5988">
        <v>0.57199999999999995</v>
      </c>
    </row>
    <row r="5989" spans="1:8" x14ac:dyDescent="0.3">
      <c r="A5989" t="s">
        <v>14761</v>
      </c>
      <c r="B5989" t="s">
        <v>26951</v>
      </c>
      <c r="C5989" t="s">
        <v>15326</v>
      </c>
      <c r="D5989" t="s">
        <v>15325</v>
      </c>
      <c r="E5989" s="2" t="s">
        <v>653</v>
      </c>
      <c r="F5989" t="s">
        <v>4119</v>
      </c>
      <c r="G5989" t="str">
        <f>HYPERLINK("https://www.lecturernews.com/news/articleView.html?idxno=180006")</f>
        <v>https://www.lecturernews.com/news/articleView.html?idxno=180006</v>
      </c>
      <c r="H5989">
        <v>0.56999999999999995</v>
      </c>
    </row>
    <row r="5990" spans="1:8" x14ac:dyDescent="0.3">
      <c r="A5990" t="s">
        <v>14761</v>
      </c>
      <c r="B5990" t="s">
        <v>26951</v>
      </c>
      <c r="C5990" t="s">
        <v>15328</v>
      </c>
      <c r="D5990" t="s">
        <v>15327</v>
      </c>
      <c r="E5990" s="2" t="s">
        <v>653</v>
      </c>
      <c r="F5990" t="s">
        <v>10418</v>
      </c>
      <c r="G5990" t="str">
        <f>HYPERLINK("https://sports.hankooki.com/news/articleView.html?idxno=6876993")</f>
        <v>https://sports.hankooki.com/news/articleView.html?idxno=6876993</v>
      </c>
      <c r="H5990">
        <v>0.48399999999999999</v>
      </c>
    </row>
    <row r="5991" spans="1:8" x14ac:dyDescent="0.3">
      <c r="A5991" t="s">
        <v>14761</v>
      </c>
      <c r="B5991" t="s">
        <v>26951</v>
      </c>
      <c r="C5991" t="s">
        <v>15330</v>
      </c>
      <c r="D5991" t="s">
        <v>15329</v>
      </c>
      <c r="E5991" s="2" t="s">
        <v>653</v>
      </c>
      <c r="F5991" t="s">
        <v>10418</v>
      </c>
      <c r="G5991" t="str">
        <f>HYPERLINK("https://www.lecturernews.com/news/articleView.html?idxno=180006")</f>
        <v>https://www.lecturernews.com/news/articleView.html?idxno=180006</v>
      </c>
      <c r="H5991">
        <v>0.60299999999999998</v>
      </c>
    </row>
    <row r="5992" spans="1:8" x14ac:dyDescent="0.3">
      <c r="A5992" t="s">
        <v>14761</v>
      </c>
      <c r="B5992" t="s">
        <v>26951</v>
      </c>
      <c r="C5992" t="s">
        <v>15333</v>
      </c>
      <c r="D5992" t="s">
        <v>15332</v>
      </c>
      <c r="E5992" s="2" t="s">
        <v>653</v>
      </c>
      <c r="F5992" t="s">
        <v>15331</v>
      </c>
      <c r="G5992" t="str">
        <f>HYPERLINK("https://www.kukinews.com/article/view/kuk202506190189")</f>
        <v>https://www.kukinews.com/article/view/kuk202506190189</v>
      </c>
      <c r="H5992">
        <v>0.26800000000000002</v>
      </c>
    </row>
    <row r="5993" spans="1:8" x14ac:dyDescent="0.3">
      <c r="A5993" t="s">
        <v>14761</v>
      </c>
      <c r="B5993" t="s">
        <v>26951</v>
      </c>
      <c r="C5993" t="s">
        <v>15336</v>
      </c>
      <c r="D5993" t="s">
        <v>15335</v>
      </c>
      <c r="E5993" s="2" t="s">
        <v>653</v>
      </c>
      <c r="F5993" t="s">
        <v>15334</v>
      </c>
      <c r="G5993" t="str">
        <f>HYPERLINK("https://www.kidshankook.kr/news/articleView.html?idxno=14080")</f>
        <v>https://www.kidshankook.kr/news/articleView.html?idxno=14080</v>
      </c>
      <c r="H5993">
        <v>0.27300000000000002</v>
      </c>
    </row>
    <row r="5994" spans="1:8" x14ac:dyDescent="0.3">
      <c r="A5994" t="s">
        <v>14761</v>
      </c>
      <c r="B5994" t="s">
        <v>26951</v>
      </c>
      <c r="C5994" t="s">
        <v>15338</v>
      </c>
      <c r="D5994" t="s">
        <v>15337</v>
      </c>
      <c r="E5994" s="2" t="s">
        <v>653</v>
      </c>
      <c r="F5994" t="s">
        <v>11313</v>
      </c>
      <c r="G5994" t="str">
        <f>HYPERLINK("https://www.lecturernews.com/news/articleView.html?idxno=179816")</f>
        <v>https://www.lecturernews.com/news/articleView.html?idxno=179816</v>
      </c>
      <c r="H5994">
        <v>0.64700000000000002</v>
      </c>
    </row>
    <row r="5995" spans="1:8" x14ac:dyDescent="0.3">
      <c r="A5995" t="s">
        <v>14761</v>
      </c>
      <c r="B5995" t="s">
        <v>26951</v>
      </c>
      <c r="C5995" t="s">
        <v>15340</v>
      </c>
      <c r="D5995" t="s">
        <v>15339</v>
      </c>
      <c r="E5995" s="2" t="s">
        <v>653</v>
      </c>
      <c r="F5995" t="s">
        <v>658</v>
      </c>
      <c r="G5995" t="str">
        <f>HYPERLINK("https://n.news.naver.com/mnews/article/028/0002672010?sid=101")</f>
        <v>https://n.news.naver.com/mnews/article/028/0002672010?sid=101</v>
      </c>
      <c r="H5995">
        <v>0.19500000000000001</v>
      </c>
    </row>
    <row r="5996" spans="1:8" x14ac:dyDescent="0.3">
      <c r="A5996" t="s">
        <v>14761</v>
      </c>
      <c r="B5996" t="s">
        <v>26951</v>
      </c>
      <c r="C5996" t="s">
        <v>15342</v>
      </c>
      <c r="D5996" t="s">
        <v>15341</v>
      </c>
      <c r="E5996" s="2" t="s">
        <v>653</v>
      </c>
      <c r="F5996" t="s">
        <v>10333</v>
      </c>
      <c r="G5996" t="str">
        <f>HYPERLINK("https://n.news.naver.com/mnews/article/052/0002186695?sid=154")</f>
        <v>https://n.news.naver.com/mnews/article/052/0002186695?sid=154</v>
      </c>
      <c r="H5996">
        <v>0.20799999999999999</v>
      </c>
    </row>
    <row r="5997" spans="1:8" x14ac:dyDescent="0.3">
      <c r="A5997" t="s">
        <v>14761</v>
      </c>
      <c r="B5997" t="s">
        <v>26951</v>
      </c>
      <c r="C5997" t="s">
        <v>15344</v>
      </c>
      <c r="D5997" t="s">
        <v>15343</v>
      </c>
      <c r="E5997" s="2" t="s">
        <v>653</v>
      </c>
      <c r="F5997" t="s">
        <v>10191</v>
      </c>
      <c r="G5997" t="str">
        <f>HYPERLINK("https://www.jemin.com/news/articleView.html?idxno=816612")</f>
        <v>https://www.jemin.com/news/articleView.html?idxno=816612</v>
      </c>
      <c r="H5997">
        <v>0.64200000000000002</v>
      </c>
    </row>
    <row r="5998" spans="1:8" x14ac:dyDescent="0.3">
      <c r="A5998" t="s">
        <v>14761</v>
      </c>
      <c r="B5998" t="s">
        <v>26951</v>
      </c>
      <c r="C5998" t="s">
        <v>15346</v>
      </c>
      <c r="D5998" t="s">
        <v>15345</v>
      </c>
      <c r="E5998" s="2" t="s">
        <v>653</v>
      </c>
      <c r="F5998" t="s">
        <v>8742</v>
      </c>
      <c r="G5998" t="str">
        <f>HYPERLINK("http://www.sisaon.co.kr/news/articleView.html?idxno=168798")</f>
        <v>http://www.sisaon.co.kr/news/articleView.html?idxno=168798</v>
      </c>
      <c r="H5998">
        <v>0.29199999999999998</v>
      </c>
    </row>
    <row r="5999" spans="1:8" x14ac:dyDescent="0.3">
      <c r="A5999" t="s">
        <v>14761</v>
      </c>
      <c r="B5999" t="s">
        <v>26951</v>
      </c>
      <c r="C5999" t="s">
        <v>15348</v>
      </c>
      <c r="D5999" t="s">
        <v>15347</v>
      </c>
      <c r="E5999" s="2" t="s">
        <v>653</v>
      </c>
      <c r="F5999" t="s">
        <v>9944</v>
      </c>
      <c r="G5999" t="str">
        <f>HYPERLINK("http://www.sisaon.co.kr/news/articleView.html?idxno=50302")</f>
        <v>http://www.sisaon.co.kr/news/articleView.html?idxno=50302</v>
      </c>
      <c r="H5999">
        <v>0.53800000000000003</v>
      </c>
    </row>
    <row r="6000" spans="1:8" x14ac:dyDescent="0.3">
      <c r="A6000" t="s">
        <v>14761</v>
      </c>
      <c r="B6000" t="s">
        <v>26951</v>
      </c>
      <c r="C6000" t="s">
        <v>15350</v>
      </c>
      <c r="D6000" t="s">
        <v>15349</v>
      </c>
      <c r="E6000" s="2" t="s">
        <v>653</v>
      </c>
      <c r="F6000" t="s">
        <v>8742</v>
      </c>
      <c r="G6000" t="str">
        <f>HYPERLINK("https://www.apnews.kr/news/articleView.html?idxno=3023482")</f>
        <v>https://www.apnews.kr/news/articleView.html?idxno=3023482</v>
      </c>
      <c r="H6000">
        <v>0.22900000000000001</v>
      </c>
    </row>
    <row r="6001" spans="1:8" x14ac:dyDescent="0.3">
      <c r="A6001" t="s">
        <v>14761</v>
      </c>
      <c r="B6001" t="s">
        <v>26951</v>
      </c>
      <c r="C6001" t="s">
        <v>15352</v>
      </c>
      <c r="D6001" t="s">
        <v>15351</v>
      </c>
      <c r="E6001" s="2" t="s">
        <v>653</v>
      </c>
      <c r="F6001" t="s">
        <v>8742</v>
      </c>
      <c r="G6001" t="str">
        <f>HYPERLINK("http://www.biztribune.co.kr/news/articleView.html?idxno=334878")</f>
        <v>http://www.biztribune.co.kr/news/articleView.html?idxno=334878</v>
      </c>
      <c r="H6001">
        <v>0.39100000000000001</v>
      </c>
    </row>
    <row r="6002" spans="1:8" x14ac:dyDescent="0.3">
      <c r="A6002" t="s">
        <v>14761</v>
      </c>
      <c r="B6002" t="s">
        <v>26951</v>
      </c>
      <c r="C6002" t="s">
        <v>15355</v>
      </c>
      <c r="D6002" t="s">
        <v>15354</v>
      </c>
      <c r="E6002" s="2" t="s">
        <v>653</v>
      </c>
      <c r="F6002" t="s">
        <v>15353</v>
      </c>
      <c r="G6002" t="str">
        <f>HYPERLINK("http://www.seoulwire.com/news/articleView.html?idxno=654858")</f>
        <v>http://www.seoulwire.com/news/articleView.html?idxno=654858</v>
      </c>
      <c r="H6002">
        <v>0.97499999999999998</v>
      </c>
    </row>
    <row r="6003" spans="1:8" x14ac:dyDescent="0.3">
      <c r="A6003" t="s">
        <v>14761</v>
      </c>
      <c r="B6003" t="s">
        <v>26951</v>
      </c>
      <c r="C6003" t="s">
        <v>15358</v>
      </c>
      <c r="D6003" t="s">
        <v>15357</v>
      </c>
      <c r="E6003" s="2" t="s">
        <v>653</v>
      </c>
      <c r="F6003" t="s">
        <v>15356</v>
      </c>
      <c r="G6003" t="str">
        <f>HYPERLINK("https://n.news.naver.com/mnews/article/052/0002208403?sid=102")</f>
        <v>https://n.news.naver.com/mnews/article/052/0002208403?sid=102</v>
      </c>
      <c r="H6003">
        <v>0.20100000000000001</v>
      </c>
    </row>
    <row r="6004" spans="1:8" x14ac:dyDescent="0.3">
      <c r="A6004" t="s">
        <v>14761</v>
      </c>
      <c r="B6004" t="s">
        <v>26951</v>
      </c>
      <c r="C6004" t="s">
        <v>15361</v>
      </c>
      <c r="D6004" t="s">
        <v>15360</v>
      </c>
      <c r="E6004" s="2" t="s">
        <v>653</v>
      </c>
      <c r="F6004" t="s">
        <v>15359</v>
      </c>
      <c r="G6004" t="str">
        <f>HYPERLINK("http://www.sctoday.co.kr/news/articleView.html?idxno=45454")</f>
        <v>http://www.sctoday.co.kr/news/articleView.html?idxno=45454</v>
      </c>
      <c r="H6004">
        <v>0.33200000000000002</v>
      </c>
    </row>
    <row r="6005" spans="1:8" x14ac:dyDescent="0.3">
      <c r="A6005" t="s">
        <v>14761</v>
      </c>
      <c r="B6005" t="s">
        <v>26951</v>
      </c>
      <c r="C6005" t="s">
        <v>15364</v>
      </c>
      <c r="D6005" t="s">
        <v>15363</v>
      </c>
      <c r="E6005" s="2" t="s">
        <v>653</v>
      </c>
      <c r="F6005" t="s">
        <v>15362</v>
      </c>
      <c r="G6005" t="str">
        <f>HYPERLINK("http://www.cstimes.com/news/articleView.html?idxno=444315")</f>
        <v>http://www.cstimes.com/news/articleView.html?idxno=444315</v>
      </c>
      <c r="H6005">
        <v>0.38</v>
      </c>
    </row>
    <row r="6006" spans="1:8" x14ac:dyDescent="0.3">
      <c r="A6006" t="s">
        <v>14761</v>
      </c>
      <c r="B6006" t="s">
        <v>26951</v>
      </c>
      <c r="C6006" t="s">
        <v>11667</v>
      </c>
      <c r="D6006" t="s">
        <v>11666</v>
      </c>
      <c r="E6006" s="2" t="s">
        <v>653</v>
      </c>
      <c r="F6006" t="s">
        <v>11503</v>
      </c>
      <c r="G6006" t="str">
        <f>HYPERLINK("https://sports.hankooki.com/news/articleView.html?idxno=6877272")</f>
        <v>https://sports.hankooki.com/news/articleView.html?idxno=6877272</v>
      </c>
      <c r="H6006">
        <v>0.50700000000000001</v>
      </c>
    </row>
    <row r="6007" spans="1:8" x14ac:dyDescent="0.3">
      <c r="A6007" t="s">
        <v>14761</v>
      </c>
      <c r="B6007" t="s">
        <v>26951</v>
      </c>
      <c r="C6007" t="s">
        <v>15366</v>
      </c>
      <c r="D6007" t="s">
        <v>15365</v>
      </c>
      <c r="E6007" s="2" t="s">
        <v>653</v>
      </c>
      <c r="F6007" t="s">
        <v>10178</v>
      </c>
      <c r="G6007" t="str">
        <f>HYPERLINK("https://sports.hankooki.com/news/articleView.html?idxno=6900149")</f>
        <v>https://sports.hankooki.com/news/articleView.html?idxno=6900149</v>
      </c>
      <c r="H6007">
        <v>0.66400000000000003</v>
      </c>
    </row>
    <row r="6008" spans="1:8" x14ac:dyDescent="0.3">
      <c r="A6008" t="s">
        <v>14761</v>
      </c>
      <c r="B6008" t="s">
        <v>26951</v>
      </c>
      <c r="C6008" t="s">
        <v>15368</v>
      </c>
      <c r="D6008" t="s">
        <v>15367</v>
      </c>
      <c r="E6008" s="2" t="s">
        <v>653</v>
      </c>
      <c r="F6008" t="s">
        <v>11313</v>
      </c>
      <c r="G6008" t="str">
        <f>HYPERLINK("https://www.lecturernews.com/news/articleView.html?idxno=181393")</f>
        <v>https://www.lecturernews.com/news/articleView.html?idxno=181393</v>
      </c>
      <c r="H6008">
        <v>0.59599999999999997</v>
      </c>
    </row>
    <row r="6009" spans="1:8" x14ac:dyDescent="0.3">
      <c r="A6009" t="s">
        <v>14761</v>
      </c>
      <c r="B6009" t="s">
        <v>26951</v>
      </c>
      <c r="C6009" t="s">
        <v>15370</v>
      </c>
      <c r="D6009" t="s">
        <v>15369</v>
      </c>
      <c r="E6009" s="2" t="s">
        <v>653</v>
      </c>
      <c r="F6009" t="s">
        <v>9152</v>
      </c>
      <c r="G6009" t="str">
        <f>HYPERLINK("http://www.newstnt.com/news/articleView.html?idxno=497039")</f>
        <v>http://www.newstnt.com/news/articleView.html?idxno=497039</v>
      </c>
      <c r="H6009">
        <v>0.98499999999999999</v>
      </c>
    </row>
    <row r="6010" spans="1:8" x14ac:dyDescent="0.3">
      <c r="A6010" t="s">
        <v>14761</v>
      </c>
      <c r="B6010" t="s">
        <v>26951</v>
      </c>
      <c r="C6010" t="s">
        <v>15373</v>
      </c>
      <c r="D6010" t="s">
        <v>15372</v>
      </c>
      <c r="E6010" s="2" t="s">
        <v>653</v>
      </c>
      <c r="F6010" t="s">
        <v>15371</v>
      </c>
      <c r="G6010" t="str">
        <f>HYPERLINK("https://n.news.naver.com/mnews/article/055/0001154714?sid=101")</f>
        <v>https://n.news.naver.com/mnews/article/055/0001154714?sid=101</v>
      </c>
      <c r="H6010">
        <v>0.154</v>
      </c>
    </row>
    <row r="6011" spans="1:8" x14ac:dyDescent="0.3">
      <c r="A6011" t="s">
        <v>14761</v>
      </c>
      <c r="B6011" t="s">
        <v>26951</v>
      </c>
      <c r="C6011" t="s">
        <v>15375</v>
      </c>
      <c r="D6011" t="s">
        <v>15374</v>
      </c>
      <c r="E6011" s="2" t="s">
        <v>653</v>
      </c>
      <c r="F6011" t="s">
        <v>11313</v>
      </c>
      <c r="G6011" t="str">
        <f>HYPERLINK("https://www.joongangenews.com/news/articleView.html?idxno=426487")</f>
        <v>https://www.joongangenews.com/news/articleView.html?idxno=426487</v>
      </c>
      <c r="H6011">
        <v>0.222</v>
      </c>
    </row>
    <row r="6012" spans="1:8" x14ac:dyDescent="0.3">
      <c r="A6012" t="s">
        <v>14761</v>
      </c>
      <c r="B6012" t="s">
        <v>26951</v>
      </c>
      <c r="C6012" t="s">
        <v>15377</v>
      </c>
      <c r="D6012" t="s">
        <v>15376</v>
      </c>
      <c r="E6012" s="2" t="s">
        <v>653</v>
      </c>
      <c r="F6012" t="s">
        <v>10111</v>
      </c>
      <c r="G6012" t="str">
        <f>HYPERLINK("https://www.jemin.com/news/articleView.html?idxno=817682")</f>
        <v>https://www.jemin.com/news/articleView.html?idxno=817682</v>
      </c>
      <c r="H6012">
        <v>0.188</v>
      </c>
    </row>
    <row r="6013" spans="1:8" x14ac:dyDescent="0.3">
      <c r="A6013" t="s">
        <v>14761</v>
      </c>
      <c r="B6013" t="s">
        <v>26951</v>
      </c>
      <c r="C6013" t="s">
        <v>15380</v>
      </c>
      <c r="D6013" t="s">
        <v>15379</v>
      </c>
      <c r="E6013" s="2" t="s">
        <v>653</v>
      </c>
      <c r="F6013" t="s">
        <v>15378</v>
      </c>
      <c r="G6013" t="str">
        <f>HYPERLINK("https://n.news.naver.com/mnews/article/055/0001268451?sid=100")</f>
        <v>https://n.news.naver.com/mnews/article/055/0001268451?sid=100</v>
      </c>
      <c r="H6013">
        <v>0.20200000000000001</v>
      </c>
    </row>
    <row r="6014" spans="1:8" x14ac:dyDescent="0.3">
      <c r="A6014" t="s">
        <v>14761</v>
      </c>
      <c r="B6014" t="s">
        <v>26951</v>
      </c>
      <c r="C6014" t="s">
        <v>15383</v>
      </c>
      <c r="D6014" t="s">
        <v>15382</v>
      </c>
      <c r="E6014" s="2" t="s">
        <v>653</v>
      </c>
      <c r="F6014" t="s">
        <v>15381</v>
      </c>
      <c r="G6014" t="str">
        <f>HYPERLINK("https://www.ccdailynews.com/news/articleView.html?idxno=2347652")</f>
        <v>https://www.ccdailynews.com/news/articleView.html?idxno=2347652</v>
      </c>
      <c r="H6014">
        <v>0.98</v>
      </c>
    </row>
    <row r="6015" spans="1:8" x14ac:dyDescent="0.3">
      <c r="A6015" t="s">
        <v>14761</v>
      </c>
      <c r="B6015" t="s">
        <v>26951</v>
      </c>
      <c r="C6015" t="s">
        <v>15386</v>
      </c>
      <c r="D6015" t="s">
        <v>15385</v>
      </c>
      <c r="E6015" s="2" t="s">
        <v>653</v>
      </c>
      <c r="F6015" t="s">
        <v>15384</v>
      </c>
      <c r="G6015" t="str">
        <f>HYPERLINK("https://cooknchefnews.com/news/view/1065603546342611")</f>
        <v>https://cooknchefnews.com/news/view/1065603546342611</v>
      </c>
      <c r="H6015">
        <v>0.747</v>
      </c>
    </row>
    <row r="6016" spans="1:8" x14ac:dyDescent="0.3">
      <c r="A6016" t="s">
        <v>14761</v>
      </c>
      <c r="B6016" t="s">
        <v>26951</v>
      </c>
      <c r="C6016" t="s">
        <v>15389</v>
      </c>
      <c r="D6016" t="s">
        <v>15388</v>
      </c>
      <c r="E6016" s="2" t="s">
        <v>653</v>
      </c>
      <c r="F6016" t="s">
        <v>1195</v>
      </c>
      <c r="G6016" t="str">
        <f>HYPERLINK("https://daily.hankooki.com/news/articleView.html?idxno=1222301")</f>
        <v>https://daily.hankooki.com/news/articleView.html?idxno=1222301</v>
      </c>
      <c r="H6016">
        <v>0.58699999999999997</v>
      </c>
    </row>
    <row r="6017" spans="1:8" x14ac:dyDescent="0.3">
      <c r="A6017" t="s">
        <v>14761</v>
      </c>
      <c r="B6017" t="s">
        <v>26951</v>
      </c>
      <c r="C6017" t="s">
        <v>15392</v>
      </c>
      <c r="D6017" t="s">
        <v>15391</v>
      </c>
      <c r="E6017" s="2" t="s">
        <v>653</v>
      </c>
      <c r="F6017" t="s">
        <v>15390</v>
      </c>
      <c r="G6017" t="str">
        <f>HYPERLINK("https://www.traveltimes.co.kr/news/articleView.html?idxno=408977")</f>
        <v>https://www.traveltimes.co.kr/news/articleView.html?idxno=408977</v>
      </c>
      <c r="H6017">
        <v>0.32700000000000001</v>
      </c>
    </row>
    <row r="6018" spans="1:8" x14ac:dyDescent="0.3">
      <c r="A6018" t="s">
        <v>14761</v>
      </c>
      <c r="B6018" t="s">
        <v>26951</v>
      </c>
      <c r="C6018" t="s">
        <v>15395</v>
      </c>
      <c r="D6018" t="s">
        <v>15394</v>
      </c>
      <c r="E6018" s="2" t="s">
        <v>653</v>
      </c>
      <c r="F6018" t="s">
        <v>15393</v>
      </c>
      <c r="G6018" t="str">
        <f>HYPERLINK("https://www.sisaweek.com/news/articleView.html?idxno=222773")</f>
        <v>https://www.sisaweek.com/news/articleView.html?idxno=222773</v>
      </c>
      <c r="H6018">
        <v>0.41399999999999998</v>
      </c>
    </row>
    <row r="6019" spans="1:8" x14ac:dyDescent="0.3">
      <c r="A6019" t="s">
        <v>14761</v>
      </c>
      <c r="B6019" t="s">
        <v>26951</v>
      </c>
      <c r="C6019" t="s">
        <v>15399</v>
      </c>
      <c r="D6019" t="s">
        <v>15398</v>
      </c>
      <c r="E6019" s="2" t="s">
        <v>653</v>
      </c>
      <c r="F6019" t="s">
        <v>15397</v>
      </c>
      <c r="G6019" t="str">
        <f>HYPERLINK("https://www.newsway.co.kr/news/view?ud=2025070116324857298")</f>
        <v>https://www.newsway.co.kr/news/view?ud=2025070116324857298</v>
      </c>
      <c r="H6019">
        <v>0.27900000000000003</v>
      </c>
    </row>
    <row r="6020" spans="1:8" x14ac:dyDescent="0.3">
      <c r="A6020" t="s">
        <v>14761</v>
      </c>
      <c r="B6020" t="s">
        <v>26951</v>
      </c>
      <c r="C6020" t="s">
        <v>15402</v>
      </c>
      <c r="D6020" t="s">
        <v>15401</v>
      </c>
      <c r="E6020" s="2" t="s">
        <v>653</v>
      </c>
      <c r="F6020" t="s">
        <v>15400</v>
      </c>
      <c r="G6020" t="str">
        <f>HYPERLINK("https://n.news.naver.com/mnews/article/052/0002208977?sid=100")</f>
        <v>https://n.news.naver.com/mnews/article/052/0002208977?sid=100</v>
      </c>
      <c r="H6020">
        <v>0.22700000000000001</v>
      </c>
    </row>
    <row r="6021" spans="1:8" x14ac:dyDescent="0.3">
      <c r="A6021" t="s">
        <v>14761</v>
      </c>
      <c r="B6021" t="s">
        <v>26951</v>
      </c>
      <c r="C6021" t="s">
        <v>15405</v>
      </c>
      <c r="D6021" t="s">
        <v>15404</v>
      </c>
      <c r="E6021" s="2" t="s">
        <v>653</v>
      </c>
      <c r="F6021" t="s">
        <v>15403</v>
      </c>
      <c r="G6021" t="str">
        <f>HYPERLINK("https://n.news.naver.com/mnews/article/028/0002526622?sid=102")</f>
        <v>https://n.news.naver.com/mnews/article/028/0002526622?sid=102</v>
      </c>
      <c r="H6021">
        <v>9.4E-2</v>
      </c>
    </row>
    <row r="6022" spans="1:8" x14ac:dyDescent="0.3">
      <c r="A6022" t="s">
        <v>14761</v>
      </c>
      <c r="B6022" t="s">
        <v>26951</v>
      </c>
      <c r="C6022" t="s">
        <v>15407</v>
      </c>
      <c r="D6022" t="s">
        <v>15406</v>
      </c>
      <c r="E6022" s="2" t="s">
        <v>653</v>
      </c>
      <c r="F6022" t="s">
        <v>6720</v>
      </c>
      <c r="G6022" t="str">
        <f>HYPERLINK("https://www.newscj.com/news/articleView.html?idxno=3279129")</f>
        <v>https://www.newscj.com/news/articleView.html?idxno=3279129</v>
      </c>
      <c r="H6022">
        <v>0.73499999999999999</v>
      </c>
    </row>
    <row r="6023" spans="1:8" x14ac:dyDescent="0.3">
      <c r="A6023" t="s">
        <v>14761</v>
      </c>
      <c r="B6023" t="s">
        <v>26951</v>
      </c>
      <c r="C6023" t="s">
        <v>15410</v>
      </c>
      <c r="D6023" t="s">
        <v>15409</v>
      </c>
      <c r="E6023" s="2" t="s">
        <v>653</v>
      </c>
      <c r="F6023" t="s">
        <v>15408</v>
      </c>
      <c r="G6023" t="str">
        <f>HYPERLINK("https://vmspace.com/report/report_view.html?base_seq=MzIxNg==")</f>
        <v>https://vmspace.com/report/report_view.html?base_seq=MzIxNg==</v>
      </c>
      <c r="H6023">
        <v>0.64400000000000002</v>
      </c>
    </row>
    <row r="6024" spans="1:8" x14ac:dyDescent="0.3">
      <c r="A6024" t="s">
        <v>14761</v>
      </c>
      <c r="B6024" t="s">
        <v>26951</v>
      </c>
      <c r="C6024" t="s">
        <v>15412</v>
      </c>
      <c r="D6024" t="s">
        <v>15411</v>
      </c>
      <c r="E6024" s="2" t="s">
        <v>653</v>
      </c>
      <c r="F6024" t="s">
        <v>14882</v>
      </c>
      <c r="G6024" t="str">
        <f>HYPERLINK("https://www.m-economynews.com/news/article.html?no=50699")</f>
        <v>https://www.m-economynews.com/news/article.html?no=50699</v>
      </c>
      <c r="H6024">
        <v>0.61899999999999999</v>
      </c>
    </row>
    <row r="6025" spans="1:8" x14ac:dyDescent="0.3">
      <c r="A6025" t="s">
        <v>14761</v>
      </c>
      <c r="B6025" t="s">
        <v>26951</v>
      </c>
      <c r="C6025" t="s">
        <v>15414</v>
      </c>
      <c r="D6025" t="s">
        <v>15413</v>
      </c>
      <c r="E6025" s="2" t="s">
        <v>653</v>
      </c>
      <c r="F6025" t="s">
        <v>10605</v>
      </c>
      <c r="G6025" t="str">
        <f>HYPERLINK("https://www.sisamagazine.co.kr/news/articleView.html?idxno=467223")</f>
        <v>https://www.sisamagazine.co.kr/news/articleView.html?idxno=467223</v>
      </c>
      <c r="H6025">
        <v>0.39100000000000001</v>
      </c>
    </row>
    <row r="6026" spans="1:8" x14ac:dyDescent="0.3">
      <c r="A6026" t="s">
        <v>14761</v>
      </c>
      <c r="B6026" t="s">
        <v>26951</v>
      </c>
      <c r="C6026" t="s">
        <v>15417</v>
      </c>
      <c r="D6026" t="s">
        <v>15416</v>
      </c>
      <c r="E6026" s="2" t="s">
        <v>653</v>
      </c>
      <c r="F6026" t="s">
        <v>15415</v>
      </c>
      <c r="G6026" t="str">
        <f>HYPERLINK("http://www.greened.kr/news/articleView.html?idxno=298319")</f>
        <v>http://www.greened.kr/news/articleView.html?idxno=298319</v>
      </c>
      <c r="H6026">
        <v>0.53200000000000003</v>
      </c>
    </row>
    <row r="6027" spans="1:8" x14ac:dyDescent="0.3">
      <c r="A6027" t="s">
        <v>14761</v>
      </c>
      <c r="B6027" t="s">
        <v>26951</v>
      </c>
      <c r="C6027" t="s">
        <v>15419</v>
      </c>
      <c r="D6027" t="s">
        <v>15418</v>
      </c>
      <c r="E6027" s="2" t="s">
        <v>653</v>
      </c>
      <c r="F6027" t="s">
        <v>12860</v>
      </c>
      <c r="G6027" t="str">
        <f>HYPERLINK("https://n.news.naver.com/mnews/article/666/0000063696?sid=101")</f>
        <v>https://n.news.naver.com/mnews/article/666/0000063696?sid=101</v>
      </c>
      <c r="H6027">
        <v>0.21299999999999999</v>
      </c>
    </row>
    <row r="6028" spans="1:8" x14ac:dyDescent="0.3">
      <c r="A6028" t="s">
        <v>14761</v>
      </c>
      <c r="B6028" t="s">
        <v>26951</v>
      </c>
      <c r="C6028" t="s">
        <v>15422</v>
      </c>
      <c r="D6028" t="s">
        <v>15421</v>
      </c>
      <c r="E6028" s="2" t="s">
        <v>653</v>
      </c>
      <c r="F6028" t="s">
        <v>15420</v>
      </c>
      <c r="G6028" t="str">
        <f>HYPERLINK("https://daily.hankooki.com/news/articleView.html?idxno=1237162")</f>
        <v>https://daily.hankooki.com/news/articleView.html?idxno=1237162</v>
      </c>
      <c r="H6028">
        <v>0.156</v>
      </c>
    </row>
    <row r="6029" spans="1:8" x14ac:dyDescent="0.3">
      <c r="A6029" t="s">
        <v>14761</v>
      </c>
      <c r="B6029" t="s">
        <v>26951</v>
      </c>
      <c r="C6029" t="s">
        <v>15424</v>
      </c>
      <c r="D6029" t="s">
        <v>15423</v>
      </c>
      <c r="E6029" s="2" t="s">
        <v>653</v>
      </c>
      <c r="F6029" t="s">
        <v>9944</v>
      </c>
      <c r="G6029" t="str">
        <f>HYPERLINK("https://sports.hankooki.com/news/articleView.html?idxno=6889536")</f>
        <v>https://sports.hankooki.com/news/articleView.html?idxno=6889536</v>
      </c>
      <c r="H6029">
        <v>0.38100000000000001</v>
      </c>
    </row>
    <row r="6030" spans="1:8" x14ac:dyDescent="0.3">
      <c r="A6030" t="s">
        <v>14761</v>
      </c>
      <c r="B6030" t="s">
        <v>26951</v>
      </c>
      <c r="C6030" t="s">
        <v>15426</v>
      </c>
      <c r="D6030" t="s">
        <v>15425</v>
      </c>
      <c r="E6030" s="2" t="s">
        <v>692</v>
      </c>
      <c r="F6030" t="s">
        <v>1377</v>
      </c>
      <c r="G6030" t="str">
        <f>HYPERLINK("https://www.jemin.com/news/articleView.html?idxno=810085")</f>
        <v>https://www.jemin.com/news/articleView.html?idxno=810085</v>
      </c>
      <c r="H6030">
        <v>0.67300000000000004</v>
      </c>
    </row>
    <row r="6031" spans="1:8" x14ac:dyDescent="0.3">
      <c r="A6031" t="s">
        <v>14761</v>
      </c>
      <c r="B6031" t="s">
        <v>26951</v>
      </c>
      <c r="C6031" t="s">
        <v>15428</v>
      </c>
      <c r="D6031" t="s">
        <v>15427</v>
      </c>
      <c r="E6031" s="2" t="s">
        <v>692</v>
      </c>
      <c r="F6031" t="s">
        <v>10565</v>
      </c>
      <c r="G6031" t="str">
        <f>HYPERLINK("https://www.sisaweek.com/news/articleView.html?idxno=226797")</f>
        <v>https://www.sisaweek.com/news/articleView.html?idxno=226797</v>
      </c>
      <c r="H6031">
        <v>0.29099999999999998</v>
      </c>
    </row>
    <row r="6032" spans="1:8" x14ac:dyDescent="0.3">
      <c r="A6032" t="s">
        <v>14761</v>
      </c>
      <c r="B6032" t="s">
        <v>26951</v>
      </c>
      <c r="C6032" t="s">
        <v>15431</v>
      </c>
      <c r="D6032" t="s">
        <v>15430</v>
      </c>
      <c r="E6032" s="2" t="s">
        <v>692</v>
      </c>
      <c r="F6032" t="s">
        <v>15429</v>
      </c>
      <c r="G6032" t="str">
        <f>HYPERLINK("http://www.biztribune.co.kr/news/articleView.html?idxno=332255")</f>
        <v>http://www.biztribune.co.kr/news/articleView.html?idxno=332255</v>
      </c>
      <c r="H6032">
        <v>0.39900000000000002</v>
      </c>
    </row>
    <row r="6033" spans="1:8" x14ac:dyDescent="0.3">
      <c r="A6033" t="s">
        <v>14761</v>
      </c>
      <c r="B6033" t="s">
        <v>26951</v>
      </c>
      <c r="C6033" t="s">
        <v>15434</v>
      </c>
      <c r="D6033" t="s">
        <v>15433</v>
      </c>
      <c r="E6033" s="2" t="s">
        <v>692</v>
      </c>
      <c r="F6033" t="s">
        <v>15432</v>
      </c>
      <c r="G6033" t="str">
        <f>HYPERLINK("https://weekly.hankooki.com/news/articleView.html?idxno=7114350")</f>
        <v>https://weekly.hankooki.com/news/articleView.html?idxno=7114350</v>
      </c>
      <c r="H6033">
        <v>0.374</v>
      </c>
    </row>
    <row r="6034" spans="1:8" x14ac:dyDescent="0.3">
      <c r="A6034" t="s">
        <v>14761</v>
      </c>
      <c r="B6034" t="s">
        <v>26951</v>
      </c>
      <c r="C6034" t="s">
        <v>15437</v>
      </c>
      <c r="D6034" t="s">
        <v>15436</v>
      </c>
      <c r="E6034" s="2" t="s">
        <v>692</v>
      </c>
      <c r="F6034" t="s">
        <v>15435</v>
      </c>
      <c r="G6034" t="str">
        <f>HYPERLINK("http://www.ggilbo.com/news/articleView.html?idxno=701020")</f>
        <v>http://www.ggilbo.com/news/articleView.html?idxno=701020</v>
      </c>
      <c r="H6034">
        <v>0.4</v>
      </c>
    </row>
    <row r="6035" spans="1:8" x14ac:dyDescent="0.3">
      <c r="A6035" t="s">
        <v>14761</v>
      </c>
      <c r="B6035" t="s">
        <v>26951</v>
      </c>
      <c r="C6035" t="s">
        <v>15440</v>
      </c>
      <c r="D6035" t="s">
        <v>15439</v>
      </c>
      <c r="E6035" s="2" t="s">
        <v>692</v>
      </c>
      <c r="F6035" t="s">
        <v>15438</v>
      </c>
      <c r="G6035" t="str">
        <f>HYPERLINK("https://news.ifm.kr/news/articleView.html?idxno=445826")</f>
        <v>https://news.ifm.kr/news/articleView.html?idxno=445826</v>
      </c>
      <c r="H6035">
        <v>0.32900000000000001</v>
      </c>
    </row>
    <row r="6036" spans="1:8" x14ac:dyDescent="0.3">
      <c r="A6036" t="s">
        <v>14761</v>
      </c>
      <c r="B6036" t="s">
        <v>26951</v>
      </c>
      <c r="C6036" t="s">
        <v>15443</v>
      </c>
      <c r="D6036" t="s">
        <v>15442</v>
      </c>
      <c r="E6036" s="2" t="s">
        <v>692</v>
      </c>
      <c r="F6036" t="s">
        <v>15441</v>
      </c>
      <c r="G6036" t="str">
        <f>HYPERLINK("http://www.enewstoday.co.kr/news/articleView.html?idxno=658713")</f>
        <v>http://www.enewstoday.co.kr/news/articleView.html?idxno=658713</v>
      </c>
      <c r="H6036">
        <v>0.13200000000000001</v>
      </c>
    </row>
    <row r="6037" spans="1:8" x14ac:dyDescent="0.3">
      <c r="A6037" t="s">
        <v>14761</v>
      </c>
      <c r="B6037" t="s">
        <v>26951</v>
      </c>
      <c r="C6037" t="s">
        <v>15446</v>
      </c>
      <c r="D6037" t="s">
        <v>15445</v>
      </c>
      <c r="E6037" s="2" t="s">
        <v>692</v>
      </c>
      <c r="F6037" t="s">
        <v>15444</v>
      </c>
      <c r="G6037" t="str">
        <f>HYPERLINK("https://www.laborplus.co.kr/news/articleView.html?idxno=34733")</f>
        <v>https://www.laborplus.co.kr/news/articleView.html?idxno=34733</v>
      </c>
      <c r="H6037">
        <v>0.56699999999999995</v>
      </c>
    </row>
    <row r="6038" spans="1:8" x14ac:dyDescent="0.3">
      <c r="A6038" t="s">
        <v>14761</v>
      </c>
      <c r="B6038" t="s">
        <v>26951</v>
      </c>
      <c r="C6038" t="s">
        <v>15448</v>
      </c>
      <c r="D6038" t="s">
        <v>15447</v>
      </c>
      <c r="E6038" s="2" t="s">
        <v>692</v>
      </c>
      <c r="F6038" t="s">
        <v>9897</v>
      </c>
      <c r="G6038" t="str">
        <f>HYPERLINK("http://www.obsnews.co.kr/news/articleView.html?idxno=967303")</f>
        <v>http://www.obsnews.co.kr/news/articleView.html?idxno=967303</v>
      </c>
      <c r="H6038">
        <v>0.48499999999999999</v>
      </c>
    </row>
    <row r="6039" spans="1:8" x14ac:dyDescent="0.3">
      <c r="A6039" t="s">
        <v>14761</v>
      </c>
      <c r="B6039" t="s">
        <v>26951</v>
      </c>
      <c r="C6039" t="s">
        <v>15451</v>
      </c>
      <c r="D6039" t="s">
        <v>15450</v>
      </c>
      <c r="E6039" s="2" t="s">
        <v>692</v>
      </c>
      <c r="F6039" t="s">
        <v>15449</v>
      </c>
      <c r="G6039" t="str">
        <f>HYPERLINK("https://www.womaneconomy.co.kr/news/articleView.html?idxno=220633")</f>
        <v>https://www.womaneconomy.co.kr/news/articleView.html?idxno=220633</v>
      </c>
      <c r="H6039">
        <v>0.51300000000000001</v>
      </c>
    </row>
    <row r="6040" spans="1:8" x14ac:dyDescent="0.3">
      <c r="A6040" t="s">
        <v>14761</v>
      </c>
      <c r="B6040" t="s">
        <v>26951</v>
      </c>
      <c r="C6040" t="s">
        <v>15454</v>
      </c>
      <c r="D6040" t="s">
        <v>15453</v>
      </c>
      <c r="E6040" s="2" t="s">
        <v>692</v>
      </c>
      <c r="F6040" t="s">
        <v>15452</v>
      </c>
      <c r="G6040" t="str">
        <f>HYPERLINK("http://www.mediafine.co.kr/news/articleView.html?idxno=5780")</f>
        <v>http://www.mediafine.co.kr/news/articleView.html?idxno=5780</v>
      </c>
      <c r="H6040">
        <v>0.30099999999999999</v>
      </c>
    </row>
    <row r="6041" spans="1:8" x14ac:dyDescent="0.3">
      <c r="A6041" t="s">
        <v>14761</v>
      </c>
      <c r="B6041" t="s">
        <v>26951</v>
      </c>
      <c r="C6041" t="s">
        <v>15457</v>
      </c>
      <c r="D6041" t="s">
        <v>15456</v>
      </c>
      <c r="E6041" s="2" t="s">
        <v>692</v>
      </c>
      <c r="F6041" t="s">
        <v>15455</v>
      </c>
      <c r="G6041" t="str">
        <f>HYPERLINK("http://www.lecturernews.com/news/articleView.html?idxno=85527")</f>
        <v>http://www.lecturernews.com/news/articleView.html?idxno=85527</v>
      </c>
      <c r="H6041">
        <v>0.38700000000000001</v>
      </c>
    </row>
    <row r="6042" spans="1:8" x14ac:dyDescent="0.3">
      <c r="A6042" t="s">
        <v>14761</v>
      </c>
      <c r="B6042" t="s">
        <v>26951</v>
      </c>
      <c r="C6042" t="s">
        <v>15460</v>
      </c>
      <c r="D6042" t="s">
        <v>15459</v>
      </c>
      <c r="E6042" s="2" t="s">
        <v>692</v>
      </c>
      <c r="F6042" t="s">
        <v>15458</v>
      </c>
      <c r="G6042" t="str">
        <f>HYPERLINK("https://www.apnews.kr/news/articleView.html?idxno=3036114")</f>
        <v>https://www.apnews.kr/news/articleView.html?idxno=3036114</v>
      </c>
      <c r="H6042">
        <v>0.30299999999999999</v>
      </c>
    </row>
    <row r="6043" spans="1:8" x14ac:dyDescent="0.3">
      <c r="A6043" t="s">
        <v>14761</v>
      </c>
      <c r="B6043" t="s">
        <v>26951</v>
      </c>
      <c r="C6043" t="s">
        <v>15463</v>
      </c>
      <c r="D6043" t="s">
        <v>15462</v>
      </c>
      <c r="E6043" s="2" t="s">
        <v>692</v>
      </c>
      <c r="F6043" t="s">
        <v>15461</v>
      </c>
      <c r="G6043" t="str">
        <f>HYPERLINK("http://www.jjn.co.kr/news/articleView.html?idxno=983558")</f>
        <v>http://www.jjn.co.kr/news/articleView.html?idxno=983558</v>
      </c>
      <c r="H6043">
        <v>0.39300000000000002</v>
      </c>
    </row>
    <row r="6044" spans="1:8" x14ac:dyDescent="0.3">
      <c r="A6044" t="s">
        <v>14761</v>
      </c>
      <c r="B6044" t="s">
        <v>26951</v>
      </c>
      <c r="C6044" t="s">
        <v>15466</v>
      </c>
      <c r="D6044" t="s">
        <v>15465</v>
      </c>
      <c r="E6044" s="2" t="s">
        <v>692</v>
      </c>
      <c r="F6044" t="s">
        <v>15464</v>
      </c>
      <c r="G6044" t="str">
        <f>HYPERLINK("https://n.news.naver.com/mnews/article/022/0002781651?sid=102")</f>
        <v>https://n.news.naver.com/mnews/article/022/0002781651?sid=102</v>
      </c>
      <c r="H6044">
        <v>6.6000000000000003E-2</v>
      </c>
    </row>
    <row r="6045" spans="1:8" x14ac:dyDescent="0.3">
      <c r="A6045" t="s">
        <v>14761</v>
      </c>
      <c r="B6045" t="s">
        <v>26951</v>
      </c>
      <c r="C6045" t="s">
        <v>15468</v>
      </c>
      <c r="D6045" t="s">
        <v>15467</v>
      </c>
      <c r="E6045" s="2" t="s">
        <v>692</v>
      </c>
      <c r="F6045" t="s">
        <v>10605</v>
      </c>
      <c r="G6045" t="str">
        <f>HYPERLINK("https://www.nbntv.co.kr/news/articleView.html?idxno=976961")</f>
        <v>https://www.nbntv.co.kr/news/articleView.html?idxno=976961</v>
      </c>
      <c r="H6045">
        <v>0.307</v>
      </c>
    </row>
    <row r="6046" spans="1:8" x14ac:dyDescent="0.3">
      <c r="A6046" t="s">
        <v>14761</v>
      </c>
      <c r="B6046" t="s">
        <v>26951</v>
      </c>
      <c r="C6046" t="s">
        <v>15470</v>
      </c>
      <c r="D6046" t="s">
        <v>15469</v>
      </c>
      <c r="E6046" s="2" t="s">
        <v>692</v>
      </c>
      <c r="F6046" t="s">
        <v>9738</v>
      </c>
      <c r="G6046" t="str">
        <f>HYPERLINK("https://www.lecturernews.com/news/articleView.html?idxno=132121")</f>
        <v>https://www.lecturernews.com/news/articleView.html?idxno=132121</v>
      </c>
      <c r="H6046">
        <v>0.51</v>
      </c>
    </row>
    <row r="6047" spans="1:8" x14ac:dyDescent="0.3">
      <c r="A6047" t="s">
        <v>14761</v>
      </c>
      <c r="B6047" t="s">
        <v>26951</v>
      </c>
      <c r="C6047" t="s">
        <v>15474</v>
      </c>
      <c r="D6047" t="s">
        <v>15473</v>
      </c>
      <c r="E6047" s="2" t="s">
        <v>692</v>
      </c>
      <c r="F6047" t="s">
        <v>15472</v>
      </c>
      <c r="G6047" t="str">
        <f>HYPERLINK("https://n.news.naver.com/mnews/article/654/0000128759?sid=102")</f>
        <v>https://n.news.naver.com/mnews/article/654/0000128759?sid=102</v>
      </c>
      <c r="H6047">
        <v>0.22700000000000001</v>
      </c>
    </row>
    <row r="6048" spans="1:8" x14ac:dyDescent="0.3">
      <c r="A6048" t="s">
        <v>14761</v>
      </c>
      <c r="B6048" t="s">
        <v>26951</v>
      </c>
      <c r="C6048" t="s">
        <v>15477</v>
      </c>
      <c r="D6048" t="s">
        <v>15476</v>
      </c>
      <c r="E6048" s="2" t="s">
        <v>692</v>
      </c>
      <c r="F6048" t="s">
        <v>15475</v>
      </c>
      <c r="G6048" t="str">
        <f>HYPERLINK("https://n.news.naver.com/mnews/article/469/0000872731?sid=103")</f>
        <v>https://n.news.naver.com/mnews/article/469/0000872731?sid=103</v>
      </c>
      <c r="H6048">
        <v>0.20200000000000001</v>
      </c>
    </row>
    <row r="6049" spans="1:8" x14ac:dyDescent="0.3">
      <c r="A6049" t="s">
        <v>14761</v>
      </c>
      <c r="B6049" t="s">
        <v>26951</v>
      </c>
      <c r="C6049" t="s">
        <v>15480</v>
      </c>
      <c r="D6049" t="s">
        <v>15479</v>
      </c>
      <c r="E6049" s="2" t="s">
        <v>692</v>
      </c>
      <c r="F6049" t="s">
        <v>15478</v>
      </c>
      <c r="G6049" t="str">
        <f>HYPERLINK("https://www.getnews.co.kr/news/articleView.html?idxno=825525")</f>
        <v>https://www.getnews.co.kr/news/articleView.html?idxno=825525</v>
      </c>
      <c r="H6049">
        <v>0.28499999999999998</v>
      </c>
    </row>
    <row r="6050" spans="1:8" x14ac:dyDescent="0.3">
      <c r="A6050" t="s">
        <v>14761</v>
      </c>
      <c r="B6050" t="s">
        <v>26951</v>
      </c>
      <c r="C6050" t="s">
        <v>15482</v>
      </c>
      <c r="D6050" t="s">
        <v>15481</v>
      </c>
      <c r="E6050" s="2" t="s">
        <v>692</v>
      </c>
      <c r="F6050" t="s">
        <v>4094</v>
      </c>
      <c r="G6050" t="str">
        <f>HYPERLINK("http://www.greened.kr/news/articleView.html?idxno=303097")</f>
        <v>http://www.greened.kr/news/articleView.html?idxno=303097</v>
      </c>
      <c r="H6050">
        <v>0.40500000000000003</v>
      </c>
    </row>
    <row r="6051" spans="1:8" x14ac:dyDescent="0.3">
      <c r="A6051" t="s">
        <v>14761</v>
      </c>
      <c r="B6051" t="s">
        <v>26951</v>
      </c>
      <c r="C6051" t="s">
        <v>15484</v>
      </c>
      <c r="D6051" t="s">
        <v>15483</v>
      </c>
      <c r="E6051" s="2" t="s">
        <v>692</v>
      </c>
      <c r="F6051" t="s">
        <v>10341</v>
      </c>
      <c r="G6051" t="str">
        <f>HYPERLINK("https://www.jemin.com/news/articleView.html?idxno=797677")</f>
        <v>https://www.jemin.com/news/articleView.html?idxno=797677</v>
      </c>
      <c r="H6051">
        <v>0.47199999999999998</v>
      </c>
    </row>
    <row r="6052" spans="1:8" x14ac:dyDescent="0.3">
      <c r="A6052" t="s">
        <v>14761</v>
      </c>
      <c r="B6052" t="s">
        <v>26951</v>
      </c>
      <c r="C6052" t="s">
        <v>15486</v>
      </c>
      <c r="D6052" t="s">
        <v>15485</v>
      </c>
      <c r="E6052" s="2" t="s">
        <v>692</v>
      </c>
      <c r="F6052" t="s">
        <v>7565</v>
      </c>
      <c r="G6052" t="str">
        <f>HYPERLINK("http://www.ifs.or.kr/bbs/board.php?bo_table=YTT_board&amp;wr_id=50749")</f>
        <v>http://www.ifs.or.kr/bbs/board.php?bo_table=YTT_board&amp;wr_id=50749</v>
      </c>
      <c r="H6052">
        <v>0.44600000000000001</v>
      </c>
    </row>
    <row r="6053" spans="1:8" x14ac:dyDescent="0.3">
      <c r="A6053" t="s">
        <v>14761</v>
      </c>
      <c r="B6053" t="s">
        <v>26951</v>
      </c>
      <c r="C6053" t="s">
        <v>15489</v>
      </c>
      <c r="D6053" t="s">
        <v>15488</v>
      </c>
      <c r="E6053" s="2" t="s">
        <v>692</v>
      </c>
      <c r="F6053" t="s">
        <v>15487</v>
      </c>
      <c r="G6053" t="str">
        <f>HYPERLINK("http://www.sisaon.co.kr/news/articleView.html?idxno=170702")</f>
        <v>http://www.sisaon.co.kr/news/articleView.html?idxno=170702</v>
      </c>
      <c r="H6053">
        <v>0.59199999999999997</v>
      </c>
    </row>
    <row r="6054" spans="1:8" x14ac:dyDescent="0.3">
      <c r="A6054" t="s">
        <v>14761</v>
      </c>
      <c r="B6054" t="s">
        <v>26951</v>
      </c>
      <c r="C6054" t="s">
        <v>15492</v>
      </c>
      <c r="D6054" t="s">
        <v>15491</v>
      </c>
      <c r="E6054" s="2" t="s">
        <v>692</v>
      </c>
      <c r="F6054" t="s">
        <v>15490</v>
      </c>
      <c r="G6054" t="str">
        <f>HYPERLINK("http://www.naeil.com/news_view/?id_art=167469")</f>
        <v>http://www.naeil.com/news_view/?id_art=167469</v>
      </c>
      <c r="H6054">
        <v>0.31</v>
      </c>
    </row>
    <row r="6055" spans="1:8" x14ac:dyDescent="0.3">
      <c r="A6055" t="s">
        <v>14761</v>
      </c>
      <c r="B6055" t="s">
        <v>26951</v>
      </c>
      <c r="C6055" t="s">
        <v>15495</v>
      </c>
      <c r="D6055" t="s">
        <v>15494</v>
      </c>
      <c r="E6055" s="2" t="s">
        <v>692</v>
      </c>
      <c r="F6055" t="s">
        <v>15493</v>
      </c>
      <c r="G6055" t="str">
        <f>HYPERLINK("http://www.lecturernews.com/news/articleView.html?idxno=85527")</f>
        <v>http://www.lecturernews.com/news/articleView.html?idxno=85527</v>
      </c>
      <c r="H6055">
        <v>0.63</v>
      </c>
    </row>
    <row r="6056" spans="1:8" x14ac:dyDescent="0.3">
      <c r="A6056" t="s">
        <v>14761</v>
      </c>
      <c r="B6056" t="s">
        <v>26951</v>
      </c>
      <c r="C6056" t="s">
        <v>15497</v>
      </c>
      <c r="D6056" t="s">
        <v>15496</v>
      </c>
      <c r="E6056" s="2" t="s">
        <v>692</v>
      </c>
      <c r="F6056" t="s">
        <v>12200</v>
      </c>
      <c r="G6056" t="str">
        <f>HYPERLINK("https://www.jemin.com/news/articleView.html?idxno=796339")</f>
        <v>https://www.jemin.com/news/articleView.html?idxno=796339</v>
      </c>
      <c r="H6056">
        <v>0.375</v>
      </c>
    </row>
    <row r="6057" spans="1:8" x14ac:dyDescent="0.3">
      <c r="A6057" t="s">
        <v>14761</v>
      </c>
      <c r="B6057" t="s">
        <v>26951</v>
      </c>
      <c r="C6057" t="s">
        <v>15499</v>
      </c>
      <c r="D6057" t="s">
        <v>15498</v>
      </c>
      <c r="E6057" s="2" t="s">
        <v>692</v>
      </c>
      <c r="F6057" t="s">
        <v>588</v>
      </c>
      <c r="G6057" t="str">
        <f>HYPERLINK("https://www.gokorea.kr/news/articleView.html?idxno=725528")</f>
        <v>https://www.gokorea.kr/news/articleView.html?idxno=725528</v>
      </c>
      <c r="H6057">
        <v>0.64300000000000002</v>
      </c>
    </row>
    <row r="6058" spans="1:8" x14ac:dyDescent="0.3">
      <c r="A6058" t="s">
        <v>14761</v>
      </c>
      <c r="B6058" t="s">
        <v>26951</v>
      </c>
      <c r="C6058" t="s">
        <v>15502</v>
      </c>
      <c r="D6058" t="s">
        <v>15501</v>
      </c>
      <c r="E6058" s="2" t="s">
        <v>692</v>
      </c>
      <c r="F6058" t="s">
        <v>15500</v>
      </c>
      <c r="G6058" t="str">
        <f>HYPERLINK("https://www.newsfreezone.co.kr/news/articleView.html?idxno=634028")</f>
        <v>https://www.newsfreezone.co.kr/news/articleView.html?idxno=634028</v>
      </c>
      <c r="H6058">
        <v>0.47499999999999998</v>
      </c>
    </row>
    <row r="6059" spans="1:8" x14ac:dyDescent="0.3">
      <c r="A6059" t="s">
        <v>14761</v>
      </c>
      <c r="B6059" t="s">
        <v>26951</v>
      </c>
      <c r="C6059" t="s">
        <v>15504</v>
      </c>
      <c r="D6059" t="s">
        <v>15503</v>
      </c>
      <c r="E6059" s="2" t="s">
        <v>692</v>
      </c>
      <c r="F6059" t="s">
        <v>6226</v>
      </c>
      <c r="G6059" t="str">
        <f>HYPERLINK("http://jmagazine.joins.com/forbes/view/340763")</f>
        <v>http://jmagazine.joins.com/forbes/view/340763</v>
      </c>
      <c r="H6059">
        <v>0.497</v>
      </c>
    </row>
    <row r="6060" spans="1:8" x14ac:dyDescent="0.3">
      <c r="A6060" t="s">
        <v>14761</v>
      </c>
      <c r="B6060" t="s">
        <v>26951</v>
      </c>
      <c r="C6060" t="s">
        <v>15507</v>
      </c>
      <c r="D6060" t="s">
        <v>15506</v>
      </c>
      <c r="E6060" s="2" t="s">
        <v>692</v>
      </c>
      <c r="F6060" t="s">
        <v>15505</v>
      </c>
      <c r="G6060" t="str">
        <f>HYPERLINK("http://www.bulkwang.co.kr/news/articleView.html?idxno=39577")</f>
        <v>http://www.bulkwang.co.kr/news/articleView.html?idxno=39577</v>
      </c>
      <c r="H6060">
        <v>0.53900000000000003</v>
      </c>
    </row>
    <row r="6061" spans="1:8" x14ac:dyDescent="0.3">
      <c r="A6061" t="s">
        <v>14761</v>
      </c>
      <c r="B6061" t="s">
        <v>26951</v>
      </c>
      <c r="C6061" t="s">
        <v>15510</v>
      </c>
      <c r="D6061" t="s">
        <v>15509</v>
      </c>
      <c r="E6061" s="2" t="s">
        <v>692</v>
      </c>
      <c r="F6061" t="s">
        <v>15508</v>
      </c>
      <c r="G6061" t="str">
        <f>HYPERLINK("https://ch.yes24.com/Article/View/81269")</f>
        <v>https://ch.yes24.com/Article/View/81269</v>
      </c>
      <c r="H6061">
        <v>0.63900000000000001</v>
      </c>
    </row>
    <row r="6062" spans="1:8" x14ac:dyDescent="0.3">
      <c r="A6062" t="s">
        <v>14761</v>
      </c>
      <c r="B6062" t="s">
        <v>26951</v>
      </c>
      <c r="C6062" t="s">
        <v>15512</v>
      </c>
      <c r="D6062" t="s">
        <v>15511</v>
      </c>
      <c r="E6062" s="2" t="s">
        <v>692</v>
      </c>
      <c r="F6062" t="s">
        <v>1327</v>
      </c>
      <c r="G6062" t="str">
        <f>HYPERLINK("https://www.banronbodo.com/news/articleView.html?idxno=30019")</f>
        <v>https://www.banronbodo.com/news/articleView.html?idxno=30019</v>
      </c>
      <c r="H6062">
        <v>0.48599999999999999</v>
      </c>
    </row>
    <row r="6063" spans="1:8" x14ac:dyDescent="0.3">
      <c r="A6063" t="s">
        <v>14761</v>
      </c>
      <c r="B6063" t="s">
        <v>26951</v>
      </c>
      <c r="C6063" t="s">
        <v>15515</v>
      </c>
      <c r="D6063" t="s">
        <v>15514</v>
      </c>
      <c r="E6063" s="2" t="s">
        <v>692</v>
      </c>
      <c r="F6063" t="s">
        <v>15513</v>
      </c>
      <c r="G6063" t="str">
        <f>HYPERLINK("http://www.sisamagazine.co.kr/news/articleView.html?idxno=343599")</f>
        <v>http://www.sisamagazine.co.kr/news/articleView.html?idxno=343599</v>
      </c>
      <c r="H6063">
        <v>0.48699999999999999</v>
      </c>
    </row>
    <row r="6064" spans="1:8" x14ac:dyDescent="0.3">
      <c r="A6064" t="s">
        <v>14761</v>
      </c>
      <c r="B6064" t="s">
        <v>26951</v>
      </c>
      <c r="C6064" t="s">
        <v>15518</v>
      </c>
      <c r="D6064" t="s">
        <v>15517</v>
      </c>
      <c r="E6064" s="2" t="s">
        <v>692</v>
      </c>
      <c r="F6064" t="s">
        <v>15516</v>
      </c>
      <c r="G6064" t="str">
        <f>HYPERLINK("http://www.lecturernews.com/news/articleView.html?idxno=82693")</f>
        <v>http://www.lecturernews.com/news/articleView.html?idxno=82693</v>
      </c>
      <c r="H6064">
        <v>0.63900000000000001</v>
      </c>
    </row>
    <row r="6065" spans="1:8" x14ac:dyDescent="0.3">
      <c r="A6065" t="s">
        <v>14761</v>
      </c>
      <c r="B6065" t="s">
        <v>26951</v>
      </c>
      <c r="C6065" t="s">
        <v>15522</v>
      </c>
      <c r="D6065" t="s">
        <v>15521</v>
      </c>
      <c r="E6065" s="2" t="s">
        <v>692</v>
      </c>
      <c r="F6065" t="s">
        <v>15520</v>
      </c>
      <c r="G6065" t="str">
        <f>HYPERLINK("https://www.lecturernews.com/news/articleView.html?idxno=179818")</f>
        <v>https://www.lecturernews.com/news/articleView.html?idxno=179818</v>
      </c>
      <c r="H6065">
        <v>0.67100000000000004</v>
      </c>
    </row>
    <row r="6066" spans="1:8" x14ac:dyDescent="0.3">
      <c r="A6066" t="s">
        <v>14761</v>
      </c>
      <c r="B6066" t="s">
        <v>26951</v>
      </c>
      <c r="C6066" t="s">
        <v>15525</v>
      </c>
      <c r="D6066" t="s">
        <v>15524</v>
      </c>
      <c r="E6066" s="2" t="s">
        <v>692</v>
      </c>
      <c r="F6066" t="s">
        <v>15523</v>
      </c>
      <c r="G6066" t="str">
        <f>HYPERLINK("http://www.gametoc.co.kr/news/articleView.html?idxno=46103")</f>
        <v>http://www.gametoc.co.kr/news/articleView.html?idxno=46103</v>
      </c>
      <c r="H6066">
        <v>0.35699999999999998</v>
      </c>
    </row>
    <row r="6067" spans="1:8" x14ac:dyDescent="0.3">
      <c r="A6067" t="s">
        <v>14761</v>
      </c>
      <c r="B6067" t="s">
        <v>26951</v>
      </c>
      <c r="C6067" t="s">
        <v>15528</v>
      </c>
      <c r="D6067" t="s">
        <v>15527</v>
      </c>
      <c r="E6067" s="2" t="s">
        <v>692</v>
      </c>
      <c r="F6067" t="s">
        <v>15526</v>
      </c>
      <c r="G6067" t="str">
        <f>HYPERLINK("http://www.etoday.co.kr/news/section/newsview.php?idxno=1226834")</f>
        <v>http://www.etoday.co.kr/news/section/newsview.php?idxno=1226834</v>
      </c>
      <c r="H6067">
        <v>0.40899999999999997</v>
      </c>
    </row>
    <row r="6068" spans="1:8" x14ac:dyDescent="0.3">
      <c r="A6068" t="s">
        <v>14761</v>
      </c>
      <c r="B6068" t="s">
        <v>26951</v>
      </c>
      <c r="C6068" t="s">
        <v>15530</v>
      </c>
      <c r="D6068" t="s">
        <v>15529</v>
      </c>
      <c r="E6068" s="2" t="s">
        <v>692</v>
      </c>
      <c r="F6068" t="s">
        <v>7926</v>
      </c>
      <c r="G6068" t="str">
        <f>HYPERLINK("https://sports.hankooki.com/news/articleView.html?idxno=6900149")</f>
        <v>https://sports.hankooki.com/news/articleView.html?idxno=6900149</v>
      </c>
      <c r="H6068">
        <v>0.69599999999999995</v>
      </c>
    </row>
    <row r="6069" spans="1:8" x14ac:dyDescent="0.3">
      <c r="A6069" t="s">
        <v>14761</v>
      </c>
      <c r="B6069" t="s">
        <v>26951</v>
      </c>
      <c r="C6069" t="s">
        <v>15532</v>
      </c>
      <c r="D6069" t="s">
        <v>15531</v>
      </c>
      <c r="E6069" s="2" t="s">
        <v>692</v>
      </c>
      <c r="F6069" t="s">
        <v>677</v>
      </c>
      <c r="G6069" t="str">
        <f>HYPERLINK("https://n.news.naver.com/mnews/article/055/0001169063?sid=100")</f>
        <v>https://n.news.naver.com/mnews/article/055/0001169063?sid=100</v>
      </c>
      <c r="H6069">
        <v>0.28899999999999998</v>
      </c>
    </row>
    <row r="6070" spans="1:8" x14ac:dyDescent="0.3">
      <c r="A6070" t="s">
        <v>14761</v>
      </c>
      <c r="B6070" t="s">
        <v>26951</v>
      </c>
      <c r="C6070" t="s">
        <v>15535</v>
      </c>
      <c r="D6070" t="s">
        <v>15534</v>
      </c>
      <c r="E6070" s="2" t="s">
        <v>692</v>
      </c>
      <c r="F6070" t="s">
        <v>13098</v>
      </c>
      <c r="G6070" t="str">
        <f>HYPERLINK("https://n.news.naver.com/mnews/article/036/0000018400?sid=103")</f>
        <v>https://n.news.naver.com/mnews/article/036/0000018400?sid=103</v>
      </c>
      <c r="H6070">
        <v>0.26300000000000001</v>
      </c>
    </row>
    <row r="6071" spans="1:8" x14ac:dyDescent="0.3">
      <c r="A6071" t="s">
        <v>14761</v>
      </c>
      <c r="B6071" t="s">
        <v>26951</v>
      </c>
      <c r="C6071" t="s">
        <v>15538</v>
      </c>
      <c r="D6071" t="s">
        <v>15537</v>
      </c>
      <c r="E6071" s="2" t="s">
        <v>692</v>
      </c>
      <c r="F6071" t="s">
        <v>15536</v>
      </c>
      <c r="G6071" t="str">
        <f>HYPERLINK("https://weekly.hankooki.com/news/articleView.html?idxno=7114350")</f>
        <v>https://weekly.hankooki.com/news/articleView.html?idxno=7114350</v>
      </c>
      <c r="H6071">
        <v>0.95699999999999996</v>
      </c>
    </row>
    <row r="6072" spans="1:8" x14ac:dyDescent="0.3">
      <c r="A6072" t="s">
        <v>14761</v>
      </c>
      <c r="B6072" t="s">
        <v>26951</v>
      </c>
      <c r="C6072" t="s">
        <v>15541</v>
      </c>
      <c r="D6072" t="s">
        <v>15540</v>
      </c>
      <c r="E6072" s="2" t="s">
        <v>692</v>
      </c>
      <c r="F6072" t="s">
        <v>15539</v>
      </c>
      <c r="G6072" t="str">
        <f>HYPERLINK("https://sports.hankooki.com/news/articleView.html?idxno=6900092")</f>
        <v>https://sports.hankooki.com/news/articleView.html?idxno=6900092</v>
      </c>
      <c r="H6072">
        <v>0.77500000000000002</v>
      </c>
    </row>
    <row r="6073" spans="1:8" x14ac:dyDescent="0.3">
      <c r="A6073" t="s">
        <v>14761</v>
      </c>
      <c r="B6073" t="s">
        <v>26951</v>
      </c>
      <c r="C6073" t="s">
        <v>15543</v>
      </c>
      <c r="D6073" t="s">
        <v>15542</v>
      </c>
      <c r="E6073" s="2" t="s">
        <v>692</v>
      </c>
      <c r="F6073" t="s">
        <v>10422</v>
      </c>
      <c r="G6073" t="str">
        <f>HYPERLINK("https://n.news.naver.com/mnews/article/055/0000662512?sid=101")</f>
        <v>https://n.news.naver.com/mnews/article/055/0000662512?sid=101</v>
      </c>
      <c r="H6073">
        <v>0.27400000000000002</v>
      </c>
    </row>
    <row r="6074" spans="1:8" x14ac:dyDescent="0.3">
      <c r="A6074" t="s">
        <v>14761</v>
      </c>
      <c r="B6074" t="s">
        <v>26951</v>
      </c>
      <c r="C6074" t="s">
        <v>15546</v>
      </c>
      <c r="D6074" t="s">
        <v>15545</v>
      </c>
      <c r="E6074" s="2" t="s">
        <v>692</v>
      </c>
      <c r="F6074" t="s">
        <v>15544</v>
      </c>
      <c r="G6074" t="str">
        <f>HYPERLINK("https://sports.hankooki.com/news/articleView.html?idxno=6899685")</f>
        <v>https://sports.hankooki.com/news/articleView.html?idxno=6899685</v>
      </c>
      <c r="H6074">
        <v>0.59099999999999997</v>
      </c>
    </row>
    <row r="6075" spans="1:8" x14ac:dyDescent="0.3">
      <c r="A6075" t="s">
        <v>14761</v>
      </c>
      <c r="B6075" t="s">
        <v>26951</v>
      </c>
      <c r="C6075" t="s">
        <v>15549</v>
      </c>
      <c r="D6075" t="s">
        <v>15548</v>
      </c>
      <c r="E6075" s="2" t="s">
        <v>692</v>
      </c>
      <c r="F6075" t="s">
        <v>15547</v>
      </c>
      <c r="G6075" t="str">
        <f>HYPERLINK("http://www.kihoilbo.co.kr/news/articleView.html?idxno=871724")</f>
        <v>http://www.kihoilbo.co.kr/news/articleView.html?idxno=871724</v>
      </c>
      <c r="H6075">
        <v>0.54700000000000004</v>
      </c>
    </row>
    <row r="6076" spans="1:8" x14ac:dyDescent="0.3">
      <c r="A6076" t="s">
        <v>14761</v>
      </c>
      <c r="B6076" t="s">
        <v>26951</v>
      </c>
      <c r="C6076" t="s">
        <v>15551</v>
      </c>
      <c r="D6076" t="s">
        <v>15550</v>
      </c>
      <c r="E6076" s="2" t="s">
        <v>692</v>
      </c>
      <c r="F6076" t="s">
        <v>10135</v>
      </c>
      <c r="G6076" t="str">
        <f>HYPERLINK("https://m.entertain.naver.com/article/076/0002101131")</f>
        <v>https://m.entertain.naver.com/article/076/0002101131</v>
      </c>
      <c r="H6076">
        <v>0.14899999999999999</v>
      </c>
    </row>
    <row r="6077" spans="1:8" x14ac:dyDescent="0.3">
      <c r="A6077" t="s">
        <v>14761</v>
      </c>
      <c r="B6077" t="s">
        <v>26951</v>
      </c>
      <c r="C6077" t="s">
        <v>15553</v>
      </c>
      <c r="D6077" t="s">
        <v>15552</v>
      </c>
      <c r="E6077" s="2" t="s">
        <v>692</v>
      </c>
      <c r="F6077" t="s">
        <v>1136</v>
      </c>
      <c r="G6077" t="str">
        <f>HYPERLINK("https://daily.hankooki.com/news/articleView.html?idxno=1235645")</f>
        <v>https://daily.hankooki.com/news/articleView.html?idxno=1235645</v>
      </c>
      <c r="H6077">
        <v>0.56299999999999994</v>
      </c>
    </row>
    <row r="6078" spans="1:8" x14ac:dyDescent="0.3">
      <c r="A6078" t="s">
        <v>14761</v>
      </c>
      <c r="B6078" t="s">
        <v>26951</v>
      </c>
      <c r="C6078" t="s">
        <v>15556</v>
      </c>
      <c r="D6078" t="s">
        <v>15555</v>
      </c>
      <c r="E6078" s="2" t="s">
        <v>692</v>
      </c>
      <c r="F6078" t="s">
        <v>15554</v>
      </c>
      <c r="H6078">
        <v>0.58099999999999996</v>
      </c>
    </row>
    <row r="6079" spans="1:8" x14ac:dyDescent="0.3">
      <c r="A6079" t="s">
        <v>14761</v>
      </c>
      <c r="B6079" t="s">
        <v>26951</v>
      </c>
      <c r="C6079" t="s">
        <v>15558</v>
      </c>
      <c r="D6079" t="s">
        <v>15557</v>
      </c>
      <c r="E6079" s="2" t="s">
        <v>692</v>
      </c>
      <c r="F6079" t="s">
        <v>1377</v>
      </c>
      <c r="G6079" t="str">
        <f>HYPERLINK("https://n.news.naver.com/mnews/article/016/0002489616?sid=102")</f>
        <v>https://n.news.naver.com/mnews/article/016/0002489616?sid=102</v>
      </c>
      <c r="H6079">
        <v>0.17199999999999999</v>
      </c>
    </row>
    <row r="6080" spans="1:8" x14ac:dyDescent="0.3">
      <c r="A6080" t="s">
        <v>14761</v>
      </c>
      <c r="B6080" t="s">
        <v>26951</v>
      </c>
      <c r="C6080" t="s">
        <v>15560</v>
      </c>
      <c r="D6080" t="s">
        <v>15559</v>
      </c>
      <c r="E6080" s="2" t="s">
        <v>692</v>
      </c>
      <c r="F6080" t="s">
        <v>1377</v>
      </c>
      <c r="G6080" t="str">
        <f>HYPERLINK("https://www.ablenews.co.kr/news/articleView.html?idxno=222050")</f>
        <v>https://www.ablenews.co.kr/news/articleView.html?idxno=222050</v>
      </c>
      <c r="H6080">
        <v>0.317</v>
      </c>
    </row>
    <row r="6081" spans="1:8" x14ac:dyDescent="0.3">
      <c r="A6081" t="s">
        <v>14761</v>
      </c>
      <c r="B6081" t="s">
        <v>26951</v>
      </c>
      <c r="C6081" t="s">
        <v>15562</v>
      </c>
      <c r="D6081" t="s">
        <v>15561</v>
      </c>
      <c r="E6081" s="2" t="s">
        <v>692</v>
      </c>
      <c r="F6081" t="s">
        <v>12521</v>
      </c>
      <c r="G6081" t="str">
        <f>HYPERLINK("https://www.lecturernews.com/news/articleView.html?idxno=164723")</f>
        <v>https://www.lecturernews.com/news/articleView.html?idxno=164723</v>
      </c>
      <c r="H6081">
        <v>0.47899999999999998</v>
      </c>
    </row>
    <row r="6082" spans="1:8" x14ac:dyDescent="0.3">
      <c r="A6082" t="s">
        <v>14761</v>
      </c>
      <c r="B6082" t="s">
        <v>26951</v>
      </c>
      <c r="C6082" t="s">
        <v>15564</v>
      </c>
      <c r="D6082" t="s">
        <v>15563</v>
      </c>
      <c r="E6082" s="2" t="s">
        <v>711</v>
      </c>
      <c r="F6082" t="s">
        <v>10471</v>
      </c>
      <c r="G6082" t="str">
        <f>HYPERLINK("https://n.news.naver.com/mnews/article/018/0006037604?sid=102")</f>
        <v>https://n.news.naver.com/mnews/article/018/0006037604?sid=102</v>
      </c>
      <c r="H6082">
        <v>0.26600000000000001</v>
      </c>
    </row>
    <row r="6083" spans="1:8" x14ac:dyDescent="0.3">
      <c r="A6083" t="s">
        <v>14761</v>
      </c>
      <c r="B6083" t="s">
        <v>26951</v>
      </c>
      <c r="C6083" t="s">
        <v>15566</v>
      </c>
      <c r="D6083" t="s">
        <v>15565</v>
      </c>
      <c r="E6083" s="2" t="s">
        <v>711</v>
      </c>
      <c r="F6083" t="s">
        <v>14832</v>
      </c>
      <c r="G6083" t="str">
        <f>HYPERLINK("https://sports.hankooki.com/news/articleView.html?idxno=6900149")</f>
        <v>https://sports.hankooki.com/news/articleView.html?idxno=6900149</v>
      </c>
      <c r="H6083">
        <v>0.501</v>
      </c>
    </row>
    <row r="6084" spans="1:8" x14ac:dyDescent="0.3">
      <c r="A6084" t="s">
        <v>14761</v>
      </c>
      <c r="B6084" t="s">
        <v>26951</v>
      </c>
      <c r="C6084" t="s">
        <v>15569</v>
      </c>
      <c r="D6084" t="s">
        <v>15568</v>
      </c>
      <c r="E6084" s="2" t="s">
        <v>711</v>
      </c>
      <c r="F6084" t="s">
        <v>15567</v>
      </c>
      <c r="G6084" t="str">
        <f>HYPERLINK("https://www.jungle.co.kr/magazine/201823")</f>
        <v>https://www.jungle.co.kr/magazine/201823</v>
      </c>
      <c r="H6084">
        <v>0.38400000000000001</v>
      </c>
    </row>
    <row r="6085" spans="1:8" x14ac:dyDescent="0.3">
      <c r="A6085" t="s">
        <v>14761</v>
      </c>
      <c r="B6085" t="s">
        <v>26951</v>
      </c>
      <c r="C6085" t="s">
        <v>15571</v>
      </c>
      <c r="D6085" t="s">
        <v>15570</v>
      </c>
      <c r="E6085" s="2" t="s">
        <v>711</v>
      </c>
      <c r="F6085" t="s">
        <v>15519</v>
      </c>
      <c r="G6085" t="str">
        <f>HYPERLINK("https://www.lecturernews.com/news/articleView.html?idxno=179818")</f>
        <v>https://www.lecturernews.com/news/articleView.html?idxno=179818</v>
      </c>
      <c r="H6085">
        <v>0.90500000000000003</v>
      </c>
    </row>
    <row r="6086" spans="1:8" x14ac:dyDescent="0.3">
      <c r="A6086" t="s">
        <v>14761</v>
      </c>
      <c r="B6086" t="s">
        <v>26951</v>
      </c>
      <c r="C6086" t="s">
        <v>15573</v>
      </c>
      <c r="D6086" t="s">
        <v>15572</v>
      </c>
      <c r="E6086" s="2" t="s">
        <v>711</v>
      </c>
      <c r="F6086" t="s">
        <v>10120</v>
      </c>
      <c r="G6086" t="str">
        <f>HYPERLINK("https://www.viva100.com/article/20250701501174")</f>
        <v>https://www.viva100.com/article/20250701501174</v>
      </c>
      <c r="H6086">
        <v>0.27400000000000002</v>
      </c>
    </row>
    <row r="6087" spans="1:8" x14ac:dyDescent="0.3">
      <c r="A6087" t="s">
        <v>14761</v>
      </c>
      <c r="B6087" t="s">
        <v>26951</v>
      </c>
      <c r="C6087" t="s">
        <v>15575</v>
      </c>
      <c r="D6087" t="s">
        <v>15574</v>
      </c>
      <c r="E6087" s="2" t="s">
        <v>711</v>
      </c>
      <c r="F6087" t="s">
        <v>9944</v>
      </c>
      <c r="G6087" t="str">
        <f>HYPERLINK("https://sports.hankooki.com/news/articleView.html?idxno=6889498")</f>
        <v>https://sports.hankooki.com/news/articleView.html?idxno=6889498</v>
      </c>
      <c r="H6087">
        <v>0.48299999999999998</v>
      </c>
    </row>
    <row r="6088" spans="1:8" x14ac:dyDescent="0.3">
      <c r="A6088" t="s">
        <v>14761</v>
      </c>
      <c r="B6088" t="s">
        <v>26951</v>
      </c>
      <c r="C6088" t="s">
        <v>15578</v>
      </c>
      <c r="D6088" t="s">
        <v>15577</v>
      </c>
      <c r="E6088" s="2" t="s">
        <v>711</v>
      </c>
      <c r="F6088" t="s">
        <v>15576</v>
      </c>
      <c r="G6088" t="str">
        <f>HYPERLINK("https://www.ggilbo.com/news/articleView.html?idxno=1082134")</f>
        <v>https://www.ggilbo.com/news/articleView.html?idxno=1082134</v>
      </c>
      <c r="H6088">
        <v>0.629</v>
      </c>
    </row>
    <row r="6089" spans="1:8" x14ac:dyDescent="0.3">
      <c r="A6089" t="s">
        <v>14761</v>
      </c>
      <c r="B6089" t="s">
        <v>26951</v>
      </c>
      <c r="C6089" t="s">
        <v>15580</v>
      </c>
      <c r="D6089" t="s">
        <v>15579</v>
      </c>
      <c r="E6089" s="2" t="s">
        <v>711</v>
      </c>
      <c r="F6089" t="s">
        <v>8373</v>
      </c>
      <c r="G6089" t="str">
        <f>HYPERLINK("https://sports.hankooki.com/news/articleView.html?idxno=6890841")</f>
        <v>https://sports.hankooki.com/news/articleView.html?idxno=6890841</v>
      </c>
      <c r="H6089">
        <v>0.48699999999999999</v>
      </c>
    </row>
    <row r="6090" spans="1:8" x14ac:dyDescent="0.3">
      <c r="A6090" t="s">
        <v>14761</v>
      </c>
      <c r="B6090" t="s">
        <v>26951</v>
      </c>
      <c r="C6090" t="s">
        <v>15582</v>
      </c>
      <c r="D6090" t="s">
        <v>15581</v>
      </c>
      <c r="E6090" s="2" t="s">
        <v>711</v>
      </c>
      <c r="F6090" t="s">
        <v>9786</v>
      </c>
      <c r="G6090" t="str">
        <f>HYPERLINK("http://www.lecturernews.com/news/articleView.html?idxno=80654")</f>
        <v>http://www.lecturernews.com/news/articleView.html?idxno=80654</v>
      </c>
      <c r="H6090">
        <v>0.23</v>
      </c>
    </row>
    <row r="6091" spans="1:8" x14ac:dyDescent="0.3">
      <c r="A6091" t="s">
        <v>14761</v>
      </c>
      <c r="B6091" t="s">
        <v>26951</v>
      </c>
      <c r="C6091" t="s">
        <v>15585</v>
      </c>
      <c r="D6091" t="s">
        <v>15584</v>
      </c>
      <c r="E6091" s="2" t="s">
        <v>711</v>
      </c>
      <c r="F6091" t="s">
        <v>10317</v>
      </c>
      <c r="G6091" t="str">
        <f>HYPERLINK("http://www.dynews.co.kr/news/articleView.html?idxno=746376")</f>
        <v>http://www.dynews.co.kr/news/articleView.html?idxno=746376</v>
      </c>
      <c r="H6091">
        <v>0.65800000000000003</v>
      </c>
    </row>
    <row r="6092" spans="1:8" x14ac:dyDescent="0.3">
      <c r="A6092" t="s">
        <v>14761</v>
      </c>
      <c r="B6092" t="s">
        <v>26951</v>
      </c>
      <c r="C6092" t="s">
        <v>10489</v>
      </c>
      <c r="D6092" t="s">
        <v>10488</v>
      </c>
      <c r="E6092" s="2" t="s">
        <v>711</v>
      </c>
      <c r="F6092" t="s">
        <v>10487</v>
      </c>
      <c r="G6092" t="str">
        <f>HYPERLINK("https://n.news.naver.com/mnews/article/018/0006053974?sid=100")</f>
        <v>https://n.news.naver.com/mnews/article/018/0006053974?sid=100</v>
      </c>
      <c r="H6092">
        <v>9.2999999999999999E-2</v>
      </c>
    </row>
    <row r="6093" spans="1:8" x14ac:dyDescent="0.3">
      <c r="A6093" t="s">
        <v>14761</v>
      </c>
      <c r="B6093" t="s">
        <v>26951</v>
      </c>
      <c r="C6093" t="s">
        <v>15587</v>
      </c>
      <c r="D6093" t="s">
        <v>15586</v>
      </c>
      <c r="E6093" s="2" t="s">
        <v>711</v>
      </c>
      <c r="F6093" t="s">
        <v>9944</v>
      </c>
      <c r="G6093" t="str">
        <f>HYPERLINK("https://www.lecturernews.com/news/articleView.html?idxno=178339")</f>
        <v>https://www.lecturernews.com/news/articleView.html?idxno=178339</v>
      </c>
      <c r="H6093">
        <v>0.57999999999999996</v>
      </c>
    </row>
    <row r="6094" spans="1:8" x14ac:dyDescent="0.3">
      <c r="A6094" t="s">
        <v>14761</v>
      </c>
      <c r="B6094" t="s">
        <v>26951</v>
      </c>
      <c r="C6094" t="s">
        <v>15589</v>
      </c>
      <c r="D6094" t="s">
        <v>15588</v>
      </c>
      <c r="E6094" s="2" t="s">
        <v>711</v>
      </c>
      <c r="F6094" t="s">
        <v>171</v>
      </c>
      <c r="G6094" t="str">
        <f>HYPERLINK("https://sports.hankooki.com/news/articleView.html?idxno=6900123")</f>
        <v>https://sports.hankooki.com/news/articleView.html?idxno=6900123</v>
      </c>
      <c r="H6094">
        <v>0.78</v>
      </c>
    </row>
    <row r="6095" spans="1:8" x14ac:dyDescent="0.3">
      <c r="A6095" t="s">
        <v>14761</v>
      </c>
      <c r="B6095" t="s">
        <v>26951</v>
      </c>
      <c r="C6095" t="s">
        <v>15592</v>
      </c>
      <c r="D6095" t="s">
        <v>15591</v>
      </c>
      <c r="E6095" s="2" t="s">
        <v>711</v>
      </c>
      <c r="F6095" t="s">
        <v>15590</v>
      </c>
      <c r="G6095" t="str">
        <f>HYPERLINK("http://www.enewstoday.co.kr/news/articleView.html?idxno=2159629")</f>
        <v>http://www.enewstoday.co.kr/news/articleView.html?idxno=2159629</v>
      </c>
      <c r="H6095">
        <v>0.48299999999999998</v>
      </c>
    </row>
    <row r="6096" spans="1:8" x14ac:dyDescent="0.3">
      <c r="A6096" t="s">
        <v>14761</v>
      </c>
      <c r="B6096" t="s">
        <v>26951</v>
      </c>
      <c r="C6096" t="s">
        <v>15594</v>
      </c>
      <c r="D6096" t="s">
        <v>15593</v>
      </c>
      <c r="E6096" s="2" t="s">
        <v>711</v>
      </c>
      <c r="F6096" t="s">
        <v>15120</v>
      </c>
      <c r="G6096" t="str">
        <f>HYPERLINK("https://sports.hankooki.com/news/articleView.html?idxno=6900149")</f>
        <v>https://sports.hankooki.com/news/articleView.html?idxno=6900149</v>
      </c>
      <c r="H6096">
        <v>0.56799999999999995</v>
      </c>
    </row>
    <row r="6097" spans="1:8" x14ac:dyDescent="0.3">
      <c r="A6097" t="s">
        <v>14761</v>
      </c>
      <c r="B6097" t="s">
        <v>26951</v>
      </c>
      <c r="C6097" t="s">
        <v>15597</v>
      </c>
      <c r="D6097" t="s">
        <v>15596</v>
      </c>
      <c r="E6097" s="2" t="s">
        <v>711</v>
      </c>
      <c r="F6097" t="s">
        <v>15595</v>
      </c>
      <c r="G6097" t="str">
        <f>HYPERLINK("http://www.ajunews.com/view/20210808091547860")</f>
        <v>http://www.ajunews.com/view/20210808091547860</v>
      </c>
      <c r="H6097">
        <v>0.13900000000000001</v>
      </c>
    </row>
    <row r="6098" spans="1:8" x14ac:dyDescent="0.3">
      <c r="A6098" t="s">
        <v>14761</v>
      </c>
      <c r="B6098" t="s">
        <v>26951</v>
      </c>
      <c r="C6098" t="s">
        <v>15599</v>
      </c>
      <c r="D6098" t="s">
        <v>15598</v>
      </c>
      <c r="E6098" s="2" t="s">
        <v>711</v>
      </c>
      <c r="F6098" t="s">
        <v>304</v>
      </c>
      <c r="G6098" t="str">
        <f>HYPERLINK("https://n.news.naver.com/mnews/article/308/0000036233?sid=100")</f>
        <v>https://n.news.naver.com/mnews/article/308/0000036233?sid=100</v>
      </c>
      <c r="H6098">
        <v>0.252</v>
      </c>
    </row>
    <row r="6099" spans="1:8" x14ac:dyDescent="0.3">
      <c r="A6099" t="s">
        <v>14761</v>
      </c>
      <c r="B6099" t="s">
        <v>26951</v>
      </c>
      <c r="C6099" t="s">
        <v>15601</v>
      </c>
      <c r="D6099" t="s">
        <v>15600</v>
      </c>
      <c r="E6099" s="2" t="s">
        <v>711</v>
      </c>
      <c r="F6099" t="s">
        <v>10317</v>
      </c>
      <c r="G6099" t="str">
        <f>HYPERLINK("https://www.nc.press/news/articleView.html?idxno=568633")</f>
        <v>https://www.nc.press/news/articleView.html?idxno=568633</v>
      </c>
      <c r="H6099">
        <v>0.436</v>
      </c>
    </row>
    <row r="6100" spans="1:8" x14ac:dyDescent="0.3">
      <c r="A6100" t="s">
        <v>14761</v>
      </c>
      <c r="B6100" t="s">
        <v>26951</v>
      </c>
      <c r="C6100" t="s">
        <v>15604</v>
      </c>
      <c r="D6100" t="s">
        <v>15603</v>
      </c>
      <c r="E6100" s="2" t="s">
        <v>711</v>
      </c>
      <c r="F6100" t="s">
        <v>15602</v>
      </c>
      <c r="G6100" t="str">
        <f>HYPERLINK("http://www.lecturernews.com/news/articleView.html?idxno=70219")</f>
        <v>http://www.lecturernews.com/news/articleView.html?idxno=70219</v>
      </c>
      <c r="H6100">
        <v>0.49099999999999999</v>
      </c>
    </row>
    <row r="6101" spans="1:8" x14ac:dyDescent="0.3">
      <c r="A6101" t="s">
        <v>14761</v>
      </c>
      <c r="B6101" t="s">
        <v>26951</v>
      </c>
      <c r="C6101" t="s">
        <v>15607</v>
      </c>
      <c r="D6101" t="s">
        <v>15606</v>
      </c>
      <c r="E6101" s="2" t="s">
        <v>711</v>
      </c>
      <c r="F6101" t="s">
        <v>15605</v>
      </c>
      <c r="G6101" t="str">
        <f>HYPERLINK("https://n.news.naver.com/mnews/article/008/0005204534?sid=102")</f>
        <v>https://n.news.naver.com/mnews/article/008/0005204534?sid=102</v>
      </c>
      <c r="H6101">
        <v>0.29099999999999998</v>
      </c>
    </row>
    <row r="6102" spans="1:8" x14ac:dyDescent="0.3">
      <c r="A6102" t="s">
        <v>14761</v>
      </c>
      <c r="B6102" t="s">
        <v>26951</v>
      </c>
      <c r="C6102" t="s">
        <v>15610</v>
      </c>
      <c r="D6102" t="s">
        <v>15609</v>
      </c>
      <c r="E6102" s="2" t="s">
        <v>711</v>
      </c>
      <c r="F6102" t="s">
        <v>15608</v>
      </c>
      <c r="G6102" t="str">
        <f>HYPERLINK("https://n.news.naver.com/mnews/article/016/0002492462?sid=101")</f>
        <v>https://n.news.naver.com/mnews/article/016/0002492462?sid=101</v>
      </c>
      <c r="H6102">
        <v>0.182</v>
      </c>
    </row>
    <row r="6103" spans="1:8" x14ac:dyDescent="0.3">
      <c r="A6103" t="s">
        <v>14761</v>
      </c>
      <c r="B6103" t="s">
        <v>26951</v>
      </c>
      <c r="C6103" t="s">
        <v>15612</v>
      </c>
      <c r="D6103" t="s">
        <v>15611</v>
      </c>
      <c r="E6103" s="2" t="s">
        <v>711</v>
      </c>
      <c r="F6103" t="s">
        <v>9944</v>
      </c>
      <c r="G6103" t="str">
        <f>HYPERLINK("https://www.ggilbo.com/news/articleView.html?idxno=1097294")</f>
        <v>https://www.ggilbo.com/news/articleView.html?idxno=1097294</v>
      </c>
      <c r="H6103">
        <v>0.37</v>
      </c>
    </row>
    <row r="6104" spans="1:8" x14ac:dyDescent="0.3">
      <c r="A6104" t="s">
        <v>14761</v>
      </c>
      <c r="B6104" t="s">
        <v>26951</v>
      </c>
      <c r="C6104" t="s">
        <v>15614</v>
      </c>
      <c r="D6104" t="s">
        <v>15613</v>
      </c>
      <c r="E6104" s="2" t="s">
        <v>711</v>
      </c>
      <c r="F6104" t="s">
        <v>15066</v>
      </c>
      <c r="G6104" t="str">
        <f>HYPERLINK("https://www.newscj.com/news/articleView.html?idxno=3278845")</f>
        <v>https://www.newscj.com/news/articleView.html?idxno=3278845</v>
      </c>
      <c r="H6104">
        <v>0.96199999999999997</v>
      </c>
    </row>
    <row r="6105" spans="1:8" x14ac:dyDescent="0.3">
      <c r="A6105" t="s">
        <v>14761</v>
      </c>
      <c r="B6105" t="s">
        <v>26951</v>
      </c>
      <c r="C6105" t="s">
        <v>15617</v>
      </c>
      <c r="D6105" t="s">
        <v>15616</v>
      </c>
      <c r="E6105" s="2" t="s">
        <v>711</v>
      </c>
      <c r="F6105" t="s">
        <v>15615</v>
      </c>
      <c r="G6105" t="str">
        <f>HYPERLINK("https://news.mtn.co.kr/news-detail/2025060916032322450")</f>
        <v>https://news.mtn.co.kr/news-detail/2025060916032322450</v>
      </c>
      <c r="H6105">
        <v>7.9000000000000001E-2</v>
      </c>
    </row>
    <row r="6106" spans="1:8" x14ac:dyDescent="0.3">
      <c r="A6106" t="s">
        <v>14761</v>
      </c>
      <c r="B6106" t="s">
        <v>26951</v>
      </c>
      <c r="C6106" t="s">
        <v>15619</v>
      </c>
      <c r="D6106" t="s">
        <v>15618</v>
      </c>
      <c r="E6106" s="2" t="s">
        <v>711</v>
      </c>
      <c r="F6106" t="s">
        <v>171</v>
      </c>
      <c r="G6106" t="str">
        <f>HYPERLINK("https://www.kpinews.kr/newsView/1065567730570011")</f>
        <v>https://www.kpinews.kr/newsView/1065567730570011</v>
      </c>
      <c r="H6106">
        <v>0.53400000000000003</v>
      </c>
    </row>
    <row r="6107" spans="1:8" x14ac:dyDescent="0.3">
      <c r="A6107" t="s">
        <v>14761</v>
      </c>
      <c r="B6107" t="s">
        <v>26951</v>
      </c>
      <c r="C6107" t="s">
        <v>15621</v>
      </c>
      <c r="D6107" t="s">
        <v>15620</v>
      </c>
      <c r="E6107" s="2" t="s">
        <v>711</v>
      </c>
      <c r="F6107" t="s">
        <v>9944</v>
      </c>
      <c r="G6107" t="str">
        <f>HYPERLINK("http://www.koreastocknews.com/news/articleView.html?idxno=91403")</f>
        <v>http://www.koreastocknews.com/news/articleView.html?idxno=91403</v>
      </c>
      <c r="H6107">
        <v>0.39400000000000002</v>
      </c>
    </row>
    <row r="6108" spans="1:8" x14ac:dyDescent="0.3">
      <c r="A6108" t="s">
        <v>14761</v>
      </c>
      <c r="B6108" t="s">
        <v>26951</v>
      </c>
      <c r="C6108" t="s">
        <v>15623</v>
      </c>
      <c r="D6108" t="s">
        <v>15622</v>
      </c>
      <c r="E6108" s="2" t="s">
        <v>711</v>
      </c>
      <c r="F6108" t="s">
        <v>5548</v>
      </c>
      <c r="G6108" t="str">
        <f>HYPERLINK("https://n.news.naver.com/mnews/article/008/0005047374?sid=102")</f>
        <v>https://n.news.naver.com/mnews/article/008/0005047374?sid=102</v>
      </c>
      <c r="H6108">
        <v>0.32700000000000001</v>
      </c>
    </row>
    <row r="6109" spans="1:8" x14ac:dyDescent="0.3">
      <c r="A6109" t="s">
        <v>14761</v>
      </c>
      <c r="B6109" t="s">
        <v>26951</v>
      </c>
      <c r="C6109" t="s">
        <v>15626</v>
      </c>
      <c r="D6109" t="s">
        <v>15625</v>
      </c>
      <c r="E6109" s="2" t="s">
        <v>711</v>
      </c>
      <c r="F6109" t="s">
        <v>15624</v>
      </c>
      <c r="G6109" t="str">
        <f>HYPERLINK("https://n.news.naver.com/mnews/article/079/0004040373?sid=101")</f>
        <v>https://n.news.naver.com/mnews/article/079/0004040373?sid=101</v>
      </c>
      <c r="H6109">
        <v>0.189</v>
      </c>
    </row>
    <row r="6110" spans="1:8" x14ac:dyDescent="0.3">
      <c r="A6110" t="s">
        <v>14761</v>
      </c>
      <c r="B6110" t="s">
        <v>26951</v>
      </c>
      <c r="C6110" t="s">
        <v>15628</v>
      </c>
      <c r="D6110" t="s">
        <v>15627</v>
      </c>
      <c r="E6110" s="2" t="s">
        <v>711</v>
      </c>
      <c r="F6110" t="s">
        <v>10330</v>
      </c>
      <c r="G6110" t="str">
        <f>HYPERLINK("http://www.mediapen.com/news/articleView.html?idxno=59104")</f>
        <v>http://www.mediapen.com/news/articleView.html?idxno=59104</v>
      </c>
      <c r="H6110">
        <v>0.53200000000000003</v>
      </c>
    </row>
    <row r="6111" spans="1:8" x14ac:dyDescent="0.3">
      <c r="A6111" t="s">
        <v>14761</v>
      </c>
      <c r="B6111" t="s">
        <v>26951</v>
      </c>
      <c r="C6111" t="s">
        <v>15631</v>
      </c>
      <c r="D6111" t="s">
        <v>15630</v>
      </c>
      <c r="E6111" s="2" t="s">
        <v>711</v>
      </c>
      <c r="F6111" t="s">
        <v>15629</v>
      </c>
      <c r="G6111" t="str">
        <f>HYPERLINK("http://www.economytalk.kr/news/articleView.html?idxno=409099")</f>
        <v>http://www.economytalk.kr/news/articleView.html?idxno=409099</v>
      </c>
      <c r="H6111">
        <v>0.67100000000000004</v>
      </c>
    </row>
    <row r="6112" spans="1:8" x14ac:dyDescent="0.3">
      <c r="A6112" t="s">
        <v>14761</v>
      </c>
      <c r="B6112" t="s">
        <v>26951</v>
      </c>
      <c r="C6112" t="s">
        <v>15633</v>
      </c>
      <c r="D6112" t="s">
        <v>15632</v>
      </c>
      <c r="E6112" s="2" t="s">
        <v>711</v>
      </c>
      <c r="F6112" t="s">
        <v>1579</v>
      </c>
      <c r="G6112" t="str">
        <f>HYPERLINK("https://n.news.naver.com/mnews/article/277/0005581310?sid=103")</f>
        <v>https://n.news.naver.com/mnews/article/277/0005581310?sid=103</v>
      </c>
      <c r="H6112">
        <v>0.23899999999999999</v>
      </c>
    </row>
    <row r="6113" spans="1:8" x14ac:dyDescent="0.3">
      <c r="A6113" t="s">
        <v>14761</v>
      </c>
      <c r="B6113" t="s">
        <v>26951</v>
      </c>
      <c r="C6113" t="s">
        <v>15636</v>
      </c>
      <c r="D6113" t="s">
        <v>15635</v>
      </c>
      <c r="E6113" s="2" t="s">
        <v>711</v>
      </c>
      <c r="F6113" t="s">
        <v>15634</v>
      </c>
      <c r="G6113" t="str">
        <f>HYPERLINK("https://bravo.etoday.co.kr/view/atc_view/15227")</f>
        <v>https://bravo.etoday.co.kr/view/atc_view/15227</v>
      </c>
      <c r="H6113">
        <v>0.65400000000000003</v>
      </c>
    </row>
    <row r="6114" spans="1:8" x14ac:dyDescent="0.3">
      <c r="A6114" t="s">
        <v>14761</v>
      </c>
      <c r="B6114" t="s">
        <v>26951</v>
      </c>
      <c r="C6114" t="s">
        <v>15639</v>
      </c>
      <c r="D6114" t="s">
        <v>15638</v>
      </c>
      <c r="E6114" s="2" t="s">
        <v>711</v>
      </c>
      <c r="F6114" t="s">
        <v>15637</v>
      </c>
      <c r="G6114" t="str">
        <f>HYPERLINK("https://www.mstoday.co.kr/news/articleView.html?idxno=97592")</f>
        <v>https://www.mstoday.co.kr/news/articleView.html?idxno=97592</v>
      </c>
      <c r="H6114">
        <v>0.313</v>
      </c>
    </row>
    <row r="6115" spans="1:8" x14ac:dyDescent="0.3">
      <c r="A6115" t="s">
        <v>14761</v>
      </c>
      <c r="B6115" t="s">
        <v>26951</v>
      </c>
      <c r="C6115" t="s">
        <v>15641</v>
      </c>
      <c r="D6115" t="s">
        <v>15640</v>
      </c>
      <c r="E6115" s="2" t="s">
        <v>711</v>
      </c>
      <c r="F6115" t="s">
        <v>10178</v>
      </c>
      <c r="H6115">
        <v>0.54400000000000004</v>
      </c>
    </row>
    <row r="6116" spans="1:8" x14ac:dyDescent="0.3">
      <c r="A6116" t="s">
        <v>14761</v>
      </c>
      <c r="B6116" t="s">
        <v>26951</v>
      </c>
      <c r="C6116" t="s">
        <v>15644</v>
      </c>
      <c r="D6116" t="s">
        <v>15643</v>
      </c>
      <c r="E6116" s="2" t="s">
        <v>711</v>
      </c>
      <c r="F6116" t="s">
        <v>15642</v>
      </c>
      <c r="G6116" t="str">
        <f>HYPERLINK("https://www.econovill.com/news/articleView.html?idxno=632680")</f>
        <v>https://www.econovill.com/news/articleView.html?idxno=632680</v>
      </c>
      <c r="H6116">
        <v>0.35899999999999999</v>
      </c>
    </row>
    <row r="6117" spans="1:8" x14ac:dyDescent="0.3">
      <c r="A6117" t="s">
        <v>14761</v>
      </c>
      <c r="B6117" t="s">
        <v>26951</v>
      </c>
      <c r="C6117" t="s">
        <v>15647</v>
      </c>
      <c r="D6117" t="s">
        <v>15646</v>
      </c>
      <c r="E6117" s="2" t="s">
        <v>711</v>
      </c>
      <c r="F6117" t="s">
        <v>15645</v>
      </c>
      <c r="G6117" t="str">
        <f>HYPERLINK("https://www.lifein.news/news/articleView.html?idxno=17976")</f>
        <v>https://www.lifein.news/news/articleView.html?idxno=17976</v>
      </c>
      <c r="H6117">
        <v>0.52400000000000002</v>
      </c>
    </row>
    <row r="6118" spans="1:8" x14ac:dyDescent="0.3">
      <c r="A6118" t="s">
        <v>14761</v>
      </c>
      <c r="B6118" t="s">
        <v>26951</v>
      </c>
      <c r="C6118" t="s">
        <v>15650</v>
      </c>
      <c r="D6118" t="s">
        <v>15649</v>
      </c>
      <c r="E6118" s="2" t="s">
        <v>711</v>
      </c>
      <c r="F6118" t="s">
        <v>15648</v>
      </c>
      <c r="G6118" t="str">
        <f>HYPERLINK("http://www.gokorea.kr/news/articleView.html?idxno=249113")</f>
        <v>http://www.gokorea.kr/news/articleView.html?idxno=249113</v>
      </c>
      <c r="H6118">
        <v>0.49399999999999999</v>
      </c>
    </row>
    <row r="6119" spans="1:8" x14ac:dyDescent="0.3">
      <c r="A6119" t="s">
        <v>14761</v>
      </c>
      <c r="B6119" t="s">
        <v>26951</v>
      </c>
      <c r="C6119" t="s">
        <v>15653</v>
      </c>
      <c r="D6119" t="s">
        <v>15652</v>
      </c>
      <c r="E6119" s="2" t="s">
        <v>711</v>
      </c>
      <c r="F6119" t="s">
        <v>10178</v>
      </c>
      <c r="G6119" t="str">
        <f>HYPERLINK("https://www.lecturernews.com/news/articleView.html?idxno=179818")</f>
        <v>https://www.lecturernews.com/news/articleView.html?idxno=179818</v>
      </c>
      <c r="H6119">
        <v>0.69499999999999995</v>
      </c>
    </row>
    <row r="6120" spans="1:8" x14ac:dyDescent="0.3">
      <c r="A6120" t="s">
        <v>14761</v>
      </c>
      <c r="B6120" t="s">
        <v>26951</v>
      </c>
      <c r="C6120" t="s">
        <v>15655</v>
      </c>
      <c r="D6120" t="s">
        <v>15654</v>
      </c>
      <c r="E6120" s="2" t="s">
        <v>711</v>
      </c>
      <c r="F6120" t="s">
        <v>171</v>
      </c>
      <c r="G6120" t="str">
        <f>HYPERLINK("https://www.etoday.co.kr/news/view/2476794")</f>
        <v>https://www.etoday.co.kr/news/view/2476794</v>
      </c>
      <c r="H6120">
        <v>0.504</v>
      </c>
    </row>
    <row r="6121" spans="1:8" x14ac:dyDescent="0.3">
      <c r="A6121" t="s">
        <v>14761</v>
      </c>
      <c r="B6121" t="s">
        <v>26951</v>
      </c>
      <c r="C6121" t="s">
        <v>15658</v>
      </c>
      <c r="D6121" t="s">
        <v>15657</v>
      </c>
      <c r="E6121" s="2" t="s">
        <v>711</v>
      </c>
      <c r="F6121" t="s">
        <v>15656</v>
      </c>
      <c r="G6121" t="str">
        <f>HYPERLINK("https://www.vogue.co.kr/2025/05/08/%ec%84%b8%ea%b3%84%ec%a0%81%ec%9d%b8-k-%eb%b7%b0%ed%8b%b0-%ec%84%a0%ea%b5%ac%ec%9e%90%eb%93%a4%ec%9d%98-%ec%a7%84%ec%a7%9c-%ec%9d%b4%ec%95%bc%ea%b8%b0/?utm_source=naver&amp;utm_medium=partnership")</f>
        <v>https://www.vogue.co.kr/2025/05/08/%ec%84%b8%ea%b3%84%ec%a0%81%ec%9d%b8-k-%eb%b7%b0%ed%8b%b0-%ec%84%a0%ea%b5%ac%ec%9e%90%eb%93%a4%ec%9d%98-%ec%a7%84%ec%a7%9c-%ec%9d%b4%ec%95%bc%ea%b8%b0/?utm_source=naver&amp;utm_medium=partnership</v>
      </c>
      <c r="H6121">
        <v>0.55900000000000005</v>
      </c>
    </row>
    <row r="6122" spans="1:8" x14ac:dyDescent="0.3">
      <c r="A6122" t="s">
        <v>14761</v>
      </c>
      <c r="B6122" t="s">
        <v>26951</v>
      </c>
      <c r="C6122" t="s">
        <v>15661</v>
      </c>
      <c r="D6122" t="s">
        <v>15660</v>
      </c>
      <c r="E6122" s="2" t="s">
        <v>711</v>
      </c>
      <c r="F6122" t="s">
        <v>15659</v>
      </c>
      <c r="G6122" t="str">
        <f>HYPERLINK("https://www.etoday.co.kr/news/view/2432565")</f>
        <v>https://www.etoday.co.kr/news/view/2432565</v>
      </c>
      <c r="H6122">
        <v>0.183</v>
      </c>
    </row>
    <row r="6123" spans="1:8" x14ac:dyDescent="0.3">
      <c r="A6123" t="s">
        <v>14761</v>
      </c>
      <c r="B6123" t="s">
        <v>26951</v>
      </c>
      <c r="C6123" t="s">
        <v>15663</v>
      </c>
      <c r="D6123" t="s">
        <v>15662</v>
      </c>
      <c r="E6123" s="2" t="s">
        <v>711</v>
      </c>
      <c r="F6123" t="s">
        <v>3235</v>
      </c>
      <c r="G6123" t="str">
        <f>HYPERLINK("https://www.joongangenews.com/news/articleView.html?idxno=426487")</f>
        <v>https://www.joongangenews.com/news/articleView.html?idxno=426487</v>
      </c>
      <c r="H6123">
        <v>0.44600000000000001</v>
      </c>
    </row>
    <row r="6124" spans="1:8" x14ac:dyDescent="0.3">
      <c r="A6124" t="s">
        <v>14761</v>
      </c>
      <c r="B6124" t="s">
        <v>26951</v>
      </c>
      <c r="C6124" t="s">
        <v>15666</v>
      </c>
      <c r="D6124" t="s">
        <v>15665</v>
      </c>
      <c r="E6124" s="2" t="s">
        <v>711</v>
      </c>
      <c r="F6124" t="s">
        <v>15554</v>
      </c>
      <c r="G6124" t="str">
        <f>HYPERLINK("https://www.ablenews.co.kr/news/articleView.html?idxno=221195")</f>
        <v>https://www.ablenews.co.kr/news/articleView.html?idxno=221195</v>
      </c>
      <c r="H6124">
        <v>0.59399999999999997</v>
      </c>
    </row>
    <row r="6125" spans="1:8" x14ac:dyDescent="0.3">
      <c r="A6125" t="s">
        <v>14761</v>
      </c>
      <c r="B6125" t="s">
        <v>26951</v>
      </c>
      <c r="C6125" t="s">
        <v>15669</v>
      </c>
      <c r="D6125" t="s">
        <v>15668</v>
      </c>
      <c r="E6125" s="2" t="s">
        <v>711</v>
      </c>
      <c r="F6125" t="s">
        <v>15667</v>
      </c>
      <c r="G6125" t="str">
        <f>HYPERLINK("http://www.cfnews.kr/news.aspx/59293")</f>
        <v>http://www.cfnews.kr/news.aspx/59293</v>
      </c>
      <c r="H6125">
        <v>0.44400000000000001</v>
      </c>
    </row>
    <row r="6126" spans="1:8" x14ac:dyDescent="0.3">
      <c r="A6126" t="s">
        <v>14761</v>
      </c>
      <c r="B6126" t="s">
        <v>26951</v>
      </c>
      <c r="C6126" t="s">
        <v>15672</v>
      </c>
      <c r="D6126" t="s">
        <v>15671</v>
      </c>
      <c r="E6126" s="2" t="s">
        <v>517</v>
      </c>
      <c r="F6126" t="s">
        <v>15670</v>
      </c>
      <c r="G6126" t="str">
        <f>HYPERLINK("http://www.greened.kr/news/articleView.html?idxno=299458")</f>
        <v>http://www.greened.kr/news/articleView.html?idxno=299458</v>
      </c>
      <c r="H6126">
        <v>0.48499999999999999</v>
      </c>
    </row>
    <row r="6127" spans="1:8" x14ac:dyDescent="0.3">
      <c r="A6127" t="s">
        <v>14761</v>
      </c>
      <c r="B6127" t="s">
        <v>26951</v>
      </c>
      <c r="C6127" t="s">
        <v>15675</v>
      </c>
      <c r="D6127" t="s">
        <v>15674</v>
      </c>
      <c r="E6127" s="2" t="s">
        <v>517</v>
      </c>
      <c r="F6127" t="s">
        <v>15673</v>
      </c>
      <c r="G6127" t="str">
        <f>HYPERLINK("https://n.news.naver.com/mnews/article/055/0000729747?sid=103")</f>
        <v>https://n.news.naver.com/mnews/article/055/0000729747?sid=103</v>
      </c>
      <c r="H6127">
        <v>0.13200000000000001</v>
      </c>
    </row>
    <row r="6128" spans="1:8" x14ac:dyDescent="0.3">
      <c r="A6128" t="s">
        <v>14761</v>
      </c>
      <c r="B6128" t="s">
        <v>26951</v>
      </c>
      <c r="C6128" t="s">
        <v>15677</v>
      </c>
      <c r="D6128" t="s">
        <v>15676</v>
      </c>
      <c r="E6128" s="2" t="s">
        <v>517</v>
      </c>
      <c r="F6128" t="s">
        <v>9944</v>
      </c>
      <c r="G6128" t="str">
        <f>HYPERLINK("https://www.lecturernews.com/news/articleView.html?idxno=116284")</f>
        <v>https://www.lecturernews.com/news/articleView.html?idxno=116284</v>
      </c>
      <c r="H6128">
        <v>0.497</v>
      </c>
    </row>
    <row r="6129" spans="1:8" x14ac:dyDescent="0.3">
      <c r="A6129" t="s">
        <v>14761</v>
      </c>
      <c r="B6129" t="s">
        <v>26951</v>
      </c>
      <c r="C6129" t="s">
        <v>15679</v>
      </c>
      <c r="D6129" t="s">
        <v>15678</v>
      </c>
      <c r="E6129" s="2" t="s">
        <v>517</v>
      </c>
      <c r="F6129" t="s">
        <v>10111</v>
      </c>
      <c r="G6129" t="str">
        <f>HYPERLINK("http://www.chungnamilbo.co.kr/news/articleView.html?idxno=836780")</f>
        <v>http://www.chungnamilbo.co.kr/news/articleView.html?idxno=836780</v>
      </c>
      <c r="H6129">
        <v>0.36099999999999999</v>
      </c>
    </row>
    <row r="6130" spans="1:8" x14ac:dyDescent="0.3">
      <c r="A6130" t="s">
        <v>14761</v>
      </c>
      <c r="B6130" t="s">
        <v>26951</v>
      </c>
      <c r="C6130" t="s">
        <v>15681</v>
      </c>
      <c r="D6130" t="s">
        <v>15680</v>
      </c>
      <c r="E6130" s="2" t="s">
        <v>517</v>
      </c>
      <c r="F6130" t="s">
        <v>10412</v>
      </c>
      <c r="G6130" t="str">
        <f>HYPERLINK("https://www.paxnetnews.com/articles/77650")</f>
        <v>https://www.paxnetnews.com/articles/77650</v>
      </c>
      <c r="H6130">
        <v>0.255</v>
      </c>
    </row>
    <row r="6131" spans="1:8" x14ac:dyDescent="0.3">
      <c r="A6131" t="s">
        <v>14761</v>
      </c>
      <c r="B6131" t="s">
        <v>26951</v>
      </c>
      <c r="C6131" t="s">
        <v>15684</v>
      </c>
      <c r="D6131" t="s">
        <v>15683</v>
      </c>
      <c r="E6131" s="2" t="s">
        <v>517</v>
      </c>
      <c r="F6131" t="s">
        <v>15682</v>
      </c>
      <c r="G6131" t="str">
        <f>HYPERLINK("http://www.enewstoday.co.kr/news/articleView.html?idxno=2024480")</f>
        <v>http://www.enewstoday.co.kr/news/articleView.html?idxno=2024480</v>
      </c>
      <c r="H6131">
        <v>0.45900000000000002</v>
      </c>
    </row>
    <row r="6132" spans="1:8" x14ac:dyDescent="0.3">
      <c r="A6132" t="s">
        <v>14761</v>
      </c>
      <c r="B6132" t="s">
        <v>26951</v>
      </c>
      <c r="C6132" t="s">
        <v>15687</v>
      </c>
      <c r="D6132" t="s">
        <v>15686</v>
      </c>
      <c r="E6132" s="2" t="s">
        <v>517</v>
      </c>
      <c r="F6132" t="s">
        <v>15685</v>
      </c>
      <c r="G6132" t="str">
        <f>HYPERLINK("https://www.ekn.kr/web/view.php?key=20250608029543906")</f>
        <v>https://www.ekn.kr/web/view.php?key=20250608029543906</v>
      </c>
      <c r="H6132">
        <v>0.40100000000000002</v>
      </c>
    </row>
    <row r="6133" spans="1:8" x14ac:dyDescent="0.3">
      <c r="A6133" t="s">
        <v>14761</v>
      </c>
      <c r="B6133" t="s">
        <v>26951</v>
      </c>
      <c r="C6133" t="s">
        <v>12137</v>
      </c>
      <c r="D6133" t="s">
        <v>12136</v>
      </c>
      <c r="E6133" s="2" t="s">
        <v>517</v>
      </c>
      <c r="F6133" t="s">
        <v>9962</v>
      </c>
      <c r="G6133" t="str">
        <f>HYPERLINK("https://sports.hankooki.com/news/articleView.html?idxno=6898381")</f>
        <v>https://sports.hankooki.com/news/articleView.html?idxno=6898381</v>
      </c>
      <c r="H6133">
        <v>0.50800000000000001</v>
      </c>
    </row>
    <row r="6134" spans="1:8" x14ac:dyDescent="0.3">
      <c r="A6134" t="s">
        <v>14761</v>
      </c>
      <c r="B6134" t="s">
        <v>26951</v>
      </c>
      <c r="C6134" t="s">
        <v>15689</v>
      </c>
      <c r="D6134" t="s">
        <v>15688</v>
      </c>
      <c r="E6134" s="2" t="s">
        <v>517</v>
      </c>
      <c r="F6134" t="s">
        <v>10021</v>
      </c>
      <c r="G6134" t="str">
        <f>HYPERLINK("http://www.apsk.co.kr/news/articleView.html?idxno=6697")</f>
        <v>http://www.apsk.co.kr/news/articleView.html?idxno=6697</v>
      </c>
      <c r="H6134">
        <v>0.35199999999999998</v>
      </c>
    </row>
    <row r="6135" spans="1:8" x14ac:dyDescent="0.3">
      <c r="A6135" t="s">
        <v>14761</v>
      </c>
      <c r="B6135" t="s">
        <v>26951</v>
      </c>
      <c r="C6135" t="s">
        <v>15691</v>
      </c>
      <c r="D6135" t="s">
        <v>15690</v>
      </c>
      <c r="E6135" s="2" t="s">
        <v>517</v>
      </c>
      <c r="F6135" t="s">
        <v>14065</v>
      </c>
      <c r="G6135" t="str">
        <f>HYPERLINK("https://www.siminilbo.co.kr/news/newsview.php?ncode=1065589619317732")</f>
        <v>https://www.siminilbo.co.kr/news/newsview.php?ncode=1065589619317732</v>
      </c>
      <c r="H6135">
        <v>0.39400000000000002</v>
      </c>
    </row>
    <row r="6136" spans="1:8" x14ac:dyDescent="0.3">
      <c r="A6136" t="s">
        <v>14761</v>
      </c>
      <c r="B6136" t="s">
        <v>26951</v>
      </c>
      <c r="C6136" t="s">
        <v>15694</v>
      </c>
      <c r="D6136" t="s">
        <v>15693</v>
      </c>
      <c r="E6136" s="2" t="s">
        <v>517</v>
      </c>
      <c r="F6136" t="s">
        <v>15692</v>
      </c>
      <c r="G6136" t="str">
        <f>HYPERLINK("http://www.dailypop.kr/news/articleView.html?idxno=87601")</f>
        <v>http://www.dailypop.kr/news/articleView.html?idxno=87601</v>
      </c>
      <c r="H6136">
        <v>0.442</v>
      </c>
    </row>
    <row r="6137" spans="1:8" x14ac:dyDescent="0.3">
      <c r="A6137" t="s">
        <v>14761</v>
      </c>
      <c r="B6137" t="s">
        <v>26951</v>
      </c>
      <c r="C6137" t="s">
        <v>15696</v>
      </c>
      <c r="D6137" t="s">
        <v>15695</v>
      </c>
      <c r="E6137" s="2" t="s">
        <v>517</v>
      </c>
      <c r="F6137" t="s">
        <v>10577</v>
      </c>
      <c r="G6137" t="str">
        <f>HYPERLINK("http://www.wsobi.com/news/articleView.html?idxno=100083")</f>
        <v>http://www.wsobi.com/news/articleView.html?idxno=100083</v>
      </c>
      <c r="H6137">
        <v>0.08</v>
      </c>
    </row>
    <row r="6138" spans="1:8" x14ac:dyDescent="0.3">
      <c r="A6138" t="s">
        <v>14761</v>
      </c>
      <c r="B6138" t="s">
        <v>26951</v>
      </c>
      <c r="C6138" t="s">
        <v>15699</v>
      </c>
      <c r="D6138" t="s">
        <v>15698</v>
      </c>
      <c r="E6138" s="2" t="s">
        <v>517</v>
      </c>
      <c r="F6138" t="s">
        <v>15697</v>
      </c>
      <c r="G6138" t="str">
        <f>HYPERLINK("http://www.biztribune.co.kr/news/articleView.html?idxno=336165")</f>
        <v>http://www.biztribune.co.kr/news/articleView.html?idxno=336165</v>
      </c>
      <c r="H6138">
        <v>0.47799999999999998</v>
      </c>
    </row>
    <row r="6139" spans="1:8" x14ac:dyDescent="0.3">
      <c r="A6139" t="s">
        <v>14761</v>
      </c>
      <c r="B6139" t="s">
        <v>26951</v>
      </c>
      <c r="C6139" t="s">
        <v>15702</v>
      </c>
      <c r="D6139" t="s">
        <v>15701</v>
      </c>
      <c r="E6139" s="2" t="s">
        <v>517</v>
      </c>
      <c r="F6139" t="s">
        <v>15700</v>
      </c>
      <c r="G6139" t="str">
        <f>HYPERLINK("https://www.lecturernews.com/news/articleView.html?idxno=180374")</f>
        <v>https://www.lecturernews.com/news/articleView.html?idxno=180374</v>
      </c>
      <c r="H6139">
        <v>0.91600000000000004</v>
      </c>
    </row>
    <row r="6140" spans="1:8" x14ac:dyDescent="0.3">
      <c r="A6140" t="s">
        <v>14761</v>
      </c>
      <c r="B6140" t="s">
        <v>26951</v>
      </c>
      <c r="C6140" t="s">
        <v>15704</v>
      </c>
      <c r="D6140" t="s">
        <v>15703</v>
      </c>
      <c r="E6140" s="2" t="s">
        <v>517</v>
      </c>
      <c r="F6140" t="s">
        <v>11471</v>
      </c>
      <c r="G6140" t="str">
        <f>HYPERLINK("http://www.lecturernews.com/news/articleView.html?idxno=106713")</f>
        <v>http://www.lecturernews.com/news/articleView.html?idxno=106713</v>
      </c>
      <c r="H6140">
        <v>0.58399999999999996</v>
      </c>
    </row>
    <row r="6141" spans="1:8" x14ac:dyDescent="0.3">
      <c r="A6141" t="s">
        <v>14761</v>
      </c>
      <c r="B6141" t="s">
        <v>26951</v>
      </c>
      <c r="C6141" t="s">
        <v>15706</v>
      </c>
      <c r="D6141" t="s">
        <v>15705</v>
      </c>
      <c r="E6141" s="2" t="s">
        <v>517</v>
      </c>
      <c r="F6141" t="s">
        <v>9944</v>
      </c>
      <c r="G6141" t="str">
        <f>HYPERLINK("https://sports.hankooki.com/news/articleView.html?idxno=6886057")</f>
        <v>https://sports.hankooki.com/news/articleView.html?idxno=6886057</v>
      </c>
      <c r="H6141">
        <v>0.44800000000000001</v>
      </c>
    </row>
    <row r="6142" spans="1:8" x14ac:dyDescent="0.3">
      <c r="A6142" t="s">
        <v>14761</v>
      </c>
      <c r="B6142" t="s">
        <v>26951</v>
      </c>
      <c r="C6142" t="s">
        <v>15709</v>
      </c>
      <c r="D6142" t="s">
        <v>15708</v>
      </c>
      <c r="E6142" s="2" t="s">
        <v>517</v>
      </c>
      <c r="F6142" t="s">
        <v>15707</v>
      </c>
      <c r="G6142" t="str">
        <f>HYPERLINK("https://ilyo.co.kr/?ac=article_view&amp;entry_id=493907")</f>
        <v>https://ilyo.co.kr/?ac=article_view&amp;entry_id=493907</v>
      </c>
      <c r="H6142">
        <v>0.05</v>
      </c>
    </row>
    <row r="6143" spans="1:8" x14ac:dyDescent="0.3">
      <c r="A6143" t="s">
        <v>14761</v>
      </c>
      <c r="B6143" t="s">
        <v>26951</v>
      </c>
      <c r="C6143" t="s">
        <v>15712</v>
      </c>
      <c r="D6143" t="s">
        <v>15711</v>
      </c>
      <c r="E6143" s="2" t="s">
        <v>517</v>
      </c>
      <c r="F6143" t="s">
        <v>15710</v>
      </c>
      <c r="G6143" t="str">
        <f>HYPERLINK("http://www.it-b.co.kr/news/articleView.html?idxno=72332")</f>
        <v>http://www.it-b.co.kr/news/articleView.html?idxno=72332</v>
      </c>
      <c r="H6143">
        <v>0.186</v>
      </c>
    </row>
    <row r="6144" spans="1:8" x14ac:dyDescent="0.3">
      <c r="A6144" t="s">
        <v>14761</v>
      </c>
      <c r="B6144" t="s">
        <v>26951</v>
      </c>
      <c r="C6144" t="s">
        <v>15715</v>
      </c>
      <c r="D6144" t="s">
        <v>15714</v>
      </c>
      <c r="E6144" s="2" t="s">
        <v>517</v>
      </c>
      <c r="F6144" t="s">
        <v>15713</v>
      </c>
      <c r="G6144" t="str">
        <f>HYPERLINK("http://dream.kotra.or.kr/kotranews/cms/news/actionKotraBoardDetail.do?SITE_NO=3&amp;MENU_ID=200&amp;CONTENTS_NO=1&amp;bbsGbn=403&amp;bbsSn=403&amp;pNttSn=222057")</f>
        <v>http://dream.kotra.or.kr/kotranews/cms/news/actionKotraBoardDetail.do?SITE_NO=3&amp;MENU_ID=200&amp;CONTENTS_NO=1&amp;bbsGbn=403&amp;bbsSn=403&amp;pNttSn=222057</v>
      </c>
      <c r="H6144">
        <v>0.185</v>
      </c>
    </row>
    <row r="6145" spans="1:8" x14ac:dyDescent="0.3">
      <c r="A6145" t="s">
        <v>14761</v>
      </c>
      <c r="B6145" t="s">
        <v>26951</v>
      </c>
      <c r="C6145" t="s">
        <v>15718</v>
      </c>
      <c r="D6145" t="s">
        <v>15717</v>
      </c>
      <c r="E6145" s="2" t="s">
        <v>517</v>
      </c>
      <c r="F6145" t="s">
        <v>15716</v>
      </c>
      <c r="G6145" t="str">
        <f>HYPERLINK("https://www.smartfn.co.kr/news/articleView.html?idxno=113327")</f>
        <v>https://www.smartfn.co.kr/news/articleView.html?idxno=113327</v>
      </c>
      <c r="H6145">
        <v>0.57999999999999996</v>
      </c>
    </row>
    <row r="6146" spans="1:8" x14ac:dyDescent="0.3">
      <c r="A6146" t="s">
        <v>14761</v>
      </c>
      <c r="B6146" t="s">
        <v>26951</v>
      </c>
      <c r="C6146" t="s">
        <v>15721</v>
      </c>
      <c r="D6146" t="s">
        <v>15720</v>
      </c>
      <c r="E6146" s="2" t="s">
        <v>517</v>
      </c>
      <c r="F6146" t="s">
        <v>15719</v>
      </c>
      <c r="G6146" t="str">
        <f>HYPERLINK("https://www.etoday.co.kr/news/view/2012612")</f>
        <v>https://www.etoday.co.kr/news/view/2012612</v>
      </c>
      <c r="H6146">
        <v>0.255</v>
      </c>
    </row>
    <row r="6147" spans="1:8" x14ac:dyDescent="0.3">
      <c r="A6147" t="s">
        <v>14761</v>
      </c>
      <c r="B6147" t="s">
        <v>26951</v>
      </c>
      <c r="C6147" t="s">
        <v>15724</v>
      </c>
      <c r="D6147" t="s">
        <v>15723</v>
      </c>
      <c r="E6147" s="2" t="s">
        <v>517</v>
      </c>
      <c r="F6147" t="s">
        <v>15722</v>
      </c>
      <c r="G6147" t="str">
        <f>HYPERLINK("https://www.dnews.co.kr/uhtml/view.jsp?idxno=202505220952217970192")</f>
        <v>https://www.dnews.co.kr/uhtml/view.jsp?idxno=202505220952217970192</v>
      </c>
      <c r="H6147">
        <v>0.89200000000000002</v>
      </c>
    </row>
    <row r="6148" spans="1:8" x14ac:dyDescent="0.3">
      <c r="A6148" t="s">
        <v>14761</v>
      </c>
      <c r="B6148" t="s">
        <v>26951</v>
      </c>
      <c r="C6148" t="s">
        <v>15728</v>
      </c>
      <c r="D6148" t="s">
        <v>15727</v>
      </c>
      <c r="E6148" s="2" t="s">
        <v>517</v>
      </c>
      <c r="F6148" t="s">
        <v>15726</v>
      </c>
      <c r="G6148" t="str">
        <f>HYPERLINK("https://www.allurekorea.com/2024/07/05/%eb%a7%88%ed%8f%ac%ea%b5%ac%eb%af%bc-%ec%9e%84%ec%98%81%ec%9b%85%ec%9d%b4-%eb%8b%a4%eb%85%80%ea%b0%84-%ec%b0%90-%eb%a7%88%ed%8f%ac%ea%b5%ac-%eb%a7%9b%ec%a7%91-5/?utm_source=naver&amp;utm_medium=partnership")</f>
        <v>https://www.allurekorea.com/2024/07/05/%eb%a7%88%ed%8f%ac%ea%b5%ac%eb%af%bc-%ec%9e%84%ec%98%81%ec%9b%85%ec%9d%b4-%eb%8b%a4%eb%85%80%ea%b0%84-%ec%b0%90-%eb%a7%88%ed%8f%ac%ea%b5%ac-%eb%a7%9b%ec%a7%91-5/?utm_source=naver&amp;utm_medium=partnership</v>
      </c>
      <c r="H6148">
        <v>0.124</v>
      </c>
    </row>
    <row r="6149" spans="1:8" x14ac:dyDescent="0.3">
      <c r="A6149" t="s">
        <v>14761</v>
      </c>
      <c r="B6149" t="s">
        <v>26951</v>
      </c>
      <c r="C6149" t="s">
        <v>15730</v>
      </c>
      <c r="D6149" t="s">
        <v>15729</v>
      </c>
      <c r="E6149" s="2" t="s">
        <v>517</v>
      </c>
      <c r="F6149" t="s">
        <v>10069</v>
      </c>
      <c r="G6149" t="str">
        <f>HYPERLINK("https://www.jemin.com/news/articleView.html?idxno=814583")</f>
        <v>https://www.jemin.com/news/articleView.html?idxno=814583</v>
      </c>
      <c r="H6149">
        <v>0.42499999999999999</v>
      </c>
    </row>
    <row r="6150" spans="1:8" x14ac:dyDescent="0.3">
      <c r="A6150" t="s">
        <v>14761</v>
      </c>
      <c r="B6150" t="s">
        <v>26951</v>
      </c>
      <c r="C6150" t="s">
        <v>15732</v>
      </c>
      <c r="D6150" t="s">
        <v>15731</v>
      </c>
      <c r="E6150" s="2" t="s">
        <v>517</v>
      </c>
      <c r="F6150" t="s">
        <v>9944</v>
      </c>
      <c r="G6150" t="str">
        <f>HYPERLINK("https://sports.hankooki.com/news/articleView.html?idxno=6901227")</f>
        <v>https://sports.hankooki.com/news/articleView.html?idxno=6901227</v>
      </c>
      <c r="H6150">
        <v>0.44600000000000001</v>
      </c>
    </row>
    <row r="6151" spans="1:8" x14ac:dyDescent="0.3">
      <c r="A6151" t="s">
        <v>14761</v>
      </c>
      <c r="B6151" t="s">
        <v>26951</v>
      </c>
      <c r="C6151" t="s">
        <v>15734</v>
      </c>
      <c r="D6151" t="s">
        <v>15733</v>
      </c>
      <c r="E6151" s="2" t="s">
        <v>517</v>
      </c>
      <c r="F6151" t="s">
        <v>4119</v>
      </c>
      <c r="G6151" t="str">
        <f>HYPERLINK("https://www.etoday.co.kr/news/view/2318370")</f>
        <v>https://www.etoday.co.kr/news/view/2318370</v>
      </c>
      <c r="H6151">
        <v>0.46500000000000002</v>
      </c>
    </row>
    <row r="6152" spans="1:8" x14ac:dyDescent="0.3">
      <c r="A6152" t="s">
        <v>14761</v>
      </c>
      <c r="B6152" t="s">
        <v>26951</v>
      </c>
      <c r="C6152" t="s">
        <v>15737</v>
      </c>
      <c r="D6152" t="s">
        <v>15736</v>
      </c>
      <c r="E6152" s="2" t="s">
        <v>517</v>
      </c>
      <c r="F6152" t="s">
        <v>15735</v>
      </c>
      <c r="G6152" t="str">
        <f>HYPERLINK("http://www.sisaon.co.kr/news/articleView.html?idxno=172518")</f>
        <v>http://www.sisaon.co.kr/news/articleView.html?idxno=172518</v>
      </c>
      <c r="H6152">
        <v>0.54400000000000004</v>
      </c>
    </row>
    <row r="6153" spans="1:8" x14ac:dyDescent="0.3">
      <c r="A6153" t="s">
        <v>14761</v>
      </c>
      <c r="B6153" t="s">
        <v>26951</v>
      </c>
      <c r="C6153" t="s">
        <v>15740</v>
      </c>
      <c r="D6153" t="s">
        <v>15739</v>
      </c>
      <c r="E6153" s="2" t="s">
        <v>517</v>
      </c>
      <c r="F6153" t="s">
        <v>15738</v>
      </c>
      <c r="G6153" t="str">
        <f>HYPERLINK("http://www.veritas-a.com/news/articleView.html?idxno=556280")</f>
        <v>http://www.veritas-a.com/news/articleView.html?idxno=556280</v>
      </c>
      <c r="H6153">
        <v>0.32700000000000001</v>
      </c>
    </row>
    <row r="6154" spans="1:8" x14ac:dyDescent="0.3">
      <c r="A6154" t="s">
        <v>14761</v>
      </c>
      <c r="B6154" t="s">
        <v>26951</v>
      </c>
      <c r="C6154" t="s">
        <v>15742</v>
      </c>
      <c r="D6154" t="s">
        <v>15741</v>
      </c>
      <c r="E6154" s="2" t="s">
        <v>517</v>
      </c>
      <c r="F6154" t="s">
        <v>171</v>
      </c>
      <c r="G6154" t="str">
        <f>HYPERLINK("http://www.sisamagazine.co.kr/news/articleView.html?idxno=437138")</f>
        <v>http://www.sisamagazine.co.kr/news/articleView.html?idxno=437138</v>
      </c>
      <c r="H6154">
        <v>0.55700000000000005</v>
      </c>
    </row>
    <row r="6155" spans="1:8" x14ac:dyDescent="0.3">
      <c r="A6155" t="s">
        <v>14761</v>
      </c>
      <c r="B6155" t="s">
        <v>26951</v>
      </c>
      <c r="C6155" t="s">
        <v>15744</v>
      </c>
      <c r="D6155" t="s">
        <v>15743</v>
      </c>
      <c r="E6155" s="2" t="s">
        <v>517</v>
      </c>
      <c r="F6155" t="s">
        <v>171</v>
      </c>
      <c r="G6155" t="str">
        <f>HYPERLINK("http://www.kjdaily.com/article.php?aid=1720045782634650227")</f>
        <v>http://www.kjdaily.com/article.php?aid=1720045782634650227</v>
      </c>
      <c r="H6155">
        <v>4.7E-2</v>
      </c>
    </row>
    <row r="6156" spans="1:8" x14ac:dyDescent="0.3">
      <c r="A6156" t="s">
        <v>14761</v>
      </c>
      <c r="B6156" t="s">
        <v>26951</v>
      </c>
      <c r="C6156" t="s">
        <v>15746</v>
      </c>
      <c r="D6156" t="s">
        <v>15745</v>
      </c>
      <c r="E6156" s="2" t="s">
        <v>517</v>
      </c>
      <c r="F6156" t="s">
        <v>14583</v>
      </c>
      <c r="G6156" t="str">
        <f>HYPERLINK("https://news.skbroadband.com/news/articleView.html?idxno=204284")</f>
        <v>https://news.skbroadband.com/news/articleView.html?idxno=204284</v>
      </c>
      <c r="H6156">
        <v>0.50800000000000001</v>
      </c>
    </row>
    <row r="6157" spans="1:8" x14ac:dyDescent="0.3">
      <c r="A6157" t="s">
        <v>14761</v>
      </c>
      <c r="B6157" t="s">
        <v>26951</v>
      </c>
      <c r="C6157" t="s">
        <v>15748</v>
      </c>
      <c r="D6157" t="s">
        <v>15747</v>
      </c>
      <c r="E6157" s="2" t="s">
        <v>517</v>
      </c>
      <c r="F6157" t="s">
        <v>13787</v>
      </c>
      <c r="G6157" t="str">
        <f>HYPERLINK("http://www.doctorstimes.com/news/articleView.html?idxno=233249")</f>
        <v>http://www.doctorstimes.com/news/articleView.html?idxno=233249</v>
      </c>
      <c r="H6157">
        <v>0.39100000000000001</v>
      </c>
    </row>
    <row r="6158" spans="1:8" x14ac:dyDescent="0.3">
      <c r="A6158" t="s">
        <v>14761</v>
      </c>
      <c r="B6158" t="s">
        <v>26951</v>
      </c>
      <c r="C6158" t="s">
        <v>15750</v>
      </c>
      <c r="D6158" t="s">
        <v>15749</v>
      </c>
      <c r="E6158" s="2" t="s">
        <v>517</v>
      </c>
      <c r="F6158" t="s">
        <v>5342</v>
      </c>
      <c r="G6158" t="str">
        <f>HYPERLINK("https://n.news.naver.com/mnews/article/028/0002024432?sid=102")</f>
        <v>https://n.news.naver.com/mnews/article/028/0002024432?sid=102</v>
      </c>
      <c r="H6158">
        <v>0.26</v>
      </c>
    </row>
    <row r="6159" spans="1:8" x14ac:dyDescent="0.3">
      <c r="A6159" t="s">
        <v>14761</v>
      </c>
      <c r="B6159" t="s">
        <v>26951</v>
      </c>
      <c r="C6159" t="s">
        <v>15752</v>
      </c>
      <c r="D6159" t="s">
        <v>15751</v>
      </c>
      <c r="E6159" s="2" t="s">
        <v>517</v>
      </c>
      <c r="F6159" t="s">
        <v>14816</v>
      </c>
      <c r="G6159" t="str">
        <f>HYPERLINK("https://www.lecturernews.com/news/articleView.html?idxno=179379")</f>
        <v>https://www.lecturernews.com/news/articleView.html?idxno=179379</v>
      </c>
      <c r="H6159">
        <v>0.55000000000000004</v>
      </c>
    </row>
    <row r="6160" spans="1:8" x14ac:dyDescent="0.3">
      <c r="A6160" t="s">
        <v>14761</v>
      </c>
      <c r="B6160" t="s">
        <v>26951</v>
      </c>
      <c r="C6160" t="s">
        <v>15754</v>
      </c>
      <c r="D6160" t="s">
        <v>15753</v>
      </c>
      <c r="E6160" s="2" t="s">
        <v>517</v>
      </c>
      <c r="F6160" t="s">
        <v>9944</v>
      </c>
      <c r="G6160" t="str">
        <f>HYPERLINK("https://radio.ytn.co.kr/program/?f=2&amp;id=100751&amp;s_mcd=0214&amp;s_hcd=01")</f>
        <v>https://radio.ytn.co.kr/program/?f=2&amp;id=100751&amp;s_mcd=0214&amp;s_hcd=01</v>
      </c>
      <c r="H6160">
        <v>0.48199999999999998</v>
      </c>
    </row>
    <row r="6161" spans="1:8" x14ac:dyDescent="0.3">
      <c r="A6161" t="s">
        <v>14761</v>
      </c>
      <c r="B6161" t="s">
        <v>26951</v>
      </c>
      <c r="C6161" t="s">
        <v>15756</v>
      </c>
      <c r="D6161" t="s">
        <v>15755</v>
      </c>
      <c r="E6161" s="2" t="s">
        <v>517</v>
      </c>
      <c r="F6161" t="s">
        <v>13462</v>
      </c>
      <c r="G6161" t="str">
        <f>HYPERLINK("http://www.newspim.com/news/view/20220328000706")</f>
        <v>http://www.newspim.com/news/view/20220328000706</v>
      </c>
      <c r="H6161">
        <v>0.34</v>
      </c>
    </row>
    <row r="6162" spans="1:8" x14ac:dyDescent="0.3">
      <c r="A6162" t="s">
        <v>14761</v>
      </c>
      <c r="B6162" t="s">
        <v>26951</v>
      </c>
      <c r="C6162" t="s">
        <v>15758</v>
      </c>
      <c r="D6162" t="s">
        <v>15757</v>
      </c>
      <c r="E6162" s="2" t="s">
        <v>517</v>
      </c>
      <c r="F6162" t="s">
        <v>14873</v>
      </c>
      <c r="G6162" t="str">
        <f>HYPERLINK("https://n.news.naver.com/mnews/article/081/0003553999?sid=104")</f>
        <v>https://n.news.naver.com/mnews/article/081/0003553999?sid=104</v>
      </c>
      <c r="H6162">
        <v>0.28399999999999997</v>
      </c>
    </row>
    <row r="6163" spans="1:8" x14ac:dyDescent="0.3">
      <c r="A6163" t="s">
        <v>14761</v>
      </c>
      <c r="B6163" t="s">
        <v>26951</v>
      </c>
      <c r="C6163" t="s">
        <v>15760</v>
      </c>
      <c r="D6163" t="s">
        <v>15759</v>
      </c>
      <c r="E6163" s="2" t="s">
        <v>517</v>
      </c>
      <c r="F6163" t="s">
        <v>10191</v>
      </c>
      <c r="G6163" t="str">
        <f>HYPERLINK("https://www.jemin.com/news/articleView.html?idxno=813415")</f>
        <v>https://www.jemin.com/news/articleView.html?idxno=813415</v>
      </c>
      <c r="H6163">
        <v>0.79600000000000004</v>
      </c>
    </row>
    <row r="6164" spans="1:8" x14ac:dyDescent="0.3">
      <c r="A6164" t="s">
        <v>14761</v>
      </c>
      <c r="B6164" t="s">
        <v>26951</v>
      </c>
      <c r="C6164" t="s">
        <v>15762</v>
      </c>
      <c r="D6164" t="s">
        <v>15761</v>
      </c>
      <c r="E6164" s="2" t="s">
        <v>517</v>
      </c>
      <c r="F6164" t="s">
        <v>11313</v>
      </c>
      <c r="G6164" t="str">
        <f>HYPERLINK("http://www.koreastocknews.com/news/articleView.html?idxno=93821")</f>
        <v>http://www.koreastocknews.com/news/articleView.html?idxno=93821</v>
      </c>
      <c r="H6164">
        <v>0.44600000000000001</v>
      </c>
    </row>
    <row r="6165" spans="1:8" x14ac:dyDescent="0.3">
      <c r="A6165" t="s">
        <v>14761</v>
      </c>
      <c r="B6165" t="s">
        <v>26951</v>
      </c>
      <c r="C6165" t="s">
        <v>15764</v>
      </c>
      <c r="D6165" t="s">
        <v>15763</v>
      </c>
      <c r="E6165" s="2" t="s">
        <v>517</v>
      </c>
      <c r="F6165" t="s">
        <v>12391</v>
      </c>
      <c r="G6165" t="str">
        <f>HYPERLINK("http://www.lecturernews.com/news/articleView.html?idxno=75076")</f>
        <v>http://www.lecturernews.com/news/articleView.html?idxno=75076</v>
      </c>
      <c r="H6165">
        <v>0.40799999999999997</v>
      </c>
    </row>
    <row r="6166" spans="1:8" x14ac:dyDescent="0.3">
      <c r="A6166" t="s">
        <v>14761</v>
      </c>
      <c r="B6166" t="s">
        <v>26951</v>
      </c>
      <c r="C6166" t="s">
        <v>15767</v>
      </c>
      <c r="D6166" t="s">
        <v>15766</v>
      </c>
      <c r="E6166" s="2" t="s">
        <v>517</v>
      </c>
      <c r="F6166" t="s">
        <v>15765</v>
      </c>
      <c r="G6166" t="str">
        <f>HYPERLINK("http://www.newscj.com/article/20230119580277")</f>
        <v>http://www.newscj.com/article/20230119580277</v>
      </c>
      <c r="H6166">
        <v>0.27300000000000002</v>
      </c>
    </row>
    <row r="6167" spans="1:8" x14ac:dyDescent="0.3">
      <c r="A6167" t="s">
        <v>14761</v>
      </c>
      <c r="B6167" t="s">
        <v>26951</v>
      </c>
      <c r="C6167" t="s">
        <v>15770</v>
      </c>
      <c r="D6167" t="s">
        <v>15769</v>
      </c>
      <c r="E6167" s="2" t="s">
        <v>517</v>
      </c>
      <c r="F6167" t="s">
        <v>15768</v>
      </c>
      <c r="G6167" t="str">
        <f>HYPERLINK("http://www.seoulfn.com/news/articleView.html?idxno=487600")</f>
        <v>http://www.seoulfn.com/news/articleView.html?idxno=487600</v>
      </c>
      <c r="H6167">
        <v>0.27100000000000002</v>
      </c>
    </row>
    <row r="6168" spans="1:8" x14ac:dyDescent="0.3">
      <c r="A6168" t="s">
        <v>14761</v>
      </c>
      <c r="B6168" t="s">
        <v>26951</v>
      </c>
      <c r="C6168" t="s">
        <v>15773</v>
      </c>
      <c r="D6168" t="s">
        <v>15772</v>
      </c>
      <c r="E6168" s="2" t="s">
        <v>517</v>
      </c>
      <c r="F6168" t="s">
        <v>15771</v>
      </c>
      <c r="G6168" t="str">
        <f>HYPERLINK("https://www.geconomy.co.kr/news/article.html?no=301054")</f>
        <v>https://www.geconomy.co.kr/news/article.html?no=301054</v>
      </c>
      <c r="H6168">
        <v>0.93899999999999995</v>
      </c>
    </row>
    <row r="6169" spans="1:8" x14ac:dyDescent="0.3">
      <c r="A6169" t="s">
        <v>14761</v>
      </c>
      <c r="B6169" t="s">
        <v>26951</v>
      </c>
      <c r="C6169" t="s">
        <v>15775</v>
      </c>
      <c r="D6169" t="s">
        <v>15774</v>
      </c>
      <c r="E6169" s="2" t="s">
        <v>517</v>
      </c>
      <c r="F6169" t="s">
        <v>10229</v>
      </c>
      <c r="G6169" t="str">
        <f>HYPERLINK("https://www.etoday.co.kr/news/view/2448894")</f>
        <v>https://www.etoday.co.kr/news/view/2448894</v>
      </c>
      <c r="H6169">
        <v>0.40400000000000003</v>
      </c>
    </row>
    <row r="6170" spans="1:8" x14ac:dyDescent="0.3">
      <c r="A6170" t="s">
        <v>14761</v>
      </c>
      <c r="B6170" t="s">
        <v>26951</v>
      </c>
      <c r="C6170" t="s">
        <v>15777</v>
      </c>
      <c r="D6170" t="s">
        <v>15776</v>
      </c>
      <c r="E6170" s="2" t="s">
        <v>517</v>
      </c>
      <c r="F6170" t="s">
        <v>10013</v>
      </c>
      <c r="G6170" t="str">
        <f>HYPERLINK("https://www.nc.press/news/articleView.html?idxno=568633")</f>
        <v>https://www.nc.press/news/articleView.html?idxno=568633</v>
      </c>
      <c r="H6170">
        <v>0.42199999999999999</v>
      </c>
    </row>
    <row r="6171" spans="1:8" x14ac:dyDescent="0.3">
      <c r="A6171" t="s">
        <v>14761</v>
      </c>
      <c r="B6171" t="s">
        <v>26951</v>
      </c>
      <c r="C6171" t="s">
        <v>15779</v>
      </c>
      <c r="D6171" t="s">
        <v>15778</v>
      </c>
      <c r="E6171" s="2" t="s">
        <v>517</v>
      </c>
      <c r="F6171" t="s">
        <v>9929</v>
      </c>
      <c r="G6171" t="str">
        <f>HYPERLINK("https://www.marieclairekorea.com/culture/film/2024/10/vision/?utm_source=naver&amp;utm_medium=partnership")</f>
        <v>https://www.marieclairekorea.com/culture/film/2024/10/vision/?utm_source=naver&amp;utm_medium=partnership</v>
      </c>
      <c r="H6171">
        <v>0.60299999999999998</v>
      </c>
    </row>
    <row r="6172" spans="1:8" x14ac:dyDescent="0.3">
      <c r="A6172" t="s">
        <v>14761</v>
      </c>
      <c r="B6172" t="s">
        <v>26951</v>
      </c>
      <c r="C6172" t="s">
        <v>15781</v>
      </c>
      <c r="D6172" t="s">
        <v>15780</v>
      </c>
      <c r="E6172" s="2" t="s">
        <v>517</v>
      </c>
      <c r="F6172" t="s">
        <v>6469</v>
      </c>
      <c r="G6172" t="str">
        <f>HYPERLINK("https://n.news.naver.com/mnews/article/008/0004956518?sid=100")</f>
        <v>https://n.news.naver.com/mnews/article/008/0004956518?sid=100</v>
      </c>
      <c r="H6172">
        <v>0.246</v>
      </c>
    </row>
    <row r="6173" spans="1:8" x14ac:dyDescent="0.3">
      <c r="A6173" t="s">
        <v>14761</v>
      </c>
      <c r="B6173" t="s">
        <v>26951</v>
      </c>
      <c r="C6173" t="s">
        <v>15783</v>
      </c>
      <c r="D6173" t="s">
        <v>15782</v>
      </c>
      <c r="E6173" s="2" t="s">
        <v>517</v>
      </c>
      <c r="F6173" t="s">
        <v>3235</v>
      </c>
      <c r="G6173" t="str">
        <f>HYPERLINK("https://www.joongangenews.com/news/articleView.html?idxno=424915")</f>
        <v>https://www.joongangenews.com/news/articleView.html?idxno=424915</v>
      </c>
      <c r="H6173">
        <v>0.441</v>
      </c>
    </row>
    <row r="6174" spans="1:8" x14ac:dyDescent="0.3">
      <c r="A6174" t="s">
        <v>14761</v>
      </c>
      <c r="B6174" t="s">
        <v>26951</v>
      </c>
      <c r="C6174" t="s">
        <v>15786</v>
      </c>
      <c r="D6174" t="s">
        <v>15785</v>
      </c>
      <c r="E6174" s="2" t="s">
        <v>517</v>
      </c>
      <c r="F6174" t="s">
        <v>15784</v>
      </c>
      <c r="G6174" t="str">
        <f>HYPERLINK("http://www.lecturernews.com/news/articleView.html?idxno=109171")</f>
        <v>http://www.lecturernews.com/news/articleView.html?idxno=109171</v>
      </c>
      <c r="H6174">
        <v>0.442</v>
      </c>
    </row>
    <row r="6175" spans="1:8" x14ac:dyDescent="0.3">
      <c r="A6175" t="s">
        <v>14761</v>
      </c>
      <c r="B6175" t="s">
        <v>26951</v>
      </c>
      <c r="C6175" t="s">
        <v>15788</v>
      </c>
      <c r="D6175" t="s">
        <v>15787</v>
      </c>
      <c r="E6175" s="2" t="s">
        <v>517</v>
      </c>
      <c r="F6175" t="s">
        <v>3235</v>
      </c>
      <c r="G6175" t="str">
        <f>HYPERLINK("https://www.joongangenews.com/news/articleView.html?idxno=424915")</f>
        <v>https://www.joongangenews.com/news/articleView.html?idxno=424915</v>
      </c>
      <c r="H6175">
        <v>0.38300000000000001</v>
      </c>
    </row>
    <row r="6176" spans="1:8" x14ac:dyDescent="0.3">
      <c r="A6176" t="s">
        <v>14761</v>
      </c>
      <c r="B6176" t="s">
        <v>26951</v>
      </c>
      <c r="C6176" t="s">
        <v>15790</v>
      </c>
      <c r="D6176" t="s">
        <v>15789</v>
      </c>
      <c r="E6176" s="2" t="s">
        <v>517</v>
      </c>
      <c r="F6176" t="s">
        <v>9944</v>
      </c>
      <c r="G6176" t="str">
        <f>HYPERLINK("http://www.koreastocknews.com/news/articleView.html?idxno=79966")</f>
        <v>http://www.koreastocknews.com/news/articleView.html?idxno=79966</v>
      </c>
      <c r="H6176">
        <v>0.40799999999999997</v>
      </c>
    </row>
    <row r="6177" spans="1:8" x14ac:dyDescent="0.3">
      <c r="A6177" t="s">
        <v>14761</v>
      </c>
      <c r="B6177" t="s">
        <v>26951</v>
      </c>
      <c r="C6177" t="s">
        <v>15792</v>
      </c>
      <c r="D6177" t="s">
        <v>15791</v>
      </c>
      <c r="E6177" s="2" t="s">
        <v>538</v>
      </c>
      <c r="F6177" t="s">
        <v>11264</v>
      </c>
      <c r="G6177" t="str">
        <f>HYPERLINK("https://www.lecturernews.com/news/articleView.html?idxno=180820")</f>
        <v>https://www.lecturernews.com/news/articleView.html?idxno=180820</v>
      </c>
      <c r="H6177">
        <v>0.41299999999999998</v>
      </c>
    </row>
    <row r="6178" spans="1:8" x14ac:dyDescent="0.3">
      <c r="A6178" t="s">
        <v>14761</v>
      </c>
      <c r="B6178" t="s">
        <v>26951</v>
      </c>
      <c r="C6178" t="s">
        <v>15794</v>
      </c>
      <c r="D6178" t="s">
        <v>15793</v>
      </c>
      <c r="E6178" s="2" t="s">
        <v>538</v>
      </c>
      <c r="F6178" t="s">
        <v>9786</v>
      </c>
      <c r="G6178" t="str">
        <f>HYPERLINK("https://n.news.naver.com/mnews/article/082/0000216274?sid=103")</f>
        <v>https://n.news.naver.com/mnews/article/082/0000216274?sid=103</v>
      </c>
      <c r="H6178">
        <v>0.10299999999999999</v>
      </c>
    </row>
    <row r="6179" spans="1:8" x14ac:dyDescent="0.3">
      <c r="A6179" t="s">
        <v>14761</v>
      </c>
      <c r="B6179" t="s">
        <v>26951</v>
      </c>
      <c r="C6179" t="s">
        <v>15796</v>
      </c>
      <c r="D6179" t="s">
        <v>15795</v>
      </c>
      <c r="E6179" s="2" t="s">
        <v>538</v>
      </c>
      <c r="F6179" t="s">
        <v>12964</v>
      </c>
      <c r="G6179" t="str">
        <f>HYPERLINK("http://www.breaknews.com/1112774")</f>
        <v>http://www.breaknews.com/1112774</v>
      </c>
      <c r="H6179">
        <v>0.23400000000000001</v>
      </c>
    </row>
    <row r="6180" spans="1:8" x14ac:dyDescent="0.3">
      <c r="A6180" t="s">
        <v>14761</v>
      </c>
      <c r="B6180" t="s">
        <v>26951</v>
      </c>
      <c r="C6180" t="s">
        <v>15798</v>
      </c>
      <c r="D6180" t="s">
        <v>15797</v>
      </c>
      <c r="E6180" s="2" t="s">
        <v>538</v>
      </c>
      <c r="F6180" t="s">
        <v>12472</v>
      </c>
      <c r="G6180" t="str">
        <f>HYPERLINK("https://www.jeonmae.co.kr/news/articleView.html?idxno=1087728")</f>
        <v>https://www.jeonmae.co.kr/news/articleView.html?idxno=1087728</v>
      </c>
      <c r="H6180">
        <v>0.51300000000000001</v>
      </c>
    </row>
    <row r="6181" spans="1:8" x14ac:dyDescent="0.3">
      <c r="A6181" t="s">
        <v>14761</v>
      </c>
      <c r="B6181" t="s">
        <v>26951</v>
      </c>
      <c r="C6181" t="s">
        <v>15800</v>
      </c>
      <c r="D6181" t="s">
        <v>15799</v>
      </c>
      <c r="E6181" s="2" t="s">
        <v>538</v>
      </c>
      <c r="F6181" t="s">
        <v>10021</v>
      </c>
      <c r="G6181" t="str">
        <f>HYPERLINK("https://sports.hankooki.com/news/articleView.html?idxno=6902462")</f>
        <v>https://sports.hankooki.com/news/articleView.html?idxno=6902462</v>
      </c>
      <c r="H6181">
        <v>0.66500000000000004</v>
      </c>
    </row>
    <row r="6182" spans="1:8" x14ac:dyDescent="0.3">
      <c r="A6182" t="s">
        <v>14761</v>
      </c>
      <c r="B6182" t="s">
        <v>26951</v>
      </c>
      <c r="C6182" t="s">
        <v>15803</v>
      </c>
      <c r="D6182" t="s">
        <v>15802</v>
      </c>
      <c r="E6182" s="2" t="s">
        <v>538</v>
      </c>
      <c r="F6182" t="s">
        <v>15801</v>
      </c>
      <c r="G6182" t="str">
        <f>HYPERLINK("https://www.econovill.com/news/articleView.html?idxno=701790")</f>
        <v>https://www.econovill.com/news/articleView.html?idxno=701790</v>
      </c>
      <c r="H6182">
        <v>0.14699999999999999</v>
      </c>
    </row>
    <row r="6183" spans="1:8" x14ac:dyDescent="0.3">
      <c r="A6183" t="s">
        <v>14761</v>
      </c>
      <c r="B6183" t="s">
        <v>26951</v>
      </c>
      <c r="C6183" t="s">
        <v>15805</v>
      </c>
      <c r="D6183" t="s">
        <v>15804</v>
      </c>
      <c r="E6183" s="2" t="s">
        <v>538</v>
      </c>
      <c r="F6183" t="s">
        <v>11264</v>
      </c>
      <c r="G6183" t="str">
        <f>HYPERLINK("https://n.news.naver.com/mnews/article/022/0004047388?sid=100")</f>
        <v>https://n.news.naver.com/mnews/article/022/0004047388?sid=100</v>
      </c>
      <c r="H6183">
        <v>0.23400000000000001</v>
      </c>
    </row>
    <row r="6184" spans="1:8" x14ac:dyDescent="0.3">
      <c r="A6184" t="s">
        <v>14761</v>
      </c>
      <c r="B6184" t="s">
        <v>26951</v>
      </c>
      <c r="C6184" t="s">
        <v>15807</v>
      </c>
      <c r="D6184" t="s">
        <v>15806</v>
      </c>
      <c r="E6184" s="2" t="s">
        <v>538</v>
      </c>
      <c r="F6184" t="s">
        <v>14878</v>
      </c>
      <c r="G6184" t="str">
        <f>HYPERLINK("http://www.starnewsk.com/news/articleView.html?idxno=46888")</f>
        <v>http://www.starnewsk.com/news/articleView.html?idxno=46888</v>
      </c>
      <c r="H6184">
        <v>0.41499999999999998</v>
      </c>
    </row>
    <row r="6185" spans="1:8" x14ac:dyDescent="0.3">
      <c r="A6185" t="s">
        <v>14761</v>
      </c>
      <c r="B6185" t="s">
        <v>26951</v>
      </c>
      <c r="C6185" t="s">
        <v>15810</v>
      </c>
      <c r="D6185" t="s">
        <v>15809</v>
      </c>
      <c r="E6185" s="2" t="s">
        <v>538</v>
      </c>
      <c r="F6185" t="s">
        <v>15808</v>
      </c>
      <c r="G6185" t="str">
        <f>HYPERLINK("https://n.news.naver.com/mnews/article/014/0005370944?sid=102")</f>
        <v>https://n.news.naver.com/mnews/article/014/0005370944?sid=102</v>
      </c>
      <c r="H6185">
        <v>0.31</v>
      </c>
    </row>
    <row r="6186" spans="1:8" x14ac:dyDescent="0.3">
      <c r="A6186" t="s">
        <v>14761</v>
      </c>
      <c r="B6186" t="s">
        <v>26951</v>
      </c>
      <c r="C6186" t="s">
        <v>15813</v>
      </c>
      <c r="D6186" t="s">
        <v>15812</v>
      </c>
      <c r="E6186" s="2" t="s">
        <v>538</v>
      </c>
      <c r="F6186" t="s">
        <v>15811</v>
      </c>
      <c r="G6186" t="str">
        <f>HYPERLINK("https://www.jejusori.net/news/articleView.html?idxno=437325")</f>
        <v>https://www.jejusori.net/news/articleView.html?idxno=437325</v>
      </c>
      <c r="H6186">
        <v>0.50800000000000001</v>
      </c>
    </row>
    <row r="6187" spans="1:8" x14ac:dyDescent="0.3">
      <c r="A6187" t="s">
        <v>14761</v>
      </c>
      <c r="B6187" t="s">
        <v>26951</v>
      </c>
      <c r="C6187" t="s">
        <v>15816</v>
      </c>
      <c r="D6187" t="s">
        <v>15815</v>
      </c>
      <c r="E6187" s="2" t="s">
        <v>538</v>
      </c>
      <c r="F6187" t="s">
        <v>15814</v>
      </c>
      <c r="G6187" t="str">
        <f>HYPERLINK("http://www.enewstoday.co.kr/news/articleView.html?idxno=2120038")</f>
        <v>http://www.enewstoday.co.kr/news/articleView.html?idxno=2120038</v>
      </c>
      <c r="H6187">
        <v>0.48699999999999999</v>
      </c>
    </row>
    <row r="6188" spans="1:8" x14ac:dyDescent="0.3">
      <c r="A6188" t="s">
        <v>14761</v>
      </c>
      <c r="B6188" t="s">
        <v>26951</v>
      </c>
      <c r="C6188" t="s">
        <v>15818</v>
      </c>
      <c r="D6188" t="s">
        <v>2954</v>
      </c>
      <c r="E6188" s="2" t="s">
        <v>538</v>
      </c>
      <c r="F6188" t="s">
        <v>15817</v>
      </c>
      <c r="G6188" t="str">
        <f>HYPERLINK("https://www.ulsanpress.net/news/articleView.html?idxno=552675")</f>
        <v>https://www.ulsanpress.net/news/articleView.html?idxno=552675</v>
      </c>
      <c r="H6188">
        <v>0.51600000000000001</v>
      </c>
    </row>
    <row r="6189" spans="1:8" x14ac:dyDescent="0.3">
      <c r="A6189" t="s">
        <v>14761</v>
      </c>
      <c r="B6189" t="s">
        <v>26951</v>
      </c>
      <c r="C6189" t="s">
        <v>15820</v>
      </c>
      <c r="D6189" t="s">
        <v>15819</v>
      </c>
      <c r="E6189" s="2" t="s">
        <v>538</v>
      </c>
      <c r="F6189" t="s">
        <v>10191</v>
      </c>
      <c r="G6189" t="str">
        <f>HYPERLINK("https://www.jemin.com/news/articleView.html?idxno=812904")</f>
        <v>https://www.jemin.com/news/articleView.html?idxno=812904</v>
      </c>
      <c r="H6189">
        <v>0.50600000000000001</v>
      </c>
    </row>
    <row r="6190" spans="1:8" x14ac:dyDescent="0.3">
      <c r="A6190" t="s">
        <v>14761</v>
      </c>
      <c r="B6190" t="s">
        <v>26951</v>
      </c>
      <c r="C6190" t="s">
        <v>15824</v>
      </c>
      <c r="D6190" t="s">
        <v>15823</v>
      </c>
      <c r="E6190" s="2" t="s">
        <v>538</v>
      </c>
      <c r="F6190" t="s">
        <v>15822</v>
      </c>
      <c r="G6190" t="str">
        <f>HYPERLINK("http://www.travie.com/news/articleView.html?idxno=21757")</f>
        <v>http://www.travie.com/news/articleView.html?idxno=21757</v>
      </c>
      <c r="H6190">
        <v>0.61399999999999999</v>
      </c>
    </row>
    <row r="6191" spans="1:8" x14ac:dyDescent="0.3">
      <c r="A6191" t="s">
        <v>14761</v>
      </c>
      <c r="B6191" t="s">
        <v>26951</v>
      </c>
      <c r="C6191" t="s">
        <v>15826</v>
      </c>
      <c r="D6191" t="s">
        <v>15825</v>
      </c>
      <c r="E6191" s="2" t="s">
        <v>538</v>
      </c>
      <c r="F6191" t="s">
        <v>5548</v>
      </c>
      <c r="G6191" t="str">
        <f>HYPERLINK("https://www.lecturernews.com/news/articleView.html?idxno=178339")</f>
        <v>https://www.lecturernews.com/news/articleView.html?idxno=178339</v>
      </c>
      <c r="H6191">
        <v>0.60799999999999998</v>
      </c>
    </row>
    <row r="6192" spans="1:8" x14ac:dyDescent="0.3">
      <c r="A6192" t="s">
        <v>14761</v>
      </c>
      <c r="B6192" t="s">
        <v>26951</v>
      </c>
      <c r="C6192" t="s">
        <v>15828</v>
      </c>
      <c r="D6192" t="s">
        <v>15827</v>
      </c>
      <c r="E6192" s="2" t="s">
        <v>538</v>
      </c>
      <c r="F6192" t="s">
        <v>10172</v>
      </c>
      <c r="G6192" t="str">
        <f>HYPERLINK("https://sports.hankooki.com/news/articleView.html?idxno=6897307")</f>
        <v>https://sports.hankooki.com/news/articleView.html?idxno=6897307</v>
      </c>
      <c r="H6192">
        <v>0.496</v>
      </c>
    </row>
    <row r="6193" spans="1:8" x14ac:dyDescent="0.3">
      <c r="A6193" t="s">
        <v>14761</v>
      </c>
      <c r="B6193" t="s">
        <v>26951</v>
      </c>
      <c r="C6193" t="s">
        <v>12290</v>
      </c>
      <c r="D6193" t="s">
        <v>12289</v>
      </c>
      <c r="E6193" s="2" t="s">
        <v>538</v>
      </c>
      <c r="F6193" t="s">
        <v>1277</v>
      </c>
      <c r="G6193" t="str">
        <f>HYPERLINK("https://sports.hankooki.com/news/articleView.html?idxno=6902043")</f>
        <v>https://sports.hankooki.com/news/articleView.html?idxno=6902043</v>
      </c>
      <c r="H6193">
        <v>0.57699999999999996</v>
      </c>
    </row>
    <row r="6194" spans="1:8" x14ac:dyDescent="0.3">
      <c r="A6194" t="s">
        <v>14761</v>
      </c>
      <c r="B6194" t="s">
        <v>26951</v>
      </c>
      <c r="C6194" t="s">
        <v>15830</v>
      </c>
      <c r="D6194" t="s">
        <v>15829</v>
      </c>
      <c r="E6194" s="2" t="s">
        <v>538</v>
      </c>
      <c r="F6194" t="s">
        <v>10581</v>
      </c>
      <c r="G6194" t="str">
        <f>HYPERLINK("https://www.siminilbo.co.kr/news/newsview.php?ncode=1160287530255837")</f>
        <v>https://www.siminilbo.co.kr/news/newsview.php?ncode=1160287530255837</v>
      </c>
      <c r="H6194">
        <v>0.33</v>
      </c>
    </row>
    <row r="6195" spans="1:8" x14ac:dyDescent="0.3">
      <c r="A6195" t="s">
        <v>14761</v>
      </c>
      <c r="B6195" t="s">
        <v>26951</v>
      </c>
      <c r="C6195" t="s">
        <v>15832</v>
      </c>
      <c r="D6195" t="s">
        <v>15831</v>
      </c>
      <c r="E6195" s="2" t="s">
        <v>538</v>
      </c>
      <c r="F6195" t="s">
        <v>10476</v>
      </c>
      <c r="G6195" t="str">
        <f>HYPERLINK("https://sports.hankooki.com/news/articleView.html?idxno=6900722")</f>
        <v>https://sports.hankooki.com/news/articleView.html?idxno=6900722</v>
      </c>
      <c r="H6195">
        <v>0.69699999999999995</v>
      </c>
    </row>
    <row r="6196" spans="1:8" x14ac:dyDescent="0.3">
      <c r="A6196" t="s">
        <v>14761</v>
      </c>
      <c r="B6196" t="s">
        <v>26951</v>
      </c>
      <c r="C6196" t="s">
        <v>15834</v>
      </c>
      <c r="D6196" t="s">
        <v>15833</v>
      </c>
      <c r="E6196" s="2" t="s">
        <v>538</v>
      </c>
      <c r="F6196" t="s">
        <v>9885</v>
      </c>
      <c r="G6196" t="str">
        <f>HYPERLINK("https://www.ccdailynews.com/news/articleView.html?idxno=2177448")</f>
        <v>https://www.ccdailynews.com/news/articleView.html?idxno=2177448</v>
      </c>
      <c r="H6196">
        <v>0.53900000000000003</v>
      </c>
    </row>
    <row r="6197" spans="1:8" x14ac:dyDescent="0.3">
      <c r="A6197" t="s">
        <v>14761</v>
      </c>
      <c r="B6197" t="s">
        <v>26951</v>
      </c>
      <c r="C6197" t="s">
        <v>15836</v>
      </c>
      <c r="D6197" t="s">
        <v>15835</v>
      </c>
      <c r="E6197" s="2" t="s">
        <v>538</v>
      </c>
      <c r="F6197" t="s">
        <v>14027</v>
      </c>
      <c r="G6197" t="str">
        <f>HYPERLINK("http://www.pdjournal.com/news/articleView.html?idxno=21956")</f>
        <v>http://www.pdjournal.com/news/articleView.html?idxno=21956</v>
      </c>
      <c r="H6197">
        <v>0.57799999999999996</v>
      </c>
    </row>
    <row r="6198" spans="1:8" x14ac:dyDescent="0.3">
      <c r="A6198" t="s">
        <v>14761</v>
      </c>
      <c r="B6198" t="s">
        <v>26951</v>
      </c>
      <c r="C6198" t="s">
        <v>15838</v>
      </c>
      <c r="D6198" t="s">
        <v>15837</v>
      </c>
      <c r="E6198" s="2" t="s">
        <v>538</v>
      </c>
      <c r="F6198" t="s">
        <v>8339</v>
      </c>
      <c r="G6198" t="str">
        <f>HYPERLINK("https://www.newspost.kr/news/articleView.html?idxno=214977")</f>
        <v>https://www.newspost.kr/news/articleView.html?idxno=214977</v>
      </c>
      <c r="H6198">
        <v>0.6</v>
      </c>
    </row>
    <row r="6199" spans="1:8" x14ac:dyDescent="0.3">
      <c r="A6199" t="s">
        <v>14761</v>
      </c>
      <c r="B6199" t="s">
        <v>26951</v>
      </c>
      <c r="C6199" t="s">
        <v>15840</v>
      </c>
      <c r="D6199" t="s">
        <v>15839</v>
      </c>
      <c r="E6199" s="2" t="s">
        <v>538</v>
      </c>
      <c r="F6199" t="s">
        <v>7886</v>
      </c>
      <c r="G6199" t="str">
        <f>HYPERLINK("https://n.news.naver.com/mnews/article/055/0000314722?sid=102")</f>
        <v>https://n.news.naver.com/mnews/article/055/0000314722?sid=102</v>
      </c>
      <c r="H6199">
        <v>0.158</v>
      </c>
    </row>
    <row r="6200" spans="1:8" x14ac:dyDescent="0.3">
      <c r="A6200" t="s">
        <v>14761</v>
      </c>
      <c r="B6200" t="s">
        <v>26951</v>
      </c>
      <c r="C6200" t="s">
        <v>15842</v>
      </c>
      <c r="D6200" t="s">
        <v>15841</v>
      </c>
      <c r="E6200" s="2" t="s">
        <v>538</v>
      </c>
      <c r="F6200" t="s">
        <v>10471</v>
      </c>
      <c r="G6200" t="str">
        <f>HYPERLINK("https://n.news.naver.com/mnews/article/006/0000115658?sid=103")</f>
        <v>https://n.news.naver.com/mnews/article/006/0000115658?sid=103</v>
      </c>
      <c r="H6200">
        <v>0.27100000000000002</v>
      </c>
    </row>
    <row r="6201" spans="1:8" x14ac:dyDescent="0.3">
      <c r="A6201" t="s">
        <v>14761</v>
      </c>
      <c r="B6201" t="s">
        <v>26951</v>
      </c>
      <c r="C6201" t="s">
        <v>15845</v>
      </c>
      <c r="D6201" t="s">
        <v>15844</v>
      </c>
      <c r="E6201" s="2" t="s">
        <v>538</v>
      </c>
      <c r="F6201" t="s">
        <v>15843</v>
      </c>
      <c r="G6201" t="str">
        <f>HYPERLINK("https://n.news.naver.com/mnews/article/082/0000938510?sid=102")</f>
        <v>https://n.news.naver.com/mnews/article/082/0000938510?sid=102</v>
      </c>
      <c r="H6201">
        <v>0.27</v>
      </c>
    </row>
    <row r="6202" spans="1:8" x14ac:dyDescent="0.3">
      <c r="A6202" t="s">
        <v>14761</v>
      </c>
      <c r="B6202" t="s">
        <v>26951</v>
      </c>
      <c r="C6202" t="s">
        <v>15847</v>
      </c>
      <c r="D6202" t="s">
        <v>15846</v>
      </c>
      <c r="E6202" s="2" t="s">
        <v>538</v>
      </c>
      <c r="F6202" t="s">
        <v>10172</v>
      </c>
      <c r="G6202" t="str">
        <f>HYPERLINK("https://www.etoday.co.kr/news/view/2478416")</f>
        <v>https://www.etoday.co.kr/news/view/2478416</v>
      </c>
      <c r="H6202">
        <v>0.66800000000000004</v>
      </c>
    </row>
    <row r="6203" spans="1:8" x14ac:dyDescent="0.3">
      <c r="A6203" t="s">
        <v>14761</v>
      </c>
      <c r="B6203" t="s">
        <v>26951</v>
      </c>
      <c r="C6203" t="s">
        <v>15849</v>
      </c>
      <c r="D6203" t="s">
        <v>15848</v>
      </c>
      <c r="E6203" s="2" t="s">
        <v>538</v>
      </c>
      <c r="F6203" t="s">
        <v>9957</v>
      </c>
      <c r="G6203" t="str">
        <f>HYPERLINK("https://n.news.naver.com/mnews/article/081/0003548414?sid=103")</f>
        <v>https://n.news.naver.com/mnews/article/081/0003548414?sid=103</v>
      </c>
      <c r="H6203">
        <v>0.17199999999999999</v>
      </c>
    </row>
    <row r="6204" spans="1:8" x14ac:dyDescent="0.3">
      <c r="A6204" t="s">
        <v>14761</v>
      </c>
      <c r="B6204" t="s">
        <v>26951</v>
      </c>
      <c r="C6204" t="s">
        <v>15852</v>
      </c>
      <c r="D6204" t="s">
        <v>15851</v>
      </c>
      <c r="E6204" s="2" t="s">
        <v>538</v>
      </c>
      <c r="F6204" t="s">
        <v>15850</v>
      </c>
      <c r="G6204" t="str">
        <f>HYPERLINK("https://n.news.naver.com/mnews/article/088/0000509568?sid=102")</f>
        <v>https://n.news.naver.com/mnews/article/088/0000509568?sid=102</v>
      </c>
      <c r="H6204">
        <v>0.20699999999999999</v>
      </c>
    </row>
    <row r="6205" spans="1:8" x14ac:dyDescent="0.3">
      <c r="A6205" t="s">
        <v>14761</v>
      </c>
      <c r="B6205" t="s">
        <v>26951</v>
      </c>
      <c r="C6205" t="s">
        <v>15855</v>
      </c>
      <c r="D6205" t="s">
        <v>15854</v>
      </c>
      <c r="E6205" s="2" t="s">
        <v>538</v>
      </c>
      <c r="F6205" t="s">
        <v>15853</v>
      </c>
      <c r="G6205" t="str">
        <f>HYPERLINK("http://ch.yes24.com/Article/View/32854")</f>
        <v>http://ch.yes24.com/Article/View/32854</v>
      </c>
      <c r="H6205">
        <v>0.52400000000000002</v>
      </c>
    </row>
    <row r="6206" spans="1:8" x14ac:dyDescent="0.3">
      <c r="A6206" t="s">
        <v>14761</v>
      </c>
      <c r="B6206" t="s">
        <v>26951</v>
      </c>
      <c r="C6206" t="s">
        <v>15857</v>
      </c>
      <c r="D6206" t="s">
        <v>15856</v>
      </c>
      <c r="E6206" s="2" t="s">
        <v>538</v>
      </c>
      <c r="F6206" t="s">
        <v>9749</v>
      </c>
      <c r="G6206" t="str">
        <f>HYPERLINK("https://www.ggilbo.com/news/articleView.html?idxno=1097294")</f>
        <v>https://www.ggilbo.com/news/articleView.html?idxno=1097294</v>
      </c>
      <c r="H6206">
        <v>0.47899999999999998</v>
      </c>
    </row>
    <row r="6207" spans="1:8" x14ac:dyDescent="0.3">
      <c r="A6207" t="s">
        <v>14761</v>
      </c>
      <c r="B6207" t="s">
        <v>26951</v>
      </c>
      <c r="C6207" t="s">
        <v>15859</v>
      </c>
      <c r="D6207" t="s">
        <v>15858</v>
      </c>
      <c r="E6207" s="2" t="s">
        <v>538</v>
      </c>
      <c r="F6207" t="s">
        <v>10471</v>
      </c>
      <c r="G6207" t="str">
        <f>HYPERLINK("http://www.kjdaily.com/article.php?aid=1721859757636313227")</f>
        <v>http://www.kjdaily.com/article.php?aid=1721859757636313227</v>
      </c>
      <c r="H6207">
        <v>4.5999999999999999E-2</v>
      </c>
    </row>
    <row r="6208" spans="1:8" x14ac:dyDescent="0.3">
      <c r="A6208" t="s">
        <v>14761</v>
      </c>
      <c r="B6208" t="s">
        <v>26951</v>
      </c>
      <c r="C6208" t="s">
        <v>15861</v>
      </c>
      <c r="D6208" t="s">
        <v>15860</v>
      </c>
      <c r="E6208" s="2" t="s">
        <v>538</v>
      </c>
      <c r="F6208" t="s">
        <v>9944</v>
      </c>
      <c r="G6208" t="str">
        <f>HYPERLINK("http://www.sisamagazine.co.kr/news/articleView.html?idxno=309071")</f>
        <v>http://www.sisamagazine.co.kr/news/articleView.html?idxno=309071</v>
      </c>
      <c r="H6208">
        <v>0.189</v>
      </c>
    </row>
    <row r="6209" spans="1:8" x14ac:dyDescent="0.3">
      <c r="A6209" t="s">
        <v>14761</v>
      </c>
      <c r="B6209" t="s">
        <v>26951</v>
      </c>
      <c r="C6209" t="s">
        <v>15864</v>
      </c>
      <c r="D6209" t="s">
        <v>15863</v>
      </c>
      <c r="E6209" s="2" t="s">
        <v>538</v>
      </c>
      <c r="F6209" t="s">
        <v>15862</v>
      </c>
      <c r="G6209" t="str">
        <f>HYPERLINK("https://n.news.naver.com/mnews/article/056/0011980411?sid=100")</f>
        <v>https://n.news.naver.com/mnews/article/056/0011980411?sid=100</v>
      </c>
      <c r="H6209">
        <v>0.11799999999999999</v>
      </c>
    </row>
    <row r="6210" spans="1:8" x14ac:dyDescent="0.3">
      <c r="A6210" t="s">
        <v>14761</v>
      </c>
      <c r="B6210" t="s">
        <v>26951</v>
      </c>
      <c r="C6210" t="s">
        <v>15866</v>
      </c>
      <c r="D6210" t="s">
        <v>15865</v>
      </c>
      <c r="E6210" s="2" t="s">
        <v>538</v>
      </c>
      <c r="F6210" t="s">
        <v>15008</v>
      </c>
      <c r="G6210" t="str">
        <f>HYPERLINK("http://www.kbmaeil.com/news/articleView.html?idxno=857432")</f>
        <v>http://www.kbmaeil.com/news/articleView.html?idxno=857432</v>
      </c>
      <c r="H6210">
        <v>9.1999999999999998E-2</v>
      </c>
    </row>
    <row r="6211" spans="1:8" x14ac:dyDescent="0.3">
      <c r="A6211" t="s">
        <v>14761</v>
      </c>
      <c r="B6211" t="s">
        <v>26951</v>
      </c>
      <c r="C6211" t="s">
        <v>15869</v>
      </c>
      <c r="D6211" t="s">
        <v>15868</v>
      </c>
      <c r="E6211" s="2" t="s">
        <v>538</v>
      </c>
      <c r="F6211" t="s">
        <v>15867</v>
      </c>
      <c r="G6211" t="str">
        <f>HYPERLINK("https://sports.hankooki.com/news/articleView.html?idxno=6899932")</f>
        <v>https://sports.hankooki.com/news/articleView.html?idxno=6899932</v>
      </c>
      <c r="H6211">
        <v>0.54</v>
      </c>
    </row>
    <row r="6212" spans="1:8" x14ac:dyDescent="0.3">
      <c r="A6212" t="s">
        <v>14761</v>
      </c>
      <c r="B6212" t="s">
        <v>26951</v>
      </c>
      <c r="C6212" t="s">
        <v>15872</v>
      </c>
      <c r="D6212" t="s">
        <v>15871</v>
      </c>
      <c r="E6212" s="2" t="s">
        <v>538</v>
      </c>
      <c r="F6212" t="s">
        <v>15870</v>
      </c>
      <c r="G6212" t="str">
        <f>HYPERLINK("https://www.ekn.kr/web/view.php?key=20250608029543906")</f>
        <v>https://www.ekn.kr/web/view.php?key=20250608029543906</v>
      </c>
      <c r="H6212">
        <v>0.497</v>
      </c>
    </row>
    <row r="6213" spans="1:8" x14ac:dyDescent="0.3">
      <c r="A6213" t="s">
        <v>14761</v>
      </c>
      <c r="B6213" t="s">
        <v>26951</v>
      </c>
      <c r="C6213" t="s">
        <v>15875</v>
      </c>
      <c r="D6213" t="s">
        <v>15874</v>
      </c>
      <c r="E6213" s="2" t="s">
        <v>538</v>
      </c>
      <c r="F6213" t="s">
        <v>15873</v>
      </c>
      <c r="G6213" t="str">
        <f>HYPERLINK("https://www.sportsw.kr/news/newsview.php?ncode=1065579957002638")</f>
        <v>https://www.sportsw.kr/news/newsview.php?ncode=1065579957002638</v>
      </c>
      <c r="H6213">
        <v>0.34300000000000003</v>
      </c>
    </row>
    <row r="6214" spans="1:8" x14ac:dyDescent="0.3">
      <c r="A6214" t="s">
        <v>14761</v>
      </c>
      <c r="B6214" t="s">
        <v>26951</v>
      </c>
      <c r="C6214" t="s">
        <v>15877</v>
      </c>
      <c r="D6214" t="s">
        <v>15876</v>
      </c>
      <c r="E6214" s="2" t="s">
        <v>538</v>
      </c>
      <c r="F6214" t="s">
        <v>171</v>
      </c>
      <c r="G6214" t="str">
        <f>HYPERLINK("https://sports.hankooki.com/news/articleView.html?idxno=6902043")</f>
        <v>https://sports.hankooki.com/news/articleView.html?idxno=6902043</v>
      </c>
      <c r="H6214">
        <v>0.624</v>
      </c>
    </row>
    <row r="6215" spans="1:8" x14ac:dyDescent="0.3">
      <c r="A6215" t="s">
        <v>14761</v>
      </c>
      <c r="B6215" t="s">
        <v>26951</v>
      </c>
      <c r="C6215" t="s">
        <v>15879</v>
      </c>
      <c r="D6215" t="s">
        <v>15878</v>
      </c>
      <c r="E6215" s="2" t="s">
        <v>538</v>
      </c>
      <c r="F6215" t="s">
        <v>15302</v>
      </c>
      <c r="G6215" t="str">
        <f>HYPERLINK("https://www.kpinews.kr/newsView/1065582949530580")</f>
        <v>https://www.kpinews.kr/newsView/1065582949530580</v>
      </c>
      <c r="H6215">
        <v>0.47299999999999998</v>
      </c>
    </row>
    <row r="6216" spans="1:8" x14ac:dyDescent="0.3">
      <c r="A6216" t="s">
        <v>14761</v>
      </c>
      <c r="B6216" t="s">
        <v>26951</v>
      </c>
      <c r="C6216" t="s">
        <v>15881</v>
      </c>
      <c r="D6216" t="s">
        <v>15880</v>
      </c>
      <c r="E6216" s="2" t="s">
        <v>538</v>
      </c>
      <c r="F6216" t="s">
        <v>171</v>
      </c>
      <c r="G6216" t="str">
        <f>HYPERLINK("http://www.kjdaily.com/article.php?aid=1726621819640121227")</f>
        <v>http://www.kjdaily.com/article.php?aid=1726621819640121227</v>
      </c>
      <c r="H6216">
        <v>5.8999999999999997E-2</v>
      </c>
    </row>
    <row r="6217" spans="1:8" x14ac:dyDescent="0.3">
      <c r="A6217" t="s">
        <v>14761</v>
      </c>
      <c r="B6217" t="s">
        <v>26951</v>
      </c>
      <c r="C6217" t="s">
        <v>15884</v>
      </c>
      <c r="D6217" t="s">
        <v>15883</v>
      </c>
      <c r="E6217" s="2" t="s">
        <v>538</v>
      </c>
      <c r="F6217" t="s">
        <v>15882</v>
      </c>
      <c r="H6217">
        <v>0.46899999999999997</v>
      </c>
    </row>
    <row r="6218" spans="1:8" x14ac:dyDescent="0.3">
      <c r="A6218" t="s">
        <v>14761</v>
      </c>
      <c r="B6218" t="s">
        <v>26951</v>
      </c>
      <c r="C6218" t="s">
        <v>15886</v>
      </c>
      <c r="D6218" t="s">
        <v>15885</v>
      </c>
      <c r="E6218" s="2" t="s">
        <v>538</v>
      </c>
      <c r="F6218" t="s">
        <v>171</v>
      </c>
      <c r="G6218" t="str">
        <f>HYPERLINK("http://www.kjdaily.com/article.php?aid=1716337833630773227")</f>
        <v>http://www.kjdaily.com/article.php?aid=1716337833630773227</v>
      </c>
      <c r="H6218">
        <v>7.0999999999999994E-2</v>
      </c>
    </row>
    <row r="6219" spans="1:8" x14ac:dyDescent="0.3">
      <c r="A6219" t="s">
        <v>14761</v>
      </c>
      <c r="B6219" t="s">
        <v>26951</v>
      </c>
      <c r="C6219" t="s">
        <v>15889</v>
      </c>
      <c r="D6219" t="s">
        <v>15888</v>
      </c>
      <c r="E6219" s="2" t="s">
        <v>538</v>
      </c>
      <c r="F6219" t="s">
        <v>15887</v>
      </c>
      <c r="G6219" t="str">
        <f>HYPERLINK("http://www.brainmedia.co.kr/brainWorldMedia/ContentView.aspx?contIdx=19885")</f>
        <v>http://www.brainmedia.co.kr/brainWorldMedia/ContentView.aspx?contIdx=19885</v>
      </c>
      <c r="H6219">
        <v>0.46899999999999997</v>
      </c>
    </row>
    <row r="6220" spans="1:8" x14ac:dyDescent="0.3">
      <c r="A6220" t="s">
        <v>14761</v>
      </c>
      <c r="B6220" t="s">
        <v>26951</v>
      </c>
      <c r="C6220" t="s">
        <v>15892</v>
      </c>
      <c r="D6220" t="s">
        <v>15891</v>
      </c>
      <c r="E6220" s="2" t="s">
        <v>538</v>
      </c>
      <c r="F6220" t="s">
        <v>15890</v>
      </c>
      <c r="G6220" t="str">
        <f>HYPERLINK("https://n.news.naver.com/mnews/article/469/0000869986?sid=103")</f>
        <v>https://n.news.naver.com/mnews/article/469/0000869986?sid=103</v>
      </c>
      <c r="H6220">
        <v>0.161</v>
      </c>
    </row>
    <row r="6221" spans="1:8" x14ac:dyDescent="0.3">
      <c r="A6221" t="s">
        <v>14761</v>
      </c>
      <c r="B6221" t="s">
        <v>26951</v>
      </c>
      <c r="C6221" t="s">
        <v>15895</v>
      </c>
      <c r="D6221" t="s">
        <v>15894</v>
      </c>
      <c r="E6221" s="2" t="s">
        <v>538</v>
      </c>
      <c r="F6221" t="s">
        <v>15893</v>
      </c>
      <c r="G6221" t="str">
        <f>HYPERLINK("http://www.wolyo.co.kr/news/articleView.html?idxno=215115")</f>
        <v>http://www.wolyo.co.kr/news/articleView.html?idxno=215115</v>
      </c>
      <c r="H6221">
        <v>0.41</v>
      </c>
    </row>
    <row r="6222" spans="1:8" x14ac:dyDescent="0.3">
      <c r="A6222" t="s">
        <v>14761</v>
      </c>
      <c r="B6222" t="s">
        <v>26951</v>
      </c>
      <c r="C6222" t="s">
        <v>15898</v>
      </c>
      <c r="D6222" t="s">
        <v>15897</v>
      </c>
      <c r="E6222" s="2" t="s">
        <v>538</v>
      </c>
      <c r="F6222" t="s">
        <v>15896</v>
      </c>
      <c r="G6222" t="str">
        <f>HYPERLINK("http://www.doctorstimes.com/news/articleView.html?idxno=231312")</f>
        <v>http://www.doctorstimes.com/news/articleView.html?idxno=231312</v>
      </c>
      <c r="H6222">
        <v>0.56499999999999995</v>
      </c>
    </row>
    <row r="6223" spans="1:8" x14ac:dyDescent="0.3">
      <c r="A6223" t="s">
        <v>14761</v>
      </c>
      <c r="B6223" t="s">
        <v>26951</v>
      </c>
      <c r="C6223" t="s">
        <v>15900</v>
      </c>
      <c r="D6223" t="s">
        <v>15899</v>
      </c>
      <c r="E6223" s="2" t="s">
        <v>538</v>
      </c>
      <c r="F6223" t="s">
        <v>15120</v>
      </c>
      <c r="G6223" t="str">
        <f>HYPERLINK("https://sports.hankooki.com/news/articleView.html?idxno=6902043")</f>
        <v>https://sports.hankooki.com/news/articleView.html?idxno=6902043</v>
      </c>
      <c r="H6223">
        <v>0.52200000000000002</v>
      </c>
    </row>
    <row r="6224" spans="1:8" x14ac:dyDescent="0.3">
      <c r="A6224" t="s">
        <v>14761</v>
      </c>
      <c r="B6224" t="s">
        <v>26951</v>
      </c>
      <c r="C6224" t="s">
        <v>15903</v>
      </c>
      <c r="D6224" t="s">
        <v>15902</v>
      </c>
      <c r="E6224" s="2" t="s">
        <v>538</v>
      </c>
      <c r="F6224" t="s">
        <v>15901</v>
      </c>
      <c r="G6224" t="str">
        <f>HYPERLINK("http://newsclaim.co.kr/View.aspx?No=1432800")</f>
        <v>http://newsclaim.co.kr/View.aspx?No=1432800</v>
      </c>
      <c r="H6224">
        <v>0.504</v>
      </c>
    </row>
    <row r="6225" spans="1:8" x14ac:dyDescent="0.3">
      <c r="A6225" t="s">
        <v>14761</v>
      </c>
      <c r="B6225" t="s">
        <v>26951</v>
      </c>
      <c r="C6225" t="s">
        <v>15904</v>
      </c>
      <c r="D6225" t="s">
        <v>7628</v>
      </c>
      <c r="E6225" s="2" t="s">
        <v>538</v>
      </c>
      <c r="F6225" t="s">
        <v>7627</v>
      </c>
      <c r="G6225" t="str">
        <f>HYPERLINK("https://www.apnews.kr/news/articleView.html?idxno=3028169")</f>
        <v>https://www.apnews.kr/news/articleView.html?idxno=3028169</v>
      </c>
      <c r="H6225">
        <v>0.20799999999999999</v>
      </c>
    </row>
    <row r="6226" spans="1:8" x14ac:dyDescent="0.3">
      <c r="A6226" t="s">
        <v>14761</v>
      </c>
      <c r="B6226" t="s">
        <v>26951</v>
      </c>
      <c r="C6226" t="s">
        <v>15906</v>
      </c>
      <c r="D6226" t="s">
        <v>15905</v>
      </c>
      <c r="E6226" s="2" t="s">
        <v>538</v>
      </c>
      <c r="F6226" t="s">
        <v>10111</v>
      </c>
      <c r="G6226" t="str">
        <f>HYPERLINK("https://www.jemin.com/news/articleView.html?idxno=817682")</f>
        <v>https://www.jemin.com/news/articleView.html?idxno=817682</v>
      </c>
      <c r="H6226">
        <v>0.189</v>
      </c>
    </row>
    <row r="6227" spans="1:8" x14ac:dyDescent="0.3">
      <c r="A6227" t="s">
        <v>14761</v>
      </c>
      <c r="B6227" t="s">
        <v>26951</v>
      </c>
      <c r="C6227" t="s">
        <v>15909</v>
      </c>
      <c r="D6227" t="s">
        <v>15908</v>
      </c>
      <c r="E6227" s="2" t="s">
        <v>538</v>
      </c>
      <c r="F6227" t="s">
        <v>15907</v>
      </c>
      <c r="G6227" t="str">
        <f>HYPERLINK("https://www.tokenpost.kr/article-201353")</f>
        <v>https://www.tokenpost.kr/article-201353</v>
      </c>
      <c r="H6227">
        <v>0.39200000000000002</v>
      </c>
    </row>
    <row r="6228" spans="1:8" x14ac:dyDescent="0.3">
      <c r="A6228" t="s">
        <v>14761</v>
      </c>
      <c r="B6228" t="s">
        <v>26951</v>
      </c>
      <c r="C6228" t="s">
        <v>15912</v>
      </c>
      <c r="D6228" t="s">
        <v>15911</v>
      </c>
      <c r="E6228" s="2" t="s">
        <v>538</v>
      </c>
      <c r="F6228" t="s">
        <v>15910</v>
      </c>
      <c r="G6228" t="str">
        <f>HYPERLINK("https://www.greened.kr/news/articleView.html?idxno=319335")</f>
        <v>https://www.greened.kr/news/articleView.html?idxno=319335</v>
      </c>
      <c r="H6228">
        <v>0.59699999999999998</v>
      </c>
    </row>
    <row r="6229" spans="1:8" x14ac:dyDescent="0.3">
      <c r="A6229" t="s">
        <v>14761</v>
      </c>
      <c r="B6229" t="s">
        <v>26951</v>
      </c>
      <c r="C6229" t="s">
        <v>15915</v>
      </c>
      <c r="D6229" t="s">
        <v>15914</v>
      </c>
      <c r="E6229" s="2" t="s">
        <v>538</v>
      </c>
      <c r="F6229" t="s">
        <v>15913</v>
      </c>
      <c r="G6229" t="str">
        <f>HYPERLINK("https://www.kukinews.com/article/view/kuk202506100153")</f>
        <v>https://www.kukinews.com/article/view/kuk202506100153</v>
      </c>
      <c r="H6229">
        <v>0.40100000000000002</v>
      </c>
    </row>
    <row r="6230" spans="1:8" x14ac:dyDescent="0.3">
      <c r="A6230" t="s">
        <v>14761</v>
      </c>
      <c r="B6230" t="s">
        <v>26951</v>
      </c>
      <c r="C6230" t="s">
        <v>15917</v>
      </c>
      <c r="D6230" t="s">
        <v>15916</v>
      </c>
      <c r="E6230" s="2" t="s">
        <v>538</v>
      </c>
      <c r="F6230" t="s">
        <v>15292</v>
      </c>
      <c r="G6230" t="str">
        <f>HYPERLINK("https://www.apnews.kr/news/articleView.html?idxno=3025855")</f>
        <v>https://www.apnews.kr/news/articleView.html?idxno=3025855</v>
      </c>
      <c r="H6230">
        <v>0.5</v>
      </c>
    </row>
    <row r="6231" spans="1:8" x14ac:dyDescent="0.3">
      <c r="A6231" t="s">
        <v>14761</v>
      </c>
      <c r="B6231" t="s">
        <v>26951</v>
      </c>
      <c r="C6231" t="s">
        <v>15919</v>
      </c>
      <c r="D6231" t="s">
        <v>15918</v>
      </c>
      <c r="E6231" s="2" t="s">
        <v>538</v>
      </c>
      <c r="F6231" t="s">
        <v>15464</v>
      </c>
      <c r="G6231" t="str">
        <f>HYPERLINK("http://www.newsmp.com/news/articleView.html?idxno=229012")</f>
        <v>http://www.newsmp.com/news/articleView.html?idxno=229012</v>
      </c>
      <c r="H6231">
        <v>0.156</v>
      </c>
    </row>
    <row r="6232" spans="1:8" x14ac:dyDescent="0.3">
      <c r="A6232" t="s">
        <v>14761</v>
      </c>
      <c r="B6232" t="s">
        <v>26951</v>
      </c>
      <c r="C6232" t="s">
        <v>12410</v>
      </c>
      <c r="D6232" t="s">
        <v>12409</v>
      </c>
      <c r="E6232" s="2" t="s">
        <v>538</v>
      </c>
      <c r="F6232" t="s">
        <v>4207</v>
      </c>
      <c r="G6232" t="str">
        <f>HYPERLINK("https://sports.hankooki.com/news/articleView.html?idxno=6901356")</f>
        <v>https://sports.hankooki.com/news/articleView.html?idxno=6901356</v>
      </c>
      <c r="H6232">
        <v>0.66600000000000004</v>
      </c>
    </row>
    <row r="6233" spans="1:8" x14ac:dyDescent="0.3">
      <c r="A6233" t="s">
        <v>14761</v>
      </c>
      <c r="B6233" t="s">
        <v>26951</v>
      </c>
      <c r="C6233" t="s">
        <v>15921</v>
      </c>
      <c r="D6233" t="s">
        <v>15920</v>
      </c>
      <c r="E6233" s="2" t="s">
        <v>538</v>
      </c>
      <c r="F6233" t="s">
        <v>817</v>
      </c>
      <c r="G6233" t="str">
        <f>HYPERLINK("https://sports.hankooki.com/news/articleView.html?idxno=6901211")</f>
        <v>https://sports.hankooki.com/news/articleView.html?idxno=6901211</v>
      </c>
      <c r="H6233">
        <v>0.70099999999999996</v>
      </c>
    </row>
    <row r="6234" spans="1:8" x14ac:dyDescent="0.3">
      <c r="A6234" t="s">
        <v>14761</v>
      </c>
      <c r="B6234" t="s">
        <v>26951</v>
      </c>
      <c r="C6234" t="s">
        <v>15923</v>
      </c>
      <c r="D6234" t="s">
        <v>15922</v>
      </c>
      <c r="E6234" s="2" t="s">
        <v>538</v>
      </c>
      <c r="F6234" t="s">
        <v>11557</v>
      </c>
      <c r="G6234" t="str">
        <f>HYPERLINK("http://www.kjdaily.com/article.php?aid=1726621819640121227")</f>
        <v>http://www.kjdaily.com/article.php?aid=1726621819640121227</v>
      </c>
      <c r="H6234">
        <v>4.3999999999999997E-2</v>
      </c>
    </row>
    <row r="6235" spans="1:8" x14ac:dyDescent="0.3">
      <c r="A6235" t="s">
        <v>14761</v>
      </c>
      <c r="B6235" t="s">
        <v>26951</v>
      </c>
      <c r="C6235" t="s">
        <v>15925</v>
      </c>
      <c r="D6235" t="s">
        <v>15924</v>
      </c>
      <c r="E6235" s="2" t="s">
        <v>538</v>
      </c>
      <c r="F6235" t="s">
        <v>7354</v>
      </c>
      <c r="G6235" t="str">
        <f>HYPERLINK("https://www.ilyoseoul.co.kr/news/articleView.html?idxno=503201")</f>
        <v>https://www.ilyoseoul.co.kr/news/articleView.html?idxno=503201</v>
      </c>
      <c r="H6235">
        <v>0.39600000000000002</v>
      </c>
    </row>
    <row r="6236" spans="1:8" x14ac:dyDescent="0.3">
      <c r="A6236" t="s">
        <v>14761</v>
      </c>
      <c r="B6236" t="s">
        <v>26951</v>
      </c>
      <c r="C6236" t="s">
        <v>15927</v>
      </c>
      <c r="D6236" t="s">
        <v>15926</v>
      </c>
      <c r="E6236" s="2" t="s">
        <v>538</v>
      </c>
      <c r="F6236" t="s">
        <v>3235</v>
      </c>
      <c r="G6236" t="str">
        <f>HYPERLINK("http://www.ggilbo.com/news/articleView.html?idxno=922652")</f>
        <v>http://www.ggilbo.com/news/articleView.html?idxno=922652</v>
      </c>
      <c r="H6236">
        <v>0.50900000000000001</v>
      </c>
    </row>
    <row r="6237" spans="1:8" x14ac:dyDescent="0.3">
      <c r="A6237" t="s">
        <v>14761</v>
      </c>
      <c r="B6237" t="s">
        <v>26951</v>
      </c>
      <c r="C6237" t="s">
        <v>15930</v>
      </c>
      <c r="D6237" t="s">
        <v>15929</v>
      </c>
      <c r="E6237" s="2" t="s">
        <v>538</v>
      </c>
      <c r="F6237" t="s">
        <v>15928</v>
      </c>
      <c r="G6237" t="str">
        <f>HYPERLINK("http://www.dynews.co.kr/news/articleView.html?idxno=625558")</f>
        <v>http://www.dynews.co.kr/news/articleView.html?idxno=625558</v>
      </c>
      <c r="H6237">
        <v>0.56999999999999995</v>
      </c>
    </row>
    <row r="6238" spans="1:8" x14ac:dyDescent="0.3">
      <c r="A6238" t="s">
        <v>14761</v>
      </c>
      <c r="B6238" t="s">
        <v>26951</v>
      </c>
      <c r="C6238" t="s">
        <v>15932</v>
      </c>
      <c r="D6238" t="s">
        <v>15931</v>
      </c>
      <c r="E6238" s="2" t="s">
        <v>572</v>
      </c>
      <c r="F6238" t="s">
        <v>7926</v>
      </c>
      <c r="G6238" t="str">
        <f>HYPERLINK("https://www.etoday.co.kr/news/view/2482169")</f>
        <v>https://www.etoday.co.kr/news/view/2482169</v>
      </c>
      <c r="H6238">
        <v>0.52900000000000003</v>
      </c>
    </row>
    <row r="6239" spans="1:8" x14ac:dyDescent="0.3">
      <c r="A6239" t="s">
        <v>14761</v>
      </c>
      <c r="B6239" t="s">
        <v>26951</v>
      </c>
      <c r="C6239" t="s">
        <v>15934</v>
      </c>
      <c r="D6239" t="s">
        <v>15933</v>
      </c>
      <c r="E6239" s="2" t="s">
        <v>572</v>
      </c>
      <c r="F6239" t="s">
        <v>10172</v>
      </c>
      <c r="G6239" t="str">
        <f>HYPERLINK("https://sports.hankooki.com/news/articleView.html?idxno=6902043")</f>
        <v>https://sports.hankooki.com/news/articleView.html?idxno=6902043</v>
      </c>
      <c r="H6239">
        <v>0.496</v>
      </c>
    </row>
    <row r="6240" spans="1:8" x14ac:dyDescent="0.3">
      <c r="A6240" t="s">
        <v>14761</v>
      </c>
      <c r="B6240" t="s">
        <v>26951</v>
      </c>
      <c r="C6240" t="s">
        <v>15936</v>
      </c>
      <c r="D6240" t="s">
        <v>15935</v>
      </c>
      <c r="E6240" s="2" t="s">
        <v>572</v>
      </c>
      <c r="F6240" t="s">
        <v>5548</v>
      </c>
      <c r="G6240" t="str">
        <f>HYPERLINK("http://www.breaknews.com/sub_read.html?uid=588493&amp;section=sc4")</f>
        <v>http://www.breaknews.com/sub_read.html?uid=588493&amp;section=sc4</v>
      </c>
      <c r="H6240">
        <v>0.4</v>
      </c>
    </row>
    <row r="6241" spans="1:8" x14ac:dyDescent="0.3">
      <c r="A6241" t="s">
        <v>14761</v>
      </c>
      <c r="B6241" t="s">
        <v>26951</v>
      </c>
      <c r="C6241" t="s">
        <v>15938</v>
      </c>
      <c r="D6241" t="s">
        <v>15937</v>
      </c>
      <c r="E6241" s="2" t="s">
        <v>572</v>
      </c>
      <c r="F6241" t="s">
        <v>817</v>
      </c>
      <c r="G6241" t="str">
        <f>HYPERLINK("https://www.ggilbo.com/news/articleView.html?idxno=1097294")</f>
        <v>https://www.ggilbo.com/news/articleView.html?idxno=1097294</v>
      </c>
      <c r="H6241">
        <v>0.442</v>
      </c>
    </row>
    <row r="6242" spans="1:8" x14ac:dyDescent="0.3">
      <c r="A6242" t="s">
        <v>14761</v>
      </c>
      <c r="B6242" t="s">
        <v>26951</v>
      </c>
      <c r="C6242" t="s">
        <v>15940</v>
      </c>
      <c r="D6242" t="s">
        <v>15939</v>
      </c>
      <c r="E6242" s="2" t="s">
        <v>572</v>
      </c>
      <c r="F6242" t="s">
        <v>11313</v>
      </c>
      <c r="G6242" t="str">
        <f>HYPERLINK("https://www.ggilbo.com/news/articleView.html?idxno=1097294")</f>
        <v>https://www.ggilbo.com/news/articleView.html?idxno=1097294</v>
      </c>
      <c r="H6242">
        <v>0.26100000000000001</v>
      </c>
    </row>
    <row r="6243" spans="1:8" x14ac:dyDescent="0.3">
      <c r="A6243" t="s">
        <v>14761</v>
      </c>
      <c r="B6243" t="s">
        <v>26951</v>
      </c>
      <c r="C6243" t="s">
        <v>15943</v>
      </c>
      <c r="D6243" t="s">
        <v>15942</v>
      </c>
      <c r="E6243" s="2" t="s">
        <v>572</v>
      </c>
      <c r="F6243" t="s">
        <v>15941</v>
      </c>
      <c r="G6243" t="str">
        <f>HYPERLINK("https://www.christiantoday.co.kr/news/360129")</f>
        <v>https://www.christiantoday.co.kr/news/360129</v>
      </c>
      <c r="H6243">
        <v>0.64700000000000002</v>
      </c>
    </row>
    <row r="6244" spans="1:8" x14ac:dyDescent="0.3">
      <c r="A6244" t="s">
        <v>14761</v>
      </c>
      <c r="B6244" t="s">
        <v>26951</v>
      </c>
      <c r="C6244" t="s">
        <v>15945</v>
      </c>
      <c r="D6244" t="s">
        <v>15944</v>
      </c>
      <c r="E6244" s="2" t="s">
        <v>572</v>
      </c>
      <c r="F6244" t="s">
        <v>14054</v>
      </c>
      <c r="G6244" t="str">
        <f>HYPERLINK("https://www.jemin.com/news/articleView.html?idxno=811679")</f>
        <v>https://www.jemin.com/news/articleView.html?idxno=811679</v>
      </c>
      <c r="H6244">
        <v>0.56399999999999995</v>
      </c>
    </row>
    <row r="6245" spans="1:8" x14ac:dyDescent="0.3">
      <c r="A6245" t="s">
        <v>14761</v>
      </c>
      <c r="B6245" t="s">
        <v>26951</v>
      </c>
      <c r="C6245" t="s">
        <v>15948</v>
      </c>
      <c r="D6245" t="s">
        <v>15947</v>
      </c>
      <c r="E6245" s="2" t="s">
        <v>572</v>
      </c>
      <c r="F6245" t="s">
        <v>15946</v>
      </c>
      <c r="G6245" t="str">
        <f>HYPERLINK("https://www.lecturernews.com/news/articleView.html?idxno=178339")</f>
        <v>https://www.lecturernews.com/news/articleView.html?idxno=178339</v>
      </c>
      <c r="H6245">
        <v>0.56999999999999995</v>
      </c>
    </row>
    <row r="6246" spans="1:8" x14ac:dyDescent="0.3">
      <c r="A6246" t="s">
        <v>14761</v>
      </c>
      <c r="B6246" t="s">
        <v>26951</v>
      </c>
      <c r="C6246" t="s">
        <v>15950</v>
      </c>
      <c r="D6246" t="s">
        <v>15949</v>
      </c>
      <c r="E6246" s="2" t="s">
        <v>572</v>
      </c>
      <c r="F6246" t="s">
        <v>5087</v>
      </c>
      <c r="G6246" t="str">
        <f>HYPERLINK("https://www.ibabynews.com/news/articleView.html?idxno=85695")</f>
        <v>https://www.ibabynews.com/news/articleView.html?idxno=85695</v>
      </c>
      <c r="H6246">
        <v>0.40300000000000002</v>
      </c>
    </row>
    <row r="6247" spans="1:8" x14ac:dyDescent="0.3">
      <c r="A6247" t="s">
        <v>14761</v>
      </c>
      <c r="B6247" t="s">
        <v>26951</v>
      </c>
      <c r="C6247" t="s">
        <v>15952</v>
      </c>
      <c r="D6247" t="s">
        <v>15951</v>
      </c>
      <c r="E6247" s="2" t="s">
        <v>572</v>
      </c>
      <c r="F6247" t="s">
        <v>10955</v>
      </c>
      <c r="G6247" t="str">
        <f>HYPERLINK("https://www.lecturernews.com/news/articleView.html?idxno=177792")</f>
        <v>https://www.lecturernews.com/news/articleView.html?idxno=177792</v>
      </c>
      <c r="H6247">
        <v>0.85699999999999998</v>
      </c>
    </row>
    <row r="6248" spans="1:8" x14ac:dyDescent="0.3">
      <c r="A6248" t="s">
        <v>14761</v>
      </c>
      <c r="B6248" t="s">
        <v>26951</v>
      </c>
      <c r="C6248" t="s">
        <v>15955</v>
      </c>
      <c r="D6248" t="s">
        <v>15954</v>
      </c>
      <c r="E6248" s="2" t="s">
        <v>572</v>
      </c>
      <c r="F6248" t="s">
        <v>15953</v>
      </c>
      <c r="G6248" t="str">
        <f>HYPERLINK("https://www.fortunekorea.co.kr/news/articleView.html?idxno=48776")</f>
        <v>https://www.fortunekorea.co.kr/news/articleView.html?idxno=48776</v>
      </c>
      <c r="H6248">
        <v>0.151</v>
      </c>
    </row>
    <row r="6249" spans="1:8" x14ac:dyDescent="0.3">
      <c r="A6249" t="s">
        <v>14761</v>
      </c>
      <c r="B6249" t="s">
        <v>26951</v>
      </c>
      <c r="C6249" t="s">
        <v>15958</v>
      </c>
      <c r="D6249" t="s">
        <v>15957</v>
      </c>
      <c r="E6249" s="2" t="s">
        <v>572</v>
      </c>
      <c r="F6249" t="s">
        <v>15956</v>
      </c>
      <c r="G6249" t="str">
        <f>HYPERLINK("http://www.etoday.co.kr/news/section/newsview.php?TM=news&amp;SM=5101&amp;idxno=463866")</f>
        <v>http://www.etoday.co.kr/news/section/newsview.php?TM=news&amp;SM=5101&amp;idxno=463866</v>
      </c>
      <c r="H6249">
        <v>0.51200000000000001</v>
      </c>
    </row>
    <row r="6250" spans="1:8" x14ac:dyDescent="0.3">
      <c r="A6250" t="s">
        <v>14761</v>
      </c>
      <c r="B6250" t="s">
        <v>26951</v>
      </c>
      <c r="C6250" t="s">
        <v>15960</v>
      </c>
      <c r="D6250" t="s">
        <v>15959</v>
      </c>
      <c r="E6250" s="2" t="s">
        <v>572</v>
      </c>
      <c r="F6250" t="s">
        <v>1543</v>
      </c>
      <c r="G6250" t="str">
        <f>HYPERLINK("https://n.news.naver.com/mnews/article/055/0001265237?sid=102")</f>
        <v>https://n.news.naver.com/mnews/article/055/0001265237?sid=102</v>
      </c>
      <c r="H6250">
        <v>0.26</v>
      </c>
    </row>
    <row r="6251" spans="1:8" x14ac:dyDescent="0.3">
      <c r="A6251" t="s">
        <v>14761</v>
      </c>
      <c r="B6251" t="s">
        <v>26951</v>
      </c>
      <c r="C6251" t="s">
        <v>15962</v>
      </c>
      <c r="D6251" t="s">
        <v>15961</v>
      </c>
      <c r="E6251" s="2" t="s">
        <v>572</v>
      </c>
      <c r="F6251" t="s">
        <v>10172</v>
      </c>
      <c r="G6251" t="str">
        <f>HYPERLINK("https://sports.hankooki.com/news/articleView.html?idxno=6902043")</f>
        <v>https://sports.hankooki.com/news/articleView.html?idxno=6902043</v>
      </c>
      <c r="H6251">
        <v>0.41599999999999998</v>
      </c>
    </row>
    <row r="6252" spans="1:8" x14ac:dyDescent="0.3">
      <c r="A6252" t="s">
        <v>14761</v>
      </c>
      <c r="B6252" t="s">
        <v>26951</v>
      </c>
      <c r="C6252" t="s">
        <v>15964</v>
      </c>
      <c r="D6252" t="s">
        <v>15963</v>
      </c>
      <c r="E6252" s="2" t="s">
        <v>572</v>
      </c>
      <c r="F6252" t="s">
        <v>9944</v>
      </c>
      <c r="G6252" t="str">
        <f>HYPERLINK("https://sports.hankooki.com/news/articleView.html?idxno=6898056")</f>
        <v>https://sports.hankooki.com/news/articleView.html?idxno=6898056</v>
      </c>
      <c r="H6252">
        <v>0.50800000000000001</v>
      </c>
    </row>
    <row r="6253" spans="1:8" x14ac:dyDescent="0.3">
      <c r="A6253" t="s">
        <v>14761</v>
      </c>
      <c r="B6253" t="s">
        <v>26951</v>
      </c>
      <c r="C6253" t="s">
        <v>15966</v>
      </c>
      <c r="D6253" t="s">
        <v>15965</v>
      </c>
      <c r="E6253" s="2" t="s">
        <v>572</v>
      </c>
      <c r="F6253" t="s">
        <v>10317</v>
      </c>
      <c r="G6253" t="str">
        <f>HYPERLINK("https://n.news.naver.com/mnews/article/243/0000079995?sid=103")</f>
        <v>https://n.news.naver.com/mnews/article/243/0000079995?sid=103</v>
      </c>
      <c r="H6253">
        <v>0.26600000000000001</v>
      </c>
    </row>
    <row r="6254" spans="1:8" x14ac:dyDescent="0.3">
      <c r="A6254" t="s">
        <v>14761</v>
      </c>
      <c r="B6254" t="s">
        <v>26951</v>
      </c>
      <c r="C6254" t="s">
        <v>11335</v>
      </c>
      <c r="D6254" t="s">
        <v>11334</v>
      </c>
      <c r="E6254" s="2" t="s">
        <v>572</v>
      </c>
      <c r="F6254" t="s">
        <v>11333</v>
      </c>
      <c r="G6254" t="str">
        <f>HYPERLINK("http://www.viva100.com/main/view.php?key=20200625010005678")</f>
        <v>http://www.viva100.com/main/view.php?key=20200625010005678</v>
      </c>
      <c r="H6254">
        <v>0.65800000000000003</v>
      </c>
    </row>
    <row r="6255" spans="1:8" x14ac:dyDescent="0.3">
      <c r="A6255" t="s">
        <v>14761</v>
      </c>
      <c r="B6255" t="s">
        <v>26951</v>
      </c>
      <c r="C6255" t="s">
        <v>15969</v>
      </c>
      <c r="D6255" t="s">
        <v>15968</v>
      </c>
      <c r="E6255" s="2" t="s">
        <v>572</v>
      </c>
      <c r="F6255" t="s">
        <v>15967</v>
      </c>
      <c r="G6255" t="str">
        <f>HYPERLINK("https://www.sejungilbo.com/news/articleView.html?idxno=53750")</f>
        <v>https://www.sejungilbo.com/news/articleView.html?idxno=53750</v>
      </c>
      <c r="H6255">
        <v>0.22600000000000001</v>
      </c>
    </row>
    <row r="6256" spans="1:8" x14ac:dyDescent="0.3">
      <c r="A6256" t="s">
        <v>14761</v>
      </c>
      <c r="B6256" t="s">
        <v>26951</v>
      </c>
      <c r="C6256" t="s">
        <v>15972</v>
      </c>
      <c r="D6256" t="s">
        <v>15971</v>
      </c>
      <c r="E6256" s="2" t="s">
        <v>572</v>
      </c>
      <c r="F6256" t="s">
        <v>15970</v>
      </c>
      <c r="G6256" t="str">
        <f>HYPERLINK("http://www.newsmp.com/news/articleView.html?idxno=246134")</f>
        <v>http://www.newsmp.com/news/articleView.html?idxno=246134</v>
      </c>
      <c r="H6256">
        <v>0.56699999999999995</v>
      </c>
    </row>
    <row r="6257" spans="1:8" x14ac:dyDescent="0.3">
      <c r="A6257" t="s">
        <v>14761</v>
      </c>
      <c r="B6257" t="s">
        <v>26951</v>
      </c>
      <c r="C6257" t="s">
        <v>15974</v>
      </c>
      <c r="D6257" t="s">
        <v>15973</v>
      </c>
      <c r="E6257" s="2" t="s">
        <v>572</v>
      </c>
      <c r="F6257" t="s">
        <v>10021</v>
      </c>
      <c r="G6257" t="str">
        <f>HYPERLINK("https://n.news.naver.com/mnews/article/016/0002487714?sid=103")</f>
        <v>https://n.news.naver.com/mnews/article/016/0002487714?sid=103</v>
      </c>
      <c r="H6257">
        <v>0.24299999999999999</v>
      </c>
    </row>
    <row r="6258" spans="1:8" x14ac:dyDescent="0.3">
      <c r="A6258" t="s">
        <v>14761</v>
      </c>
      <c r="B6258" t="s">
        <v>26951</v>
      </c>
      <c r="C6258" t="s">
        <v>15977</v>
      </c>
      <c r="D6258" t="s">
        <v>15976</v>
      </c>
      <c r="E6258" s="2" t="s">
        <v>572</v>
      </c>
      <c r="F6258" t="s">
        <v>15975</v>
      </c>
      <c r="G6258" t="str">
        <f>HYPERLINK("https://www.laborplus.co.kr/news/articleView.html?idxno=35849")</f>
        <v>https://www.laborplus.co.kr/news/articleView.html?idxno=35849</v>
      </c>
      <c r="H6258">
        <v>0.60699999999999998</v>
      </c>
    </row>
    <row r="6259" spans="1:8" x14ac:dyDescent="0.3">
      <c r="A6259" t="s">
        <v>14761</v>
      </c>
      <c r="B6259" t="s">
        <v>26951</v>
      </c>
      <c r="C6259" t="s">
        <v>15980</v>
      </c>
      <c r="D6259" t="s">
        <v>15979</v>
      </c>
      <c r="E6259" s="2" t="s">
        <v>572</v>
      </c>
      <c r="F6259" t="s">
        <v>15978</v>
      </c>
      <c r="G6259" t="str">
        <f>HYPERLINK("http://www.koreatimes.com/article/1570685")</f>
        <v>http://www.koreatimes.com/article/1570685</v>
      </c>
      <c r="H6259">
        <v>0.13</v>
      </c>
    </row>
    <row r="6260" spans="1:8" x14ac:dyDescent="0.3">
      <c r="A6260" t="s">
        <v>14761</v>
      </c>
      <c r="B6260" t="s">
        <v>26951</v>
      </c>
      <c r="C6260" t="s">
        <v>15982</v>
      </c>
      <c r="D6260" t="s">
        <v>15981</v>
      </c>
      <c r="E6260" s="2" t="s">
        <v>572</v>
      </c>
      <c r="F6260" t="s">
        <v>13797</v>
      </c>
      <c r="G6260" t="str">
        <f>HYPERLINK("https://sports.hankooki.com/news/articleView.html?idxno=6901269")</f>
        <v>https://sports.hankooki.com/news/articleView.html?idxno=6901269</v>
      </c>
      <c r="H6260">
        <v>0.33300000000000002</v>
      </c>
    </row>
    <row r="6261" spans="1:8" x14ac:dyDescent="0.3">
      <c r="A6261" t="s">
        <v>14761</v>
      </c>
      <c r="B6261" t="s">
        <v>26951</v>
      </c>
      <c r="C6261" t="s">
        <v>15984</v>
      </c>
      <c r="D6261" t="s">
        <v>15983</v>
      </c>
      <c r="E6261" s="2" t="s">
        <v>572</v>
      </c>
      <c r="F6261" t="s">
        <v>10543</v>
      </c>
      <c r="G6261" t="str">
        <f>HYPERLINK("https://sports.hankooki.com/news/articleView.html?idxno=6902462")</f>
        <v>https://sports.hankooki.com/news/articleView.html?idxno=6902462</v>
      </c>
      <c r="H6261">
        <v>0.504</v>
      </c>
    </row>
    <row r="6262" spans="1:8" x14ac:dyDescent="0.3">
      <c r="A6262" t="s">
        <v>14761</v>
      </c>
      <c r="B6262" t="s">
        <v>26951</v>
      </c>
      <c r="C6262" t="s">
        <v>15986</v>
      </c>
      <c r="D6262" t="s">
        <v>15985</v>
      </c>
      <c r="E6262" s="2" t="s">
        <v>572</v>
      </c>
      <c r="F6262" t="s">
        <v>4733</v>
      </c>
      <c r="G6262" t="str">
        <f>HYPERLINK("http://www.sisaweek.com/news/curationView.html?idxno=132316")</f>
        <v>http://www.sisaweek.com/news/curationView.html?idxno=132316</v>
      </c>
      <c r="H6262">
        <v>0.505</v>
      </c>
    </row>
    <row r="6263" spans="1:8" x14ac:dyDescent="0.3">
      <c r="A6263" t="s">
        <v>14761</v>
      </c>
      <c r="B6263" t="s">
        <v>26951</v>
      </c>
      <c r="C6263" t="s">
        <v>15988</v>
      </c>
      <c r="D6263" t="s">
        <v>15987</v>
      </c>
      <c r="E6263" s="2" t="s">
        <v>572</v>
      </c>
      <c r="F6263" t="s">
        <v>1206</v>
      </c>
      <c r="G6263" t="str">
        <f>HYPERLINK("https://n.news.naver.com/mnews/article/014/0005362014?sid=101")</f>
        <v>https://n.news.naver.com/mnews/article/014/0005362014?sid=101</v>
      </c>
      <c r="H6263">
        <v>0.24199999999999999</v>
      </c>
    </row>
    <row r="6264" spans="1:8" x14ac:dyDescent="0.3">
      <c r="A6264" t="s">
        <v>14761</v>
      </c>
      <c r="B6264" t="s">
        <v>26951</v>
      </c>
      <c r="C6264" t="s">
        <v>15990</v>
      </c>
      <c r="D6264" t="s">
        <v>15989</v>
      </c>
      <c r="E6264" s="2" t="s">
        <v>572</v>
      </c>
      <c r="F6264" t="s">
        <v>10029</v>
      </c>
      <c r="G6264" t="str">
        <f>HYPERLINK("https://n.news.naver.com/mnews/article/028/0002744830?sid=103")</f>
        <v>https://n.news.naver.com/mnews/article/028/0002744830?sid=103</v>
      </c>
      <c r="H6264">
        <v>0.184</v>
      </c>
    </row>
    <row r="6265" spans="1:8" x14ac:dyDescent="0.3">
      <c r="A6265" t="s">
        <v>14761</v>
      </c>
      <c r="B6265" t="s">
        <v>26951</v>
      </c>
      <c r="C6265" t="s">
        <v>15991</v>
      </c>
      <c r="D6265" t="s">
        <v>15959</v>
      </c>
      <c r="E6265" s="2" t="s">
        <v>572</v>
      </c>
      <c r="F6265" t="s">
        <v>3679</v>
      </c>
      <c r="G6265" t="str">
        <f>HYPERLINK("https://n.news.naver.com/mnews/article/055/0001265237?sid=102")</f>
        <v>https://n.news.naver.com/mnews/article/055/0001265237?sid=102</v>
      </c>
      <c r="H6265">
        <v>0.255</v>
      </c>
    </row>
    <row r="6266" spans="1:8" x14ac:dyDescent="0.3">
      <c r="A6266" t="s">
        <v>14761</v>
      </c>
      <c r="B6266" t="s">
        <v>26951</v>
      </c>
      <c r="C6266" t="s">
        <v>15994</v>
      </c>
      <c r="D6266" t="s">
        <v>15993</v>
      </c>
      <c r="E6266" s="2" t="s">
        <v>572</v>
      </c>
      <c r="F6266" t="s">
        <v>15992</v>
      </c>
      <c r="G6266" t="str">
        <f>HYPERLINK("https://n.news.naver.com/mnews/article/052/0002192488?sid=154")</f>
        <v>https://n.news.naver.com/mnews/article/052/0002192488?sid=154</v>
      </c>
      <c r="H6266">
        <v>0.153</v>
      </c>
    </row>
    <row r="6267" spans="1:8" x14ac:dyDescent="0.3">
      <c r="A6267" t="s">
        <v>14761</v>
      </c>
      <c r="B6267" t="s">
        <v>26951</v>
      </c>
      <c r="C6267" t="s">
        <v>15996</v>
      </c>
      <c r="D6267" t="s">
        <v>15995</v>
      </c>
      <c r="E6267" s="2" t="s">
        <v>572</v>
      </c>
      <c r="F6267" t="s">
        <v>11313</v>
      </c>
      <c r="G6267" t="str">
        <f>HYPERLINK("https://www.ggilbo.com/news/articleView.html?idxno=1097294")</f>
        <v>https://www.ggilbo.com/news/articleView.html?idxno=1097294</v>
      </c>
      <c r="H6267">
        <v>0.40100000000000002</v>
      </c>
    </row>
    <row r="6268" spans="1:8" x14ac:dyDescent="0.3">
      <c r="A6268" t="s">
        <v>14761</v>
      </c>
      <c r="B6268" t="s">
        <v>26951</v>
      </c>
      <c r="C6268" t="s">
        <v>11396</v>
      </c>
      <c r="D6268" t="s">
        <v>11395</v>
      </c>
      <c r="E6268" s="2" t="s">
        <v>572</v>
      </c>
      <c r="F6268" t="s">
        <v>11394</v>
      </c>
      <c r="G6268" t="str">
        <f>HYPERLINK("http://www.ggilbo.com/news/articleView.html?idxno=701020")</f>
        <v>http://www.ggilbo.com/news/articleView.html?idxno=701020</v>
      </c>
      <c r="H6268">
        <v>0.55700000000000005</v>
      </c>
    </row>
    <row r="6269" spans="1:8" x14ac:dyDescent="0.3">
      <c r="A6269" t="s">
        <v>14761</v>
      </c>
      <c r="B6269" t="s">
        <v>26951</v>
      </c>
      <c r="C6269" t="s">
        <v>15999</v>
      </c>
      <c r="D6269" t="s">
        <v>15998</v>
      </c>
      <c r="E6269" s="2" t="s">
        <v>572</v>
      </c>
      <c r="F6269" t="s">
        <v>15997</v>
      </c>
      <c r="G6269" t="str">
        <f>HYPERLINK("https://www.joongangenews.com/news/articleView.html?idxno=430660")</f>
        <v>https://www.joongangenews.com/news/articleView.html?idxno=430660</v>
      </c>
      <c r="H6269">
        <v>0.248</v>
      </c>
    </row>
    <row r="6270" spans="1:8" x14ac:dyDescent="0.3">
      <c r="A6270" t="s">
        <v>14761</v>
      </c>
      <c r="B6270" t="s">
        <v>26951</v>
      </c>
      <c r="C6270" t="s">
        <v>16001</v>
      </c>
      <c r="D6270" t="s">
        <v>16000</v>
      </c>
      <c r="E6270" s="2" t="s">
        <v>572</v>
      </c>
      <c r="F6270" t="s">
        <v>15353</v>
      </c>
      <c r="G6270" t="str">
        <f>HYPERLINK("http://www.seoulwire.com/news/articleView.html?idxno=655159")</f>
        <v>http://www.seoulwire.com/news/articleView.html?idxno=655159</v>
      </c>
      <c r="H6270">
        <v>0.91200000000000003</v>
      </c>
    </row>
    <row r="6271" spans="1:8" x14ac:dyDescent="0.3">
      <c r="A6271" t="s">
        <v>14761</v>
      </c>
      <c r="B6271" t="s">
        <v>26951</v>
      </c>
      <c r="C6271" t="s">
        <v>16004</v>
      </c>
      <c r="D6271" t="s">
        <v>16003</v>
      </c>
      <c r="E6271" s="2" t="s">
        <v>572</v>
      </c>
      <c r="F6271" t="s">
        <v>16002</v>
      </c>
      <c r="G6271" t="str">
        <f>HYPERLINK("http://www.siminsori.com/news/articleView.html?idxno=279714")</f>
        <v>http://www.siminsori.com/news/articleView.html?idxno=279714</v>
      </c>
      <c r="H6271">
        <v>0.36199999999999999</v>
      </c>
    </row>
    <row r="6272" spans="1:8" x14ac:dyDescent="0.3">
      <c r="A6272" t="s">
        <v>14761</v>
      </c>
      <c r="B6272" t="s">
        <v>26951</v>
      </c>
      <c r="C6272" t="s">
        <v>16006</v>
      </c>
      <c r="D6272" t="s">
        <v>16005</v>
      </c>
      <c r="E6272" s="2" t="s">
        <v>572</v>
      </c>
      <c r="F6272" t="s">
        <v>63</v>
      </c>
      <c r="G6272" t="str">
        <f>HYPERLINK("http://dream.kotra.or.kr/kotranews/cms/news/actionKotraBoardDetail.do?SITE_NO=3&amp;MENU_ID=200&amp;CONTENTS_NO=1&amp;bbsGbn=403&amp;bbsSn=403&amp;pNttSn=227444")</f>
        <v>http://dream.kotra.or.kr/kotranews/cms/news/actionKotraBoardDetail.do?SITE_NO=3&amp;MENU_ID=200&amp;CONTENTS_NO=1&amp;bbsGbn=403&amp;bbsSn=403&amp;pNttSn=227444</v>
      </c>
      <c r="H6272">
        <v>0.35499999999999998</v>
      </c>
    </row>
    <row r="6273" spans="1:8" x14ac:dyDescent="0.3">
      <c r="A6273" t="s">
        <v>14761</v>
      </c>
      <c r="B6273" t="s">
        <v>26951</v>
      </c>
      <c r="C6273" t="s">
        <v>16008</v>
      </c>
      <c r="D6273" t="s">
        <v>16007</v>
      </c>
      <c r="E6273" s="2" t="s">
        <v>572</v>
      </c>
      <c r="F6273" t="s">
        <v>3235</v>
      </c>
      <c r="G6273" t="str">
        <f>HYPERLINK("https://www.joongangenews.com/news/articleView.html?idxno=424942")</f>
        <v>https://www.joongangenews.com/news/articleView.html?idxno=424942</v>
      </c>
      <c r="H6273">
        <v>0.78700000000000003</v>
      </c>
    </row>
    <row r="6274" spans="1:8" x14ac:dyDescent="0.3">
      <c r="A6274" t="s">
        <v>14761</v>
      </c>
      <c r="B6274" t="s">
        <v>26951</v>
      </c>
      <c r="C6274" t="s">
        <v>16011</v>
      </c>
      <c r="D6274" t="s">
        <v>16010</v>
      </c>
      <c r="E6274" s="2" t="s">
        <v>572</v>
      </c>
      <c r="F6274" t="s">
        <v>16009</v>
      </c>
      <c r="G6274" t="str">
        <f>HYPERLINK("https://www.jemin.com/news/articleView.html?idxno=812667")</f>
        <v>https://www.jemin.com/news/articleView.html?idxno=812667</v>
      </c>
      <c r="H6274">
        <v>0.49099999999999999</v>
      </c>
    </row>
    <row r="6275" spans="1:8" x14ac:dyDescent="0.3">
      <c r="A6275" t="s">
        <v>14761</v>
      </c>
      <c r="B6275" t="s">
        <v>26951</v>
      </c>
      <c r="C6275" t="s">
        <v>16014</v>
      </c>
      <c r="D6275" t="s">
        <v>16013</v>
      </c>
      <c r="E6275" s="2" t="s">
        <v>452</v>
      </c>
      <c r="F6275" t="s">
        <v>16012</v>
      </c>
      <c r="G6275" t="str">
        <f>HYPERLINK("https://n.news.naver.com/mnews/article/469/0000873174?sid=102")</f>
        <v>https://n.news.naver.com/mnews/article/469/0000873174?sid=102</v>
      </c>
      <c r="H6275">
        <v>0.14399999999999999</v>
      </c>
    </row>
    <row r="6276" spans="1:8" x14ac:dyDescent="0.3">
      <c r="A6276" t="s">
        <v>14761</v>
      </c>
      <c r="B6276" t="s">
        <v>26951</v>
      </c>
      <c r="C6276" t="s">
        <v>16016</v>
      </c>
      <c r="D6276" t="s">
        <v>16015</v>
      </c>
      <c r="E6276" s="2" t="s">
        <v>452</v>
      </c>
      <c r="F6276" t="s">
        <v>10021</v>
      </c>
      <c r="G6276" t="str">
        <f>HYPERLINK("https://www.jemin.com/news/articleView.html?idxno=792861")</f>
        <v>https://www.jemin.com/news/articleView.html?idxno=792861</v>
      </c>
      <c r="H6276">
        <v>0.48499999999999999</v>
      </c>
    </row>
    <row r="6277" spans="1:8" x14ac:dyDescent="0.3">
      <c r="A6277" t="s">
        <v>14761</v>
      </c>
      <c r="B6277" t="s">
        <v>26951</v>
      </c>
      <c r="C6277" t="s">
        <v>16019</v>
      </c>
      <c r="D6277" t="s">
        <v>16018</v>
      </c>
      <c r="E6277" s="2" t="s">
        <v>452</v>
      </c>
      <c r="F6277" t="s">
        <v>16017</v>
      </c>
      <c r="G6277" t="str">
        <f>HYPERLINK("https://n.news.naver.com/mnews/article/052/0002162962?sid=103")</f>
        <v>https://n.news.naver.com/mnews/article/052/0002162962?sid=103</v>
      </c>
      <c r="H6277">
        <v>0.26700000000000002</v>
      </c>
    </row>
    <row r="6278" spans="1:8" x14ac:dyDescent="0.3">
      <c r="A6278" t="s">
        <v>14761</v>
      </c>
      <c r="B6278" t="s">
        <v>26951</v>
      </c>
      <c r="C6278" t="s">
        <v>16022</v>
      </c>
      <c r="D6278" t="s">
        <v>16021</v>
      </c>
      <c r="E6278" s="2" t="s">
        <v>452</v>
      </c>
      <c r="F6278" t="s">
        <v>16020</v>
      </c>
      <c r="G6278" t="str">
        <f>HYPERLINK("http://www.ifm.kr/news/310984")</f>
        <v>http://www.ifm.kr/news/310984</v>
      </c>
      <c r="H6278">
        <v>0.28799999999999998</v>
      </c>
    </row>
    <row r="6279" spans="1:8" x14ac:dyDescent="0.3">
      <c r="A6279" t="s">
        <v>14761</v>
      </c>
      <c r="B6279" t="s">
        <v>26951</v>
      </c>
      <c r="C6279" t="s">
        <v>16025</v>
      </c>
      <c r="D6279" t="s">
        <v>16024</v>
      </c>
      <c r="E6279" s="2" t="s">
        <v>452</v>
      </c>
      <c r="F6279" t="s">
        <v>16023</v>
      </c>
      <c r="G6279" t="str">
        <f>HYPERLINK("http://kor.theasian.asia/archives/385086")</f>
        <v>http://kor.theasian.asia/archives/385086</v>
      </c>
      <c r="H6279">
        <v>0.28199999999999997</v>
      </c>
    </row>
    <row r="6280" spans="1:8" x14ac:dyDescent="0.3">
      <c r="A6280" t="s">
        <v>14761</v>
      </c>
      <c r="B6280" t="s">
        <v>26951</v>
      </c>
      <c r="C6280" t="s">
        <v>16027</v>
      </c>
      <c r="D6280" t="s">
        <v>16026</v>
      </c>
      <c r="E6280" s="2" t="s">
        <v>452</v>
      </c>
      <c r="F6280" t="s">
        <v>9786</v>
      </c>
      <c r="G6280" t="str">
        <f>HYPERLINK("http://www.ilyoseoul.co.kr/news/articleView.html?idxno=113618")</f>
        <v>http://www.ilyoseoul.co.kr/news/articleView.html?idxno=113618</v>
      </c>
      <c r="H6280">
        <v>9.2999999999999999E-2</v>
      </c>
    </row>
    <row r="6281" spans="1:8" x14ac:dyDescent="0.3">
      <c r="A6281" t="s">
        <v>14761</v>
      </c>
      <c r="B6281" t="s">
        <v>26951</v>
      </c>
      <c r="C6281" t="s">
        <v>16029</v>
      </c>
      <c r="D6281" t="s">
        <v>16028</v>
      </c>
      <c r="E6281" s="2" t="s">
        <v>452</v>
      </c>
      <c r="F6281" t="s">
        <v>961</v>
      </c>
      <c r="G6281" t="str">
        <f>HYPERLINK("https://n.news.naver.com/mnews/article/016/0002485241?sid=100")</f>
        <v>https://n.news.naver.com/mnews/article/016/0002485241?sid=100</v>
      </c>
      <c r="H6281">
        <v>0.22600000000000001</v>
      </c>
    </row>
    <row r="6282" spans="1:8" x14ac:dyDescent="0.3">
      <c r="A6282" t="s">
        <v>14761</v>
      </c>
      <c r="B6282" t="s">
        <v>26951</v>
      </c>
      <c r="C6282" t="s">
        <v>16031</v>
      </c>
      <c r="D6282" t="s">
        <v>16030</v>
      </c>
      <c r="E6282" s="2" t="s">
        <v>452</v>
      </c>
      <c r="F6282" t="s">
        <v>10111</v>
      </c>
      <c r="G6282" t="str">
        <f>HYPERLINK("http://www.chungnamilbo.co.kr/news/articleView.html?idxno=836780")</f>
        <v>http://www.chungnamilbo.co.kr/news/articleView.html?idxno=836780</v>
      </c>
      <c r="H6282">
        <v>0.26900000000000002</v>
      </c>
    </row>
    <row r="6283" spans="1:8" x14ac:dyDescent="0.3">
      <c r="A6283" t="s">
        <v>14761</v>
      </c>
      <c r="B6283" t="s">
        <v>26951</v>
      </c>
      <c r="C6283" t="s">
        <v>16033</v>
      </c>
      <c r="D6283" t="s">
        <v>16032</v>
      </c>
      <c r="E6283" s="2" t="s">
        <v>452</v>
      </c>
      <c r="F6283" t="s">
        <v>7550</v>
      </c>
      <c r="G6283" t="str">
        <f>HYPERLINK("https://www.kpinews.kr/newsView/1065597793711789")</f>
        <v>https://www.kpinews.kr/newsView/1065597793711789</v>
      </c>
      <c r="H6283">
        <v>0.748</v>
      </c>
    </row>
    <row r="6284" spans="1:8" x14ac:dyDescent="0.3">
      <c r="A6284" t="s">
        <v>14761</v>
      </c>
      <c r="B6284" t="s">
        <v>26951</v>
      </c>
      <c r="C6284" t="s">
        <v>16035</v>
      </c>
      <c r="D6284" t="s">
        <v>16034</v>
      </c>
      <c r="E6284" s="2" t="s">
        <v>452</v>
      </c>
      <c r="F6284" t="s">
        <v>5548</v>
      </c>
      <c r="G6284" t="str">
        <f>HYPERLINK("http://www.updownnews.co.kr/news/articleView.html?idxno=73517")</f>
        <v>http://www.updownnews.co.kr/news/articleView.html?idxno=73517</v>
      </c>
      <c r="H6284">
        <v>0.39600000000000002</v>
      </c>
    </row>
    <row r="6285" spans="1:8" x14ac:dyDescent="0.3">
      <c r="A6285" t="s">
        <v>14761</v>
      </c>
      <c r="B6285" t="s">
        <v>26951</v>
      </c>
      <c r="C6285" t="s">
        <v>16038</v>
      </c>
      <c r="D6285" t="s">
        <v>16037</v>
      </c>
      <c r="E6285" s="2" t="s">
        <v>452</v>
      </c>
      <c r="F6285" t="s">
        <v>16036</v>
      </c>
      <c r="G6285" t="str">
        <f>HYPERLINK("http://fpn119.co.kr/224247")</f>
        <v>http://fpn119.co.kr/224247</v>
      </c>
      <c r="H6285">
        <v>0.64800000000000002</v>
      </c>
    </row>
    <row r="6286" spans="1:8" x14ac:dyDescent="0.3">
      <c r="A6286" t="s">
        <v>14761</v>
      </c>
      <c r="B6286" t="s">
        <v>26951</v>
      </c>
      <c r="C6286" t="s">
        <v>16040</v>
      </c>
      <c r="D6286" t="s">
        <v>16039</v>
      </c>
      <c r="E6286" s="2" t="s">
        <v>452</v>
      </c>
      <c r="F6286" t="s">
        <v>5548</v>
      </c>
      <c r="G6286" t="str">
        <f>HYPERLINK("https://sports.hankooki.com/news/articleView.html?idxno=6880674")</f>
        <v>https://sports.hankooki.com/news/articleView.html?idxno=6880674</v>
      </c>
      <c r="H6286">
        <v>0.40600000000000003</v>
      </c>
    </row>
    <row r="6287" spans="1:8" x14ac:dyDescent="0.3">
      <c r="A6287" t="s">
        <v>14761</v>
      </c>
      <c r="B6287" t="s">
        <v>26951</v>
      </c>
      <c r="C6287" t="s">
        <v>16042</v>
      </c>
      <c r="D6287" t="s">
        <v>16041</v>
      </c>
      <c r="E6287" s="2" t="s">
        <v>452</v>
      </c>
      <c r="F6287" t="s">
        <v>4119</v>
      </c>
      <c r="G6287" t="str">
        <f>HYPERLINK("https://n.news.naver.com/mnews/article/032/0002848186?sid=110")</f>
        <v>https://n.news.naver.com/mnews/article/032/0002848186?sid=110</v>
      </c>
      <c r="H6287">
        <v>0.20100000000000001</v>
      </c>
    </row>
    <row r="6288" spans="1:8" x14ac:dyDescent="0.3">
      <c r="A6288" t="s">
        <v>14761</v>
      </c>
      <c r="B6288" t="s">
        <v>26951</v>
      </c>
      <c r="C6288" t="s">
        <v>16044</v>
      </c>
      <c r="D6288" t="s">
        <v>16043</v>
      </c>
      <c r="E6288" s="2" t="s">
        <v>452</v>
      </c>
      <c r="F6288" t="s">
        <v>15873</v>
      </c>
      <c r="G6288" t="str">
        <f>HYPERLINK("https://ditoday.com/drama-marketing/")</f>
        <v>https://ditoday.com/drama-marketing/</v>
      </c>
      <c r="H6288">
        <v>0.54700000000000004</v>
      </c>
    </row>
    <row r="6289" spans="1:8" x14ac:dyDescent="0.3">
      <c r="A6289" t="s">
        <v>14761</v>
      </c>
      <c r="B6289" t="s">
        <v>26951</v>
      </c>
      <c r="C6289" t="s">
        <v>16047</v>
      </c>
      <c r="D6289" t="s">
        <v>16046</v>
      </c>
      <c r="E6289" s="2" t="s">
        <v>452</v>
      </c>
      <c r="F6289" t="s">
        <v>16045</v>
      </c>
      <c r="G6289" t="str">
        <f>HYPERLINK("https://www.etoday.co.kr/news/view/2477306")</f>
        <v>https://www.etoday.co.kr/news/view/2477306</v>
      </c>
      <c r="H6289">
        <v>0.223</v>
      </c>
    </row>
    <row r="6290" spans="1:8" x14ac:dyDescent="0.3">
      <c r="A6290" t="s">
        <v>14761</v>
      </c>
      <c r="B6290" t="s">
        <v>26951</v>
      </c>
      <c r="C6290" t="s">
        <v>16050</v>
      </c>
      <c r="D6290" t="s">
        <v>16049</v>
      </c>
      <c r="E6290" s="2" t="s">
        <v>452</v>
      </c>
      <c r="F6290" t="s">
        <v>16048</v>
      </c>
      <c r="G6290" t="str">
        <f>HYPERLINK("http://www.samdailbo.com/news/articleView.html?idxno=232638")</f>
        <v>http://www.samdailbo.com/news/articleView.html?idxno=232638</v>
      </c>
      <c r="H6290">
        <v>0.39100000000000001</v>
      </c>
    </row>
    <row r="6291" spans="1:8" x14ac:dyDescent="0.3">
      <c r="A6291" t="s">
        <v>14761</v>
      </c>
      <c r="B6291" t="s">
        <v>26951</v>
      </c>
      <c r="C6291" t="s">
        <v>16052</v>
      </c>
      <c r="D6291" t="s">
        <v>16051</v>
      </c>
      <c r="E6291" s="2" t="s">
        <v>452</v>
      </c>
      <c r="F6291" t="s">
        <v>5548</v>
      </c>
      <c r="G6291" t="str">
        <f>HYPERLINK("https://www.jemin.com/news/articleView.html?idxno=790142")</f>
        <v>https://www.jemin.com/news/articleView.html?idxno=790142</v>
      </c>
      <c r="H6291">
        <v>0.379</v>
      </c>
    </row>
    <row r="6292" spans="1:8" x14ac:dyDescent="0.3">
      <c r="A6292" t="s">
        <v>14761</v>
      </c>
      <c r="B6292" t="s">
        <v>26951</v>
      </c>
      <c r="C6292" t="s">
        <v>16054</v>
      </c>
      <c r="D6292" t="s">
        <v>16053</v>
      </c>
      <c r="E6292" s="2" t="s">
        <v>452</v>
      </c>
      <c r="F6292" t="s">
        <v>10471</v>
      </c>
      <c r="G6292" t="str">
        <f>HYPERLINK("http://www.pdjournal.com/news/articleView.html?idxno=22755")</f>
        <v>http://www.pdjournal.com/news/articleView.html?idxno=22755</v>
      </c>
      <c r="H6292">
        <v>0.52300000000000002</v>
      </c>
    </row>
    <row r="6293" spans="1:8" x14ac:dyDescent="0.3">
      <c r="A6293" t="s">
        <v>14761</v>
      </c>
      <c r="B6293" t="s">
        <v>26951</v>
      </c>
      <c r="C6293" t="s">
        <v>16056</v>
      </c>
      <c r="D6293" t="s">
        <v>16055</v>
      </c>
      <c r="E6293" s="2" t="s">
        <v>452</v>
      </c>
      <c r="F6293" t="s">
        <v>5548</v>
      </c>
      <c r="G6293" t="str">
        <f>HYPERLINK("https://www.joongangenews.com/news/articleView.html?idxno=427431")</f>
        <v>https://www.joongangenews.com/news/articleView.html?idxno=427431</v>
      </c>
      <c r="H6293">
        <v>0.70399999999999996</v>
      </c>
    </row>
    <row r="6294" spans="1:8" x14ac:dyDescent="0.3">
      <c r="A6294" t="s">
        <v>14761</v>
      </c>
      <c r="B6294" t="s">
        <v>26951</v>
      </c>
      <c r="C6294" t="s">
        <v>16058</v>
      </c>
      <c r="D6294" t="s">
        <v>16057</v>
      </c>
      <c r="E6294" s="2" t="s">
        <v>452</v>
      </c>
      <c r="F6294" t="s">
        <v>5000</v>
      </c>
      <c r="G6294" t="str">
        <f>HYPERLINK("https://n.news.naver.com/mnews/article/044/0000187878?sid=004")</f>
        <v>https://n.news.naver.com/mnews/article/044/0000187878?sid=004</v>
      </c>
      <c r="H6294">
        <v>0.17299999999999999</v>
      </c>
    </row>
    <row r="6295" spans="1:8" x14ac:dyDescent="0.3">
      <c r="A6295" t="s">
        <v>14761</v>
      </c>
      <c r="B6295" t="s">
        <v>26951</v>
      </c>
      <c r="C6295" t="s">
        <v>16060</v>
      </c>
      <c r="D6295" t="s">
        <v>16059</v>
      </c>
      <c r="E6295" s="2" t="s">
        <v>452</v>
      </c>
      <c r="F6295" t="s">
        <v>6438</v>
      </c>
      <c r="G6295" t="str">
        <f>HYPERLINK("http://www.lecturernews.com/news/articleView.html?idxno=81184")</f>
        <v>http://www.lecturernews.com/news/articleView.html?idxno=81184</v>
      </c>
      <c r="H6295">
        <v>0.44</v>
      </c>
    </row>
    <row r="6296" spans="1:8" x14ac:dyDescent="0.3">
      <c r="A6296" t="s">
        <v>14761</v>
      </c>
      <c r="B6296" t="s">
        <v>26951</v>
      </c>
      <c r="C6296" t="s">
        <v>16062</v>
      </c>
      <c r="D6296" t="s">
        <v>16061</v>
      </c>
      <c r="E6296" s="2" t="s">
        <v>452</v>
      </c>
      <c r="F6296" t="s">
        <v>5548</v>
      </c>
      <c r="G6296" t="str">
        <f>HYPERLINK("https://sports.hankooki.com/news/articleView.html?idxno=6880674")</f>
        <v>https://sports.hankooki.com/news/articleView.html?idxno=6880674</v>
      </c>
      <c r="H6296">
        <v>0.45900000000000002</v>
      </c>
    </row>
    <row r="6297" spans="1:8" x14ac:dyDescent="0.3">
      <c r="A6297" t="s">
        <v>14761</v>
      </c>
      <c r="B6297" t="s">
        <v>26951</v>
      </c>
      <c r="C6297" t="s">
        <v>16065</v>
      </c>
      <c r="D6297" t="s">
        <v>16064</v>
      </c>
      <c r="E6297" s="2" t="s">
        <v>452</v>
      </c>
      <c r="F6297" t="s">
        <v>16063</v>
      </c>
      <c r="G6297" t="str">
        <f>HYPERLINK("http://www.sisaon.co.kr/news/articleView.html?idxno=150489")</f>
        <v>http://www.sisaon.co.kr/news/articleView.html?idxno=150489</v>
      </c>
      <c r="H6297">
        <v>0.59799999999999998</v>
      </c>
    </row>
    <row r="6298" spans="1:8" x14ac:dyDescent="0.3">
      <c r="A6298" t="s">
        <v>14761</v>
      </c>
      <c r="B6298" t="s">
        <v>26951</v>
      </c>
      <c r="C6298" t="s">
        <v>16067</v>
      </c>
      <c r="D6298" t="s">
        <v>16066</v>
      </c>
      <c r="E6298" s="2" t="s">
        <v>452</v>
      </c>
      <c r="F6298" t="s">
        <v>11045</v>
      </c>
      <c r="G6298" t="str">
        <f>HYPERLINK("https://www.lecturernews.com/news/articleView.html?idxno=180528")</f>
        <v>https://www.lecturernews.com/news/articleView.html?idxno=180528</v>
      </c>
      <c r="H6298">
        <v>0.60799999999999998</v>
      </c>
    </row>
    <row r="6299" spans="1:8" x14ac:dyDescent="0.3">
      <c r="A6299" t="s">
        <v>14761</v>
      </c>
      <c r="B6299" t="s">
        <v>26951</v>
      </c>
      <c r="C6299" t="s">
        <v>16069</v>
      </c>
      <c r="D6299" t="s">
        <v>16068</v>
      </c>
      <c r="E6299" s="2" t="s">
        <v>452</v>
      </c>
      <c r="F6299" t="s">
        <v>10172</v>
      </c>
      <c r="G6299" t="str">
        <f>HYPERLINK("https://www.etoday.co.kr/news/view/2402261")</f>
        <v>https://www.etoday.co.kr/news/view/2402261</v>
      </c>
      <c r="H6299">
        <v>0.39800000000000002</v>
      </c>
    </row>
    <row r="6300" spans="1:8" x14ac:dyDescent="0.3">
      <c r="A6300" t="s">
        <v>14761</v>
      </c>
      <c r="B6300" t="s">
        <v>26951</v>
      </c>
      <c r="C6300" t="s">
        <v>16071</v>
      </c>
      <c r="D6300" t="s">
        <v>16070</v>
      </c>
      <c r="E6300" s="2" t="s">
        <v>452</v>
      </c>
      <c r="F6300" t="s">
        <v>7322</v>
      </c>
      <c r="G6300" t="str">
        <f>HYPERLINK("https://n.news.naver.com/mnews/article/055/0001266393?sid=102")</f>
        <v>https://n.news.naver.com/mnews/article/055/0001266393?sid=102</v>
      </c>
      <c r="H6300">
        <v>8.2000000000000003E-2</v>
      </c>
    </row>
    <row r="6301" spans="1:8" x14ac:dyDescent="0.3">
      <c r="A6301" t="s">
        <v>14761</v>
      </c>
      <c r="B6301" t="s">
        <v>26951</v>
      </c>
      <c r="C6301" t="s">
        <v>16073</v>
      </c>
      <c r="D6301" t="s">
        <v>16072</v>
      </c>
      <c r="E6301" s="2" t="s">
        <v>452</v>
      </c>
      <c r="F6301" t="s">
        <v>10341</v>
      </c>
      <c r="G6301" t="str">
        <f>HYPERLINK("https://www.huffingtonpost.kr/news/articleView.html?idxno=218708")</f>
        <v>https://www.huffingtonpost.kr/news/articleView.html?idxno=218708</v>
      </c>
      <c r="H6301">
        <v>0.41599999999999998</v>
      </c>
    </row>
    <row r="6302" spans="1:8" x14ac:dyDescent="0.3">
      <c r="A6302" t="s">
        <v>14761</v>
      </c>
      <c r="B6302" t="s">
        <v>26951</v>
      </c>
      <c r="C6302" t="s">
        <v>16074</v>
      </c>
      <c r="D6302" t="s">
        <v>16026</v>
      </c>
      <c r="E6302" s="2" t="s">
        <v>452</v>
      </c>
      <c r="F6302" t="s">
        <v>9786</v>
      </c>
      <c r="G6302" t="str">
        <f>HYPERLINK("http://www.ilyoseoul.co.kr/news/articleView.html?idxno=113618")</f>
        <v>http://www.ilyoseoul.co.kr/news/articleView.html?idxno=113618</v>
      </c>
      <c r="H6302">
        <v>9.2999999999999999E-2</v>
      </c>
    </row>
    <row r="6303" spans="1:8" x14ac:dyDescent="0.3">
      <c r="A6303" t="s">
        <v>14761</v>
      </c>
      <c r="B6303" t="s">
        <v>26951</v>
      </c>
      <c r="C6303" t="s">
        <v>16076</v>
      </c>
      <c r="D6303" t="s">
        <v>16075</v>
      </c>
      <c r="E6303" s="2" t="s">
        <v>452</v>
      </c>
      <c r="F6303" t="s">
        <v>9786</v>
      </c>
      <c r="G6303" t="str">
        <f>HYPERLINK("https://m.entertain.naver.com/article/076/0000049382")</f>
        <v>https://m.entertain.naver.com/article/076/0000049382</v>
      </c>
      <c r="H6303">
        <v>4.9000000000000002E-2</v>
      </c>
    </row>
    <row r="6304" spans="1:8" x14ac:dyDescent="0.3">
      <c r="A6304" t="s">
        <v>14761</v>
      </c>
      <c r="B6304" t="s">
        <v>26951</v>
      </c>
      <c r="C6304" t="s">
        <v>16078</v>
      </c>
      <c r="D6304" t="s">
        <v>16077</v>
      </c>
      <c r="E6304" s="2" t="s">
        <v>452</v>
      </c>
      <c r="F6304" t="s">
        <v>9944</v>
      </c>
      <c r="G6304" t="str">
        <f>HYPERLINK("https://n.news.naver.com/mnews/article/056/0011498572?sid=101")</f>
        <v>https://n.news.naver.com/mnews/article/056/0011498572?sid=101</v>
      </c>
      <c r="H6304">
        <v>0.251</v>
      </c>
    </row>
    <row r="6305" spans="1:8" x14ac:dyDescent="0.3">
      <c r="A6305" t="s">
        <v>14761</v>
      </c>
      <c r="B6305" t="s">
        <v>26951</v>
      </c>
      <c r="C6305" t="s">
        <v>16080</v>
      </c>
      <c r="D6305" t="s">
        <v>16079</v>
      </c>
      <c r="E6305" s="2" t="s">
        <v>452</v>
      </c>
      <c r="F6305" t="s">
        <v>15257</v>
      </c>
      <c r="G6305" t="str">
        <f>HYPERLINK("https://www.lecturernews.com/news/articleView.html?idxno=180528")</f>
        <v>https://www.lecturernews.com/news/articleView.html?idxno=180528</v>
      </c>
      <c r="H6305">
        <v>0.72099999999999997</v>
      </c>
    </row>
    <row r="6306" spans="1:8" x14ac:dyDescent="0.3">
      <c r="A6306" t="s">
        <v>14761</v>
      </c>
      <c r="B6306" t="s">
        <v>26951</v>
      </c>
      <c r="C6306" t="s">
        <v>16082</v>
      </c>
      <c r="D6306" t="s">
        <v>16081</v>
      </c>
      <c r="E6306" s="2" t="s">
        <v>452</v>
      </c>
      <c r="F6306" t="s">
        <v>10301</v>
      </c>
      <c r="G6306" t="str">
        <f>HYPERLINK("https://n.news.naver.com/mnews/article/079/0004040421?sid=103")</f>
        <v>https://n.news.naver.com/mnews/article/079/0004040421?sid=103</v>
      </c>
      <c r="H6306">
        <v>0.184</v>
      </c>
    </row>
    <row r="6307" spans="1:8" x14ac:dyDescent="0.3">
      <c r="A6307" t="s">
        <v>14761</v>
      </c>
      <c r="B6307" t="s">
        <v>26951</v>
      </c>
      <c r="C6307" t="s">
        <v>16085</v>
      </c>
      <c r="D6307" t="s">
        <v>16084</v>
      </c>
      <c r="E6307" s="2" t="s">
        <v>452</v>
      </c>
      <c r="F6307" t="s">
        <v>16083</v>
      </c>
      <c r="G6307" t="str">
        <f>HYPERLINK("http://www.doctorstimes.com/news/articleView.html?idxno=226577")</f>
        <v>http://www.doctorstimes.com/news/articleView.html?idxno=226577</v>
      </c>
      <c r="H6307">
        <v>0.57499999999999996</v>
      </c>
    </row>
    <row r="6308" spans="1:8" x14ac:dyDescent="0.3">
      <c r="A6308" t="s">
        <v>14761</v>
      </c>
      <c r="B6308" t="s">
        <v>26951</v>
      </c>
      <c r="C6308" t="s">
        <v>16087</v>
      </c>
      <c r="D6308" t="s">
        <v>16086</v>
      </c>
      <c r="E6308" s="2" t="s">
        <v>452</v>
      </c>
      <c r="F6308" t="s">
        <v>15211</v>
      </c>
      <c r="G6308" t="str">
        <f>HYPERLINK("http://gamefocus.co.kr/detail.php?number=166122")</f>
        <v>http://gamefocus.co.kr/detail.php?number=166122</v>
      </c>
      <c r="H6308">
        <v>0.254</v>
      </c>
    </row>
    <row r="6309" spans="1:8" x14ac:dyDescent="0.3">
      <c r="A6309" t="s">
        <v>14761</v>
      </c>
      <c r="B6309" t="s">
        <v>26951</v>
      </c>
      <c r="C6309" t="s">
        <v>16089</v>
      </c>
      <c r="D6309" t="s">
        <v>16088</v>
      </c>
      <c r="E6309" s="2" t="s">
        <v>452</v>
      </c>
      <c r="F6309" t="s">
        <v>10111</v>
      </c>
      <c r="G6309" t="str">
        <f>HYPERLINK("https://www.jemin.com/news/articleView.html?idxno=817682")</f>
        <v>https://www.jemin.com/news/articleView.html?idxno=817682</v>
      </c>
      <c r="H6309">
        <v>0.224</v>
      </c>
    </row>
    <row r="6310" spans="1:8" x14ac:dyDescent="0.3">
      <c r="A6310" t="s">
        <v>14761</v>
      </c>
      <c r="B6310" t="s">
        <v>26951</v>
      </c>
      <c r="C6310" t="s">
        <v>16092</v>
      </c>
      <c r="D6310" t="s">
        <v>16091</v>
      </c>
      <c r="E6310" s="2" t="s">
        <v>452</v>
      </c>
      <c r="F6310" t="s">
        <v>16090</v>
      </c>
      <c r="G6310" t="str">
        <f>HYPERLINK("http://www.sisamagazine.co.kr/news/articleView.html?idxno=405852")</f>
        <v>http://www.sisamagazine.co.kr/news/articleView.html?idxno=405852</v>
      </c>
      <c r="H6310">
        <v>0.17299999999999999</v>
      </c>
    </row>
    <row r="6311" spans="1:8" x14ac:dyDescent="0.3">
      <c r="A6311" t="s">
        <v>14761</v>
      </c>
      <c r="B6311" t="s">
        <v>26951</v>
      </c>
      <c r="C6311" t="s">
        <v>16094</v>
      </c>
      <c r="D6311" t="s">
        <v>16093</v>
      </c>
      <c r="E6311" s="2" t="s">
        <v>452</v>
      </c>
      <c r="F6311" t="s">
        <v>13462</v>
      </c>
      <c r="G6311" t="str">
        <f>HYPERLINK("https://n.news.naver.com/mnews/article/052/0002119210?sid=102")</f>
        <v>https://n.news.naver.com/mnews/article/052/0002119210?sid=102</v>
      </c>
      <c r="H6311">
        <v>0.14000000000000001</v>
      </c>
    </row>
    <row r="6312" spans="1:8" x14ac:dyDescent="0.3">
      <c r="A6312" t="s">
        <v>14761</v>
      </c>
      <c r="B6312" t="s">
        <v>26951</v>
      </c>
      <c r="C6312" t="s">
        <v>16096</v>
      </c>
      <c r="D6312" t="s">
        <v>16095</v>
      </c>
      <c r="E6312" s="2" t="s">
        <v>452</v>
      </c>
      <c r="F6312" t="s">
        <v>16090</v>
      </c>
      <c r="G6312" t="str">
        <f>HYPERLINK("http://www.ibulgyo.com/news/articleView.html?idxno=414133")</f>
        <v>http://www.ibulgyo.com/news/articleView.html?idxno=414133</v>
      </c>
      <c r="H6312">
        <v>0.30299999999999999</v>
      </c>
    </row>
    <row r="6313" spans="1:8" x14ac:dyDescent="0.3">
      <c r="A6313" t="s">
        <v>14761</v>
      </c>
      <c r="B6313" t="s">
        <v>26951</v>
      </c>
      <c r="C6313" t="s">
        <v>16099</v>
      </c>
      <c r="D6313" t="s">
        <v>16098</v>
      </c>
      <c r="E6313" s="2" t="s">
        <v>452</v>
      </c>
      <c r="F6313" t="s">
        <v>16097</v>
      </c>
      <c r="G6313" t="str">
        <f>HYPERLINK("http://www.breaknews.com/1129047")</f>
        <v>http://www.breaknews.com/1129047</v>
      </c>
      <c r="H6313">
        <v>0.246</v>
      </c>
    </row>
    <row r="6314" spans="1:8" x14ac:dyDescent="0.3">
      <c r="A6314" t="s">
        <v>14761</v>
      </c>
      <c r="B6314" t="s">
        <v>26951</v>
      </c>
      <c r="C6314" t="s">
        <v>16102</v>
      </c>
      <c r="D6314" t="s">
        <v>16101</v>
      </c>
      <c r="E6314" s="2" t="s">
        <v>452</v>
      </c>
      <c r="F6314" t="s">
        <v>16100</v>
      </c>
      <c r="G6314" t="str">
        <f>HYPERLINK("https://n.news.naver.com/mnews/article/028/0002543603?sid=103")</f>
        <v>https://n.news.naver.com/mnews/article/028/0002543603?sid=103</v>
      </c>
      <c r="H6314">
        <v>0.26600000000000001</v>
      </c>
    </row>
    <row r="6315" spans="1:8" x14ac:dyDescent="0.3">
      <c r="A6315" t="s">
        <v>14761</v>
      </c>
      <c r="B6315" t="s">
        <v>26951</v>
      </c>
      <c r="C6315" t="s">
        <v>16105</v>
      </c>
      <c r="D6315" t="s">
        <v>16104</v>
      </c>
      <c r="E6315" s="2" t="s">
        <v>452</v>
      </c>
      <c r="F6315" t="s">
        <v>16103</v>
      </c>
      <c r="G6315" t="str">
        <f>HYPERLINK("https://ch.yes24.com/Article/View/55734")</f>
        <v>https://ch.yes24.com/Article/View/55734</v>
      </c>
      <c r="H6315">
        <v>0.54400000000000004</v>
      </c>
    </row>
    <row r="6316" spans="1:8" x14ac:dyDescent="0.3">
      <c r="A6316" t="s">
        <v>14761</v>
      </c>
      <c r="B6316" t="s">
        <v>26951</v>
      </c>
      <c r="C6316" t="s">
        <v>16107</v>
      </c>
      <c r="D6316" t="s">
        <v>16106</v>
      </c>
      <c r="E6316" s="2" t="s">
        <v>452</v>
      </c>
      <c r="F6316" t="s">
        <v>9039</v>
      </c>
      <c r="G6316" t="str">
        <f>HYPERLINK("http://www.issuenbiz.com/news/articleView.html?idxno=62143")</f>
        <v>http://www.issuenbiz.com/news/articleView.html?idxno=62143</v>
      </c>
      <c r="H6316">
        <v>0.97499999999999998</v>
      </c>
    </row>
    <row r="6317" spans="1:8" x14ac:dyDescent="0.3">
      <c r="A6317" t="s">
        <v>14761</v>
      </c>
      <c r="B6317" t="s">
        <v>26951</v>
      </c>
      <c r="C6317" t="s">
        <v>16109</v>
      </c>
      <c r="D6317" t="s">
        <v>16108</v>
      </c>
      <c r="E6317" s="2" t="s">
        <v>452</v>
      </c>
      <c r="F6317" t="s">
        <v>13900</v>
      </c>
      <c r="G6317" t="str">
        <f>HYPERLINK("http://www.enewstoday.co.kr/news/articleView.html?idxno=2290071")</f>
        <v>http://www.enewstoday.co.kr/news/articleView.html?idxno=2290071</v>
      </c>
      <c r="H6317">
        <v>0.85399999999999998</v>
      </c>
    </row>
    <row r="6318" spans="1:8" x14ac:dyDescent="0.3">
      <c r="A6318" t="s">
        <v>14761</v>
      </c>
      <c r="B6318" t="s">
        <v>26951</v>
      </c>
      <c r="C6318" t="s">
        <v>16111</v>
      </c>
      <c r="D6318" t="s">
        <v>16110</v>
      </c>
      <c r="E6318" s="2" t="s">
        <v>452</v>
      </c>
      <c r="F6318" t="s">
        <v>10021</v>
      </c>
      <c r="G6318" t="str">
        <f>HYPERLINK("https://www.joongangenews.com/news/articleView.html?idxno=412152")</f>
        <v>https://www.joongangenews.com/news/articleView.html?idxno=412152</v>
      </c>
      <c r="H6318">
        <v>0.34799999999999998</v>
      </c>
    </row>
    <row r="6319" spans="1:8" x14ac:dyDescent="0.3">
      <c r="A6319" t="s">
        <v>14761</v>
      </c>
      <c r="B6319" t="s">
        <v>26951</v>
      </c>
      <c r="C6319" t="s">
        <v>16113</v>
      </c>
      <c r="D6319" t="s">
        <v>16112</v>
      </c>
      <c r="E6319" s="2" t="s">
        <v>452</v>
      </c>
      <c r="F6319" t="s">
        <v>5087</v>
      </c>
      <c r="G6319" t="str">
        <f>HYPERLINK("https://n.news.naver.com/mnews/article/277/0005607909?sid=102")</f>
        <v>https://n.news.naver.com/mnews/article/277/0005607909?sid=102</v>
      </c>
      <c r="H6319">
        <v>0.23200000000000001</v>
      </c>
    </row>
    <row r="6320" spans="1:8" x14ac:dyDescent="0.3">
      <c r="A6320" t="s">
        <v>14761</v>
      </c>
      <c r="B6320" t="s">
        <v>26951</v>
      </c>
      <c r="C6320" t="s">
        <v>16115</v>
      </c>
      <c r="D6320" t="s">
        <v>16114</v>
      </c>
      <c r="E6320" s="2" t="s">
        <v>452</v>
      </c>
      <c r="F6320" t="s">
        <v>10783</v>
      </c>
      <c r="G6320" t="str">
        <f>HYPERLINK("http://kor.theasian.asia/archives/386664")</f>
        <v>http://kor.theasian.asia/archives/386664</v>
      </c>
      <c r="H6320">
        <v>0.248</v>
      </c>
    </row>
    <row r="6321" spans="1:8" x14ac:dyDescent="0.3">
      <c r="A6321" t="s">
        <v>14761</v>
      </c>
      <c r="B6321" t="s">
        <v>26951</v>
      </c>
      <c r="C6321" t="s">
        <v>16116</v>
      </c>
      <c r="D6321" t="s">
        <v>7628</v>
      </c>
      <c r="E6321" s="2" t="s">
        <v>452</v>
      </c>
      <c r="F6321" t="s">
        <v>7627</v>
      </c>
      <c r="G6321" t="str">
        <f>HYPERLINK("https://www.apnews.kr/news/articleView.html?idxno=3028169")</f>
        <v>https://www.apnews.kr/news/articleView.html?idxno=3028169</v>
      </c>
      <c r="H6321">
        <v>0.21</v>
      </c>
    </row>
    <row r="6322" spans="1:8" x14ac:dyDescent="0.3">
      <c r="A6322" t="s">
        <v>14761</v>
      </c>
      <c r="B6322" t="s">
        <v>26951</v>
      </c>
      <c r="C6322" t="s">
        <v>16118</v>
      </c>
      <c r="D6322" t="s">
        <v>16117</v>
      </c>
      <c r="E6322" s="2" t="s">
        <v>452</v>
      </c>
      <c r="F6322" t="s">
        <v>7621</v>
      </c>
      <c r="G6322" t="str">
        <f>HYPERLINK("https://www.apnews.kr/news/articleView.html?idxno=3029960")</f>
        <v>https://www.apnews.kr/news/articleView.html?idxno=3029960</v>
      </c>
      <c r="H6322">
        <v>0.23799999999999999</v>
      </c>
    </row>
    <row r="6323" spans="1:8" x14ac:dyDescent="0.3">
      <c r="A6323" t="s">
        <v>14761</v>
      </c>
      <c r="B6323" t="s">
        <v>26951</v>
      </c>
      <c r="C6323" t="s">
        <v>16120</v>
      </c>
      <c r="D6323" t="s">
        <v>16119</v>
      </c>
      <c r="E6323" s="2" t="s">
        <v>452</v>
      </c>
      <c r="F6323" t="s">
        <v>4695</v>
      </c>
      <c r="G6323" t="str">
        <f>HYPERLINK("https://www.lecturernews.com/news/articleView.html?idxno=117772")</f>
        <v>https://www.lecturernews.com/news/articleView.html?idxno=117772</v>
      </c>
      <c r="H6323">
        <v>0.25700000000000001</v>
      </c>
    </row>
    <row r="6324" spans="1:8" x14ac:dyDescent="0.3">
      <c r="A6324" t="s">
        <v>14761</v>
      </c>
      <c r="B6324" t="s">
        <v>26951</v>
      </c>
      <c r="C6324" t="s">
        <v>16122</v>
      </c>
      <c r="D6324" t="s">
        <v>16121</v>
      </c>
      <c r="E6324" s="2" t="s">
        <v>452</v>
      </c>
      <c r="F6324" t="s">
        <v>15975</v>
      </c>
      <c r="G6324" t="str">
        <f>HYPERLINK("https://www.laborplus.co.kr/news/articleView.html?idxno=35849")</f>
        <v>https://www.laborplus.co.kr/news/articleView.html?idxno=35849</v>
      </c>
      <c r="H6324">
        <v>0.57999999999999996</v>
      </c>
    </row>
    <row r="6325" spans="1:8" x14ac:dyDescent="0.3">
      <c r="A6325" t="s">
        <v>14761</v>
      </c>
      <c r="B6325" t="s">
        <v>26951</v>
      </c>
      <c r="C6325" t="s">
        <v>16124</v>
      </c>
      <c r="D6325" t="s">
        <v>16123</v>
      </c>
      <c r="E6325" s="2" t="s">
        <v>452</v>
      </c>
      <c r="F6325" t="s">
        <v>7635</v>
      </c>
      <c r="G6325" t="str">
        <f>HYPERLINK("http://www.pdjournal.com/news/articleView.html?idxno=20411")</f>
        <v>http://www.pdjournal.com/news/articleView.html?idxno=20411</v>
      </c>
      <c r="H6325">
        <v>0.39500000000000002</v>
      </c>
    </row>
    <row r="6326" spans="1:8" x14ac:dyDescent="0.3">
      <c r="A6326" t="s">
        <v>14761</v>
      </c>
      <c r="B6326" t="s">
        <v>26951</v>
      </c>
      <c r="C6326" t="s">
        <v>16126</v>
      </c>
      <c r="D6326" t="s">
        <v>16125</v>
      </c>
      <c r="E6326" s="2" t="s">
        <v>452</v>
      </c>
      <c r="F6326" t="s">
        <v>160</v>
      </c>
      <c r="G6326" t="str">
        <f>HYPERLINK("https://sports.hankooki.com/news/articleView.html?idxno=6900749")</f>
        <v>https://sports.hankooki.com/news/articleView.html?idxno=6900749</v>
      </c>
      <c r="H6326">
        <v>0.63700000000000001</v>
      </c>
    </row>
    <row r="6327" spans="1:8" x14ac:dyDescent="0.3">
      <c r="A6327" t="s">
        <v>14761</v>
      </c>
      <c r="B6327" t="s">
        <v>26951</v>
      </c>
      <c r="C6327" t="s">
        <v>16129</v>
      </c>
      <c r="D6327" t="s">
        <v>16128</v>
      </c>
      <c r="E6327" s="2" t="s">
        <v>452</v>
      </c>
      <c r="F6327" t="s">
        <v>16127</v>
      </c>
      <c r="G6327" t="str">
        <f>HYPERLINK("http://www.nbntv.co.kr/news/articleView.html?idxno=908326")</f>
        <v>http://www.nbntv.co.kr/news/articleView.html?idxno=908326</v>
      </c>
      <c r="H6327">
        <v>0.38200000000000001</v>
      </c>
    </row>
    <row r="6328" spans="1:8" x14ac:dyDescent="0.3">
      <c r="A6328" t="s">
        <v>14761</v>
      </c>
      <c r="B6328" t="s">
        <v>26951</v>
      </c>
      <c r="C6328" t="s">
        <v>16131</v>
      </c>
      <c r="D6328" t="s">
        <v>16130</v>
      </c>
      <c r="E6328" s="2" t="s">
        <v>452</v>
      </c>
      <c r="F6328" t="s">
        <v>14882</v>
      </c>
      <c r="G6328" t="str">
        <f>HYPERLINK("https://www.lecturernews.com/news/articleView.html?idxno=180400")</f>
        <v>https://www.lecturernews.com/news/articleView.html?idxno=180400</v>
      </c>
      <c r="H6328">
        <v>0.56899999999999995</v>
      </c>
    </row>
    <row r="6329" spans="1:8" x14ac:dyDescent="0.3">
      <c r="A6329" t="s">
        <v>14761</v>
      </c>
      <c r="B6329" t="s">
        <v>26951</v>
      </c>
      <c r="C6329" t="s">
        <v>16133</v>
      </c>
      <c r="D6329" t="s">
        <v>16132</v>
      </c>
      <c r="E6329" s="2" t="s">
        <v>452</v>
      </c>
      <c r="F6329" t="s">
        <v>8074</v>
      </c>
      <c r="G6329" t="str">
        <f>HYPERLINK("https://n.news.naver.com/mnews/article/006/0000130657?sid=103")</f>
        <v>https://n.news.naver.com/mnews/article/006/0000130657?sid=103</v>
      </c>
      <c r="H6329">
        <v>0.14199999999999999</v>
      </c>
    </row>
    <row r="6330" spans="1:8" x14ac:dyDescent="0.3">
      <c r="A6330" t="s">
        <v>14761</v>
      </c>
      <c r="B6330" t="s">
        <v>26951</v>
      </c>
      <c r="C6330" t="s">
        <v>16135</v>
      </c>
      <c r="D6330" t="s">
        <v>16134</v>
      </c>
      <c r="E6330" s="2" t="s">
        <v>452</v>
      </c>
      <c r="F6330" t="s">
        <v>12705</v>
      </c>
      <c r="G6330" t="str">
        <f>HYPERLINK("https://www.jemin.com/news/articleView.html?idxno=813412")</f>
        <v>https://www.jemin.com/news/articleView.html?idxno=813412</v>
      </c>
      <c r="H6330">
        <v>0.82699999999999996</v>
      </c>
    </row>
    <row r="6331" spans="1:8" x14ac:dyDescent="0.3">
      <c r="A6331" t="s">
        <v>14761</v>
      </c>
      <c r="B6331" t="s">
        <v>26951</v>
      </c>
      <c r="C6331" t="s">
        <v>16138</v>
      </c>
      <c r="D6331" t="s">
        <v>16137</v>
      </c>
      <c r="E6331" s="2" t="s">
        <v>452</v>
      </c>
      <c r="F6331" t="s">
        <v>4119</v>
      </c>
      <c r="G6331" t="str">
        <f>HYPERLINK("https://n.news.naver.com/mnews/article/014/0003383258")</f>
        <v>https://n.news.naver.com/mnews/article/014/0003383258</v>
      </c>
      <c r="H6331">
        <v>0.16900000000000001</v>
      </c>
    </row>
    <row r="6332" spans="1:8" x14ac:dyDescent="0.3">
      <c r="A6332" t="s">
        <v>14761</v>
      </c>
      <c r="B6332" t="s">
        <v>26951</v>
      </c>
      <c r="C6332" t="s">
        <v>16141</v>
      </c>
      <c r="D6332" t="s">
        <v>16140</v>
      </c>
      <c r="E6332" s="2" t="s">
        <v>452</v>
      </c>
      <c r="F6332" t="s">
        <v>16139</v>
      </c>
      <c r="G6332" t="str">
        <f>HYPERLINK("https://n.news.naver.com/mnews/article/055/0001072372?sid=101")</f>
        <v>https://n.news.naver.com/mnews/article/055/0001072372?sid=101</v>
      </c>
      <c r="H6332">
        <v>0.105</v>
      </c>
    </row>
    <row r="6333" spans="1:8" x14ac:dyDescent="0.3">
      <c r="A6333" t="s">
        <v>14761</v>
      </c>
      <c r="B6333" t="s">
        <v>26951</v>
      </c>
      <c r="C6333" t="s">
        <v>16143</v>
      </c>
      <c r="D6333" t="s">
        <v>16142</v>
      </c>
      <c r="E6333" s="2" t="s">
        <v>452</v>
      </c>
      <c r="F6333" t="s">
        <v>3235</v>
      </c>
      <c r="G6333" t="str">
        <f>HYPERLINK("https://www.jemin.com/news/articleView.html?idxno=798636")</f>
        <v>https://www.jemin.com/news/articleView.html?idxno=798636</v>
      </c>
      <c r="H6333">
        <v>0.317</v>
      </c>
    </row>
    <row r="6334" spans="1:8" x14ac:dyDescent="0.3">
      <c r="A6334" t="s">
        <v>14761</v>
      </c>
      <c r="B6334" t="s">
        <v>26951</v>
      </c>
      <c r="C6334" t="s">
        <v>16145</v>
      </c>
      <c r="D6334" t="s">
        <v>16144</v>
      </c>
      <c r="E6334" s="2" t="s">
        <v>452</v>
      </c>
      <c r="F6334" t="s">
        <v>5548</v>
      </c>
      <c r="G6334" t="str">
        <f>HYPERLINK("https://sports.hankooki.com/news/articleView.html?idxno=6886427")</f>
        <v>https://sports.hankooki.com/news/articleView.html?idxno=6886427</v>
      </c>
      <c r="H6334">
        <v>0.45400000000000001</v>
      </c>
    </row>
    <row r="6335" spans="1:8" x14ac:dyDescent="0.3">
      <c r="A6335" t="s">
        <v>14761</v>
      </c>
      <c r="B6335" t="s">
        <v>26951</v>
      </c>
      <c r="C6335" t="s">
        <v>16148</v>
      </c>
      <c r="D6335" t="s">
        <v>16147</v>
      </c>
      <c r="E6335" s="2" t="s">
        <v>452</v>
      </c>
      <c r="F6335" t="s">
        <v>16146</v>
      </c>
      <c r="G6335" t="str">
        <f>HYPERLINK("http://www.hansbiz.co.kr/news/articleView.html?idxno=751391")</f>
        <v>http://www.hansbiz.co.kr/news/articleView.html?idxno=751391</v>
      </c>
      <c r="H6335">
        <v>0.36299999999999999</v>
      </c>
    </row>
    <row r="6336" spans="1:8" x14ac:dyDescent="0.3">
      <c r="A6336" t="s">
        <v>14761</v>
      </c>
      <c r="B6336" t="s">
        <v>26951</v>
      </c>
      <c r="C6336" t="s">
        <v>16150</v>
      </c>
      <c r="D6336" t="s">
        <v>16149</v>
      </c>
      <c r="E6336" s="2" t="s">
        <v>452</v>
      </c>
      <c r="F6336" t="s">
        <v>5548</v>
      </c>
      <c r="G6336" t="str">
        <f>HYPERLINK("https://www.jemin.com/news/articleView.html?idxno=799040")</f>
        <v>https://www.jemin.com/news/articleView.html?idxno=799040</v>
      </c>
      <c r="H6336">
        <v>0.41499999999999998</v>
      </c>
    </row>
    <row r="6337" spans="1:8" x14ac:dyDescent="0.3">
      <c r="A6337" t="s">
        <v>14761</v>
      </c>
      <c r="B6337" t="s">
        <v>26951</v>
      </c>
      <c r="C6337" t="s">
        <v>16152</v>
      </c>
      <c r="D6337" t="s">
        <v>16151</v>
      </c>
      <c r="E6337" s="2" t="s">
        <v>481</v>
      </c>
      <c r="F6337" t="s">
        <v>11393</v>
      </c>
      <c r="G6337" t="str">
        <f>HYPERLINK("https://www.greened.kr/news/articleView.html?idxno=319048")</f>
        <v>https://www.greened.kr/news/articleView.html?idxno=319048</v>
      </c>
      <c r="H6337">
        <v>0.379</v>
      </c>
    </row>
    <row r="6338" spans="1:8" x14ac:dyDescent="0.3">
      <c r="A6338" t="s">
        <v>14761</v>
      </c>
      <c r="B6338" t="s">
        <v>26951</v>
      </c>
      <c r="C6338" t="s">
        <v>16155</v>
      </c>
      <c r="D6338" t="s">
        <v>16154</v>
      </c>
      <c r="E6338" s="2" t="s">
        <v>481</v>
      </c>
      <c r="F6338" t="s">
        <v>16153</v>
      </c>
      <c r="G6338" t="str">
        <f>HYPERLINK("http://www.opinionnews.co.kr/news/articleView.html?idxno=27296")</f>
        <v>http://www.opinionnews.co.kr/news/articleView.html?idxno=27296</v>
      </c>
      <c r="H6338">
        <v>0.44500000000000001</v>
      </c>
    </row>
    <row r="6339" spans="1:8" x14ac:dyDescent="0.3">
      <c r="A6339" t="s">
        <v>14761</v>
      </c>
      <c r="B6339" t="s">
        <v>26951</v>
      </c>
      <c r="C6339" t="s">
        <v>16158</v>
      </c>
      <c r="D6339" t="s">
        <v>16157</v>
      </c>
      <c r="E6339" s="2" t="s">
        <v>481</v>
      </c>
      <c r="F6339" t="s">
        <v>16156</v>
      </c>
      <c r="G6339" t="str">
        <f>HYPERLINK("https://www.cctoday.co.kr/news/articleView.html?idxno=2214440")</f>
        <v>https://www.cctoday.co.kr/news/articleView.html?idxno=2214440</v>
      </c>
      <c r="H6339">
        <v>0.34</v>
      </c>
    </row>
    <row r="6340" spans="1:8" x14ac:dyDescent="0.3">
      <c r="A6340" t="s">
        <v>14761</v>
      </c>
      <c r="B6340" t="s">
        <v>26951</v>
      </c>
      <c r="C6340" t="s">
        <v>16161</v>
      </c>
      <c r="D6340" t="s">
        <v>16160</v>
      </c>
      <c r="E6340" s="2" t="s">
        <v>481</v>
      </c>
      <c r="F6340" t="s">
        <v>16159</v>
      </c>
      <c r="G6340" t="str">
        <f>HYPERLINK("https://www.tokenpost.kr/article-231098")</f>
        <v>https://www.tokenpost.kr/article-231098</v>
      </c>
      <c r="H6340">
        <v>0.27500000000000002</v>
      </c>
    </row>
    <row r="6341" spans="1:8" x14ac:dyDescent="0.3">
      <c r="A6341" t="s">
        <v>14761</v>
      </c>
      <c r="B6341" t="s">
        <v>26951</v>
      </c>
      <c r="C6341" t="s">
        <v>16163</v>
      </c>
      <c r="D6341" t="s">
        <v>16162</v>
      </c>
      <c r="E6341" s="2" t="s">
        <v>481</v>
      </c>
      <c r="F6341" t="s">
        <v>6347</v>
      </c>
      <c r="G6341" t="str">
        <f>HYPERLINK("https://www.ntoday.co.kr/news/articleView.html?idxno=105261")</f>
        <v>https://www.ntoday.co.kr/news/articleView.html?idxno=105261</v>
      </c>
      <c r="H6341">
        <v>0.44</v>
      </c>
    </row>
    <row r="6342" spans="1:8" x14ac:dyDescent="0.3">
      <c r="A6342" t="s">
        <v>14761</v>
      </c>
      <c r="B6342" t="s">
        <v>26951</v>
      </c>
      <c r="C6342" t="s">
        <v>16165</v>
      </c>
      <c r="D6342" t="s">
        <v>16164</v>
      </c>
      <c r="E6342" s="2" t="s">
        <v>481</v>
      </c>
      <c r="F6342" t="s">
        <v>10172</v>
      </c>
      <c r="G6342" t="str">
        <f>HYPERLINK("https://www.lecturernews.com/news/articleView.html?idxno=179792")</f>
        <v>https://www.lecturernews.com/news/articleView.html?idxno=179792</v>
      </c>
      <c r="H6342">
        <v>0.47099999999999997</v>
      </c>
    </row>
    <row r="6343" spans="1:8" x14ac:dyDescent="0.3">
      <c r="A6343" t="s">
        <v>14761</v>
      </c>
      <c r="B6343" t="s">
        <v>26951</v>
      </c>
      <c r="C6343" t="s">
        <v>16167</v>
      </c>
      <c r="D6343" t="s">
        <v>16166</v>
      </c>
      <c r="E6343" s="2" t="s">
        <v>481</v>
      </c>
      <c r="F6343" t="s">
        <v>10111</v>
      </c>
      <c r="G6343" t="str">
        <f>HYPERLINK("https://sports.hankooki.com/news/articleView.html?idxno=6898056")</f>
        <v>https://sports.hankooki.com/news/articleView.html?idxno=6898056</v>
      </c>
      <c r="H6343">
        <v>0.51300000000000001</v>
      </c>
    </row>
    <row r="6344" spans="1:8" x14ac:dyDescent="0.3">
      <c r="A6344" t="s">
        <v>14761</v>
      </c>
      <c r="B6344" t="s">
        <v>26951</v>
      </c>
      <c r="C6344" t="s">
        <v>16169</v>
      </c>
      <c r="D6344" t="s">
        <v>16168</v>
      </c>
      <c r="E6344" s="2" t="s">
        <v>481</v>
      </c>
      <c r="F6344" t="s">
        <v>3204</v>
      </c>
      <c r="G6344" t="str">
        <f>HYPERLINK("http://www.ggilbo.com/news/articleView.html?idxno=545496")</f>
        <v>http://www.ggilbo.com/news/articleView.html?idxno=545496</v>
      </c>
      <c r="H6344">
        <v>0.10100000000000001</v>
      </c>
    </row>
    <row r="6345" spans="1:8" x14ac:dyDescent="0.3">
      <c r="A6345" t="s">
        <v>14761</v>
      </c>
      <c r="B6345" t="s">
        <v>26951</v>
      </c>
      <c r="C6345" t="s">
        <v>16172</v>
      </c>
      <c r="D6345" t="s">
        <v>16171</v>
      </c>
      <c r="E6345" s="2" t="s">
        <v>481</v>
      </c>
      <c r="F6345" t="s">
        <v>16170</v>
      </c>
      <c r="G6345" t="str">
        <f>HYPERLINK("https://www.lecturernews.com/news/articleView.html?idxno=171514")</f>
        <v>https://www.lecturernews.com/news/articleView.html?idxno=171514</v>
      </c>
      <c r="H6345">
        <v>0.312</v>
      </c>
    </row>
    <row r="6346" spans="1:8" x14ac:dyDescent="0.3">
      <c r="A6346" t="s">
        <v>14761</v>
      </c>
      <c r="B6346" t="s">
        <v>26951</v>
      </c>
      <c r="C6346" t="s">
        <v>16174</v>
      </c>
      <c r="D6346" t="s">
        <v>16173</v>
      </c>
      <c r="E6346" s="2" t="s">
        <v>481</v>
      </c>
      <c r="F6346" t="s">
        <v>13127</v>
      </c>
      <c r="G6346" t="str">
        <f>HYPERLINK("https://sports.hankooki.com/news/articleView.html?idxno=6820919")</f>
        <v>https://sports.hankooki.com/news/articleView.html?idxno=6820919</v>
      </c>
      <c r="H6346">
        <v>0.45600000000000002</v>
      </c>
    </row>
    <row r="6347" spans="1:8" x14ac:dyDescent="0.3">
      <c r="A6347" t="s">
        <v>14761</v>
      </c>
      <c r="B6347" t="s">
        <v>26951</v>
      </c>
      <c r="C6347" t="s">
        <v>16176</v>
      </c>
      <c r="D6347" t="s">
        <v>16175</v>
      </c>
      <c r="E6347" s="2" t="s">
        <v>481</v>
      </c>
      <c r="F6347" t="s">
        <v>9786</v>
      </c>
      <c r="G6347" t="str">
        <f>HYPERLINK("http://bravo.etoday.co.kr/view/atc_view.php?varAtcId=9397")</f>
        <v>http://bravo.etoday.co.kr/view/atc_view.php?varAtcId=9397</v>
      </c>
      <c r="H6347">
        <v>0.32300000000000001</v>
      </c>
    </row>
    <row r="6348" spans="1:8" x14ac:dyDescent="0.3">
      <c r="A6348" t="s">
        <v>14761</v>
      </c>
      <c r="B6348" t="s">
        <v>26951</v>
      </c>
      <c r="C6348" t="s">
        <v>16178</v>
      </c>
      <c r="D6348" t="s">
        <v>16177</v>
      </c>
      <c r="E6348" s="2" t="s">
        <v>481</v>
      </c>
      <c r="F6348" t="s">
        <v>9860</v>
      </c>
      <c r="G6348" t="str">
        <f>HYPERLINK("https://www.jemin.com/news/articleView.html?idxno=819763")</f>
        <v>https://www.jemin.com/news/articleView.html?idxno=819763</v>
      </c>
      <c r="H6348">
        <v>2.1000000000000001E-2</v>
      </c>
    </row>
    <row r="6349" spans="1:8" x14ac:dyDescent="0.3">
      <c r="A6349" t="s">
        <v>14761</v>
      </c>
      <c r="B6349" t="s">
        <v>26951</v>
      </c>
      <c r="C6349" t="s">
        <v>16180</v>
      </c>
      <c r="D6349" t="s">
        <v>16179</v>
      </c>
      <c r="E6349" s="2" t="s">
        <v>481</v>
      </c>
      <c r="F6349" t="s">
        <v>1378</v>
      </c>
      <c r="G6349" t="str">
        <f>HYPERLINK("https://www.jemin.com/news/articleView.html?idxno=814600")</f>
        <v>https://www.jemin.com/news/articleView.html?idxno=814600</v>
      </c>
      <c r="H6349">
        <v>0.61499999999999999</v>
      </c>
    </row>
    <row r="6350" spans="1:8" x14ac:dyDescent="0.3">
      <c r="A6350" t="s">
        <v>14761</v>
      </c>
      <c r="B6350" t="s">
        <v>26951</v>
      </c>
      <c r="C6350" t="s">
        <v>16182</v>
      </c>
      <c r="D6350" t="s">
        <v>16181</v>
      </c>
      <c r="E6350" s="2" t="s">
        <v>481</v>
      </c>
      <c r="F6350" t="s">
        <v>10172</v>
      </c>
      <c r="G6350" t="str">
        <f>HYPERLINK("https://newscham.net/articles/113000")</f>
        <v>https://newscham.net/articles/113000</v>
      </c>
      <c r="H6350">
        <v>1E-3</v>
      </c>
    </row>
    <row r="6351" spans="1:8" x14ac:dyDescent="0.3">
      <c r="A6351" t="s">
        <v>14761</v>
      </c>
      <c r="B6351" t="s">
        <v>26951</v>
      </c>
      <c r="C6351" t="s">
        <v>16184</v>
      </c>
      <c r="D6351" t="s">
        <v>16183</v>
      </c>
      <c r="E6351" s="2" t="s">
        <v>481</v>
      </c>
      <c r="F6351" t="s">
        <v>1252</v>
      </c>
      <c r="G6351" t="str">
        <f>HYPERLINK("https://www.etoday.co.kr/news/view/2478865")</f>
        <v>https://www.etoday.co.kr/news/view/2478865</v>
      </c>
      <c r="H6351">
        <v>0.47099999999999997</v>
      </c>
    </row>
    <row r="6352" spans="1:8" x14ac:dyDescent="0.3">
      <c r="A6352" t="s">
        <v>14761</v>
      </c>
      <c r="B6352" t="s">
        <v>26951</v>
      </c>
      <c r="C6352" t="s">
        <v>16186</v>
      </c>
      <c r="D6352" t="s">
        <v>16185</v>
      </c>
      <c r="E6352" s="2" t="s">
        <v>481</v>
      </c>
      <c r="F6352" t="s">
        <v>5087</v>
      </c>
      <c r="G6352" t="str">
        <f>HYPERLINK("https://www.jemin.com/news/articleView.html?idxno=814600")</f>
        <v>https://www.jemin.com/news/articleView.html?idxno=814600</v>
      </c>
      <c r="H6352">
        <v>0.85399999999999998</v>
      </c>
    </row>
    <row r="6353" spans="1:8" x14ac:dyDescent="0.3">
      <c r="A6353" t="s">
        <v>14761</v>
      </c>
      <c r="B6353" t="s">
        <v>26951</v>
      </c>
      <c r="C6353" t="s">
        <v>16188</v>
      </c>
      <c r="D6353" t="s">
        <v>16187</v>
      </c>
      <c r="E6353" s="2" t="s">
        <v>481</v>
      </c>
      <c r="F6353" t="s">
        <v>7786</v>
      </c>
      <c r="G6353" t="str">
        <f>HYPERLINK("http://jmagazine.joins.com/forbes/view/340763")</f>
        <v>http://jmagazine.joins.com/forbes/view/340763</v>
      </c>
      <c r="H6353">
        <v>0.41099999999999998</v>
      </c>
    </row>
    <row r="6354" spans="1:8" x14ac:dyDescent="0.3">
      <c r="A6354" t="s">
        <v>14761</v>
      </c>
      <c r="B6354" t="s">
        <v>26951</v>
      </c>
      <c r="C6354" t="s">
        <v>16190</v>
      </c>
      <c r="D6354" t="s">
        <v>16189</v>
      </c>
      <c r="E6354" s="2" t="s">
        <v>481</v>
      </c>
      <c r="F6354" t="s">
        <v>10471</v>
      </c>
      <c r="G6354" t="str">
        <f>HYPERLINK("https://sports.hankooki.com/news/articleView.html?idxno=6900953")</f>
        <v>https://sports.hankooki.com/news/articleView.html?idxno=6900953</v>
      </c>
      <c r="H6354">
        <v>0.60899999999999999</v>
      </c>
    </row>
    <row r="6355" spans="1:8" x14ac:dyDescent="0.3">
      <c r="A6355" t="s">
        <v>14761</v>
      </c>
      <c r="B6355" t="s">
        <v>26951</v>
      </c>
      <c r="C6355" t="s">
        <v>16192</v>
      </c>
      <c r="D6355" t="s">
        <v>16191</v>
      </c>
      <c r="E6355" s="2" t="s">
        <v>481</v>
      </c>
      <c r="F6355" t="s">
        <v>160</v>
      </c>
      <c r="G6355" t="str">
        <f>HYPERLINK("https://www.lecturernews.com/news/articleView.html?idxno=179818")</f>
        <v>https://www.lecturernews.com/news/articleView.html?idxno=179818</v>
      </c>
      <c r="H6355">
        <v>0.92600000000000005</v>
      </c>
    </row>
    <row r="6356" spans="1:8" x14ac:dyDescent="0.3">
      <c r="A6356" t="s">
        <v>14761</v>
      </c>
      <c r="B6356" t="s">
        <v>26951</v>
      </c>
      <c r="C6356" t="s">
        <v>16195</v>
      </c>
      <c r="D6356" t="s">
        <v>16194</v>
      </c>
      <c r="E6356" s="2" t="s">
        <v>481</v>
      </c>
      <c r="F6356" t="s">
        <v>16193</v>
      </c>
      <c r="G6356" t="str">
        <f>HYPERLINK("https://n.news.naver.com/mnews/article/056/0011962111?sid=121")</f>
        <v>https://n.news.naver.com/mnews/article/056/0011962111?sid=121</v>
      </c>
      <c r="H6356">
        <v>0.20799999999999999</v>
      </c>
    </row>
    <row r="6357" spans="1:8" x14ac:dyDescent="0.3">
      <c r="A6357" t="s">
        <v>14761</v>
      </c>
      <c r="B6357" t="s">
        <v>26951</v>
      </c>
      <c r="C6357" t="s">
        <v>16197</v>
      </c>
      <c r="D6357" t="s">
        <v>16196</v>
      </c>
      <c r="E6357" s="2" t="s">
        <v>481</v>
      </c>
      <c r="F6357" t="s">
        <v>9944</v>
      </c>
      <c r="G6357" t="str">
        <f>HYPERLINK("https://www.etoday.co.kr/news/view/2462781")</f>
        <v>https://www.etoday.co.kr/news/view/2462781</v>
      </c>
      <c r="H6357">
        <v>0.441</v>
      </c>
    </row>
    <row r="6358" spans="1:8" x14ac:dyDescent="0.3">
      <c r="A6358" t="s">
        <v>14761</v>
      </c>
      <c r="B6358" t="s">
        <v>26951</v>
      </c>
      <c r="C6358" t="s">
        <v>16199</v>
      </c>
      <c r="D6358" t="s">
        <v>16198</v>
      </c>
      <c r="E6358" s="2" t="s">
        <v>481</v>
      </c>
      <c r="F6358" t="s">
        <v>14878</v>
      </c>
      <c r="G6358" t="str">
        <f>HYPERLINK("https://www.etoday.co.kr/news/view/2482579")</f>
        <v>https://www.etoday.co.kr/news/view/2482579</v>
      </c>
      <c r="H6358">
        <v>0.373</v>
      </c>
    </row>
    <row r="6359" spans="1:8" x14ac:dyDescent="0.3">
      <c r="A6359" t="s">
        <v>14761</v>
      </c>
      <c r="B6359" t="s">
        <v>26951</v>
      </c>
      <c r="C6359" t="s">
        <v>16202</v>
      </c>
      <c r="D6359" t="s">
        <v>16201</v>
      </c>
      <c r="E6359" s="2" t="s">
        <v>481</v>
      </c>
      <c r="F6359" t="s">
        <v>16200</v>
      </c>
      <c r="G6359" t="str">
        <f>HYPERLINK("https://www.newscj.com/news/articleView.html?idxno=3284979")</f>
        <v>https://www.newscj.com/news/articleView.html?idxno=3284979</v>
      </c>
      <c r="H6359">
        <v>0.111</v>
      </c>
    </row>
    <row r="6360" spans="1:8" x14ac:dyDescent="0.3">
      <c r="A6360" t="s">
        <v>14761</v>
      </c>
      <c r="B6360" t="s">
        <v>26951</v>
      </c>
      <c r="C6360" t="s">
        <v>16207</v>
      </c>
      <c r="D6360" t="s">
        <v>16206</v>
      </c>
      <c r="E6360" s="2" t="s">
        <v>481</v>
      </c>
      <c r="F6360" t="s">
        <v>16205</v>
      </c>
      <c r="G6360" t="str">
        <f>HYPERLINK("http://www.greened.kr/news/articleView.html?idxno=299863")</f>
        <v>http://www.greened.kr/news/articleView.html?idxno=299863</v>
      </c>
      <c r="H6360">
        <v>0.17299999999999999</v>
      </c>
    </row>
    <row r="6361" spans="1:8" x14ac:dyDescent="0.3">
      <c r="A6361" t="s">
        <v>14761</v>
      </c>
      <c r="B6361" t="s">
        <v>26951</v>
      </c>
      <c r="C6361" t="s">
        <v>16210</v>
      </c>
      <c r="D6361" t="s">
        <v>16209</v>
      </c>
      <c r="E6361" s="2" t="s">
        <v>481</v>
      </c>
      <c r="F6361" t="s">
        <v>16208</v>
      </c>
      <c r="G6361" t="str">
        <f>HYPERLINK("https://ditoday.com/drama-marketing/")</f>
        <v>https://ditoday.com/drama-marketing/</v>
      </c>
      <c r="H6361">
        <v>0.246</v>
      </c>
    </row>
    <row r="6362" spans="1:8" x14ac:dyDescent="0.3">
      <c r="A6362" t="s">
        <v>14761</v>
      </c>
      <c r="B6362" t="s">
        <v>26951</v>
      </c>
      <c r="C6362" t="s">
        <v>16212</v>
      </c>
      <c r="D6362" t="s">
        <v>16211</v>
      </c>
      <c r="E6362" s="2" t="s">
        <v>481</v>
      </c>
      <c r="F6362" t="s">
        <v>14816</v>
      </c>
      <c r="G6362" t="str">
        <f>HYPERLINK("http://www.jejusori.net/news/articleView.html?idxno=120808")</f>
        <v>http://www.jejusori.net/news/articleView.html?idxno=120808</v>
      </c>
      <c r="H6362">
        <v>0.624</v>
      </c>
    </row>
    <row r="6363" spans="1:8" x14ac:dyDescent="0.3">
      <c r="A6363" t="s">
        <v>14761</v>
      </c>
      <c r="B6363" t="s">
        <v>26951</v>
      </c>
      <c r="C6363" t="s">
        <v>16215</v>
      </c>
      <c r="D6363" t="s">
        <v>16214</v>
      </c>
      <c r="E6363" s="2" t="s">
        <v>481</v>
      </c>
      <c r="F6363" t="s">
        <v>16213</v>
      </c>
      <c r="G6363" t="str">
        <f>HYPERLINK("https://n.news.naver.com/mnews/article/052/0001686538?sid=100")</f>
        <v>https://n.news.naver.com/mnews/article/052/0001686538?sid=100</v>
      </c>
      <c r="H6363">
        <v>0.26800000000000002</v>
      </c>
    </row>
    <row r="6364" spans="1:8" x14ac:dyDescent="0.3">
      <c r="A6364" t="s">
        <v>14761</v>
      </c>
      <c r="B6364" t="s">
        <v>26951</v>
      </c>
      <c r="C6364" t="s">
        <v>16217</v>
      </c>
      <c r="D6364" t="s">
        <v>16216</v>
      </c>
      <c r="E6364" s="2" t="s">
        <v>481</v>
      </c>
      <c r="F6364" t="s">
        <v>15129</v>
      </c>
      <c r="G6364" t="str">
        <f>HYPERLINK("http://www.lecturernews.com/news/articleView.html?idxno=33717")</f>
        <v>http://www.lecturernews.com/news/articleView.html?idxno=33717</v>
      </c>
      <c r="H6364">
        <v>0.40300000000000002</v>
      </c>
    </row>
    <row r="6365" spans="1:8" x14ac:dyDescent="0.3">
      <c r="A6365" t="s">
        <v>14761</v>
      </c>
      <c r="B6365" t="s">
        <v>26951</v>
      </c>
      <c r="C6365" t="s">
        <v>16219</v>
      </c>
      <c r="D6365" t="s">
        <v>16218</v>
      </c>
      <c r="E6365" s="2" t="s">
        <v>481</v>
      </c>
      <c r="F6365" t="s">
        <v>10111</v>
      </c>
      <c r="G6365" t="str">
        <f>HYPERLINK("https://www.dailysportshankook.co.kr/news/articleView.html?idxno=408615")</f>
        <v>https://www.dailysportshankook.co.kr/news/articleView.html?idxno=408615</v>
      </c>
      <c r="H6365">
        <v>0.59599999999999997</v>
      </c>
    </row>
    <row r="6366" spans="1:8" x14ac:dyDescent="0.3">
      <c r="A6366" t="s">
        <v>14761</v>
      </c>
      <c r="B6366" t="s">
        <v>26951</v>
      </c>
      <c r="C6366" t="s">
        <v>16222</v>
      </c>
      <c r="D6366" t="s">
        <v>16221</v>
      </c>
      <c r="E6366" s="2" t="s">
        <v>481</v>
      </c>
      <c r="F6366" t="s">
        <v>16220</v>
      </c>
      <c r="G6366" t="str">
        <f>HYPERLINK("https://ch.yes24.com/Article/View/81234")</f>
        <v>https://ch.yes24.com/Article/View/81234</v>
      </c>
      <c r="H6366">
        <v>0.39600000000000002</v>
      </c>
    </row>
    <row r="6367" spans="1:8" x14ac:dyDescent="0.3">
      <c r="A6367" t="s">
        <v>14761</v>
      </c>
      <c r="B6367" t="s">
        <v>26951</v>
      </c>
      <c r="C6367" t="s">
        <v>16224</v>
      </c>
      <c r="D6367" t="s">
        <v>16223</v>
      </c>
      <c r="E6367" s="2" t="s">
        <v>481</v>
      </c>
      <c r="F6367" t="s">
        <v>10101</v>
      </c>
      <c r="G6367" t="str">
        <f>HYPERLINK("http://www.lecturernews.com/news/articleView.html?idxno=109556")</f>
        <v>http://www.lecturernews.com/news/articleView.html?idxno=109556</v>
      </c>
      <c r="H6367">
        <v>0.45</v>
      </c>
    </row>
    <row r="6368" spans="1:8" x14ac:dyDescent="0.3">
      <c r="A6368" t="s">
        <v>14761</v>
      </c>
      <c r="B6368" t="s">
        <v>26951</v>
      </c>
      <c r="C6368" t="s">
        <v>16226</v>
      </c>
      <c r="D6368" t="s">
        <v>16225</v>
      </c>
      <c r="E6368" s="2" t="s">
        <v>481</v>
      </c>
      <c r="F6368" t="s">
        <v>14873</v>
      </c>
      <c r="G6368" t="str">
        <f>HYPERLINK("https://n.news.naver.com/mnews/article/081/0003553999?sid=104")</f>
        <v>https://n.news.naver.com/mnews/article/081/0003553999?sid=104</v>
      </c>
      <c r="H6368">
        <v>0.24399999999999999</v>
      </c>
    </row>
    <row r="6369" spans="1:8" x14ac:dyDescent="0.3">
      <c r="A6369" t="s">
        <v>14761</v>
      </c>
      <c r="B6369" t="s">
        <v>26951</v>
      </c>
      <c r="C6369" t="s">
        <v>16228</v>
      </c>
      <c r="D6369" t="s">
        <v>16227</v>
      </c>
      <c r="E6369" s="2" t="s">
        <v>481</v>
      </c>
      <c r="F6369" t="s">
        <v>10645</v>
      </c>
      <c r="G6369" t="str">
        <f>HYPERLINK("https://www.dnews.co.kr/uhtml/view.jsp?idxno=202401191022002420943")</f>
        <v>https://www.dnews.co.kr/uhtml/view.jsp?idxno=202401191022002420943</v>
      </c>
      <c r="H6369">
        <v>0.22900000000000001</v>
      </c>
    </row>
    <row r="6370" spans="1:8" x14ac:dyDescent="0.3">
      <c r="A6370" t="s">
        <v>14761</v>
      </c>
      <c r="B6370" t="s">
        <v>26951</v>
      </c>
      <c r="C6370" t="s">
        <v>16230</v>
      </c>
      <c r="D6370" t="s">
        <v>16229</v>
      </c>
      <c r="E6370" s="2" t="s">
        <v>481</v>
      </c>
      <c r="F6370" t="s">
        <v>10533</v>
      </c>
      <c r="G6370" t="str">
        <f>HYPERLINK("http://www.interview365.com/news/articleView.html?idxno=89427")</f>
        <v>http://www.interview365.com/news/articleView.html?idxno=89427</v>
      </c>
      <c r="H6370">
        <v>0.58799999999999997</v>
      </c>
    </row>
    <row r="6371" spans="1:8" x14ac:dyDescent="0.3">
      <c r="A6371" t="s">
        <v>14761</v>
      </c>
      <c r="B6371" t="s">
        <v>26951</v>
      </c>
      <c r="C6371" t="s">
        <v>16232</v>
      </c>
      <c r="D6371" t="s">
        <v>16231</v>
      </c>
      <c r="E6371" s="2" t="s">
        <v>481</v>
      </c>
      <c r="F6371" t="s">
        <v>3235</v>
      </c>
      <c r="G6371" t="str">
        <f>HYPERLINK("https://sports.hankooki.com/news/articleView.html?idxno=6901356")</f>
        <v>https://sports.hankooki.com/news/articleView.html?idxno=6901356</v>
      </c>
      <c r="H6371">
        <v>0.64500000000000002</v>
      </c>
    </row>
    <row r="6372" spans="1:8" x14ac:dyDescent="0.3">
      <c r="A6372" t="s">
        <v>14761</v>
      </c>
      <c r="B6372" t="s">
        <v>26951</v>
      </c>
      <c r="C6372" t="s">
        <v>5674</v>
      </c>
      <c r="D6372" t="s">
        <v>5673</v>
      </c>
      <c r="E6372" s="2" t="s">
        <v>481</v>
      </c>
      <c r="F6372" t="s">
        <v>11379</v>
      </c>
      <c r="G6372" t="str">
        <f>HYPERLINK("http://www.econotalking.kr/news/articleView.html?idxno=149078")</f>
        <v>http://www.econotalking.kr/news/articleView.html?idxno=149078</v>
      </c>
      <c r="H6372">
        <v>0.439</v>
      </c>
    </row>
    <row r="6373" spans="1:8" x14ac:dyDescent="0.3">
      <c r="A6373" t="s">
        <v>14761</v>
      </c>
      <c r="B6373" t="s">
        <v>26951</v>
      </c>
      <c r="C6373" t="s">
        <v>16234</v>
      </c>
      <c r="D6373" t="s">
        <v>16233</v>
      </c>
      <c r="E6373" s="2" t="s">
        <v>481</v>
      </c>
      <c r="F6373" t="s">
        <v>10433</v>
      </c>
      <c r="G6373" t="str">
        <f>HYPERLINK("http://www.press9.kr/news/articleView.html?idxno=60118")</f>
        <v>http://www.press9.kr/news/articleView.html?idxno=60118</v>
      </c>
      <c r="H6373">
        <v>0.432</v>
      </c>
    </row>
    <row r="6374" spans="1:8" x14ac:dyDescent="0.3">
      <c r="A6374" t="s">
        <v>14761</v>
      </c>
      <c r="B6374" t="s">
        <v>26951</v>
      </c>
      <c r="C6374" t="s">
        <v>16236</v>
      </c>
      <c r="D6374" t="s">
        <v>16235</v>
      </c>
      <c r="E6374" s="2" t="s">
        <v>481</v>
      </c>
      <c r="F6374" t="s">
        <v>5548</v>
      </c>
      <c r="G6374" t="str">
        <f>HYPERLINK("https://www.jemin.com/news/articleView.html?idxno=813442")</f>
        <v>https://www.jemin.com/news/articleView.html?idxno=813442</v>
      </c>
      <c r="H6374">
        <v>0.69599999999999995</v>
      </c>
    </row>
    <row r="6375" spans="1:8" x14ac:dyDescent="0.3">
      <c r="A6375" t="s">
        <v>14761</v>
      </c>
      <c r="B6375" t="s">
        <v>26951</v>
      </c>
      <c r="C6375" t="s">
        <v>16238</v>
      </c>
      <c r="D6375" t="s">
        <v>16237</v>
      </c>
      <c r="E6375" s="2" t="s">
        <v>481</v>
      </c>
      <c r="F6375" t="s">
        <v>8388</v>
      </c>
      <c r="G6375" t="str">
        <f>HYPERLINK("http://www.wikileaks-kr.org/news/articleView.html?idxno=169273")</f>
        <v>http://www.wikileaks-kr.org/news/articleView.html?idxno=169273</v>
      </c>
      <c r="H6375">
        <v>0.14899999999999999</v>
      </c>
    </row>
    <row r="6376" spans="1:8" x14ac:dyDescent="0.3">
      <c r="A6376" t="s">
        <v>14761</v>
      </c>
      <c r="B6376" t="s">
        <v>26951</v>
      </c>
      <c r="C6376" t="s">
        <v>16241</v>
      </c>
      <c r="D6376" t="s">
        <v>16240</v>
      </c>
      <c r="E6376" s="2" t="s">
        <v>481</v>
      </c>
      <c r="F6376" t="s">
        <v>16239</v>
      </c>
      <c r="G6376" t="str">
        <f>HYPERLINK("http://www.joongdo.co.kr/jsp/article/article_view.jsp?pq=201610171452")</f>
        <v>http://www.joongdo.co.kr/jsp/article/article_view.jsp?pq=201610171452</v>
      </c>
      <c r="H6376">
        <v>0.33800000000000002</v>
      </c>
    </row>
    <row r="6377" spans="1:8" x14ac:dyDescent="0.3">
      <c r="A6377" t="s">
        <v>14761</v>
      </c>
      <c r="B6377" t="s">
        <v>26951</v>
      </c>
      <c r="C6377" t="s">
        <v>16243</v>
      </c>
      <c r="D6377" t="s">
        <v>16242</v>
      </c>
      <c r="E6377" s="2" t="s">
        <v>481</v>
      </c>
      <c r="F6377" t="s">
        <v>15667</v>
      </c>
      <c r="G6377" t="str">
        <f>HYPERLINK("https://www.lecturernews.com/news/articleView.html?idxno=177199")</f>
        <v>https://www.lecturernews.com/news/articleView.html?idxno=177199</v>
      </c>
      <c r="H6377">
        <v>0.53500000000000003</v>
      </c>
    </row>
    <row r="6378" spans="1:8" x14ac:dyDescent="0.3">
      <c r="A6378" t="s">
        <v>14761</v>
      </c>
      <c r="B6378" t="s">
        <v>26951</v>
      </c>
      <c r="C6378" t="s">
        <v>16246</v>
      </c>
      <c r="D6378" t="s">
        <v>16245</v>
      </c>
      <c r="E6378" s="2" t="s">
        <v>502</v>
      </c>
      <c r="F6378" t="s">
        <v>16244</v>
      </c>
      <c r="G6378" t="str">
        <f>HYPERLINK("http://www.babytimes.co.kr/news/articleView.html?idxno=70454")</f>
        <v>http://www.babytimes.co.kr/news/articleView.html?idxno=70454</v>
      </c>
      <c r="H6378">
        <v>0.44</v>
      </c>
    </row>
    <row r="6379" spans="1:8" x14ac:dyDescent="0.3">
      <c r="A6379" t="s">
        <v>14761</v>
      </c>
      <c r="B6379" t="s">
        <v>26951</v>
      </c>
      <c r="C6379" t="s">
        <v>16248</v>
      </c>
      <c r="D6379" t="s">
        <v>16247</v>
      </c>
      <c r="E6379" s="2" t="s">
        <v>502</v>
      </c>
      <c r="F6379" t="s">
        <v>15129</v>
      </c>
      <c r="G6379" t="str">
        <f>HYPERLINK("http://www.intn.co.kr/news/articleView.html?idxno=2042776")</f>
        <v>http://www.intn.co.kr/news/articleView.html?idxno=2042776</v>
      </c>
      <c r="H6379">
        <v>0.63400000000000001</v>
      </c>
    </row>
    <row r="6380" spans="1:8" x14ac:dyDescent="0.3">
      <c r="A6380" t="s">
        <v>14761</v>
      </c>
      <c r="B6380" t="s">
        <v>26951</v>
      </c>
      <c r="C6380" t="s">
        <v>16250</v>
      </c>
      <c r="D6380" t="s">
        <v>16249</v>
      </c>
      <c r="E6380" s="2" t="s">
        <v>502</v>
      </c>
      <c r="F6380" t="s">
        <v>9718</v>
      </c>
      <c r="G6380" t="str">
        <f>HYPERLINK("https://www.greened.kr/news/articleView.html?idxno=320746")</f>
        <v>https://www.greened.kr/news/articleView.html?idxno=320746</v>
      </c>
      <c r="H6380">
        <v>0.63600000000000001</v>
      </c>
    </row>
    <row r="6381" spans="1:8" x14ac:dyDescent="0.3">
      <c r="A6381" t="s">
        <v>14761</v>
      </c>
      <c r="B6381" t="s">
        <v>26951</v>
      </c>
      <c r="C6381" t="s">
        <v>16252</v>
      </c>
      <c r="D6381" t="s">
        <v>16251</v>
      </c>
      <c r="E6381" s="2" t="s">
        <v>502</v>
      </c>
      <c r="F6381" t="s">
        <v>9786</v>
      </c>
      <c r="G6381" t="str">
        <f>HYPERLINK("http://www.joongang.tv/news/articleView.html?idxno=138408")</f>
        <v>http://www.joongang.tv/news/articleView.html?idxno=138408</v>
      </c>
      <c r="H6381">
        <v>4.9000000000000002E-2</v>
      </c>
    </row>
    <row r="6382" spans="1:8" x14ac:dyDescent="0.3">
      <c r="A6382" t="s">
        <v>14761</v>
      </c>
      <c r="B6382" t="s">
        <v>26951</v>
      </c>
      <c r="C6382" t="s">
        <v>16255</v>
      </c>
      <c r="D6382" t="s">
        <v>16254</v>
      </c>
      <c r="E6382" s="2" t="s">
        <v>502</v>
      </c>
      <c r="F6382" t="s">
        <v>16253</v>
      </c>
      <c r="G6382" t="str">
        <f>HYPERLINK("https://www.bizhankook.com/bk/article/29121")</f>
        <v>https://www.bizhankook.com/bk/article/29121</v>
      </c>
      <c r="H6382">
        <v>0.58899999999999997</v>
      </c>
    </row>
    <row r="6383" spans="1:8" x14ac:dyDescent="0.3">
      <c r="A6383" t="s">
        <v>14761</v>
      </c>
      <c r="B6383" t="s">
        <v>26951</v>
      </c>
      <c r="C6383" t="s">
        <v>16256</v>
      </c>
      <c r="D6383" t="s">
        <v>13237</v>
      </c>
      <c r="E6383" s="2" t="s">
        <v>502</v>
      </c>
      <c r="F6383" t="s">
        <v>9786</v>
      </c>
      <c r="G6383" t="str">
        <f>HYPERLINK("https://sports.hankooki.com/news/articleView.html?idxno=6900595")</f>
        <v>https://sports.hankooki.com/news/articleView.html?idxno=6900595</v>
      </c>
      <c r="H6383">
        <v>8.4000000000000005E-2</v>
      </c>
    </row>
    <row r="6384" spans="1:8" x14ac:dyDescent="0.3">
      <c r="A6384" t="s">
        <v>14761</v>
      </c>
      <c r="B6384" t="s">
        <v>26951</v>
      </c>
      <c r="C6384" t="s">
        <v>16258</v>
      </c>
      <c r="D6384" t="s">
        <v>16257</v>
      </c>
      <c r="E6384" s="2" t="s">
        <v>502</v>
      </c>
      <c r="F6384" t="s">
        <v>14865</v>
      </c>
      <c r="G6384" t="str">
        <f>HYPERLINK("https://www.jemin.com/news/articleView.html?idxno=811707")</f>
        <v>https://www.jemin.com/news/articleView.html?idxno=811707</v>
      </c>
      <c r="H6384">
        <v>0.51</v>
      </c>
    </row>
    <row r="6385" spans="1:8" x14ac:dyDescent="0.3">
      <c r="A6385" t="s">
        <v>14761</v>
      </c>
      <c r="B6385" t="s">
        <v>26951</v>
      </c>
      <c r="C6385" t="s">
        <v>16260</v>
      </c>
      <c r="D6385" t="s">
        <v>16259</v>
      </c>
      <c r="E6385" s="2" t="s">
        <v>502</v>
      </c>
      <c r="F6385" t="s">
        <v>10111</v>
      </c>
      <c r="G6385" t="str">
        <f>HYPERLINK("http://www.chungnamilbo.co.kr/news/articleView.html?idxno=836780")</f>
        <v>http://www.chungnamilbo.co.kr/news/articleView.html?idxno=836780</v>
      </c>
      <c r="H6385">
        <v>0.253</v>
      </c>
    </row>
    <row r="6386" spans="1:8" x14ac:dyDescent="0.3">
      <c r="A6386" t="s">
        <v>14761</v>
      </c>
      <c r="B6386" t="s">
        <v>26951</v>
      </c>
      <c r="C6386" t="s">
        <v>16262</v>
      </c>
      <c r="D6386" t="s">
        <v>16261</v>
      </c>
      <c r="E6386" s="2" t="s">
        <v>502</v>
      </c>
      <c r="F6386" t="s">
        <v>9944</v>
      </c>
      <c r="G6386" t="str">
        <f>HYPERLINK("https://sports.hankooki.com/news/articleView.html?idxno=6889498")</f>
        <v>https://sports.hankooki.com/news/articleView.html?idxno=6889498</v>
      </c>
      <c r="H6386">
        <v>0.42099999999999999</v>
      </c>
    </row>
    <row r="6387" spans="1:8" x14ac:dyDescent="0.3">
      <c r="A6387" t="s">
        <v>14761</v>
      </c>
      <c r="B6387" t="s">
        <v>26951</v>
      </c>
      <c r="C6387" t="s">
        <v>16264</v>
      </c>
      <c r="D6387" t="s">
        <v>16263</v>
      </c>
      <c r="E6387" s="2" t="s">
        <v>502</v>
      </c>
      <c r="F6387" t="s">
        <v>2560</v>
      </c>
      <c r="G6387" t="str">
        <f>HYPERLINK("http://www.handmk.com/news/articleView.html?idxno=25136")</f>
        <v>http://www.handmk.com/news/articleView.html?idxno=25136</v>
      </c>
      <c r="H6387">
        <v>0.56000000000000005</v>
      </c>
    </row>
    <row r="6388" spans="1:8" x14ac:dyDescent="0.3">
      <c r="A6388" t="s">
        <v>14761</v>
      </c>
      <c r="B6388" t="s">
        <v>26951</v>
      </c>
      <c r="C6388" t="s">
        <v>16266</v>
      </c>
      <c r="D6388" t="s">
        <v>16265</v>
      </c>
      <c r="E6388" s="2" t="s">
        <v>502</v>
      </c>
      <c r="F6388" t="s">
        <v>1172</v>
      </c>
      <c r="G6388" t="str">
        <f>HYPERLINK("https://www.cstimes.com/news/articleView.html?idxno=653100")</f>
        <v>https://www.cstimes.com/news/articleView.html?idxno=653100</v>
      </c>
      <c r="H6388">
        <v>0.84199999999999997</v>
      </c>
    </row>
    <row r="6389" spans="1:8" x14ac:dyDescent="0.3">
      <c r="A6389" t="s">
        <v>14761</v>
      </c>
      <c r="B6389" t="s">
        <v>26951</v>
      </c>
      <c r="C6389" t="s">
        <v>16268</v>
      </c>
      <c r="D6389" t="s">
        <v>16267</v>
      </c>
      <c r="E6389" s="2" t="s">
        <v>502</v>
      </c>
      <c r="F6389" t="s">
        <v>10476</v>
      </c>
      <c r="G6389" t="str">
        <f>HYPERLINK("https://sports.hankooki.com/news/articleView.html?idxno=6900883")</f>
        <v>https://sports.hankooki.com/news/articleView.html?idxno=6900883</v>
      </c>
      <c r="H6389">
        <v>0.65100000000000002</v>
      </c>
    </row>
    <row r="6390" spans="1:8" x14ac:dyDescent="0.3">
      <c r="A6390" t="s">
        <v>14761</v>
      </c>
      <c r="B6390" t="s">
        <v>26951</v>
      </c>
      <c r="C6390" t="s">
        <v>16270</v>
      </c>
      <c r="D6390" t="s">
        <v>16269</v>
      </c>
      <c r="E6390" s="2" t="s">
        <v>502</v>
      </c>
      <c r="F6390" t="s">
        <v>11733</v>
      </c>
      <c r="G6390" t="str">
        <f>HYPERLINK("https://www.joongangenews.com/news/articleView.html?idxno=430070")</f>
        <v>https://www.joongangenews.com/news/articleView.html?idxno=430070</v>
      </c>
      <c r="H6390">
        <v>0.41199999999999998</v>
      </c>
    </row>
    <row r="6391" spans="1:8" x14ac:dyDescent="0.3">
      <c r="A6391" t="s">
        <v>14761</v>
      </c>
      <c r="B6391" t="s">
        <v>26951</v>
      </c>
      <c r="C6391" t="s">
        <v>16272</v>
      </c>
      <c r="D6391" t="s">
        <v>16271</v>
      </c>
      <c r="E6391" s="2" t="s">
        <v>502</v>
      </c>
      <c r="F6391" t="s">
        <v>15519</v>
      </c>
      <c r="G6391" t="str">
        <f>HYPERLINK("https://www.lecturernews.com/news/articleView.html?idxno=180400")</f>
        <v>https://www.lecturernews.com/news/articleView.html?idxno=180400</v>
      </c>
      <c r="H6391">
        <v>0.88800000000000001</v>
      </c>
    </row>
    <row r="6392" spans="1:8" x14ac:dyDescent="0.3">
      <c r="A6392" t="s">
        <v>14761</v>
      </c>
      <c r="B6392" t="s">
        <v>26951</v>
      </c>
      <c r="C6392" t="s">
        <v>16275</v>
      </c>
      <c r="D6392" t="s">
        <v>16274</v>
      </c>
      <c r="E6392" s="2" t="s">
        <v>502</v>
      </c>
      <c r="F6392" t="s">
        <v>16273</v>
      </c>
      <c r="G6392" t="str">
        <f>HYPERLINK("https://www.lecturernews.com/news/articleView.html?idxno=181525")</f>
        <v>https://www.lecturernews.com/news/articleView.html?idxno=181525</v>
      </c>
      <c r="H6392">
        <v>0.27200000000000002</v>
      </c>
    </row>
    <row r="6393" spans="1:8" x14ac:dyDescent="0.3">
      <c r="A6393" t="s">
        <v>14761</v>
      </c>
      <c r="B6393" t="s">
        <v>26951</v>
      </c>
      <c r="C6393" t="s">
        <v>16278</v>
      </c>
      <c r="D6393" t="s">
        <v>16277</v>
      </c>
      <c r="E6393" s="2" t="s">
        <v>502</v>
      </c>
      <c r="F6393" t="s">
        <v>16276</v>
      </c>
      <c r="G6393" t="str">
        <f>HYPERLINK("https://n.news.naver.com/mnews/article/008/0003190219?sid=102")</f>
        <v>https://n.news.naver.com/mnews/article/008/0003190219?sid=102</v>
      </c>
      <c r="H6393">
        <v>0.29299999999999998</v>
      </c>
    </row>
    <row r="6394" spans="1:8" x14ac:dyDescent="0.3">
      <c r="A6394" t="s">
        <v>14761</v>
      </c>
      <c r="B6394" t="s">
        <v>26951</v>
      </c>
      <c r="C6394" t="s">
        <v>16280</v>
      </c>
      <c r="D6394" t="s">
        <v>16279</v>
      </c>
      <c r="E6394" s="2" t="s">
        <v>502</v>
      </c>
      <c r="F6394" t="s">
        <v>10111</v>
      </c>
      <c r="G6394" t="str">
        <f>HYPERLINK("https://www.jemin.com/news/articleView.html?idxno=817682")</f>
        <v>https://www.jemin.com/news/articleView.html?idxno=817682</v>
      </c>
      <c r="H6394">
        <v>0.126</v>
      </c>
    </row>
    <row r="6395" spans="1:8" x14ac:dyDescent="0.3">
      <c r="A6395" t="s">
        <v>14761</v>
      </c>
      <c r="B6395" t="s">
        <v>26951</v>
      </c>
      <c r="C6395" t="s">
        <v>16283</v>
      </c>
      <c r="D6395" t="s">
        <v>16282</v>
      </c>
      <c r="E6395" s="2" t="s">
        <v>502</v>
      </c>
      <c r="F6395" t="s">
        <v>16281</v>
      </c>
      <c r="G6395" t="str">
        <f>HYPERLINK("http://www.joongang.tv/news/articleView.html?idxno=137549")</f>
        <v>http://www.joongang.tv/news/articleView.html?idxno=137549</v>
      </c>
      <c r="H6395">
        <v>0.436</v>
      </c>
    </row>
    <row r="6396" spans="1:8" x14ac:dyDescent="0.3">
      <c r="A6396" t="s">
        <v>14761</v>
      </c>
      <c r="B6396" t="s">
        <v>26951</v>
      </c>
      <c r="C6396" t="s">
        <v>16286</v>
      </c>
      <c r="D6396" t="s">
        <v>16285</v>
      </c>
      <c r="E6396" s="2" t="s">
        <v>502</v>
      </c>
      <c r="F6396" t="s">
        <v>16284</v>
      </c>
      <c r="G6396" t="str">
        <f>HYPERLINK("https://n.news.naver.com/mnews/article/008/0004165827?sid=103")</f>
        <v>https://n.news.naver.com/mnews/article/008/0004165827?sid=103</v>
      </c>
      <c r="H6396">
        <v>0.29499999999999998</v>
      </c>
    </row>
    <row r="6397" spans="1:8" x14ac:dyDescent="0.3">
      <c r="A6397" t="s">
        <v>14761</v>
      </c>
      <c r="B6397" t="s">
        <v>26951</v>
      </c>
      <c r="C6397" t="s">
        <v>16289</v>
      </c>
      <c r="D6397" t="s">
        <v>16288</v>
      </c>
      <c r="E6397" s="2" t="s">
        <v>502</v>
      </c>
      <c r="F6397" t="s">
        <v>16287</v>
      </c>
      <c r="G6397" t="str">
        <f>HYPERLINK("https://www.sisaweek.com/news/articleView.html?idxno=223601")</f>
        <v>https://www.sisaweek.com/news/articleView.html?idxno=223601</v>
      </c>
      <c r="H6397">
        <v>0.34799999999999998</v>
      </c>
    </row>
    <row r="6398" spans="1:8" x14ac:dyDescent="0.3">
      <c r="A6398" t="s">
        <v>14761</v>
      </c>
      <c r="B6398" t="s">
        <v>26951</v>
      </c>
      <c r="C6398" t="s">
        <v>16291</v>
      </c>
      <c r="D6398" t="s">
        <v>16290</v>
      </c>
      <c r="E6398" s="2" t="s">
        <v>502</v>
      </c>
      <c r="F6398" t="s">
        <v>11298</v>
      </c>
      <c r="G6398" t="str">
        <f>HYPERLINK("https://www.ablenews.co.kr/news/articleView.html?idxno=212649")</f>
        <v>https://www.ablenews.co.kr/news/articleView.html?idxno=212649</v>
      </c>
      <c r="H6398">
        <v>0.53600000000000003</v>
      </c>
    </row>
    <row r="6399" spans="1:8" x14ac:dyDescent="0.3">
      <c r="A6399" t="s">
        <v>14761</v>
      </c>
      <c r="B6399" t="s">
        <v>26951</v>
      </c>
      <c r="C6399" t="s">
        <v>16293</v>
      </c>
      <c r="D6399" t="s">
        <v>16292</v>
      </c>
      <c r="E6399" s="2" t="s">
        <v>502</v>
      </c>
      <c r="F6399" t="s">
        <v>10712</v>
      </c>
      <c r="G6399" t="str">
        <f>HYPERLINK("http://www.yeongnam.com/mnews/newsview.do?mode=newsView&amp;newskey=20160602.990010714220264")</f>
        <v>http://www.yeongnam.com/mnews/newsview.do?mode=newsView&amp;newskey=20160602.990010714220264</v>
      </c>
      <c r="H6399">
        <v>0.432</v>
      </c>
    </row>
    <row r="6400" spans="1:8" x14ac:dyDescent="0.3">
      <c r="A6400" t="s">
        <v>14761</v>
      </c>
      <c r="B6400" t="s">
        <v>26951</v>
      </c>
      <c r="C6400" t="s">
        <v>16296</v>
      </c>
      <c r="D6400" t="s">
        <v>16295</v>
      </c>
      <c r="E6400" s="2" t="s">
        <v>502</v>
      </c>
      <c r="F6400" t="s">
        <v>10111</v>
      </c>
      <c r="G6400" t="str">
        <f>HYPERLINK("http://www.chungnamilbo.co.kr/news/articleView.html?idxno=836780")</f>
        <v>http://www.chungnamilbo.co.kr/news/articleView.html?idxno=836780</v>
      </c>
      <c r="H6400">
        <v>0.23300000000000001</v>
      </c>
    </row>
    <row r="6401" spans="1:8" x14ac:dyDescent="0.3">
      <c r="A6401" t="s">
        <v>14761</v>
      </c>
      <c r="B6401" t="s">
        <v>26951</v>
      </c>
      <c r="C6401" t="s">
        <v>16299</v>
      </c>
      <c r="D6401" t="s">
        <v>16298</v>
      </c>
      <c r="E6401" s="2" t="s">
        <v>502</v>
      </c>
      <c r="F6401" t="s">
        <v>16297</v>
      </c>
      <c r="G6401" t="str">
        <f>HYPERLINK("http://viewers.heraldcorp.com/news/articleView.html?idxno=43996")</f>
        <v>http://viewers.heraldcorp.com/news/articleView.html?idxno=43996</v>
      </c>
      <c r="H6401">
        <v>0.14799999999999999</v>
      </c>
    </row>
    <row r="6402" spans="1:8" x14ac:dyDescent="0.3">
      <c r="A6402" t="s">
        <v>14761</v>
      </c>
      <c r="B6402" t="s">
        <v>26951</v>
      </c>
      <c r="C6402" t="s">
        <v>16301</v>
      </c>
      <c r="D6402" t="s">
        <v>16300</v>
      </c>
      <c r="E6402" s="2" t="s">
        <v>502</v>
      </c>
      <c r="F6402" t="s">
        <v>14873</v>
      </c>
      <c r="G6402" t="str">
        <f>HYPERLINK("http://www.siminsori.com/news/articleView.html?idxno=208388")</f>
        <v>http://www.siminsori.com/news/articleView.html?idxno=208388</v>
      </c>
      <c r="H6402">
        <v>0.371</v>
      </c>
    </row>
    <row r="6403" spans="1:8" x14ac:dyDescent="0.3">
      <c r="A6403" t="s">
        <v>14761</v>
      </c>
      <c r="B6403" t="s">
        <v>26951</v>
      </c>
      <c r="C6403" t="s">
        <v>16303</v>
      </c>
      <c r="D6403" t="s">
        <v>16302</v>
      </c>
      <c r="E6403" s="2" t="s">
        <v>502</v>
      </c>
      <c r="F6403" t="s">
        <v>9878</v>
      </c>
      <c r="G6403" t="str">
        <f>HYPERLINK("https://www.lecturernews.com/news/articleView.html?idxno=157096")</f>
        <v>https://www.lecturernews.com/news/articleView.html?idxno=157096</v>
      </c>
      <c r="H6403">
        <v>0.432</v>
      </c>
    </row>
    <row r="6404" spans="1:8" x14ac:dyDescent="0.3">
      <c r="A6404" t="s">
        <v>14761</v>
      </c>
      <c r="B6404" t="s">
        <v>26951</v>
      </c>
      <c r="C6404" t="s">
        <v>16305</v>
      </c>
      <c r="D6404" t="s">
        <v>16304</v>
      </c>
      <c r="E6404" s="2" t="s">
        <v>502</v>
      </c>
      <c r="F6404" t="s">
        <v>13873</v>
      </c>
      <c r="G6404" t="str">
        <f>HYPERLINK("https://n.news.naver.com/mnews/article/079/0003313066?sid=102")</f>
        <v>https://n.news.naver.com/mnews/article/079/0003313066?sid=102</v>
      </c>
      <c r="H6404">
        <v>0.183</v>
      </c>
    </row>
    <row r="6405" spans="1:8" x14ac:dyDescent="0.3">
      <c r="A6405" t="s">
        <v>14761</v>
      </c>
      <c r="B6405" t="s">
        <v>26951</v>
      </c>
      <c r="C6405" t="s">
        <v>16308</v>
      </c>
      <c r="D6405" t="s">
        <v>16307</v>
      </c>
      <c r="E6405" s="2" t="s">
        <v>502</v>
      </c>
      <c r="F6405" t="s">
        <v>16306</v>
      </c>
      <c r="G6405" t="str">
        <f>HYPERLINK("https://www.etoday.co.kr/news/view/2478028")</f>
        <v>https://www.etoday.co.kr/news/view/2478028</v>
      </c>
      <c r="H6405">
        <v>0.55900000000000005</v>
      </c>
    </row>
    <row r="6406" spans="1:8" x14ac:dyDescent="0.3">
      <c r="A6406" t="s">
        <v>14761</v>
      </c>
      <c r="B6406" t="s">
        <v>26951</v>
      </c>
      <c r="C6406" t="s">
        <v>16311</v>
      </c>
      <c r="D6406" t="s">
        <v>16310</v>
      </c>
      <c r="E6406" s="2" t="s">
        <v>502</v>
      </c>
      <c r="F6406" t="s">
        <v>16309</v>
      </c>
      <c r="G6406" t="str">
        <f>HYPERLINK("https://sports.hankooki.com/news/articleView.html?idxno=6886057")</f>
        <v>https://sports.hankooki.com/news/articleView.html?idxno=6886057</v>
      </c>
      <c r="H6406">
        <v>0.63</v>
      </c>
    </row>
    <row r="6407" spans="1:8" x14ac:dyDescent="0.3">
      <c r="A6407" t="s">
        <v>14761</v>
      </c>
      <c r="B6407" t="s">
        <v>26951</v>
      </c>
      <c r="C6407" t="s">
        <v>16314</v>
      </c>
      <c r="D6407" t="s">
        <v>16313</v>
      </c>
      <c r="E6407" s="2" t="s">
        <v>502</v>
      </c>
      <c r="F6407" t="s">
        <v>16312</v>
      </c>
      <c r="G6407" t="str">
        <f>HYPERLINK("http://www.greened.kr/news/articleView.html?idxno=308855")</f>
        <v>http://www.greened.kr/news/articleView.html?idxno=308855</v>
      </c>
      <c r="H6407">
        <v>0.33900000000000002</v>
      </c>
    </row>
    <row r="6408" spans="1:8" x14ac:dyDescent="0.3">
      <c r="A6408" t="s">
        <v>14761</v>
      </c>
      <c r="B6408" t="s">
        <v>26951</v>
      </c>
      <c r="C6408" t="s">
        <v>16316</v>
      </c>
      <c r="D6408" t="s">
        <v>16315</v>
      </c>
      <c r="E6408" s="2" t="s">
        <v>502</v>
      </c>
      <c r="F6408" t="s">
        <v>10069</v>
      </c>
      <c r="G6408" t="str">
        <f>HYPERLINK("http://www.pdjournal.com/news/articleView.html?idxno=21872")</f>
        <v>http://www.pdjournal.com/news/articleView.html?idxno=21872</v>
      </c>
      <c r="H6408">
        <v>0.52100000000000002</v>
      </c>
    </row>
    <row r="6409" spans="1:8" x14ac:dyDescent="0.3">
      <c r="A6409" t="s">
        <v>14761</v>
      </c>
      <c r="B6409" t="s">
        <v>26951</v>
      </c>
      <c r="C6409" t="s">
        <v>16319</v>
      </c>
      <c r="D6409" t="s">
        <v>16318</v>
      </c>
      <c r="E6409" s="2" t="s">
        <v>502</v>
      </c>
      <c r="F6409" t="s">
        <v>16317</v>
      </c>
      <c r="G6409" t="str">
        <f>HYPERLINK("http://news.bizwatch.co.kr/article/mobile/2020/04/07/0011/naver")</f>
        <v>http://news.bizwatch.co.kr/article/mobile/2020/04/07/0011/naver</v>
      </c>
      <c r="H6409">
        <v>0.48299999999999998</v>
      </c>
    </row>
    <row r="6410" spans="1:8" x14ac:dyDescent="0.3">
      <c r="A6410" t="s">
        <v>14761</v>
      </c>
      <c r="B6410" t="s">
        <v>26951</v>
      </c>
      <c r="C6410" t="s">
        <v>16321</v>
      </c>
      <c r="D6410" t="s">
        <v>16320</v>
      </c>
      <c r="E6410" s="2" t="s">
        <v>502</v>
      </c>
      <c r="F6410" t="s">
        <v>11893</v>
      </c>
      <c r="G6410" t="str">
        <f>HYPERLINK("https://www.ftimes.kr/news/articleView.html?idxno=31022")</f>
        <v>https://www.ftimes.kr/news/articleView.html?idxno=31022</v>
      </c>
      <c r="H6410">
        <v>0.56899999999999995</v>
      </c>
    </row>
    <row r="6411" spans="1:8" x14ac:dyDescent="0.3">
      <c r="A6411" t="s">
        <v>14761</v>
      </c>
      <c r="B6411" t="s">
        <v>26951</v>
      </c>
      <c r="C6411" t="s">
        <v>16323</v>
      </c>
      <c r="D6411" t="s">
        <v>16322</v>
      </c>
      <c r="E6411" s="2" t="s">
        <v>502</v>
      </c>
      <c r="F6411" t="s">
        <v>1374</v>
      </c>
      <c r="G6411" t="str">
        <f>HYPERLINK("https://n.news.naver.com/mnews/article/056/0011566150?sid=101")</f>
        <v>https://n.news.naver.com/mnews/article/056/0011566150?sid=101</v>
      </c>
      <c r="H6411">
        <v>0.35</v>
      </c>
    </row>
    <row r="6412" spans="1:8" x14ac:dyDescent="0.3">
      <c r="A6412" t="s">
        <v>14761</v>
      </c>
      <c r="B6412" t="s">
        <v>26951</v>
      </c>
      <c r="C6412" t="s">
        <v>16325</v>
      </c>
      <c r="D6412" t="s">
        <v>16324</v>
      </c>
      <c r="E6412" s="2" t="s">
        <v>502</v>
      </c>
      <c r="F6412" t="s">
        <v>14816</v>
      </c>
      <c r="G6412" t="str">
        <f>HYPERLINK("https://www.lecturernews.com/news/articleView.html?idxno=129281")</f>
        <v>https://www.lecturernews.com/news/articleView.html?idxno=129281</v>
      </c>
      <c r="H6412">
        <v>0.63100000000000001</v>
      </c>
    </row>
    <row r="6413" spans="1:8" x14ac:dyDescent="0.3">
      <c r="A6413" t="s">
        <v>14761</v>
      </c>
      <c r="B6413" t="s">
        <v>26951</v>
      </c>
      <c r="C6413" t="s">
        <v>16327</v>
      </c>
      <c r="D6413" t="s">
        <v>16326</v>
      </c>
      <c r="E6413" s="2" t="s">
        <v>502</v>
      </c>
      <c r="F6413" t="s">
        <v>9944</v>
      </c>
      <c r="G6413" t="str">
        <f>HYPERLINK("https://n.news.naver.com/mnews/article/214/0001433403?sid=100")</f>
        <v>https://n.news.naver.com/mnews/article/214/0001433403?sid=100</v>
      </c>
      <c r="H6413">
        <v>0.50700000000000001</v>
      </c>
    </row>
    <row r="6414" spans="1:8" x14ac:dyDescent="0.3">
      <c r="A6414" t="s">
        <v>14761</v>
      </c>
      <c r="B6414" t="s">
        <v>26951</v>
      </c>
      <c r="C6414" t="s">
        <v>16329</v>
      </c>
      <c r="D6414" t="s">
        <v>16328</v>
      </c>
      <c r="E6414" s="2" t="s">
        <v>502</v>
      </c>
      <c r="F6414" t="s">
        <v>373</v>
      </c>
      <c r="G6414" t="str">
        <f>HYPERLINK("https://www.ekn.kr/web/view.php?key=20250518022497784")</f>
        <v>https://www.ekn.kr/web/view.php?key=20250518022497784</v>
      </c>
      <c r="H6414">
        <v>0.78200000000000003</v>
      </c>
    </row>
    <row r="6415" spans="1:8" x14ac:dyDescent="0.3">
      <c r="A6415" t="s">
        <v>14761</v>
      </c>
      <c r="B6415" t="s">
        <v>26951</v>
      </c>
      <c r="C6415" t="s">
        <v>16332</v>
      </c>
      <c r="D6415" t="s">
        <v>16331</v>
      </c>
      <c r="E6415" s="2" t="s">
        <v>502</v>
      </c>
      <c r="F6415" t="s">
        <v>16330</v>
      </c>
      <c r="G6415" t="str">
        <f>HYPERLINK("https://www.ibabynews.com/news/articleView.html?idxno=130620")</f>
        <v>https://www.ibabynews.com/news/articleView.html?idxno=130620</v>
      </c>
      <c r="H6415">
        <v>0.52400000000000002</v>
      </c>
    </row>
    <row r="6416" spans="1:8" x14ac:dyDescent="0.3">
      <c r="A6416" t="s">
        <v>14761</v>
      </c>
      <c r="B6416" t="s">
        <v>26951</v>
      </c>
      <c r="C6416" t="s">
        <v>16335</v>
      </c>
      <c r="D6416" t="s">
        <v>16334</v>
      </c>
      <c r="E6416" s="2" t="s">
        <v>502</v>
      </c>
      <c r="F6416" t="s">
        <v>16333</v>
      </c>
      <c r="G6416" t="str">
        <f>HYPERLINK("https://n.news.naver.com/mnews/article/011/0003908306?sid=101")</f>
        <v>https://n.news.naver.com/mnews/article/011/0003908306?sid=101</v>
      </c>
      <c r="H6416">
        <v>0.23599999999999999</v>
      </c>
    </row>
    <row r="6417" spans="1:8" x14ac:dyDescent="0.3">
      <c r="A6417" t="s">
        <v>14761</v>
      </c>
      <c r="B6417" t="s">
        <v>26951</v>
      </c>
      <c r="C6417" t="s">
        <v>16337</v>
      </c>
      <c r="D6417" t="s">
        <v>16336</v>
      </c>
      <c r="E6417" s="2" t="s">
        <v>502</v>
      </c>
      <c r="F6417" t="s">
        <v>7526</v>
      </c>
      <c r="G6417" t="str">
        <f>HYPERLINK("https://www.ekn.kr/web/view.php?key=20250614026336495")</f>
        <v>https://www.ekn.kr/web/view.php?key=20250614026336495</v>
      </c>
      <c r="H6417">
        <v>0.38400000000000001</v>
      </c>
    </row>
    <row r="6418" spans="1:8" x14ac:dyDescent="0.3">
      <c r="A6418" t="s">
        <v>14761</v>
      </c>
      <c r="B6418" t="s">
        <v>26951</v>
      </c>
      <c r="C6418" t="s">
        <v>16339</v>
      </c>
      <c r="D6418" t="s">
        <v>16338</v>
      </c>
      <c r="E6418" s="2" t="s">
        <v>502</v>
      </c>
      <c r="F6418" t="s">
        <v>119</v>
      </c>
      <c r="G6418" t="str">
        <f>HYPERLINK("http://www.jejusori.net/news/articleView.html?idxno=120808")</f>
        <v>http://www.jejusori.net/news/articleView.html?idxno=120808</v>
      </c>
      <c r="H6418">
        <v>0.45900000000000002</v>
      </c>
    </row>
    <row r="6419" spans="1:8" x14ac:dyDescent="0.3">
      <c r="A6419" t="s">
        <v>14761</v>
      </c>
      <c r="B6419" t="s">
        <v>26951</v>
      </c>
      <c r="C6419" t="s">
        <v>16342</v>
      </c>
      <c r="D6419" t="s">
        <v>16341</v>
      </c>
      <c r="E6419" s="2" t="s">
        <v>502</v>
      </c>
      <c r="F6419" t="s">
        <v>16340</v>
      </c>
      <c r="G6419" t="str">
        <f>HYPERLINK("http://www.knnews.co.kr/news/articleView.php?idxno=1393014")</f>
        <v>http://www.knnews.co.kr/news/articleView.php?idxno=1393014</v>
      </c>
      <c r="H6419">
        <v>0.26300000000000001</v>
      </c>
    </row>
    <row r="6420" spans="1:8" x14ac:dyDescent="0.3">
      <c r="A6420" t="s">
        <v>14761</v>
      </c>
      <c r="B6420" t="s">
        <v>26951</v>
      </c>
      <c r="C6420" t="s">
        <v>16347</v>
      </c>
      <c r="D6420" t="s">
        <v>16346</v>
      </c>
      <c r="E6420" s="2" t="s">
        <v>502</v>
      </c>
      <c r="F6420" t="s">
        <v>16345</v>
      </c>
      <c r="G6420" t="str">
        <f>HYPERLINK("https://www.marieclairekorea.com/newnew/2025/06/michelin-guide-pyung-nang/?utm_source=naver&amp;utm_medium=partnership")</f>
        <v>https://www.marieclairekorea.com/newnew/2025/06/michelin-guide-pyung-nang/?utm_source=naver&amp;utm_medium=partnership</v>
      </c>
      <c r="H6420">
        <v>0.52400000000000002</v>
      </c>
    </row>
    <row r="6421" spans="1:8" x14ac:dyDescent="0.3">
      <c r="A6421" t="s">
        <v>14761</v>
      </c>
      <c r="B6421" t="s">
        <v>26951</v>
      </c>
      <c r="C6421" t="s">
        <v>16349</v>
      </c>
      <c r="D6421" t="s">
        <v>16348</v>
      </c>
      <c r="E6421" s="2" t="s">
        <v>502</v>
      </c>
      <c r="F6421" t="s">
        <v>12863</v>
      </c>
      <c r="G6421" t="str">
        <f>HYPERLINK("https://www.greened.kr/news/articleView.html?idxno=318903")</f>
        <v>https://www.greened.kr/news/articleView.html?idxno=318903</v>
      </c>
      <c r="H6421">
        <v>0.56599999999999995</v>
      </c>
    </row>
    <row r="6422" spans="1:8" x14ac:dyDescent="0.3">
      <c r="A6422" t="s">
        <v>14761</v>
      </c>
      <c r="B6422" t="s">
        <v>26951</v>
      </c>
      <c r="C6422" t="s">
        <v>16351</v>
      </c>
      <c r="D6422" t="s">
        <v>16350</v>
      </c>
      <c r="E6422" s="2" t="s">
        <v>502</v>
      </c>
      <c r="F6422" t="s">
        <v>5398</v>
      </c>
      <c r="G6422" t="str">
        <f>HYPERLINK("https://www.kukinews.com/article/view/kuk202412310121")</f>
        <v>https://www.kukinews.com/article/view/kuk202412310121</v>
      </c>
      <c r="H6422">
        <v>0.315</v>
      </c>
    </row>
    <row r="6423" spans="1:8" x14ac:dyDescent="0.3">
      <c r="A6423" t="s">
        <v>14761</v>
      </c>
      <c r="B6423" t="s">
        <v>26951</v>
      </c>
      <c r="C6423" t="s">
        <v>16353</v>
      </c>
      <c r="D6423" t="s">
        <v>16352</v>
      </c>
      <c r="E6423" s="2" t="s">
        <v>502</v>
      </c>
      <c r="F6423" t="s">
        <v>10678</v>
      </c>
      <c r="G6423" t="str">
        <f>HYPERLINK("http://www.handmk.com/news/articleView.html?idxno=15475")</f>
        <v>http://www.handmk.com/news/articleView.html?idxno=15475</v>
      </c>
      <c r="H6423">
        <v>0.29899999999999999</v>
      </c>
    </row>
    <row r="6424" spans="1:8" x14ac:dyDescent="0.3">
      <c r="A6424" t="s">
        <v>14761</v>
      </c>
      <c r="B6424" t="s">
        <v>26951</v>
      </c>
      <c r="C6424" t="s">
        <v>16356</v>
      </c>
      <c r="D6424" t="s">
        <v>16355</v>
      </c>
      <c r="E6424" s="2" t="s">
        <v>502</v>
      </c>
      <c r="F6424" t="s">
        <v>16354</v>
      </c>
      <c r="G6424" t="str">
        <f>HYPERLINK("https://n.news.naver.com/mnews/article/022/0004047762?sid=100")</f>
        <v>https://n.news.naver.com/mnews/article/022/0004047762?sid=100</v>
      </c>
      <c r="H6424">
        <v>0.22</v>
      </c>
    </row>
    <row r="6425" spans="1:8" x14ac:dyDescent="0.3">
      <c r="A6425" t="s">
        <v>14761</v>
      </c>
      <c r="B6425" t="s">
        <v>26951</v>
      </c>
      <c r="C6425" t="s">
        <v>16358</v>
      </c>
      <c r="D6425" t="s">
        <v>16357</v>
      </c>
      <c r="E6425" s="2" t="s">
        <v>502</v>
      </c>
      <c r="F6425" t="s">
        <v>3235</v>
      </c>
      <c r="G6425" t="str">
        <f>HYPERLINK("https://www.joongangenews.com/news/articleView.html?idxno=424915")</f>
        <v>https://www.joongangenews.com/news/articleView.html?idxno=424915</v>
      </c>
      <c r="H6425">
        <v>0.45600000000000002</v>
      </c>
    </row>
    <row r="6426" spans="1:8" x14ac:dyDescent="0.3">
      <c r="A6426" t="s">
        <v>14761</v>
      </c>
      <c r="B6426" t="s">
        <v>26951</v>
      </c>
      <c r="C6426" t="s">
        <v>16360</v>
      </c>
      <c r="D6426" t="s">
        <v>16359</v>
      </c>
      <c r="E6426" s="2" t="s">
        <v>502</v>
      </c>
      <c r="F6426" t="s">
        <v>4119</v>
      </c>
      <c r="G6426" t="str">
        <f>HYPERLINK("https://n.news.naver.com/mnews/article/016/0002491169?sid=102")</f>
        <v>https://n.news.naver.com/mnews/article/016/0002491169?sid=102</v>
      </c>
      <c r="H6426">
        <v>0.218</v>
      </c>
    </row>
    <row r="6427" spans="1:8" x14ac:dyDescent="0.3">
      <c r="A6427" t="s">
        <v>14761</v>
      </c>
      <c r="B6427" t="s">
        <v>26951</v>
      </c>
      <c r="C6427" t="s">
        <v>16363</v>
      </c>
      <c r="D6427" t="s">
        <v>16362</v>
      </c>
      <c r="E6427" s="2" t="s">
        <v>502</v>
      </c>
      <c r="F6427" t="s">
        <v>16361</v>
      </c>
      <c r="G6427" t="str">
        <f>HYPERLINK("http://www.pdjournal.com/news/articleView.html?idxno=27545")</f>
        <v>http://www.pdjournal.com/news/articleView.html?idxno=27545</v>
      </c>
      <c r="H6427">
        <v>0.28299999999999997</v>
      </c>
    </row>
    <row r="6428" spans="1:8" x14ac:dyDescent="0.3">
      <c r="A6428" t="s">
        <v>14761</v>
      </c>
      <c r="B6428" t="s">
        <v>26951</v>
      </c>
      <c r="C6428" t="s">
        <v>16365</v>
      </c>
      <c r="D6428" t="s">
        <v>16364</v>
      </c>
      <c r="E6428" s="2" t="s">
        <v>502</v>
      </c>
      <c r="F6428" t="s">
        <v>3235</v>
      </c>
      <c r="G6428" t="str">
        <f>HYPERLINK("https://sports.hankooki.com/news/articleView.html?idxno=6902043")</f>
        <v>https://sports.hankooki.com/news/articleView.html?idxno=6902043</v>
      </c>
      <c r="H6428">
        <v>0.54600000000000004</v>
      </c>
    </row>
    <row r="6429" spans="1:8" x14ac:dyDescent="0.3">
      <c r="A6429" t="s">
        <v>14761</v>
      </c>
      <c r="B6429" t="s">
        <v>26951</v>
      </c>
      <c r="C6429" t="s">
        <v>16368</v>
      </c>
      <c r="D6429" t="s">
        <v>16367</v>
      </c>
      <c r="E6429" s="2" t="s">
        <v>356</v>
      </c>
      <c r="F6429" t="s">
        <v>1377</v>
      </c>
      <c r="G6429" t="str">
        <f>HYPERLINK("https://www.jemin.com/news/articleView.html?idxno=810773")</f>
        <v>https://www.jemin.com/news/articleView.html?idxno=810773</v>
      </c>
      <c r="H6429">
        <v>0.627</v>
      </c>
    </row>
    <row r="6430" spans="1:8" x14ac:dyDescent="0.3">
      <c r="A6430" t="s">
        <v>14761</v>
      </c>
      <c r="B6430" t="s">
        <v>26951</v>
      </c>
      <c r="C6430" t="s">
        <v>16370</v>
      </c>
      <c r="D6430" t="s">
        <v>16369</v>
      </c>
      <c r="E6430" s="2" t="s">
        <v>356</v>
      </c>
      <c r="F6430" t="s">
        <v>1098</v>
      </c>
      <c r="G6430" t="str">
        <f>HYPERLINK("https://www.straightnews.co.kr/news/articleView.html?idxno=252687")</f>
        <v>https://www.straightnews.co.kr/news/articleView.html?idxno=252687</v>
      </c>
      <c r="H6430">
        <v>0.61899999999999999</v>
      </c>
    </row>
    <row r="6431" spans="1:8" x14ac:dyDescent="0.3">
      <c r="A6431" t="s">
        <v>14761</v>
      </c>
      <c r="B6431" t="s">
        <v>26951</v>
      </c>
      <c r="C6431" t="s">
        <v>16372</v>
      </c>
      <c r="D6431" t="s">
        <v>16371</v>
      </c>
      <c r="E6431" s="2" t="s">
        <v>356</v>
      </c>
      <c r="F6431" t="s">
        <v>4122</v>
      </c>
      <c r="G6431" t="str">
        <f>HYPERLINK("https://wemakenews.co.kr/news/view.php?no=22000")</f>
        <v>https://wemakenews.co.kr/news/view.php?no=22000</v>
      </c>
      <c r="H6431">
        <v>0.96699999999999997</v>
      </c>
    </row>
    <row r="6432" spans="1:8" x14ac:dyDescent="0.3">
      <c r="A6432" t="s">
        <v>14761</v>
      </c>
      <c r="B6432" t="s">
        <v>26951</v>
      </c>
      <c r="C6432" t="s">
        <v>16374</v>
      </c>
      <c r="D6432" t="s">
        <v>16373</v>
      </c>
      <c r="E6432" s="2" t="s">
        <v>356</v>
      </c>
      <c r="F6432" t="s">
        <v>235</v>
      </c>
      <c r="G6432" t="str">
        <f>HYPERLINK("https://n.news.naver.com/mnews/article/087/0001123806?sid=102")</f>
        <v>https://n.news.naver.com/mnews/article/087/0001123806?sid=102</v>
      </c>
      <c r="H6432">
        <v>0.20599999999999999</v>
      </c>
    </row>
    <row r="6433" spans="1:8" x14ac:dyDescent="0.3">
      <c r="A6433" t="s">
        <v>14761</v>
      </c>
      <c r="B6433" t="s">
        <v>26951</v>
      </c>
      <c r="C6433" t="s">
        <v>16377</v>
      </c>
      <c r="D6433" t="s">
        <v>16376</v>
      </c>
      <c r="E6433" s="2" t="s">
        <v>356</v>
      </c>
      <c r="F6433" t="s">
        <v>16375</v>
      </c>
      <c r="G6433" t="str">
        <f>HYPERLINK("https://www.lecturernews.com/news/articleView.html?idxno=180006")</f>
        <v>https://www.lecturernews.com/news/articleView.html?idxno=180006</v>
      </c>
      <c r="H6433">
        <v>0.55600000000000005</v>
      </c>
    </row>
    <row r="6434" spans="1:8" x14ac:dyDescent="0.3">
      <c r="A6434" t="s">
        <v>14761</v>
      </c>
      <c r="B6434" t="s">
        <v>26951</v>
      </c>
      <c r="C6434" t="s">
        <v>16379</v>
      </c>
      <c r="D6434" t="s">
        <v>16378</v>
      </c>
      <c r="E6434" s="2" t="s">
        <v>356</v>
      </c>
      <c r="F6434" t="s">
        <v>10191</v>
      </c>
      <c r="G6434" t="str">
        <f>HYPERLINK("https://sports.hankooki.com/news/articleView.html?idxno=6901269")</f>
        <v>https://sports.hankooki.com/news/articleView.html?idxno=6901269</v>
      </c>
      <c r="H6434">
        <v>0.77700000000000002</v>
      </c>
    </row>
    <row r="6435" spans="1:8" x14ac:dyDescent="0.3">
      <c r="A6435" t="s">
        <v>14761</v>
      </c>
      <c r="B6435" t="s">
        <v>26951</v>
      </c>
      <c r="C6435" t="s">
        <v>16381</v>
      </c>
      <c r="D6435" t="s">
        <v>16380</v>
      </c>
      <c r="E6435" s="2" t="s">
        <v>356</v>
      </c>
      <c r="F6435" t="s">
        <v>3204</v>
      </c>
      <c r="G6435" t="str">
        <f>HYPERLINK("http://www.breaknews.com/1077022")</f>
        <v>http://www.breaknews.com/1077022</v>
      </c>
      <c r="H6435">
        <v>0.248</v>
      </c>
    </row>
    <row r="6436" spans="1:8" x14ac:dyDescent="0.3">
      <c r="A6436" t="s">
        <v>14761</v>
      </c>
      <c r="B6436" t="s">
        <v>26951</v>
      </c>
      <c r="C6436" t="s">
        <v>16384</v>
      </c>
      <c r="D6436" t="s">
        <v>16383</v>
      </c>
      <c r="E6436" s="2" t="s">
        <v>356</v>
      </c>
      <c r="F6436" t="s">
        <v>16382</v>
      </c>
      <c r="G6436" t="str">
        <f>HYPERLINK("http://www.newscj.com/news/articleView.html?idxno=643451")</f>
        <v>http://www.newscj.com/news/articleView.html?idxno=643451</v>
      </c>
      <c r="H6436">
        <v>0.19500000000000001</v>
      </c>
    </row>
    <row r="6437" spans="1:8" x14ac:dyDescent="0.3">
      <c r="A6437" t="s">
        <v>14761</v>
      </c>
      <c r="B6437" t="s">
        <v>26951</v>
      </c>
      <c r="C6437" t="s">
        <v>16387</v>
      </c>
      <c r="D6437" t="s">
        <v>16386</v>
      </c>
      <c r="E6437" s="2" t="s">
        <v>356</v>
      </c>
      <c r="F6437" t="s">
        <v>16385</v>
      </c>
      <c r="G6437" t="str">
        <f>HYPERLINK("https://n.news.naver.com/mnews/article/016/0002487511?sid=102")</f>
        <v>https://n.news.naver.com/mnews/article/016/0002487511?sid=102</v>
      </c>
      <c r="H6437">
        <v>0.124</v>
      </c>
    </row>
    <row r="6438" spans="1:8" x14ac:dyDescent="0.3">
      <c r="A6438" t="s">
        <v>14761</v>
      </c>
      <c r="B6438" t="s">
        <v>26951</v>
      </c>
      <c r="C6438" t="s">
        <v>16390</v>
      </c>
      <c r="D6438" t="s">
        <v>16389</v>
      </c>
      <c r="E6438" s="2" t="s">
        <v>356</v>
      </c>
      <c r="F6438" t="s">
        <v>16388</v>
      </c>
      <c r="G6438" t="str">
        <f>HYPERLINK("https://n.news.naver.com/mnews/article/055/0000983634?sid=102")</f>
        <v>https://n.news.naver.com/mnews/article/055/0000983634?sid=102</v>
      </c>
      <c r="H6438">
        <v>0.121</v>
      </c>
    </row>
    <row r="6439" spans="1:8" x14ac:dyDescent="0.3">
      <c r="A6439" t="s">
        <v>14761</v>
      </c>
      <c r="B6439" t="s">
        <v>26951</v>
      </c>
      <c r="C6439" t="s">
        <v>16393</v>
      </c>
      <c r="D6439" t="s">
        <v>16392</v>
      </c>
      <c r="E6439" s="2" t="s">
        <v>356</v>
      </c>
      <c r="F6439" t="s">
        <v>16391</v>
      </c>
      <c r="G6439" t="str">
        <f>HYPERLINK("http://www.enewstoday.co.kr/news/articleView.html?idxno=2294596")</f>
        <v>http://www.enewstoday.co.kr/news/articleView.html?idxno=2294596</v>
      </c>
      <c r="H6439">
        <v>0.30199999999999999</v>
      </c>
    </row>
    <row r="6440" spans="1:8" x14ac:dyDescent="0.3">
      <c r="A6440" t="s">
        <v>14761</v>
      </c>
      <c r="B6440" t="s">
        <v>26951</v>
      </c>
      <c r="C6440" t="s">
        <v>16396</v>
      </c>
      <c r="D6440" t="s">
        <v>16395</v>
      </c>
      <c r="E6440" s="2" t="s">
        <v>356</v>
      </c>
      <c r="F6440" t="s">
        <v>16394</v>
      </c>
      <c r="G6440" t="str">
        <f>HYPERLINK("http://www.fntoday.co.kr/news/articleView.html?idxno=354775")</f>
        <v>http://www.fntoday.co.kr/news/articleView.html?idxno=354775</v>
      </c>
      <c r="H6440">
        <v>0.89500000000000002</v>
      </c>
    </row>
    <row r="6441" spans="1:8" x14ac:dyDescent="0.3">
      <c r="A6441" t="s">
        <v>14761</v>
      </c>
      <c r="B6441" t="s">
        <v>26951</v>
      </c>
      <c r="C6441" t="s">
        <v>16399</v>
      </c>
      <c r="D6441" t="s">
        <v>16398</v>
      </c>
      <c r="E6441" s="2" t="s">
        <v>356</v>
      </c>
      <c r="F6441" t="s">
        <v>16397</v>
      </c>
      <c r="G6441" t="str">
        <f>HYPERLINK("http://www.pdjournal.com/news/articleView.html?idxno=20130")</f>
        <v>http://www.pdjournal.com/news/articleView.html?idxno=20130</v>
      </c>
      <c r="H6441">
        <v>0.57599999999999996</v>
      </c>
    </row>
    <row r="6442" spans="1:8" x14ac:dyDescent="0.3">
      <c r="A6442" t="s">
        <v>14761</v>
      </c>
      <c r="B6442" t="s">
        <v>26951</v>
      </c>
      <c r="C6442" t="s">
        <v>16401</v>
      </c>
      <c r="D6442" t="s">
        <v>16400</v>
      </c>
      <c r="E6442" s="2" t="s">
        <v>356</v>
      </c>
      <c r="F6442" t="s">
        <v>9962</v>
      </c>
      <c r="G6442" t="str">
        <f>HYPERLINK("http://www.apsk.co.kr/news/articleView.html?idxno=14471")</f>
        <v>http://www.apsk.co.kr/news/articleView.html?idxno=14471</v>
      </c>
      <c r="H6442">
        <v>0.48499999999999999</v>
      </c>
    </row>
    <row r="6443" spans="1:8" x14ac:dyDescent="0.3">
      <c r="A6443" t="s">
        <v>14761</v>
      </c>
      <c r="B6443" t="s">
        <v>26951</v>
      </c>
      <c r="C6443" t="s">
        <v>16404</v>
      </c>
      <c r="D6443" t="s">
        <v>16403</v>
      </c>
      <c r="E6443" s="2" t="s">
        <v>356</v>
      </c>
      <c r="F6443" t="s">
        <v>16402</v>
      </c>
      <c r="G6443" t="str">
        <f>HYPERLINK("https://www.pinpointnews.co.kr/news/articleView.html?idxno=355421")</f>
        <v>https://www.pinpointnews.co.kr/news/articleView.html?idxno=355421</v>
      </c>
      <c r="H6443">
        <v>0.105</v>
      </c>
    </row>
    <row r="6444" spans="1:8" x14ac:dyDescent="0.3">
      <c r="A6444" t="s">
        <v>14761</v>
      </c>
      <c r="B6444" t="s">
        <v>26951</v>
      </c>
      <c r="C6444" t="s">
        <v>16406</v>
      </c>
      <c r="D6444" t="s">
        <v>16405</v>
      </c>
      <c r="E6444" s="2" t="s">
        <v>356</v>
      </c>
      <c r="F6444" t="s">
        <v>10471</v>
      </c>
      <c r="G6444" t="str">
        <f>HYPERLINK("https://www.ggilbo.com/news/articleView.html?idxno=1097294")</f>
        <v>https://www.ggilbo.com/news/articleView.html?idxno=1097294</v>
      </c>
      <c r="H6444">
        <v>0.60799999999999998</v>
      </c>
    </row>
    <row r="6445" spans="1:8" x14ac:dyDescent="0.3">
      <c r="A6445" t="s">
        <v>14761</v>
      </c>
      <c r="B6445" t="s">
        <v>26951</v>
      </c>
      <c r="C6445" t="s">
        <v>16411</v>
      </c>
      <c r="D6445" t="s">
        <v>16410</v>
      </c>
      <c r="E6445" s="2" t="s">
        <v>356</v>
      </c>
      <c r="F6445" t="s">
        <v>16409</v>
      </c>
      <c r="G6445" t="str">
        <f>HYPERLINK("http://jmagazine.joins.com/forbes/view/338192")</f>
        <v>http://jmagazine.joins.com/forbes/view/338192</v>
      </c>
      <c r="H6445">
        <v>0.33</v>
      </c>
    </row>
    <row r="6446" spans="1:8" x14ac:dyDescent="0.3">
      <c r="A6446" t="s">
        <v>14761</v>
      </c>
      <c r="B6446" t="s">
        <v>26951</v>
      </c>
      <c r="C6446" t="s">
        <v>16413</v>
      </c>
      <c r="D6446" t="s">
        <v>16412</v>
      </c>
      <c r="E6446" s="2" t="s">
        <v>356</v>
      </c>
      <c r="F6446" t="s">
        <v>13542</v>
      </c>
      <c r="G6446" t="str">
        <f>HYPERLINK("https://www.ggilbo.com/news/articleView.html?idxno=1066024")</f>
        <v>https://www.ggilbo.com/news/articleView.html?idxno=1066024</v>
      </c>
      <c r="H6446">
        <v>0.11899999999999999</v>
      </c>
    </row>
    <row r="6447" spans="1:8" x14ac:dyDescent="0.3">
      <c r="A6447" t="s">
        <v>14761</v>
      </c>
      <c r="B6447" t="s">
        <v>26951</v>
      </c>
      <c r="C6447" t="s">
        <v>16416</v>
      </c>
      <c r="D6447" t="s">
        <v>16415</v>
      </c>
      <c r="E6447" s="2" t="s">
        <v>356</v>
      </c>
      <c r="F6447" t="s">
        <v>16414</v>
      </c>
      <c r="G6447" t="str">
        <f>HYPERLINK("https://www.ggilbo.com/news/articleView.html?idxno=1097294")</f>
        <v>https://www.ggilbo.com/news/articleView.html?idxno=1097294</v>
      </c>
      <c r="H6447">
        <v>0.504</v>
      </c>
    </row>
    <row r="6448" spans="1:8" x14ac:dyDescent="0.3">
      <c r="A6448" t="s">
        <v>14761</v>
      </c>
      <c r="B6448" t="s">
        <v>26951</v>
      </c>
      <c r="C6448" t="s">
        <v>16419</v>
      </c>
      <c r="D6448" t="s">
        <v>16418</v>
      </c>
      <c r="E6448" s="2" t="s">
        <v>356</v>
      </c>
      <c r="F6448" t="s">
        <v>16417</v>
      </c>
      <c r="G6448" t="str">
        <f>HYPERLINK("https://news.einfomax.co.kr/news/articleView.html?idxno=4344880")</f>
        <v>https://news.einfomax.co.kr/news/articleView.html?idxno=4344880</v>
      </c>
      <c r="H6448">
        <v>0.47399999999999998</v>
      </c>
    </row>
    <row r="6449" spans="1:8" x14ac:dyDescent="0.3">
      <c r="A6449" t="s">
        <v>14761</v>
      </c>
      <c r="B6449" t="s">
        <v>26951</v>
      </c>
      <c r="C6449" t="s">
        <v>16421</v>
      </c>
      <c r="D6449" t="s">
        <v>16420</v>
      </c>
      <c r="E6449" s="2" t="s">
        <v>356</v>
      </c>
      <c r="F6449" t="s">
        <v>10471</v>
      </c>
      <c r="G6449" t="str">
        <f>HYPERLINK("https://sports.hankooki.com/news/articleView.html?idxno=6899932")</f>
        <v>https://sports.hankooki.com/news/articleView.html?idxno=6899932</v>
      </c>
      <c r="H6449">
        <v>0.57599999999999996</v>
      </c>
    </row>
    <row r="6450" spans="1:8" x14ac:dyDescent="0.3">
      <c r="A6450" t="s">
        <v>14761</v>
      </c>
      <c r="B6450" t="s">
        <v>26951</v>
      </c>
      <c r="C6450" t="s">
        <v>16424</v>
      </c>
      <c r="D6450" t="s">
        <v>16423</v>
      </c>
      <c r="E6450" s="2" t="s">
        <v>356</v>
      </c>
      <c r="F6450" t="s">
        <v>10111</v>
      </c>
      <c r="G6450" t="str">
        <f>HYPERLINK("https://www.jemin.com/news/articleView.html?idxno=817682")</f>
        <v>https://www.jemin.com/news/articleView.html?idxno=817682</v>
      </c>
      <c r="H6450">
        <v>0.19600000000000001</v>
      </c>
    </row>
    <row r="6451" spans="1:8" x14ac:dyDescent="0.3">
      <c r="A6451" t="s">
        <v>14761</v>
      </c>
      <c r="B6451" t="s">
        <v>26951</v>
      </c>
      <c r="C6451" t="s">
        <v>16426</v>
      </c>
      <c r="D6451" t="s">
        <v>16425</v>
      </c>
      <c r="E6451" s="2" t="s">
        <v>356</v>
      </c>
      <c r="F6451" t="s">
        <v>13511</v>
      </c>
      <c r="G6451" t="str">
        <f>HYPERLINK("https://www.ftimes.kr/news/articleView.html?idxno=31441")</f>
        <v>https://www.ftimes.kr/news/articleView.html?idxno=31441</v>
      </c>
      <c r="H6451">
        <v>0.59599999999999997</v>
      </c>
    </row>
    <row r="6452" spans="1:8" x14ac:dyDescent="0.3">
      <c r="A6452" t="s">
        <v>14761</v>
      </c>
      <c r="B6452" t="s">
        <v>26951</v>
      </c>
      <c r="C6452" t="s">
        <v>16428</v>
      </c>
      <c r="D6452" t="s">
        <v>16427</v>
      </c>
      <c r="E6452" s="2" t="s">
        <v>356</v>
      </c>
      <c r="F6452" t="s">
        <v>10317</v>
      </c>
      <c r="G6452" t="str">
        <f>HYPERLINK("https://www.ggilbo.com/news/articleView.html?idxno=1097294")</f>
        <v>https://www.ggilbo.com/news/articleView.html?idxno=1097294</v>
      </c>
      <c r="H6452">
        <v>0.59799999999999998</v>
      </c>
    </row>
    <row r="6453" spans="1:8" x14ac:dyDescent="0.3">
      <c r="A6453" t="s">
        <v>14761</v>
      </c>
      <c r="B6453" t="s">
        <v>26951</v>
      </c>
      <c r="C6453" t="s">
        <v>16430</v>
      </c>
      <c r="D6453" t="s">
        <v>16429</v>
      </c>
      <c r="E6453" s="2" t="s">
        <v>356</v>
      </c>
      <c r="F6453" t="s">
        <v>11181</v>
      </c>
      <c r="G6453" t="str">
        <f>HYPERLINK("https://www.pennmike.com/news/articleView.html?idxno=103418")</f>
        <v>https://www.pennmike.com/news/articleView.html?idxno=103418</v>
      </c>
      <c r="H6453">
        <v>0.72799999999999998</v>
      </c>
    </row>
    <row r="6454" spans="1:8" x14ac:dyDescent="0.3">
      <c r="A6454" t="s">
        <v>14761</v>
      </c>
      <c r="B6454" t="s">
        <v>26951</v>
      </c>
      <c r="C6454" t="s">
        <v>16432</v>
      </c>
      <c r="D6454" t="s">
        <v>16431</v>
      </c>
      <c r="E6454" s="2" t="s">
        <v>356</v>
      </c>
      <c r="F6454" t="s">
        <v>10111</v>
      </c>
      <c r="G6454" t="str">
        <f>HYPERLINK("https://n.news.naver.com/mnews/article/016/0002487435?sid=103")</f>
        <v>https://n.news.naver.com/mnews/article/016/0002487435?sid=103</v>
      </c>
      <c r="H6454">
        <v>0.20100000000000001</v>
      </c>
    </row>
    <row r="6455" spans="1:8" x14ac:dyDescent="0.3">
      <c r="A6455" t="s">
        <v>14761</v>
      </c>
      <c r="B6455" t="s">
        <v>26951</v>
      </c>
      <c r="C6455" t="s">
        <v>16434</v>
      </c>
      <c r="D6455" t="s">
        <v>16433</v>
      </c>
      <c r="E6455" s="2" t="s">
        <v>356</v>
      </c>
      <c r="F6455" t="s">
        <v>15008</v>
      </c>
      <c r="G6455" t="str">
        <f>HYPERLINK("http://www.kbmaeil.com/news/articleView.html?idxno=857432")</f>
        <v>http://www.kbmaeil.com/news/articleView.html?idxno=857432</v>
      </c>
      <c r="H6455">
        <v>0.11899999999999999</v>
      </c>
    </row>
    <row r="6456" spans="1:8" x14ac:dyDescent="0.3">
      <c r="A6456" t="s">
        <v>14761</v>
      </c>
      <c r="B6456" t="s">
        <v>26951</v>
      </c>
      <c r="C6456" t="s">
        <v>16437</v>
      </c>
      <c r="D6456" t="s">
        <v>16436</v>
      </c>
      <c r="E6456" s="2" t="s">
        <v>356</v>
      </c>
      <c r="F6456" t="s">
        <v>16435</v>
      </c>
      <c r="G6456" t="str">
        <f>HYPERLINK("https://n.news.naver.com/mnews/article/277/0005616102?sid=100")</f>
        <v>https://n.news.naver.com/mnews/article/277/0005616102?sid=100</v>
      </c>
      <c r="H6456">
        <v>0.156</v>
      </c>
    </row>
    <row r="6457" spans="1:8" x14ac:dyDescent="0.3">
      <c r="A6457" t="s">
        <v>14761</v>
      </c>
      <c r="B6457" t="s">
        <v>26951</v>
      </c>
      <c r="C6457" t="s">
        <v>16439</v>
      </c>
      <c r="D6457" t="s">
        <v>16438</v>
      </c>
      <c r="E6457" s="2" t="s">
        <v>356</v>
      </c>
      <c r="F6457" t="s">
        <v>3885</v>
      </c>
      <c r="G6457" t="str">
        <f>HYPERLINK("https://www.golfjournal.co.kr/news/articleView.html?idxno=10305")</f>
        <v>https://www.golfjournal.co.kr/news/articleView.html?idxno=10305</v>
      </c>
      <c r="H6457">
        <v>0.45700000000000002</v>
      </c>
    </row>
    <row r="6458" spans="1:8" x14ac:dyDescent="0.3">
      <c r="A6458" t="s">
        <v>14761</v>
      </c>
      <c r="B6458" t="s">
        <v>26951</v>
      </c>
      <c r="C6458" t="s">
        <v>16441</v>
      </c>
      <c r="D6458" t="s">
        <v>16440</v>
      </c>
      <c r="E6458" s="2" t="s">
        <v>356</v>
      </c>
      <c r="F6458" t="s">
        <v>4119</v>
      </c>
      <c r="G6458" t="str">
        <f>HYPERLINK("http://www.koreastocknews.com/news/articleView.html?idxno=96425")</f>
        <v>http://www.koreastocknews.com/news/articleView.html?idxno=96425</v>
      </c>
      <c r="H6458">
        <v>0.46899999999999997</v>
      </c>
    </row>
    <row r="6459" spans="1:8" x14ac:dyDescent="0.3">
      <c r="A6459" t="s">
        <v>14761</v>
      </c>
      <c r="B6459" t="s">
        <v>26951</v>
      </c>
      <c r="C6459" t="s">
        <v>16443</v>
      </c>
      <c r="D6459" t="s">
        <v>16442</v>
      </c>
      <c r="E6459" s="2" t="s">
        <v>356</v>
      </c>
      <c r="F6459" t="s">
        <v>11363</v>
      </c>
      <c r="G6459" t="str">
        <f>HYPERLINK("http://www.breaknews.com/1077022")</f>
        <v>http://www.breaknews.com/1077022</v>
      </c>
      <c r="H6459">
        <v>0.33100000000000002</v>
      </c>
    </row>
    <row r="6460" spans="1:8" x14ac:dyDescent="0.3">
      <c r="A6460" t="s">
        <v>14761</v>
      </c>
      <c r="B6460" t="s">
        <v>26951</v>
      </c>
      <c r="C6460" t="s">
        <v>16445</v>
      </c>
      <c r="D6460" t="s">
        <v>16444</v>
      </c>
      <c r="E6460" s="2" t="s">
        <v>356</v>
      </c>
      <c r="F6460" t="s">
        <v>15893</v>
      </c>
      <c r="G6460" t="str">
        <f>HYPERLINK("https://www.nc.press/news/articleView.html?idxno=568315")</f>
        <v>https://www.nc.press/news/articleView.html?idxno=568315</v>
      </c>
      <c r="H6460">
        <v>0.55000000000000004</v>
      </c>
    </row>
    <row r="6461" spans="1:8" x14ac:dyDescent="0.3">
      <c r="A6461" t="s">
        <v>14761</v>
      </c>
      <c r="B6461" t="s">
        <v>26951</v>
      </c>
      <c r="C6461" t="s">
        <v>16447</v>
      </c>
      <c r="D6461" t="s">
        <v>16446</v>
      </c>
      <c r="E6461" s="2" t="s">
        <v>356</v>
      </c>
      <c r="F6461" t="s">
        <v>10111</v>
      </c>
      <c r="G6461" t="str">
        <f>HYPERLINK("https://www.etoday.co.kr/news/view/2478416")</f>
        <v>https://www.etoday.co.kr/news/view/2478416</v>
      </c>
      <c r="H6461">
        <v>0.53400000000000003</v>
      </c>
    </row>
    <row r="6462" spans="1:8" x14ac:dyDescent="0.3">
      <c r="A6462" t="s">
        <v>14761</v>
      </c>
      <c r="B6462" t="s">
        <v>26951</v>
      </c>
      <c r="C6462" t="s">
        <v>16449</v>
      </c>
      <c r="D6462" t="s">
        <v>16448</v>
      </c>
      <c r="E6462" s="2" t="s">
        <v>356</v>
      </c>
      <c r="F6462" t="s">
        <v>171</v>
      </c>
      <c r="G6462" t="str">
        <f>HYPERLINK("http://www.finomy.com/news/articleView.html?idxno=231871")</f>
        <v>http://www.finomy.com/news/articleView.html?idxno=231871</v>
      </c>
      <c r="H6462">
        <v>0.69899999999999995</v>
      </c>
    </row>
    <row r="6463" spans="1:8" x14ac:dyDescent="0.3">
      <c r="A6463" t="s">
        <v>14761</v>
      </c>
      <c r="B6463" t="s">
        <v>26951</v>
      </c>
      <c r="C6463" t="s">
        <v>16451</v>
      </c>
      <c r="D6463" t="s">
        <v>16450</v>
      </c>
      <c r="E6463" s="2" t="s">
        <v>356</v>
      </c>
      <c r="F6463" t="s">
        <v>10471</v>
      </c>
      <c r="G6463" t="str">
        <f>HYPERLINK("http://www.koreastocknews.com/news/articleView.html?idxno=96425")</f>
        <v>http://www.koreastocknews.com/news/articleView.html?idxno=96425</v>
      </c>
      <c r="H6463">
        <v>0.45800000000000002</v>
      </c>
    </row>
    <row r="6464" spans="1:8" x14ac:dyDescent="0.3">
      <c r="A6464" t="s">
        <v>14761</v>
      </c>
      <c r="B6464" t="s">
        <v>26951</v>
      </c>
      <c r="C6464" t="s">
        <v>16454</v>
      </c>
      <c r="D6464" t="s">
        <v>16453</v>
      </c>
      <c r="E6464" s="2" t="s">
        <v>356</v>
      </c>
      <c r="F6464" t="s">
        <v>16452</v>
      </c>
      <c r="G6464" t="str">
        <f>HYPERLINK("https://www.gokorea.kr/news/articleView.html?idxno=828993")</f>
        <v>https://www.gokorea.kr/news/articleView.html?idxno=828993</v>
      </c>
      <c r="H6464">
        <v>0.504</v>
      </c>
    </row>
    <row r="6465" spans="1:8" x14ac:dyDescent="0.3">
      <c r="A6465" t="s">
        <v>14761</v>
      </c>
      <c r="B6465" t="s">
        <v>26951</v>
      </c>
      <c r="C6465" t="s">
        <v>16456</v>
      </c>
      <c r="D6465" t="s">
        <v>16455</v>
      </c>
      <c r="E6465" s="2" t="s">
        <v>356</v>
      </c>
      <c r="F6465" t="s">
        <v>10007</v>
      </c>
      <c r="G6465" t="str">
        <f>HYPERLINK("https://n.news.naver.com/mnews/article/052/0002100493?sid=100")</f>
        <v>https://n.news.naver.com/mnews/article/052/0002100493?sid=100</v>
      </c>
      <c r="H6465">
        <v>0.21299999999999999</v>
      </c>
    </row>
    <row r="6466" spans="1:8" x14ac:dyDescent="0.3">
      <c r="A6466" t="s">
        <v>14761</v>
      </c>
      <c r="B6466" t="s">
        <v>26951</v>
      </c>
      <c r="C6466" t="s">
        <v>16458</v>
      </c>
      <c r="D6466" t="s">
        <v>16457</v>
      </c>
      <c r="E6466" s="2" t="s">
        <v>356</v>
      </c>
      <c r="F6466" t="s">
        <v>5087</v>
      </c>
      <c r="G6466" t="str">
        <f>HYPERLINK("https://www.ftimes.kr/news/articleView.html?idxno=31441")</f>
        <v>https://www.ftimes.kr/news/articleView.html?idxno=31441</v>
      </c>
      <c r="H6466">
        <v>0.67500000000000004</v>
      </c>
    </row>
    <row r="6467" spans="1:8" x14ac:dyDescent="0.3">
      <c r="A6467" t="s">
        <v>14761</v>
      </c>
      <c r="B6467" t="s">
        <v>26951</v>
      </c>
      <c r="C6467" t="s">
        <v>16460</v>
      </c>
      <c r="D6467" t="s">
        <v>16459</v>
      </c>
      <c r="E6467" s="2" t="s">
        <v>356</v>
      </c>
      <c r="F6467" t="s">
        <v>10021</v>
      </c>
      <c r="G6467" t="str">
        <f>HYPERLINK("https://www.jemin.com/news/articleView.html?idxno=785648")</f>
        <v>https://www.jemin.com/news/articleView.html?idxno=785648</v>
      </c>
      <c r="H6467">
        <v>0.371</v>
      </c>
    </row>
    <row r="6468" spans="1:8" x14ac:dyDescent="0.3">
      <c r="A6468" t="s">
        <v>14761</v>
      </c>
      <c r="B6468" t="s">
        <v>26951</v>
      </c>
      <c r="C6468" t="s">
        <v>16462</v>
      </c>
      <c r="D6468" t="s">
        <v>16461</v>
      </c>
      <c r="E6468" s="2" t="s">
        <v>356</v>
      </c>
      <c r="F6468" t="s">
        <v>10021</v>
      </c>
      <c r="G6468" t="str">
        <f>HYPERLINK("https://dealsite.co.kr/articles/108645")</f>
        <v>https://dealsite.co.kr/articles/108645</v>
      </c>
      <c r="H6468">
        <v>0.40400000000000003</v>
      </c>
    </row>
    <row r="6469" spans="1:8" x14ac:dyDescent="0.3">
      <c r="A6469" t="s">
        <v>14761</v>
      </c>
      <c r="B6469" t="s">
        <v>26951</v>
      </c>
      <c r="C6469" t="s">
        <v>16465</v>
      </c>
      <c r="D6469" t="s">
        <v>16464</v>
      </c>
      <c r="E6469" s="2" t="s">
        <v>356</v>
      </c>
      <c r="F6469" t="s">
        <v>16463</v>
      </c>
      <c r="G6469" t="str">
        <f>HYPERLINK("https://www.etoday.co.kr/news/view/2443918")</f>
        <v>https://www.etoday.co.kr/news/view/2443918</v>
      </c>
      <c r="H6469">
        <v>0.56699999999999995</v>
      </c>
    </row>
    <row r="6470" spans="1:8" x14ac:dyDescent="0.3">
      <c r="A6470" t="s">
        <v>14761</v>
      </c>
      <c r="B6470" t="s">
        <v>26951</v>
      </c>
      <c r="C6470" t="s">
        <v>16467</v>
      </c>
      <c r="D6470" t="s">
        <v>16466</v>
      </c>
      <c r="E6470" s="2" t="s">
        <v>356</v>
      </c>
      <c r="F6470" t="s">
        <v>10021</v>
      </c>
      <c r="G6470" t="str">
        <f>HYPERLINK("http://www.incheonilbo.com/news/articleView.html?idxno=979301")</f>
        <v>http://www.incheonilbo.com/news/articleView.html?idxno=979301</v>
      </c>
      <c r="H6470">
        <v>0.11600000000000001</v>
      </c>
    </row>
    <row r="6471" spans="1:8" x14ac:dyDescent="0.3">
      <c r="A6471" t="s">
        <v>14761</v>
      </c>
      <c r="B6471" t="s">
        <v>26951</v>
      </c>
      <c r="C6471" t="s">
        <v>16469</v>
      </c>
      <c r="D6471" t="s">
        <v>16468</v>
      </c>
      <c r="E6471" s="2" t="s">
        <v>356</v>
      </c>
      <c r="F6471" t="s">
        <v>2517</v>
      </c>
      <c r="G6471" t="str">
        <f>HYPERLINK("http://www.joongboo.com/?mod=news&amp;act=articleView&amp;idxno=1202950")</f>
        <v>http://www.joongboo.com/?mod=news&amp;act=articleView&amp;idxno=1202950</v>
      </c>
      <c r="H6471">
        <v>0.38200000000000001</v>
      </c>
    </row>
    <row r="6472" spans="1:8" x14ac:dyDescent="0.3">
      <c r="A6472" t="s">
        <v>14761</v>
      </c>
      <c r="B6472" t="s">
        <v>26951</v>
      </c>
      <c r="C6472" t="s">
        <v>16471</v>
      </c>
      <c r="D6472" t="s">
        <v>16470</v>
      </c>
      <c r="E6472" s="2" t="s">
        <v>356</v>
      </c>
      <c r="F6472" t="s">
        <v>10037</v>
      </c>
      <c r="G6472" t="str">
        <f>HYPERLINK("https://www.dailysportshankook.co.kr/news/articleView.html?idxno=407994")</f>
        <v>https://www.dailysportshankook.co.kr/news/articleView.html?idxno=407994</v>
      </c>
      <c r="H6472">
        <v>0.50700000000000001</v>
      </c>
    </row>
    <row r="6473" spans="1:8" x14ac:dyDescent="0.3">
      <c r="A6473" t="s">
        <v>14761</v>
      </c>
      <c r="B6473" t="s">
        <v>26951</v>
      </c>
      <c r="C6473" t="s">
        <v>16473</v>
      </c>
      <c r="D6473" t="s">
        <v>16472</v>
      </c>
      <c r="E6473" s="2" t="s">
        <v>356</v>
      </c>
      <c r="F6473" t="s">
        <v>817</v>
      </c>
      <c r="G6473" t="str">
        <f>HYPERLINK("https://www.ggilbo.com/news/articleView.html?idxno=1097294")</f>
        <v>https://www.ggilbo.com/news/articleView.html?idxno=1097294</v>
      </c>
      <c r="H6473">
        <v>0.49399999999999999</v>
      </c>
    </row>
    <row r="6474" spans="1:8" x14ac:dyDescent="0.3">
      <c r="A6474" t="s">
        <v>14761</v>
      </c>
      <c r="B6474" t="s">
        <v>26951</v>
      </c>
      <c r="C6474" t="s">
        <v>16475</v>
      </c>
      <c r="D6474" t="s">
        <v>16474</v>
      </c>
      <c r="E6474" s="2" t="s">
        <v>356</v>
      </c>
      <c r="F6474" t="s">
        <v>3235</v>
      </c>
      <c r="G6474" t="str">
        <f>HYPERLINK("https://www.etoday.co.kr/news/view/2480054")</f>
        <v>https://www.etoday.co.kr/news/view/2480054</v>
      </c>
      <c r="H6474">
        <v>0.54100000000000004</v>
      </c>
    </row>
    <row r="6475" spans="1:8" x14ac:dyDescent="0.3">
      <c r="A6475" t="s">
        <v>14761</v>
      </c>
      <c r="B6475" t="s">
        <v>26951</v>
      </c>
      <c r="C6475" t="s">
        <v>16477</v>
      </c>
      <c r="D6475" t="s">
        <v>16476</v>
      </c>
      <c r="E6475" s="2" t="s">
        <v>356</v>
      </c>
      <c r="F6475" t="s">
        <v>10172</v>
      </c>
      <c r="G6475" t="str">
        <f>HYPERLINK("https://www.ggilbo.com/news/articleView.html?idxno=1097294")</f>
        <v>https://www.ggilbo.com/news/articleView.html?idxno=1097294</v>
      </c>
      <c r="H6475">
        <v>0.47199999999999998</v>
      </c>
    </row>
    <row r="6476" spans="1:8" x14ac:dyDescent="0.3">
      <c r="A6476" t="s">
        <v>14761</v>
      </c>
      <c r="B6476" t="s">
        <v>26951</v>
      </c>
      <c r="C6476" t="s">
        <v>16480</v>
      </c>
      <c r="D6476" t="s">
        <v>16479</v>
      </c>
      <c r="E6476" s="2" t="s">
        <v>394</v>
      </c>
      <c r="F6476" t="s">
        <v>16478</v>
      </c>
      <c r="G6476" t="str">
        <f>HYPERLINK("http://www.greened.kr/news/articleView.html?idxno=304501")</f>
        <v>http://www.greened.kr/news/articleView.html?idxno=304501</v>
      </c>
      <c r="H6476">
        <v>0.55100000000000005</v>
      </c>
    </row>
    <row r="6477" spans="1:8" x14ac:dyDescent="0.3">
      <c r="A6477" t="s">
        <v>14761</v>
      </c>
      <c r="B6477" t="s">
        <v>26951</v>
      </c>
      <c r="C6477" t="s">
        <v>16482</v>
      </c>
      <c r="D6477" t="s">
        <v>16481</v>
      </c>
      <c r="E6477" s="2" t="s">
        <v>394</v>
      </c>
      <c r="F6477" t="s">
        <v>7926</v>
      </c>
      <c r="G6477" t="str">
        <f>HYPERLINK("https://www.nc.press/news/articleView.html?idxno=568883")</f>
        <v>https://www.nc.press/news/articleView.html?idxno=568883</v>
      </c>
      <c r="H6477">
        <v>0.48</v>
      </c>
    </row>
    <row r="6478" spans="1:8" x14ac:dyDescent="0.3">
      <c r="A6478" t="s">
        <v>14761</v>
      </c>
      <c r="B6478" t="s">
        <v>26951</v>
      </c>
      <c r="C6478" t="s">
        <v>16485</v>
      </c>
      <c r="D6478" t="s">
        <v>16484</v>
      </c>
      <c r="E6478" s="2" t="s">
        <v>394</v>
      </c>
      <c r="F6478" t="s">
        <v>16483</v>
      </c>
      <c r="G6478" t="str">
        <f>HYPERLINK("https://www.huffingtonpost.kr/news/articleView.html?idxno=218708")</f>
        <v>https://www.huffingtonpost.kr/news/articleView.html?idxno=218708</v>
      </c>
      <c r="H6478">
        <v>0.41499999999999998</v>
      </c>
    </row>
    <row r="6479" spans="1:8" x14ac:dyDescent="0.3">
      <c r="A6479" t="s">
        <v>14761</v>
      </c>
      <c r="B6479" t="s">
        <v>26951</v>
      </c>
      <c r="C6479" t="s">
        <v>16488</v>
      </c>
      <c r="D6479" t="s">
        <v>16487</v>
      </c>
      <c r="E6479" s="2" t="s">
        <v>394</v>
      </c>
      <c r="F6479" t="s">
        <v>10111</v>
      </c>
      <c r="G6479" t="str">
        <f>HYPERLINK("http://www.kjdaily.com/article.php?aid=1697065573613062227")</f>
        <v>http://www.kjdaily.com/article.php?aid=1697065573613062227</v>
      </c>
      <c r="H6479">
        <v>7.1999999999999995E-2</v>
      </c>
    </row>
    <row r="6480" spans="1:8" x14ac:dyDescent="0.3">
      <c r="A6480" t="s">
        <v>14761</v>
      </c>
      <c r="B6480" t="s">
        <v>26951</v>
      </c>
      <c r="C6480" t="s">
        <v>16490</v>
      </c>
      <c r="D6480" t="s">
        <v>16489</v>
      </c>
      <c r="E6480" s="2" t="s">
        <v>394</v>
      </c>
      <c r="F6480" t="s">
        <v>10111</v>
      </c>
      <c r="G6480" t="str">
        <f>HYPERLINK("https://www.jemin.com/news/articleView.html?idxno=817682")</f>
        <v>https://www.jemin.com/news/articleView.html?idxno=817682</v>
      </c>
      <c r="H6480">
        <v>0.184</v>
      </c>
    </row>
    <row r="6481" spans="1:8" x14ac:dyDescent="0.3">
      <c r="A6481" t="s">
        <v>14761</v>
      </c>
      <c r="B6481" t="s">
        <v>26951</v>
      </c>
      <c r="C6481" t="s">
        <v>16492</v>
      </c>
      <c r="D6481" t="s">
        <v>16491</v>
      </c>
      <c r="E6481" s="2" t="s">
        <v>394</v>
      </c>
      <c r="F6481" t="s">
        <v>2594</v>
      </c>
      <c r="G6481" t="str">
        <f>HYPERLINK("http://www.gndomin.com/news/articleView.html?idxno=436331")</f>
        <v>http://www.gndomin.com/news/articleView.html?idxno=436331</v>
      </c>
      <c r="H6481">
        <v>0.47499999999999998</v>
      </c>
    </row>
    <row r="6482" spans="1:8" x14ac:dyDescent="0.3">
      <c r="A6482" t="s">
        <v>14761</v>
      </c>
      <c r="B6482" t="s">
        <v>26951</v>
      </c>
      <c r="C6482" t="s">
        <v>16495</v>
      </c>
      <c r="D6482" t="s">
        <v>16494</v>
      </c>
      <c r="E6482" s="2" t="s">
        <v>394</v>
      </c>
      <c r="F6482" t="s">
        <v>16493</v>
      </c>
      <c r="G6482" t="str">
        <f>HYPERLINK("http://www.topdaily.kr/news/articleView.html?idxno=121300")</f>
        <v>http://www.topdaily.kr/news/articleView.html?idxno=121300</v>
      </c>
      <c r="H6482">
        <v>0.44700000000000001</v>
      </c>
    </row>
    <row r="6483" spans="1:8" x14ac:dyDescent="0.3">
      <c r="A6483" t="s">
        <v>14761</v>
      </c>
      <c r="B6483" t="s">
        <v>26951</v>
      </c>
      <c r="C6483" t="s">
        <v>12447</v>
      </c>
      <c r="D6483" t="s">
        <v>12446</v>
      </c>
      <c r="E6483" s="2" t="s">
        <v>394</v>
      </c>
      <c r="F6483" t="s">
        <v>9962</v>
      </c>
      <c r="G6483" t="str">
        <f>HYPERLINK("http://www.sisamagazine.co.kr/news/articleView.html?idxno=227134")</f>
        <v>http://www.sisamagazine.co.kr/news/articleView.html?idxno=227134</v>
      </c>
      <c r="H6483">
        <v>0.45600000000000002</v>
      </c>
    </row>
    <row r="6484" spans="1:8" x14ac:dyDescent="0.3">
      <c r="A6484" t="s">
        <v>14761</v>
      </c>
      <c r="B6484" t="s">
        <v>26951</v>
      </c>
      <c r="C6484" t="s">
        <v>16497</v>
      </c>
      <c r="D6484" t="s">
        <v>16496</v>
      </c>
      <c r="E6484" s="2" t="s">
        <v>394</v>
      </c>
      <c r="F6484" t="s">
        <v>9944</v>
      </c>
      <c r="G6484" t="str">
        <f>HYPERLINK("https://sports.hankooki.com/news/articleView.html?idxno=6902043")</f>
        <v>https://sports.hankooki.com/news/articleView.html?idxno=6902043</v>
      </c>
      <c r="H6484">
        <v>0.39700000000000002</v>
      </c>
    </row>
    <row r="6485" spans="1:8" x14ac:dyDescent="0.3">
      <c r="A6485" t="s">
        <v>14761</v>
      </c>
      <c r="B6485" t="s">
        <v>26951</v>
      </c>
      <c r="C6485" t="s">
        <v>16499</v>
      </c>
      <c r="D6485" t="s">
        <v>16498</v>
      </c>
      <c r="E6485" s="2" t="s">
        <v>394</v>
      </c>
      <c r="F6485" t="s">
        <v>8467</v>
      </c>
      <c r="G6485" t="str">
        <f>HYPERLINK("https://www.etoday.co.kr/news/view/2425026")</f>
        <v>https://www.etoday.co.kr/news/view/2425026</v>
      </c>
      <c r="H6485">
        <v>0.437</v>
      </c>
    </row>
    <row r="6486" spans="1:8" x14ac:dyDescent="0.3">
      <c r="A6486" t="s">
        <v>14761</v>
      </c>
      <c r="B6486" t="s">
        <v>26951</v>
      </c>
      <c r="C6486" t="s">
        <v>16501</v>
      </c>
      <c r="D6486" t="s">
        <v>16500</v>
      </c>
      <c r="E6486" s="2" t="s">
        <v>394</v>
      </c>
      <c r="F6486" t="s">
        <v>8552</v>
      </c>
      <c r="G6486" t="str">
        <f>HYPERLINK("https://n.news.naver.com/mnews/article/014/0005370944?sid=102")</f>
        <v>https://n.news.naver.com/mnews/article/014/0005370944?sid=102</v>
      </c>
      <c r="H6486">
        <v>9.9000000000000005E-2</v>
      </c>
    </row>
    <row r="6487" spans="1:8" x14ac:dyDescent="0.3">
      <c r="A6487" t="s">
        <v>14761</v>
      </c>
      <c r="B6487" t="s">
        <v>26951</v>
      </c>
      <c r="C6487" t="s">
        <v>16503</v>
      </c>
      <c r="D6487" t="s">
        <v>16502</v>
      </c>
      <c r="E6487" s="2" t="s">
        <v>394</v>
      </c>
      <c r="F6487" t="s">
        <v>10287</v>
      </c>
      <c r="G6487" t="str">
        <f>HYPERLINK("https://www.joongangenews.com/news/articleView.html?idxno=427081")</f>
        <v>https://www.joongangenews.com/news/articleView.html?idxno=427081</v>
      </c>
      <c r="H6487">
        <v>0.61799999999999999</v>
      </c>
    </row>
    <row r="6488" spans="1:8" x14ac:dyDescent="0.3">
      <c r="A6488" t="s">
        <v>14761</v>
      </c>
      <c r="B6488" t="s">
        <v>26951</v>
      </c>
      <c r="C6488" t="s">
        <v>16506</v>
      </c>
      <c r="D6488" t="s">
        <v>16505</v>
      </c>
      <c r="E6488" s="2" t="s">
        <v>394</v>
      </c>
      <c r="F6488" t="s">
        <v>16504</v>
      </c>
      <c r="G6488" t="str">
        <f>HYPERLINK("http://www.asiatoday.co.kr/view.php?key=20161031001015045")</f>
        <v>http://www.asiatoday.co.kr/view.php?key=20161031001015045</v>
      </c>
      <c r="H6488">
        <v>0.13500000000000001</v>
      </c>
    </row>
    <row r="6489" spans="1:8" x14ac:dyDescent="0.3">
      <c r="A6489" t="s">
        <v>14761</v>
      </c>
      <c r="B6489" t="s">
        <v>26951</v>
      </c>
      <c r="C6489" t="s">
        <v>16508</v>
      </c>
      <c r="D6489" t="s">
        <v>16507</v>
      </c>
      <c r="E6489" s="2" t="s">
        <v>394</v>
      </c>
      <c r="F6489" t="s">
        <v>4119</v>
      </c>
      <c r="G6489" t="str">
        <f>HYPERLINK("https://www.foodneconomy.com/news/articleView.html?idxno=353817")</f>
        <v>https://www.foodneconomy.com/news/articleView.html?idxno=353817</v>
      </c>
      <c r="H6489">
        <v>0.21</v>
      </c>
    </row>
    <row r="6490" spans="1:8" x14ac:dyDescent="0.3">
      <c r="A6490" t="s">
        <v>14761</v>
      </c>
      <c r="B6490" t="s">
        <v>26951</v>
      </c>
      <c r="C6490" t="s">
        <v>16511</v>
      </c>
      <c r="D6490" t="s">
        <v>16510</v>
      </c>
      <c r="E6490" s="2" t="s">
        <v>394</v>
      </c>
      <c r="F6490" t="s">
        <v>16509</v>
      </c>
      <c r="G6490" t="str">
        <f>HYPERLINK("http://www.worldkorean.net/news/articleView.html?idxno=40681")</f>
        <v>http://www.worldkorean.net/news/articleView.html?idxno=40681</v>
      </c>
      <c r="H6490">
        <v>0.44600000000000001</v>
      </c>
    </row>
    <row r="6491" spans="1:8" x14ac:dyDescent="0.3">
      <c r="A6491" t="s">
        <v>14761</v>
      </c>
      <c r="B6491" t="s">
        <v>26951</v>
      </c>
      <c r="C6491" t="s">
        <v>16513</v>
      </c>
      <c r="D6491" t="s">
        <v>16512</v>
      </c>
      <c r="E6491" s="2" t="s">
        <v>394</v>
      </c>
      <c r="F6491" t="s">
        <v>1327</v>
      </c>
      <c r="G6491" t="str">
        <f>HYPERLINK("https://n.news.naver.com/mnews/article/055/0000503449?sid=101")</f>
        <v>https://n.news.naver.com/mnews/article/055/0000503449?sid=101</v>
      </c>
      <c r="H6491">
        <v>0.19800000000000001</v>
      </c>
    </row>
    <row r="6492" spans="1:8" x14ac:dyDescent="0.3">
      <c r="A6492" t="s">
        <v>14761</v>
      </c>
      <c r="B6492" t="s">
        <v>26951</v>
      </c>
      <c r="C6492" t="s">
        <v>16515</v>
      </c>
      <c r="D6492" t="s">
        <v>16514</v>
      </c>
      <c r="E6492" s="2" t="s">
        <v>394</v>
      </c>
      <c r="F6492" t="s">
        <v>14878</v>
      </c>
      <c r="G6492" t="str">
        <f>HYPERLINK("https://www.ggilbo.com/news/articleView.html?idxno=1078092")</f>
        <v>https://www.ggilbo.com/news/articleView.html?idxno=1078092</v>
      </c>
      <c r="H6492">
        <v>0.52800000000000002</v>
      </c>
    </row>
    <row r="6493" spans="1:8" x14ac:dyDescent="0.3">
      <c r="A6493" t="s">
        <v>14761</v>
      </c>
      <c r="B6493" t="s">
        <v>26951</v>
      </c>
      <c r="C6493" t="s">
        <v>16517</v>
      </c>
      <c r="D6493" t="s">
        <v>16516</v>
      </c>
      <c r="E6493" s="2" t="s">
        <v>394</v>
      </c>
      <c r="F6493" t="s">
        <v>9944</v>
      </c>
      <c r="G6493" t="str">
        <f>HYPERLINK("http://www.veritas-a.com/news/articleView.html?idxno=424571")</f>
        <v>http://www.veritas-a.com/news/articleView.html?idxno=424571</v>
      </c>
      <c r="H6493">
        <v>0.46700000000000003</v>
      </c>
    </row>
    <row r="6494" spans="1:8" x14ac:dyDescent="0.3">
      <c r="A6494" t="s">
        <v>14761</v>
      </c>
      <c r="B6494" t="s">
        <v>26951</v>
      </c>
      <c r="C6494" t="s">
        <v>16519</v>
      </c>
      <c r="D6494" t="s">
        <v>16518</v>
      </c>
      <c r="E6494" s="2" t="s">
        <v>394</v>
      </c>
      <c r="F6494" t="s">
        <v>14865</v>
      </c>
      <c r="G6494" t="str">
        <f>HYPERLINK("https://sports.hankooki.com/news/articleView.html?idxno=6879477")</f>
        <v>https://sports.hankooki.com/news/articleView.html?idxno=6879477</v>
      </c>
      <c r="H6494">
        <v>0.42399999999999999</v>
      </c>
    </row>
    <row r="6495" spans="1:8" x14ac:dyDescent="0.3">
      <c r="A6495" t="s">
        <v>14761</v>
      </c>
      <c r="B6495" t="s">
        <v>26951</v>
      </c>
      <c r="C6495" t="s">
        <v>16521</v>
      </c>
      <c r="D6495" t="s">
        <v>16520</v>
      </c>
      <c r="E6495" s="2" t="s">
        <v>394</v>
      </c>
      <c r="F6495" t="s">
        <v>5572</v>
      </c>
      <c r="G6495" t="str">
        <f>HYPERLINK("https://www.etoday.co.kr/news/view/2425026")</f>
        <v>https://www.etoday.co.kr/news/view/2425026</v>
      </c>
      <c r="H6495">
        <v>0.379</v>
      </c>
    </row>
    <row r="6496" spans="1:8" x14ac:dyDescent="0.3">
      <c r="A6496" t="s">
        <v>14761</v>
      </c>
      <c r="B6496" t="s">
        <v>26951</v>
      </c>
      <c r="C6496" t="s">
        <v>16524</v>
      </c>
      <c r="D6496" t="s">
        <v>16523</v>
      </c>
      <c r="E6496" s="2" t="s">
        <v>394</v>
      </c>
      <c r="F6496" t="s">
        <v>16522</v>
      </c>
      <c r="G6496" t="str">
        <f>HYPERLINK("https://n.news.naver.com/mnews/article/082/0000372844?sid=103")</f>
        <v>https://n.news.naver.com/mnews/article/082/0000372844?sid=103</v>
      </c>
      <c r="H6496">
        <v>0.123</v>
      </c>
    </row>
    <row r="6497" spans="1:8" x14ac:dyDescent="0.3">
      <c r="A6497" t="s">
        <v>14761</v>
      </c>
      <c r="B6497" t="s">
        <v>26951</v>
      </c>
      <c r="C6497" t="s">
        <v>16527</v>
      </c>
      <c r="D6497" t="s">
        <v>16526</v>
      </c>
      <c r="E6497" s="2" t="s">
        <v>394</v>
      </c>
      <c r="F6497" t="s">
        <v>16525</v>
      </c>
      <c r="G6497" t="str">
        <f>HYPERLINK("https://daily.hankooki.com/news/articleView.html?idxno=1232626")</f>
        <v>https://daily.hankooki.com/news/articleView.html?idxno=1232626</v>
      </c>
      <c r="H6497">
        <v>0.42099999999999999</v>
      </c>
    </row>
    <row r="6498" spans="1:8" x14ac:dyDescent="0.3">
      <c r="A6498" t="s">
        <v>14761</v>
      </c>
      <c r="B6498" t="s">
        <v>26951</v>
      </c>
      <c r="C6498" t="s">
        <v>16529</v>
      </c>
      <c r="D6498" t="s">
        <v>16528</v>
      </c>
      <c r="E6498" s="2" t="s">
        <v>394</v>
      </c>
      <c r="F6498" t="s">
        <v>5171</v>
      </c>
      <c r="G6498" t="str">
        <f>HYPERLINK("https://www.etoday.co.kr/news/view/2425026")</f>
        <v>https://www.etoday.co.kr/news/view/2425026</v>
      </c>
      <c r="H6498">
        <v>0.40600000000000003</v>
      </c>
    </row>
    <row r="6499" spans="1:8" x14ac:dyDescent="0.3">
      <c r="A6499" t="s">
        <v>14761</v>
      </c>
      <c r="B6499" t="s">
        <v>26951</v>
      </c>
      <c r="C6499" t="s">
        <v>16531</v>
      </c>
      <c r="D6499" t="s">
        <v>16530</v>
      </c>
      <c r="E6499" s="2" t="s">
        <v>394</v>
      </c>
      <c r="F6499" t="s">
        <v>10111</v>
      </c>
      <c r="G6499" t="str">
        <f>HYPERLINK("http://www.sisamagazine.co.kr/news/articleView.html?idxno=439944")</f>
        <v>http://www.sisamagazine.co.kr/news/articleView.html?idxno=439944</v>
      </c>
      <c r="H6499">
        <v>0.47499999999999998</v>
      </c>
    </row>
    <row r="6500" spans="1:8" x14ac:dyDescent="0.3">
      <c r="A6500" t="s">
        <v>14761</v>
      </c>
      <c r="B6500" t="s">
        <v>26951</v>
      </c>
      <c r="C6500" t="s">
        <v>16533</v>
      </c>
      <c r="D6500" t="s">
        <v>16532</v>
      </c>
      <c r="E6500" s="2" t="s">
        <v>394</v>
      </c>
      <c r="F6500" t="s">
        <v>9978</v>
      </c>
      <c r="G6500" t="str">
        <f>HYPERLINK("https://www.etoday.co.kr/news/view/2477603")</f>
        <v>https://www.etoday.co.kr/news/view/2477603</v>
      </c>
      <c r="H6500">
        <v>0.45700000000000002</v>
      </c>
    </row>
    <row r="6501" spans="1:8" x14ac:dyDescent="0.3">
      <c r="A6501" t="s">
        <v>14761</v>
      </c>
      <c r="B6501" t="s">
        <v>26951</v>
      </c>
      <c r="C6501" t="s">
        <v>16535</v>
      </c>
      <c r="D6501" t="s">
        <v>16534</v>
      </c>
      <c r="E6501" s="2" t="s">
        <v>394</v>
      </c>
      <c r="F6501" t="s">
        <v>10111</v>
      </c>
      <c r="G6501" t="str">
        <f>HYPERLINK("https://www.jemin.com/news/articleView.html?idxno=817682")</f>
        <v>https://www.jemin.com/news/articleView.html?idxno=817682</v>
      </c>
      <c r="H6501">
        <v>0.106</v>
      </c>
    </row>
    <row r="6502" spans="1:8" x14ac:dyDescent="0.3">
      <c r="A6502" t="s">
        <v>14761</v>
      </c>
      <c r="B6502" t="s">
        <v>26951</v>
      </c>
      <c r="C6502" t="s">
        <v>16537</v>
      </c>
      <c r="D6502" t="s">
        <v>16536</v>
      </c>
      <c r="E6502" s="2" t="s">
        <v>394</v>
      </c>
      <c r="F6502" t="s">
        <v>14472</v>
      </c>
      <c r="G6502" t="str">
        <f>HYPERLINK("https://sports.hankooki.com/news/articleView.html?idxno=6900635")</f>
        <v>https://sports.hankooki.com/news/articleView.html?idxno=6900635</v>
      </c>
      <c r="H6502">
        <v>0.52600000000000002</v>
      </c>
    </row>
    <row r="6503" spans="1:8" x14ac:dyDescent="0.3">
      <c r="A6503" t="s">
        <v>14761</v>
      </c>
      <c r="B6503" t="s">
        <v>26951</v>
      </c>
      <c r="C6503" t="s">
        <v>16539</v>
      </c>
      <c r="D6503" t="s">
        <v>16538</v>
      </c>
      <c r="E6503" s="2" t="s">
        <v>394</v>
      </c>
      <c r="F6503" t="s">
        <v>10135</v>
      </c>
      <c r="G6503" t="str">
        <f>HYPERLINK("https://n.news.naver.com/mnews/article/006/0000060398?sid=100")</f>
        <v>https://n.news.naver.com/mnews/article/006/0000060398?sid=100</v>
      </c>
      <c r="H6503">
        <v>0.21</v>
      </c>
    </row>
    <row r="6504" spans="1:8" x14ac:dyDescent="0.3">
      <c r="A6504" t="s">
        <v>14761</v>
      </c>
      <c r="B6504" t="s">
        <v>26951</v>
      </c>
      <c r="C6504" t="s">
        <v>16541</v>
      </c>
      <c r="D6504" t="s">
        <v>16540</v>
      </c>
      <c r="E6504" s="2" t="s">
        <v>394</v>
      </c>
      <c r="F6504" t="s">
        <v>10111</v>
      </c>
      <c r="G6504" t="str">
        <f>HYPERLINK("https://www.jemin.com/news/articleView.html?idxno=817682")</f>
        <v>https://www.jemin.com/news/articleView.html?idxno=817682</v>
      </c>
      <c r="H6504">
        <v>0.187</v>
      </c>
    </row>
    <row r="6505" spans="1:8" x14ac:dyDescent="0.3">
      <c r="A6505" t="s">
        <v>14761</v>
      </c>
      <c r="B6505" t="s">
        <v>26951</v>
      </c>
      <c r="C6505" t="s">
        <v>16544</v>
      </c>
      <c r="D6505" t="s">
        <v>16543</v>
      </c>
      <c r="E6505" s="2" t="s">
        <v>394</v>
      </c>
      <c r="F6505" t="s">
        <v>16542</v>
      </c>
      <c r="G6505" t="str">
        <f>HYPERLINK("http://www.newsmp.com/news/articleView.html?idxno=246072")</f>
        <v>http://www.newsmp.com/news/articleView.html?idxno=246072</v>
      </c>
      <c r="H6505">
        <v>0.52200000000000002</v>
      </c>
    </row>
    <row r="6506" spans="1:8" x14ac:dyDescent="0.3">
      <c r="A6506" t="s">
        <v>14761</v>
      </c>
      <c r="B6506" t="s">
        <v>26951</v>
      </c>
      <c r="C6506" t="s">
        <v>12528</v>
      </c>
      <c r="D6506" t="s">
        <v>12527</v>
      </c>
      <c r="E6506" s="2" t="s">
        <v>394</v>
      </c>
      <c r="F6506" t="s">
        <v>10184</v>
      </c>
      <c r="G6506" t="str">
        <f>HYPERLINK("http://ch.yes24.com/Article/View/21797")</f>
        <v>http://ch.yes24.com/Article/View/21797</v>
      </c>
      <c r="H6506">
        <v>0.253</v>
      </c>
    </row>
    <row r="6507" spans="1:8" x14ac:dyDescent="0.3">
      <c r="A6507" t="s">
        <v>14761</v>
      </c>
      <c r="B6507" t="s">
        <v>26951</v>
      </c>
      <c r="C6507" t="s">
        <v>16549</v>
      </c>
      <c r="D6507" t="s">
        <v>16548</v>
      </c>
      <c r="E6507" s="2" t="s">
        <v>394</v>
      </c>
      <c r="F6507" t="s">
        <v>16547</v>
      </c>
      <c r="G6507" t="str">
        <f>HYPERLINK("http://www.notepet.co.kr/news/article/article_view/?idx=33709&amp;groupCode=AB110AD110")</f>
        <v>http://www.notepet.co.kr/news/article/article_view/?idx=33709&amp;groupCode=AB110AD110</v>
      </c>
      <c r="H6507">
        <v>0.29399999999999998</v>
      </c>
    </row>
    <row r="6508" spans="1:8" x14ac:dyDescent="0.3">
      <c r="A6508" t="s">
        <v>14761</v>
      </c>
      <c r="B6508" t="s">
        <v>26951</v>
      </c>
      <c r="C6508" t="s">
        <v>16552</v>
      </c>
      <c r="D6508" t="s">
        <v>16551</v>
      </c>
      <c r="E6508" s="2" t="s">
        <v>394</v>
      </c>
      <c r="F6508" t="s">
        <v>16550</v>
      </c>
      <c r="G6508" t="str">
        <f>HYPERLINK("http://www.naeil.com/news_view/?id_art=356605")</f>
        <v>http://www.naeil.com/news_view/?id_art=356605</v>
      </c>
      <c r="H6508">
        <v>0.34899999999999998</v>
      </c>
    </row>
    <row r="6509" spans="1:8" x14ac:dyDescent="0.3">
      <c r="A6509" t="s">
        <v>14761</v>
      </c>
      <c r="B6509" t="s">
        <v>26951</v>
      </c>
      <c r="C6509" t="s">
        <v>16554</v>
      </c>
      <c r="D6509" t="s">
        <v>16553</v>
      </c>
      <c r="E6509" s="2" t="s">
        <v>394</v>
      </c>
      <c r="F6509" t="s">
        <v>1188</v>
      </c>
      <c r="G6509" t="str">
        <f>HYPERLINK("https://www.thekpm.com/news/articleView.html?idxno=186506")</f>
        <v>https://www.thekpm.com/news/articleView.html?idxno=186506</v>
      </c>
      <c r="H6509">
        <v>0.41</v>
      </c>
    </row>
    <row r="6510" spans="1:8" x14ac:dyDescent="0.3">
      <c r="A6510" t="s">
        <v>14761</v>
      </c>
      <c r="B6510" t="s">
        <v>26951</v>
      </c>
      <c r="C6510" t="s">
        <v>16556</v>
      </c>
      <c r="D6510" t="s">
        <v>16555</v>
      </c>
      <c r="E6510" s="2" t="s">
        <v>394</v>
      </c>
      <c r="F6510" t="s">
        <v>12531</v>
      </c>
      <c r="G6510" t="str">
        <f>HYPERLINK("https://www.epnc.co.kr/news/articleView.html?idxno=307046")</f>
        <v>https://www.epnc.co.kr/news/articleView.html?idxno=307046</v>
      </c>
      <c r="H6510">
        <v>0.46500000000000002</v>
      </c>
    </row>
    <row r="6511" spans="1:8" x14ac:dyDescent="0.3">
      <c r="A6511" t="s">
        <v>14761</v>
      </c>
      <c r="B6511" t="s">
        <v>26951</v>
      </c>
      <c r="C6511" t="s">
        <v>16559</v>
      </c>
      <c r="D6511" t="s">
        <v>16558</v>
      </c>
      <c r="E6511" s="2" t="s">
        <v>394</v>
      </c>
      <c r="F6511" t="s">
        <v>16557</v>
      </c>
      <c r="H6511">
        <v>0.439</v>
      </c>
    </row>
    <row r="6512" spans="1:8" x14ac:dyDescent="0.3">
      <c r="A6512" t="s">
        <v>14761</v>
      </c>
      <c r="B6512" t="s">
        <v>26951</v>
      </c>
      <c r="C6512" t="s">
        <v>16562</v>
      </c>
      <c r="D6512" t="s">
        <v>16561</v>
      </c>
      <c r="E6512" s="2" t="s">
        <v>394</v>
      </c>
      <c r="F6512" t="s">
        <v>16560</v>
      </c>
      <c r="G6512" t="str">
        <f>HYPERLINK("https://www.yeongnam.com/web/view.php?key=20250225020247654")</f>
        <v>https://www.yeongnam.com/web/view.php?key=20250225020247654</v>
      </c>
      <c r="H6512">
        <v>0.34599999999999997</v>
      </c>
    </row>
    <row r="6513" spans="1:8" x14ac:dyDescent="0.3">
      <c r="A6513" t="s">
        <v>14761</v>
      </c>
      <c r="B6513" t="s">
        <v>26951</v>
      </c>
      <c r="C6513" t="s">
        <v>16564</v>
      </c>
      <c r="D6513" t="s">
        <v>16563</v>
      </c>
      <c r="E6513" s="2" t="s">
        <v>394</v>
      </c>
      <c r="F6513" t="s">
        <v>7385</v>
      </c>
      <c r="G6513" t="str">
        <f>HYPERLINK("http://www.newsmp.com/news/articleView.html?idxno=246216")</f>
        <v>http://www.newsmp.com/news/articleView.html?idxno=246216</v>
      </c>
      <c r="H6513">
        <v>0.45</v>
      </c>
    </row>
    <row r="6514" spans="1:8" x14ac:dyDescent="0.3">
      <c r="A6514" t="s">
        <v>14761</v>
      </c>
      <c r="B6514" t="s">
        <v>26951</v>
      </c>
      <c r="C6514" t="s">
        <v>16566</v>
      </c>
      <c r="D6514" t="s">
        <v>16565</v>
      </c>
      <c r="E6514" s="2" t="s">
        <v>394</v>
      </c>
      <c r="F6514" t="s">
        <v>13797</v>
      </c>
      <c r="G6514" t="str">
        <f>HYPERLINK("http://www.newsfarm.co.kr/news/articleView.html?idxno=59316")</f>
        <v>http://www.newsfarm.co.kr/news/articleView.html?idxno=59316</v>
      </c>
      <c r="H6514">
        <v>0.377</v>
      </c>
    </row>
    <row r="6515" spans="1:8" x14ac:dyDescent="0.3">
      <c r="A6515" t="s">
        <v>14761</v>
      </c>
      <c r="B6515" t="s">
        <v>26951</v>
      </c>
      <c r="C6515" t="s">
        <v>16568</v>
      </c>
      <c r="D6515" t="s">
        <v>16567</v>
      </c>
      <c r="E6515" s="2" t="s">
        <v>394</v>
      </c>
      <c r="F6515" t="s">
        <v>7322</v>
      </c>
      <c r="G6515" t="str">
        <f>HYPERLINK("http://www.viewsnnews.com/article?q=222676")</f>
        <v>http://www.viewsnnews.com/article?q=222676</v>
      </c>
      <c r="H6515">
        <v>0.34499999999999997</v>
      </c>
    </row>
    <row r="6516" spans="1:8" x14ac:dyDescent="0.3">
      <c r="A6516" t="s">
        <v>14761</v>
      </c>
      <c r="B6516" t="s">
        <v>26951</v>
      </c>
      <c r="C6516" t="s">
        <v>16570</v>
      </c>
      <c r="D6516" t="s">
        <v>16569</v>
      </c>
      <c r="E6516" s="2" t="s">
        <v>394</v>
      </c>
      <c r="F6516" t="s">
        <v>5342</v>
      </c>
      <c r="G6516" t="str">
        <f>HYPERLINK("https://www.nbntv.co.kr/news/articleView.html?idxno=994284")</f>
        <v>https://www.nbntv.co.kr/news/articleView.html?idxno=994284</v>
      </c>
      <c r="H6516">
        <v>0.442</v>
      </c>
    </row>
    <row r="6517" spans="1:8" x14ac:dyDescent="0.3">
      <c r="A6517" t="s">
        <v>14761</v>
      </c>
      <c r="B6517" t="s">
        <v>26951</v>
      </c>
      <c r="C6517" t="s">
        <v>16573</v>
      </c>
      <c r="D6517" t="s">
        <v>16572</v>
      </c>
      <c r="E6517" s="2" t="s">
        <v>394</v>
      </c>
      <c r="F6517" t="s">
        <v>16571</v>
      </c>
      <c r="G6517" t="str">
        <f>HYPERLINK("https://sports.hankooki.com/news/articleView.html?idxno=6901127")</f>
        <v>https://sports.hankooki.com/news/articleView.html?idxno=6901127</v>
      </c>
      <c r="H6517">
        <v>0.26700000000000002</v>
      </c>
    </row>
    <row r="6518" spans="1:8" x14ac:dyDescent="0.3">
      <c r="A6518" t="s">
        <v>14761</v>
      </c>
      <c r="B6518" t="s">
        <v>26951</v>
      </c>
      <c r="C6518" t="s">
        <v>16575</v>
      </c>
      <c r="D6518" t="s">
        <v>16574</v>
      </c>
      <c r="E6518" s="2" t="s">
        <v>394</v>
      </c>
      <c r="F6518" t="s">
        <v>5342</v>
      </c>
      <c r="G6518" t="str">
        <f>HYPERLINK("https://www.pennmike.com/news/articleView.html?idxno=103202")</f>
        <v>https://www.pennmike.com/news/articleView.html?idxno=103202</v>
      </c>
      <c r="H6518">
        <v>0.69099999999999995</v>
      </c>
    </row>
    <row r="6519" spans="1:8" x14ac:dyDescent="0.3">
      <c r="A6519" t="s">
        <v>14761</v>
      </c>
      <c r="B6519" t="s">
        <v>26951</v>
      </c>
      <c r="C6519" t="s">
        <v>16578</v>
      </c>
      <c r="D6519" t="s">
        <v>16577</v>
      </c>
      <c r="E6519" s="2" t="s">
        <v>394</v>
      </c>
      <c r="F6519" t="s">
        <v>16576</v>
      </c>
      <c r="G6519" t="str">
        <f>HYPERLINK("https://www.newspim.com/news/view/20250624000342")</f>
        <v>https://www.newspim.com/news/view/20250624000342</v>
      </c>
      <c r="H6519">
        <v>0.24199999999999999</v>
      </c>
    </row>
    <row r="6520" spans="1:8" x14ac:dyDescent="0.3">
      <c r="A6520" t="s">
        <v>14761</v>
      </c>
      <c r="B6520" t="s">
        <v>26951</v>
      </c>
      <c r="C6520" t="s">
        <v>16580</v>
      </c>
      <c r="D6520" t="s">
        <v>16579</v>
      </c>
      <c r="E6520" s="2" t="s">
        <v>394</v>
      </c>
      <c r="F6520" t="s">
        <v>12458</v>
      </c>
      <c r="G6520" t="str">
        <f>HYPERLINK("http://www.topdaily.kr/news/articleView.html?idxno=61830")</f>
        <v>http://www.topdaily.kr/news/articleView.html?idxno=61830</v>
      </c>
      <c r="H6520">
        <v>0.47</v>
      </c>
    </row>
    <row r="6521" spans="1:8" x14ac:dyDescent="0.3">
      <c r="A6521" t="s">
        <v>14761</v>
      </c>
      <c r="B6521" t="s">
        <v>26951</v>
      </c>
      <c r="C6521" t="s">
        <v>16583</v>
      </c>
      <c r="D6521" t="s">
        <v>16582</v>
      </c>
      <c r="E6521" s="2" t="s">
        <v>394</v>
      </c>
      <c r="F6521" t="s">
        <v>16581</v>
      </c>
      <c r="G6521" t="str">
        <f>HYPERLINK("http://www.newspim.com/common/redirect.jsp?newsId=20150603000239")</f>
        <v>http://www.newspim.com/common/redirect.jsp?newsId=20150603000239</v>
      </c>
      <c r="H6521">
        <v>0.45700000000000002</v>
      </c>
    </row>
    <row r="6522" spans="1:8" x14ac:dyDescent="0.3">
      <c r="A6522" t="s">
        <v>14761</v>
      </c>
      <c r="B6522" t="s">
        <v>26951</v>
      </c>
      <c r="C6522" t="s">
        <v>16585</v>
      </c>
      <c r="D6522" t="s">
        <v>16584</v>
      </c>
      <c r="E6522" s="2" t="s">
        <v>394</v>
      </c>
      <c r="F6522" t="s">
        <v>817</v>
      </c>
      <c r="G6522" t="str">
        <f>HYPERLINK("https://daily.hankooki.com/news/articleView.html?idxno=1232626")</f>
        <v>https://daily.hankooki.com/news/articleView.html?idxno=1232626</v>
      </c>
      <c r="H6522">
        <v>0.52400000000000002</v>
      </c>
    </row>
    <row r="6523" spans="1:8" x14ac:dyDescent="0.3">
      <c r="A6523" t="s">
        <v>14761</v>
      </c>
      <c r="B6523" t="s">
        <v>26951</v>
      </c>
      <c r="C6523" t="s">
        <v>16587</v>
      </c>
      <c r="D6523" t="s">
        <v>16586</v>
      </c>
      <c r="E6523" s="2" t="s">
        <v>394</v>
      </c>
      <c r="F6523" t="s">
        <v>817</v>
      </c>
      <c r="G6523" t="str">
        <f>HYPERLINK("https://www.jemin.com/news/articleView.html?idxno=816334")</f>
        <v>https://www.jemin.com/news/articleView.html?idxno=816334</v>
      </c>
      <c r="H6523">
        <v>0.57099999999999995</v>
      </c>
    </row>
    <row r="6524" spans="1:8" x14ac:dyDescent="0.3">
      <c r="A6524" t="s">
        <v>14761</v>
      </c>
      <c r="B6524" t="s">
        <v>26951</v>
      </c>
      <c r="C6524" t="s">
        <v>16589</v>
      </c>
      <c r="D6524" t="s">
        <v>16588</v>
      </c>
      <c r="E6524" s="2" t="s">
        <v>394</v>
      </c>
      <c r="F6524" t="s">
        <v>11181</v>
      </c>
      <c r="G6524" t="str">
        <f>HYPERLINK("https://www.jemin.com/news/articleView.html?idxno=815882")</f>
        <v>https://www.jemin.com/news/articleView.html?idxno=815882</v>
      </c>
      <c r="H6524">
        <v>0.58899999999999997</v>
      </c>
    </row>
    <row r="6525" spans="1:8" x14ac:dyDescent="0.3">
      <c r="A6525" t="s">
        <v>14761</v>
      </c>
      <c r="B6525" t="s">
        <v>26951</v>
      </c>
      <c r="C6525" t="s">
        <v>16592</v>
      </c>
      <c r="D6525" t="s">
        <v>16591</v>
      </c>
      <c r="E6525" s="2" t="s">
        <v>394</v>
      </c>
      <c r="F6525" t="s">
        <v>16590</v>
      </c>
      <c r="G6525" t="str">
        <f>HYPERLINK("https://n.news.naver.com/mnews/article/016/0002491169?sid=102")</f>
        <v>https://n.news.naver.com/mnews/article/016/0002491169?sid=102</v>
      </c>
      <c r="H6525">
        <v>0.159</v>
      </c>
    </row>
    <row r="6526" spans="1:8" x14ac:dyDescent="0.3">
      <c r="A6526" t="s">
        <v>14761</v>
      </c>
      <c r="B6526" t="s">
        <v>26951</v>
      </c>
      <c r="C6526" t="s">
        <v>16595</v>
      </c>
      <c r="D6526" t="s">
        <v>16594</v>
      </c>
      <c r="E6526" s="2" t="s">
        <v>394</v>
      </c>
      <c r="F6526" t="s">
        <v>10287</v>
      </c>
      <c r="G6526" t="str">
        <f>HYPERLINK("https://www.lecturernews.com/news/articleView.html?idxno=180528")</f>
        <v>https://www.lecturernews.com/news/articleView.html?idxno=180528</v>
      </c>
      <c r="H6526">
        <v>0.54900000000000004</v>
      </c>
    </row>
    <row r="6527" spans="1:8" x14ac:dyDescent="0.3">
      <c r="A6527" t="s">
        <v>14761</v>
      </c>
      <c r="B6527" t="s">
        <v>26951</v>
      </c>
      <c r="C6527" t="s">
        <v>16598</v>
      </c>
      <c r="D6527" t="s">
        <v>16597</v>
      </c>
      <c r="E6527" s="2" t="s">
        <v>394</v>
      </c>
      <c r="F6527" t="s">
        <v>171</v>
      </c>
      <c r="G6527" t="str">
        <f>HYPERLINK("https://www.jemin.com/news/articleView.html?idxno=815607")</f>
        <v>https://www.jemin.com/news/articleView.html?idxno=815607</v>
      </c>
      <c r="H6527">
        <v>0.79500000000000004</v>
      </c>
    </row>
    <row r="6528" spans="1:8" x14ac:dyDescent="0.3">
      <c r="A6528" t="s">
        <v>14761</v>
      </c>
      <c r="B6528" t="s">
        <v>26951</v>
      </c>
      <c r="C6528" t="s">
        <v>16601</v>
      </c>
      <c r="D6528" t="s">
        <v>16600</v>
      </c>
      <c r="E6528" s="2" t="s">
        <v>394</v>
      </c>
      <c r="F6528" t="s">
        <v>16599</v>
      </c>
      <c r="G6528" t="str">
        <f>HYPERLINK("https://n.news.naver.com/mnews/article/022/0004047762?sid=100")</f>
        <v>https://n.news.naver.com/mnews/article/022/0004047762?sid=100</v>
      </c>
      <c r="H6528">
        <v>0.27</v>
      </c>
    </row>
    <row r="6529" spans="1:8" x14ac:dyDescent="0.3">
      <c r="A6529" t="s">
        <v>14761</v>
      </c>
      <c r="B6529" t="s">
        <v>26951</v>
      </c>
      <c r="C6529" t="s">
        <v>16604</v>
      </c>
      <c r="D6529" t="s">
        <v>16603</v>
      </c>
      <c r="E6529" s="2" t="s">
        <v>394</v>
      </c>
      <c r="F6529" t="s">
        <v>16602</v>
      </c>
      <c r="G6529" t="str">
        <f>HYPERLINK("http://www.naeil.com/news_view/?id_art=362490")</f>
        <v>http://www.naeil.com/news_view/?id_art=362490</v>
      </c>
      <c r="H6529">
        <v>0.41599999999999998</v>
      </c>
    </row>
    <row r="6530" spans="1:8" x14ac:dyDescent="0.3">
      <c r="A6530" t="s">
        <v>14761</v>
      </c>
      <c r="B6530" t="s">
        <v>26951</v>
      </c>
      <c r="C6530" t="s">
        <v>16606</v>
      </c>
      <c r="D6530" t="s">
        <v>16605</v>
      </c>
      <c r="E6530" s="2" t="s">
        <v>418</v>
      </c>
      <c r="F6530" t="s">
        <v>8459</v>
      </c>
      <c r="G6530" t="str">
        <f>HYPERLINK("https://sports.hankooki.com/news/articleView.html?idxno=6901594")</f>
        <v>https://sports.hankooki.com/news/articleView.html?idxno=6901594</v>
      </c>
      <c r="H6530">
        <v>0.29099999999999998</v>
      </c>
    </row>
    <row r="6531" spans="1:8" x14ac:dyDescent="0.3">
      <c r="A6531" t="s">
        <v>14761</v>
      </c>
      <c r="B6531" t="s">
        <v>26951</v>
      </c>
      <c r="C6531" t="s">
        <v>16608</v>
      </c>
      <c r="D6531" t="s">
        <v>16607</v>
      </c>
      <c r="E6531" s="2" t="s">
        <v>418</v>
      </c>
      <c r="F6531" t="s">
        <v>10422</v>
      </c>
      <c r="G6531" t="str">
        <f>HYPERLINK("https://n.news.naver.com/mnews/article/648/0000037163?sid=101")</f>
        <v>https://n.news.naver.com/mnews/article/648/0000037163?sid=101</v>
      </c>
      <c r="H6531">
        <v>0.28599999999999998</v>
      </c>
    </row>
    <row r="6532" spans="1:8" x14ac:dyDescent="0.3">
      <c r="A6532" t="s">
        <v>14761</v>
      </c>
      <c r="B6532" t="s">
        <v>26951</v>
      </c>
      <c r="C6532" t="s">
        <v>16610</v>
      </c>
      <c r="D6532" t="s">
        <v>16609</v>
      </c>
      <c r="E6532" s="2" t="s">
        <v>418</v>
      </c>
      <c r="F6532" t="s">
        <v>4119</v>
      </c>
      <c r="G6532" t="str">
        <f>HYPERLINK("http://www.sporbiz.co.kr/news/articleView.html?idxno=298014")</f>
        <v>http://www.sporbiz.co.kr/news/articleView.html?idxno=298014</v>
      </c>
      <c r="H6532">
        <v>0.183</v>
      </c>
    </row>
    <row r="6533" spans="1:8" x14ac:dyDescent="0.3">
      <c r="A6533" t="s">
        <v>14761</v>
      </c>
      <c r="B6533" t="s">
        <v>26951</v>
      </c>
      <c r="C6533" t="s">
        <v>16612</v>
      </c>
      <c r="D6533" t="s">
        <v>16611</v>
      </c>
      <c r="E6533" s="2" t="s">
        <v>418</v>
      </c>
      <c r="F6533" t="s">
        <v>5342</v>
      </c>
      <c r="G6533" t="str">
        <f>HYPERLINK("http://www.sisaweek.com/news/curationView.html?idxno=132899")</f>
        <v>http://www.sisaweek.com/news/curationView.html?idxno=132899</v>
      </c>
      <c r="H6533">
        <v>0.497</v>
      </c>
    </row>
    <row r="6534" spans="1:8" x14ac:dyDescent="0.3">
      <c r="A6534" t="s">
        <v>14761</v>
      </c>
      <c r="B6534" t="s">
        <v>26951</v>
      </c>
      <c r="C6534" t="s">
        <v>16615</v>
      </c>
      <c r="D6534" t="s">
        <v>16614</v>
      </c>
      <c r="E6534" s="2" t="s">
        <v>418</v>
      </c>
      <c r="F6534" t="s">
        <v>16613</v>
      </c>
      <c r="G6534" t="str">
        <f>HYPERLINK("https://www.huffingtonpost.kr/news/articleView.html?idxno=236892")</f>
        <v>https://www.huffingtonpost.kr/news/articleView.html?idxno=236892</v>
      </c>
      <c r="H6534">
        <v>0.4</v>
      </c>
    </row>
    <row r="6535" spans="1:8" x14ac:dyDescent="0.3">
      <c r="A6535" t="s">
        <v>14761</v>
      </c>
      <c r="B6535" t="s">
        <v>26951</v>
      </c>
      <c r="C6535" t="s">
        <v>16617</v>
      </c>
      <c r="D6535" t="s">
        <v>16616</v>
      </c>
      <c r="E6535" s="2" t="s">
        <v>418</v>
      </c>
      <c r="F6535" t="s">
        <v>10111</v>
      </c>
      <c r="G6535" t="str">
        <f>HYPERLINK("https://www.jemin.com/news/articleView.html?idxno=817682")</f>
        <v>https://www.jemin.com/news/articleView.html?idxno=817682</v>
      </c>
      <c r="H6535">
        <v>0.17</v>
      </c>
    </row>
    <row r="6536" spans="1:8" x14ac:dyDescent="0.3">
      <c r="A6536" t="s">
        <v>14761</v>
      </c>
      <c r="B6536" t="s">
        <v>26951</v>
      </c>
      <c r="C6536" t="s">
        <v>16618</v>
      </c>
      <c r="D6536" t="s">
        <v>16026</v>
      </c>
      <c r="E6536" s="2" t="s">
        <v>418</v>
      </c>
      <c r="F6536" t="s">
        <v>9786</v>
      </c>
      <c r="G6536" t="str">
        <f>HYPERLINK("http://www.ilyoseoul.co.kr/news/articleView.html?idxno=113618")</f>
        <v>http://www.ilyoseoul.co.kr/news/articleView.html?idxno=113618</v>
      </c>
      <c r="H6536">
        <v>9.2999999999999999E-2</v>
      </c>
    </row>
    <row r="6537" spans="1:8" x14ac:dyDescent="0.3">
      <c r="A6537" t="s">
        <v>14761</v>
      </c>
      <c r="B6537" t="s">
        <v>26951</v>
      </c>
      <c r="C6537" t="s">
        <v>16620</v>
      </c>
      <c r="D6537" t="s">
        <v>16619</v>
      </c>
      <c r="E6537" s="2" t="s">
        <v>418</v>
      </c>
      <c r="F6537" t="s">
        <v>10322</v>
      </c>
      <c r="G6537" t="str">
        <f>HYPERLINK("https://n.news.naver.com/mnews/article/469/0000812072?sid=101")</f>
        <v>https://n.news.naver.com/mnews/article/469/0000812072?sid=101</v>
      </c>
      <c r="H6537">
        <v>0.30599999999999999</v>
      </c>
    </row>
    <row r="6538" spans="1:8" x14ac:dyDescent="0.3">
      <c r="A6538" t="s">
        <v>14761</v>
      </c>
      <c r="B6538" t="s">
        <v>26951</v>
      </c>
      <c r="C6538" t="s">
        <v>16623</v>
      </c>
      <c r="D6538" t="s">
        <v>16622</v>
      </c>
      <c r="E6538" s="2" t="s">
        <v>418</v>
      </c>
      <c r="F6538" t="s">
        <v>16621</v>
      </c>
      <c r="G6538" t="str">
        <f>HYPERLINK("http://www.fntoday.co.kr/news/articleView.html?idxno=355967")</f>
        <v>http://www.fntoday.co.kr/news/articleView.html?idxno=355967</v>
      </c>
      <c r="H6538">
        <v>0.38300000000000001</v>
      </c>
    </row>
    <row r="6539" spans="1:8" x14ac:dyDescent="0.3">
      <c r="A6539" t="s">
        <v>14761</v>
      </c>
      <c r="B6539" t="s">
        <v>26951</v>
      </c>
      <c r="C6539" t="s">
        <v>16625</v>
      </c>
      <c r="D6539" t="s">
        <v>16624</v>
      </c>
      <c r="E6539" s="2" t="s">
        <v>418</v>
      </c>
      <c r="F6539" t="s">
        <v>10111</v>
      </c>
      <c r="G6539" t="str">
        <f>HYPERLINK("https://www.jemin.com/news/articleView.html?idxno=817682")</f>
        <v>https://www.jemin.com/news/articleView.html?idxno=817682</v>
      </c>
      <c r="H6539">
        <v>0.19800000000000001</v>
      </c>
    </row>
    <row r="6540" spans="1:8" x14ac:dyDescent="0.3">
      <c r="A6540" t="s">
        <v>14761</v>
      </c>
      <c r="B6540" t="s">
        <v>26951</v>
      </c>
      <c r="C6540" t="s">
        <v>16627</v>
      </c>
      <c r="D6540" t="s">
        <v>16626</v>
      </c>
      <c r="E6540" s="2" t="s">
        <v>418</v>
      </c>
      <c r="F6540" t="s">
        <v>3420</v>
      </c>
      <c r="G6540" t="str">
        <f>HYPERLINK("https://n.news.naver.com/mnews/article/016/0002486507?sid=103")</f>
        <v>https://n.news.naver.com/mnews/article/016/0002486507?sid=103</v>
      </c>
      <c r="H6540">
        <v>0.27100000000000002</v>
      </c>
    </row>
    <row r="6541" spans="1:8" x14ac:dyDescent="0.3">
      <c r="A6541" t="s">
        <v>14761</v>
      </c>
      <c r="B6541" t="s">
        <v>26951</v>
      </c>
      <c r="C6541" t="s">
        <v>16629</v>
      </c>
      <c r="D6541" t="s">
        <v>16628</v>
      </c>
      <c r="E6541" s="2" t="s">
        <v>418</v>
      </c>
      <c r="F6541" t="s">
        <v>5548</v>
      </c>
      <c r="G6541" t="str">
        <f>HYPERLINK("https://sports.hankooki.com/news/articleView.html?idxno=6886057")</f>
        <v>https://sports.hankooki.com/news/articleView.html?idxno=6886057</v>
      </c>
      <c r="H6541">
        <v>0.625</v>
      </c>
    </row>
    <row r="6542" spans="1:8" x14ac:dyDescent="0.3">
      <c r="A6542" t="s">
        <v>14761</v>
      </c>
      <c r="B6542" t="s">
        <v>26951</v>
      </c>
      <c r="C6542" t="s">
        <v>16632</v>
      </c>
      <c r="D6542" t="s">
        <v>16631</v>
      </c>
      <c r="E6542" s="2" t="s">
        <v>418</v>
      </c>
      <c r="F6542" t="s">
        <v>16630</v>
      </c>
      <c r="G6542" t="str">
        <f>HYPERLINK("http://www.breaknews.com/1123389")</f>
        <v>http://www.breaknews.com/1123389</v>
      </c>
      <c r="H6542">
        <v>0.104</v>
      </c>
    </row>
    <row r="6543" spans="1:8" x14ac:dyDescent="0.3">
      <c r="A6543" t="s">
        <v>14761</v>
      </c>
      <c r="B6543" t="s">
        <v>26951</v>
      </c>
      <c r="C6543" t="s">
        <v>16634</v>
      </c>
      <c r="D6543" t="s">
        <v>16633</v>
      </c>
      <c r="E6543" s="2" t="s">
        <v>418</v>
      </c>
      <c r="F6543" t="s">
        <v>12041</v>
      </c>
      <c r="G6543" t="str">
        <f>HYPERLINK("http://esquirekorea.co.kr/?p=45864")</f>
        <v>http://esquirekorea.co.kr/?p=45864</v>
      </c>
      <c r="H6543">
        <v>0.42199999999999999</v>
      </c>
    </row>
    <row r="6544" spans="1:8" x14ac:dyDescent="0.3">
      <c r="A6544" t="s">
        <v>14761</v>
      </c>
      <c r="B6544" t="s">
        <v>26951</v>
      </c>
      <c r="C6544" t="s">
        <v>16636</v>
      </c>
      <c r="D6544" t="s">
        <v>16635</v>
      </c>
      <c r="E6544" s="2" t="s">
        <v>418</v>
      </c>
      <c r="F6544" t="s">
        <v>10111</v>
      </c>
      <c r="G6544" t="str">
        <f>HYPERLINK("https://www.jemin.com/news/articleView.html?idxno=817682")</f>
        <v>https://www.jemin.com/news/articleView.html?idxno=817682</v>
      </c>
      <c r="H6544">
        <v>0.216</v>
      </c>
    </row>
    <row r="6545" spans="1:8" x14ac:dyDescent="0.3">
      <c r="A6545" t="s">
        <v>14761</v>
      </c>
      <c r="B6545" t="s">
        <v>26951</v>
      </c>
      <c r="C6545" t="s">
        <v>16639</v>
      </c>
      <c r="D6545" t="s">
        <v>16638</v>
      </c>
      <c r="E6545" s="2" t="s">
        <v>418</v>
      </c>
      <c r="F6545" t="s">
        <v>4119</v>
      </c>
      <c r="G6545" t="str">
        <f>HYPERLINK("https://www.etoday.co.kr/news/view/2479624")</f>
        <v>https://www.etoday.co.kr/news/view/2479624</v>
      </c>
      <c r="H6545">
        <v>0.45500000000000002</v>
      </c>
    </row>
    <row r="6546" spans="1:8" x14ac:dyDescent="0.3">
      <c r="A6546" t="s">
        <v>14761</v>
      </c>
      <c r="B6546" t="s">
        <v>26951</v>
      </c>
      <c r="C6546" t="s">
        <v>16641</v>
      </c>
      <c r="D6546" t="s">
        <v>16640</v>
      </c>
      <c r="E6546" s="2" t="s">
        <v>418</v>
      </c>
      <c r="F6546" t="s">
        <v>2594</v>
      </c>
      <c r="G6546" t="str">
        <f>HYPERLINK("http://www.thelec.kr/news/articleView.html?idxno=37551")</f>
        <v>http://www.thelec.kr/news/articleView.html?idxno=37551</v>
      </c>
      <c r="H6546">
        <v>0.25900000000000001</v>
      </c>
    </row>
    <row r="6547" spans="1:8" x14ac:dyDescent="0.3">
      <c r="A6547" t="s">
        <v>14761</v>
      </c>
      <c r="B6547" t="s">
        <v>26951</v>
      </c>
      <c r="C6547" t="s">
        <v>16644</v>
      </c>
      <c r="D6547" t="s">
        <v>16643</v>
      </c>
      <c r="E6547" s="2" t="s">
        <v>418</v>
      </c>
      <c r="F6547" t="s">
        <v>16642</v>
      </c>
      <c r="G6547" t="str">
        <f>HYPERLINK("https://www.danbinews.com/news/articleView.html?idxno=31012")</f>
        <v>https://www.danbinews.com/news/articleView.html?idxno=31012</v>
      </c>
      <c r="H6547">
        <v>0.28399999999999997</v>
      </c>
    </row>
    <row r="6548" spans="1:8" x14ac:dyDescent="0.3">
      <c r="A6548" t="s">
        <v>14761</v>
      </c>
      <c r="B6548" t="s">
        <v>26951</v>
      </c>
      <c r="C6548" t="s">
        <v>16647</v>
      </c>
      <c r="D6548" t="s">
        <v>16646</v>
      </c>
      <c r="E6548" s="2" t="s">
        <v>418</v>
      </c>
      <c r="F6548" t="s">
        <v>16645</v>
      </c>
      <c r="G6548" t="str">
        <f>HYPERLINK("https://www.econovill.com/news/articleView.html?idxno=701701")</f>
        <v>https://www.econovill.com/news/articleView.html?idxno=701701</v>
      </c>
      <c r="H6548">
        <v>0.218</v>
      </c>
    </row>
    <row r="6549" spans="1:8" x14ac:dyDescent="0.3">
      <c r="A6549" t="s">
        <v>14761</v>
      </c>
      <c r="B6549" t="s">
        <v>26951</v>
      </c>
      <c r="C6549" t="s">
        <v>16649</v>
      </c>
      <c r="D6549" t="s">
        <v>16648</v>
      </c>
      <c r="E6549" s="2" t="s">
        <v>418</v>
      </c>
      <c r="F6549" t="s">
        <v>10111</v>
      </c>
      <c r="G6549" t="str">
        <f>HYPERLINK("https://sports.hankooki.com/news/articleView.html?idxno=6873467")</f>
        <v>https://sports.hankooki.com/news/articleView.html?idxno=6873467</v>
      </c>
      <c r="H6549">
        <v>0.41499999999999998</v>
      </c>
    </row>
    <row r="6550" spans="1:8" x14ac:dyDescent="0.3">
      <c r="A6550" t="s">
        <v>14761</v>
      </c>
      <c r="B6550" t="s">
        <v>26951</v>
      </c>
      <c r="C6550" t="s">
        <v>16652</v>
      </c>
      <c r="D6550" t="s">
        <v>16651</v>
      </c>
      <c r="E6550" s="2" t="s">
        <v>418</v>
      </c>
      <c r="F6550" t="s">
        <v>16650</v>
      </c>
      <c r="G6550" t="str">
        <f>HYPERLINK("http://www.newspim.com/news/view/20201211000662")</f>
        <v>http://www.newspim.com/news/view/20201211000662</v>
      </c>
      <c r="H6550">
        <v>0.48199999999999998</v>
      </c>
    </row>
    <row r="6551" spans="1:8" x14ac:dyDescent="0.3">
      <c r="A6551" t="s">
        <v>14761</v>
      </c>
      <c r="B6551" t="s">
        <v>26951</v>
      </c>
      <c r="C6551" t="s">
        <v>16654</v>
      </c>
      <c r="D6551" t="s">
        <v>16653</v>
      </c>
      <c r="E6551" s="2" t="s">
        <v>418</v>
      </c>
      <c r="F6551" t="s">
        <v>1233</v>
      </c>
      <c r="G6551" t="str">
        <f>HYPERLINK("https://www.tbc.co.kr/news/view?pno=20250616154452AE06615&amp;id=196571")</f>
        <v>https://www.tbc.co.kr/news/view?pno=20250616154452AE06615&amp;id=196571</v>
      </c>
      <c r="H6551">
        <v>0.41299999999999998</v>
      </c>
    </row>
    <row r="6552" spans="1:8" x14ac:dyDescent="0.3">
      <c r="A6552" t="s">
        <v>14761</v>
      </c>
      <c r="B6552" t="s">
        <v>26951</v>
      </c>
      <c r="C6552" t="s">
        <v>16656</v>
      </c>
      <c r="D6552" t="s">
        <v>16655</v>
      </c>
      <c r="E6552" s="2" t="s">
        <v>418</v>
      </c>
      <c r="F6552" t="s">
        <v>8467</v>
      </c>
      <c r="G6552" t="str">
        <f>HYPERLINK("https://www.etoday.co.kr/news/view/2420633")</f>
        <v>https://www.etoday.co.kr/news/view/2420633</v>
      </c>
      <c r="H6552">
        <v>0.41699999999999998</v>
      </c>
    </row>
    <row r="6553" spans="1:8" x14ac:dyDescent="0.3">
      <c r="A6553" t="s">
        <v>14761</v>
      </c>
      <c r="B6553" t="s">
        <v>26951</v>
      </c>
      <c r="C6553" t="s">
        <v>16658</v>
      </c>
      <c r="D6553" t="s">
        <v>16657</v>
      </c>
      <c r="E6553" s="2" t="s">
        <v>418</v>
      </c>
      <c r="F6553" t="s">
        <v>8467</v>
      </c>
      <c r="G6553" t="str">
        <f>HYPERLINK("https://daily.hankooki.com/news/articleView.html?idxno=1232626")</f>
        <v>https://daily.hankooki.com/news/articleView.html?idxno=1232626</v>
      </c>
      <c r="H6553">
        <v>0.38900000000000001</v>
      </c>
    </row>
    <row r="6554" spans="1:8" x14ac:dyDescent="0.3">
      <c r="A6554" t="s">
        <v>14761</v>
      </c>
      <c r="B6554" t="s">
        <v>26951</v>
      </c>
      <c r="C6554" t="s">
        <v>16660</v>
      </c>
      <c r="D6554" t="s">
        <v>16659</v>
      </c>
      <c r="E6554" s="2" t="s">
        <v>418</v>
      </c>
      <c r="F6554" t="s">
        <v>8467</v>
      </c>
      <c r="G6554" t="str">
        <f>HYPERLINK("http://jmagazine.joins.com/monthly/view/329738")</f>
        <v>http://jmagazine.joins.com/monthly/view/329738</v>
      </c>
      <c r="H6554">
        <v>0.34100000000000003</v>
      </c>
    </row>
    <row r="6555" spans="1:8" x14ac:dyDescent="0.3">
      <c r="A6555" t="s">
        <v>14761</v>
      </c>
      <c r="B6555" t="s">
        <v>26951</v>
      </c>
      <c r="C6555" t="s">
        <v>12649</v>
      </c>
      <c r="D6555" t="s">
        <v>12648</v>
      </c>
      <c r="E6555" s="2" t="s">
        <v>418</v>
      </c>
      <c r="F6555" t="s">
        <v>10470</v>
      </c>
      <c r="G6555" t="str">
        <f>HYPERLINK("https://sports.hankooki.com/news/articleView.html?idxno=6901105")</f>
        <v>https://sports.hankooki.com/news/articleView.html?idxno=6901105</v>
      </c>
      <c r="H6555">
        <v>0.56799999999999995</v>
      </c>
    </row>
    <row r="6556" spans="1:8" x14ac:dyDescent="0.3">
      <c r="A6556" t="s">
        <v>14761</v>
      </c>
      <c r="B6556" t="s">
        <v>26951</v>
      </c>
      <c r="C6556" t="s">
        <v>16663</v>
      </c>
      <c r="D6556" t="s">
        <v>16662</v>
      </c>
      <c r="E6556" s="2" t="s">
        <v>418</v>
      </c>
      <c r="F6556" t="s">
        <v>16661</v>
      </c>
      <c r="G6556" t="str">
        <f>HYPERLINK("https://sports.hankooki.com/news/articleView.html?idxno=6901127")</f>
        <v>https://sports.hankooki.com/news/articleView.html?idxno=6901127</v>
      </c>
      <c r="H6556">
        <v>0.56599999999999995</v>
      </c>
    </row>
    <row r="6557" spans="1:8" x14ac:dyDescent="0.3">
      <c r="A6557" t="s">
        <v>14761</v>
      </c>
      <c r="B6557" t="s">
        <v>26951</v>
      </c>
      <c r="C6557" t="s">
        <v>16666</v>
      </c>
      <c r="D6557" t="s">
        <v>16665</v>
      </c>
      <c r="E6557" s="2" t="s">
        <v>418</v>
      </c>
      <c r="F6557" t="s">
        <v>16664</v>
      </c>
      <c r="G6557" t="str">
        <f>HYPERLINK("https://daily.hankooki.com/news/articleView.html?idxno=1232626")</f>
        <v>https://daily.hankooki.com/news/articleView.html?idxno=1232626</v>
      </c>
      <c r="H6557">
        <v>0.35399999999999998</v>
      </c>
    </row>
    <row r="6558" spans="1:8" x14ac:dyDescent="0.3">
      <c r="A6558" t="s">
        <v>14761</v>
      </c>
      <c r="B6558" t="s">
        <v>26951</v>
      </c>
      <c r="C6558" t="s">
        <v>16668</v>
      </c>
      <c r="D6558" t="s">
        <v>16667</v>
      </c>
      <c r="E6558" s="2" t="s">
        <v>418</v>
      </c>
      <c r="F6558" t="s">
        <v>16317</v>
      </c>
      <c r="G6558" t="str">
        <f>HYPERLINK("https://www.gqkorea.co.kr/2024/07/23/%ea%b3%a0%eb%af%bc%ec%8b%9c-%eb%82%98-%ea%b3%a0%eb%a6%ac%ed%83%80%eb%b6%84%ed%95%9c-%ec%82%ac%eb%9e%8c%ec%9d%b4%ec%97%90%ec%9a%94/?utm_source=naver&amp;utm_medium=partnership")</f>
        <v>https://www.gqkorea.co.kr/2024/07/23/%ea%b3%a0%eb%af%bc%ec%8b%9c-%eb%82%98-%ea%b3%a0%eb%a6%ac%ed%83%80%eb%b6%84%ed%95%9c-%ec%82%ac%eb%9e%8c%ec%9d%b4%ec%97%90%ec%9a%94/?utm_source=naver&amp;utm_medium=partnership</v>
      </c>
      <c r="H6558">
        <v>0.34300000000000003</v>
      </c>
    </row>
    <row r="6559" spans="1:8" x14ac:dyDescent="0.3">
      <c r="A6559" t="s">
        <v>14761</v>
      </c>
      <c r="B6559" t="s">
        <v>26951</v>
      </c>
      <c r="C6559" t="s">
        <v>16670</v>
      </c>
      <c r="D6559" t="s">
        <v>16669</v>
      </c>
      <c r="E6559" s="2" t="s">
        <v>418</v>
      </c>
      <c r="F6559" t="s">
        <v>9944</v>
      </c>
      <c r="G6559" t="str">
        <f>HYPERLINK("https://sports.hankooki.com/news/articleView.html?idxno=6902043")</f>
        <v>https://sports.hankooki.com/news/articleView.html?idxno=6902043</v>
      </c>
      <c r="H6559">
        <v>0.52900000000000003</v>
      </c>
    </row>
    <row r="6560" spans="1:8" x14ac:dyDescent="0.3">
      <c r="A6560" t="s">
        <v>14761</v>
      </c>
      <c r="B6560" t="s">
        <v>26951</v>
      </c>
      <c r="C6560" t="s">
        <v>16672</v>
      </c>
      <c r="D6560" t="s">
        <v>16671</v>
      </c>
      <c r="E6560" s="2" t="s">
        <v>418</v>
      </c>
      <c r="F6560" t="s">
        <v>588</v>
      </c>
      <c r="G6560" t="str">
        <f>HYPERLINK("https://sports.hankooki.com/news/articleView.html?idxno=6901117")</f>
        <v>https://sports.hankooki.com/news/articleView.html?idxno=6901117</v>
      </c>
      <c r="H6560">
        <v>0.622</v>
      </c>
    </row>
    <row r="6561" spans="1:8" x14ac:dyDescent="0.3">
      <c r="A6561" t="s">
        <v>14761</v>
      </c>
      <c r="B6561" t="s">
        <v>26951</v>
      </c>
      <c r="C6561" t="s">
        <v>16675</v>
      </c>
      <c r="D6561" t="s">
        <v>16674</v>
      </c>
      <c r="E6561" s="2" t="s">
        <v>418</v>
      </c>
      <c r="F6561" t="s">
        <v>16673</v>
      </c>
      <c r="G6561" t="str">
        <f>HYPERLINK("http://www.sentv.co.kr/news/view/550413")</f>
        <v>http://www.sentv.co.kr/news/view/550413</v>
      </c>
      <c r="H6561">
        <v>0.13700000000000001</v>
      </c>
    </row>
    <row r="6562" spans="1:8" x14ac:dyDescent="0.3">
      <c r="A6562" t="s">
        <v>14761</v>
      </c>
      <c r="B6562" t="s">
        <v>26951</v>
      </c>
      <c r="C6562" t="s">
        <v>16677</v>
      </c>
      <c r="D6562" t="s">
        <v>16676</v>
      </c>
      <c r="E6562" s="2" t="s">
        <v>418</v>
      </c>
      <c r="F6562" t="s">
        <v>3888</v>
      </c>
      <c r="G6562" t="str">
        <f>HYPERLINK("https://sports.hankooki.com/news/articleView.html?idxno=6901127")</f>
        <v>https://sports.hankooki.com/news/articleView.html?idxno=6901127</v>
      </c>
      <c r="H6562">
        <v>0.41199999999999998</v>
      </c>
    </row>
    <row r="6563" spans="1:8" x14ac:dyDescent="0.3">
      <c r="A6563" t="s">
        <v>14761</v>
      </c>
      <c r="B6563" t="s">
        <v>26951</v>
      </c>
      <c r="C6563" t="s">
        <v>16679</v>
      </c>
      <c r="D6563" t="s">
        <v>16678</v>
      </c>
      <c r="E6563" s="2" t="s">
        <v>418</v>
      </c>
      <c r="F6563" t="s">
        <v>10132</v>
      </c>
      <c r="G6563" t="str">
        <f>HYPERLINK("https://www.ggilbo.com/news/articleView.html?idxno=1095663")</f>
        <v>https://www.ggilbo.com/news/articleView.html?idxno=1095663</v>
      </c>
      <c r="H6563">
        <v>0.50600000000000001</v>
      </c>
    </row>
    <row r="6564" spans="1:8" x14ac:dyDescent="0.3">
      <c r="A6564" t="s">
        <v>14761</v>
      </c>
      <c r="B6564" t="s">
        <v>26951</v>
      </c>
      <c r="C6564" t="s">
        <v>16681</v>
      </c>
      <c r="D6564" t="s">
        <v>16680</v>
      </c>
      <c r="E6564" s="2" t="s">
        <v>418</v>
      </c>
      <c r="F6564" t="s">
        <v>9944</v>
      </c>
      <c r="G6564" t="str">
        <f>HYPERLINK("https://www.etoday.co.kr/news/view/2009785")</f>
        <v>https://www.etoday.co.kr/news/view/2009785</v>
      </c>
      <c r="H6564">
        <v>0.38200000000000001</v>
      </c>
    </row>
    <row r="6565" spans="1:8" x14ac:dyDescent="0.3">
      <c r="A6565" t="s">
        <v>14761</v>
      </c>
      <c r="B6565" t="s">
        <v>26951</v>
      </c>
      <c r="C6565" t="s">
        <v>16683</v>
      </c>
      <c r="D6565" t="s">
        <v>16682</v>
      </c>
      <c r="E6565" s="2" t="s">
        <v>418</v>
      </c>
      <c r="F6565" t="s">
        <v>10132</v>
      </c>
      <c r="G6565" t="str">
        <f>HYPERLINK("https://sports.hankooki.com/news/articleView.html?idxno=6901751")</f>
        <v>https://sports.hankooki.com/news/articleView.html?idxno=6901751</v>
      </c>
      <c r="H6565">
        <v>0.50900000000000001</v>
      </c>
    </row>
    <row r="6566" spans="1:8" x14ac:dyDescent="0.3">
      <c r="A6566" t="s">
        <v>14761</v>
      </c>
      <c r="B6566" t="s">
        <v>26951</v>
      </c>
      <c r="C6566" t="s">
        <v>16685</v>
      </c>
      <c r="D6566" t="s">
        <v>16684</v>
      </c>
      <c r="E6566" s="2" t="s">
        <v>418</v>
      </c>
      <c r="F6566" t="s">
        <v>1543</v>
      </c>
      <c r="G6566" t="str">
        <f>HYPERLINK("https://www.joongangenews.com/news/articleView.html?idxno=430071")</f>
        <v>https://www.joongangenews.com/news/articleView.html?idxno=430071</v>
      </c>
      <c r="H6566">
        <v>0.17799999999999999</v>
      </c>
    </row>
    <row r="6567" spans="1:8" x14ac:dyDescent="0.3">
      <c r="A6567" t="s">
        <v>14761</v>
      </c>
      <c r="B6567" t="s">
        <v>26951</v>
      </c>
      <c r="C6567" t="s">
        <v>16687</v>
      </c>
      <c r="D6567" t="s">
        <v>16686</v>
      </c>
      <c r="E6567" s="2" t="s">
        <v>418</v>
      </c>
      <c r="F6567" t="s">
        <v>16422</v>
      </c>
      <c r="G6567" t="str">
        <f>HYPERLINK("https://www.joongangenews.com/news/articleView.html?idxno=424448")</f>
        <v>https://www.joongangenews.com/news/articleView.html?idxno=424448</v>
      </c>
      <c r="H6567">
        <v>0.47699999999999998</v>
      </c>
    </row>
    <row r="6568" spans="1:8" x14ac:dyDescent="0.3">
      <c r="A6568" t="s">
        <v>14761</v>
      </c>
      <c r="B6568" t="s">
        <v>26951</v>
      </c>
      <c r="C6568" t="s">
        <v>16689</v>
      </c>
      <c r="D6568" t="s">
        <v>16688</v>
      </c>
      <c r="E6568" s="2" t="s">
        <v>418</v>
      </c>
      <c r="F6568" t="s">
        <v>5342</v>
      </c>
      <c r="G6568" t="str">
        <f>HYPERLINK("https://n.news.naver.com/mnews/article/052/0002204763?sid=102")</f>
        <v>https://n.news.naver.com/mnews/article/052/0002204763?sid=102</v>
      </c>
      <c r="H6568">
        <v>0.216</v>
      </c>
    </row>
    <row r="6569" spans="1:8" x14ac:dyDescent="0.3">
      <c r="A6569" t="s">
        <v>14761</v>
      </c>
      <c r="B6569" t="s">
        <v>26951</v>
      </c>
      <c r="C6569" t="s">
        <v>16691</v>
      </c>
      <c r="D6569" t="s">
        <v>16690</v>
      </c>
      <c r="E6569" s="2" t="s">
        <v>418</v>
      </c>
      <c r="F6569" t="s">
        <v>12458</v>
      </c>
      <c r="G6569" t="str">
        <f>HYPERLINK("https://sports.hankooki.com/news/articleView.html?idxno=6886991")</f>
        <v>https://sports.hankooki.com/news/articleView.html?idxno=6886991</v>
      </c>
      <c r="H6569">
        <v>0.51300000000000001</v>
      </c>
    </row>
    <row r="6570" spans="1:8" x14ac:dyDescent="0.3">
      <c r="A6570" t="s">
        <v>14761</v>
      </c>
      <c r="B6570" t="s">
        <v>26951</v>
      </c>
      <c r="C6570" t="s">
        <v>16693</v>
      </c>
      <c r="D6570" t="s">
        <v>16692</v>
      </c>
      <c r="E6570" s="2" t="s">
        <v>418</v>
      </c>
      <c r="F6570" t="s">
        <v>10839</v>
      </c>
      <c r="G6570" t="str">
        <f>HYPERLINK("https://daily.hankooki.com/news/articleView.html?idxno=1232626")</f>
        <v>https://daily.hankooki.com/news/articleView.html?idxno=1232626</v>
      </c>
      <c r="H6570">
        <v>0.61099999999999999</v>
      </c>
    </row>
    <row r="6571" spans="1:8" x14ac:dyDescent="0.3">
      <c r="A6571" t="s">
        <v>14761</v>
      </c>
      <c r="B6571" t="s">
        <v>26951</v>
      </c>
      <c r="C6571" t="s">
        <v>16695</v>
      </c>
      <c r="D6571" t="s">
        <v>16694</v>
      </c>
      <c r="E6571" s="2" t="s">
        <v>418</v>
      </c>
      <c r="F6571" t="s">
        <v>12310</v>
      </c>
      <c r="G6571" t="str">
        <f>HYPERLINK("https://m.entertain.naver.com/article/076/0002037586")</f>
        <v>https://m.entertain.naver.com/article/076/0002037586</v>
      </c>
      <c r="H6571">
        <v>0.70599999999999996</v>
      </c>
    </row>
    <row r="6572" spans="1:8" x14ac:dyDescent="0.3">
      <c r="A6572" t="s">
        <v>14761</v>
      </c>
      <c r="B6572" t="s">
        <v>26951</v>
      </c>
      <c r="C6572" t="s">
        <v>16698</v>
      </c>
      <c r="D6572" t="s">
        <v>16697</v>
      </c>
      <c r="E6572" s="2" t="s">
        <v>418</v>
      </c>
      <c r="F6572" t="s">
        <v>16696</v>
      </c>
      <c r="G6572" t="str">
        <f>HYPERLINK("https://daily.hankooki.com/news/articleView.html?idxno=1232626")</f>
        <v>https://daily.hankooki.com/news/articleView.html?idxno=1232626</v>
      </c>
      <c r="H6572">
        <v>0.40500000000000003</v>
      </c>
    </row>
    <row r="6573" spans="1:8" x14ac:dyDescent="0.3">
      <c r="A6573" t="s">
        <v>14761</v>
      </c>
      <c r="B6573" t="s">
        <v>26951</v>
      </c>
      <c r="C6573" t="s">
        <v>16701</v>
      </c>
      <c r="D6573" t="s">
        <v>16700</v>
      </c>
      <c r="E6573" s="2" t="s">
        <v>418</v>
      </c>
      <c r="F6573" t="s">
        <v>16699</v>
      </c>
      <c r="G6573" t="str">
        <f>HYPERLINK("https://n.news.naver.com/mnews/article/022/0004047762?sid=100")</f>
        <v>https://n.news.naver.com/mnews/article/022/0004047762?sid=100</v>
      </c>
      <c r="H6573">
        <v>0.20200000000000001</v>
      </c>
    </row>
    <row r="6574" spans="1:8" x14ac:dyDescent="0.3">
      <c r="A6574" t="s">
        <v>14761</v>
      </c>
      <c r="B6574" t="s">
        <v>26951</v>
      </c>
      <c r="C6574" t="s">
        <v>16703</v>
      </c>
      <c r="D6574" t="s">
        <v>16702</v>
      </c>
      <c r="E6574" s="2" t="s">
        <v>418</v>
      </c>
      <c r="F6574" t="s">
        <v>12381</v>
      </c>
      <c r="G6574" t="str">
        <f>HYPERLINK("http://www.ftoday.co.kr/news/articleView.html?idxno=343399")</f>
        <v>http://www.ftoday.co.kr/news/articleView.html?idxno=343399</v>
      </c>
      <c r="H6574">
        <v>0.52700000000000002</v>
      </c>
    </row>
    <row r="6575" spans="1:8" x14ac:dyDescent="0.3">
      <c r="A6575" t="s">
        <v>14761</v>
      </c>
      <c r="B6575" t="s">
        <v>26951</v>
      </c>
      <c r="C6575" t="s">
        <v>16705</v>
      </c>
      <c r="D6575" t="s">
        <v>16704</v>
      </c>
      <c r="E6575" s="2" t="s">
        <v>418</v>
      </c>
      <c r="F6575" t="s">
        <v>10041</v>
      </c>
      <c r="G6575" t="str">
        <f>HYPERLINK("https://n.news.naver.com/mnews/article/055/0000578617?sid=100")</f>
        <v>https://n.news.naver.com/mnews/article/055/0000578617?sid=100</v>
      </c>
      <c r="H6575">
        <v>0.26900000000000002</v>
      </c>
    </row>
    <row r="6576" spans="1:8" x14ac:dyDescent="0.3">
      <c r="A6576" t="s">
        <v>14761</v>
      </c>
      <c r="B6576" t="s">
        <v>26951</v>
      </c>
      <c r="C6576" t="s">
        <v>16708</v>
      </c>
      <c r="D6576" t="s">
        <v>16707</v>
      </c>
      <c r="E6576" s="2" t="s">
        <v>418</v>
      </c>
      <c r="F6576" t="s">
        <v>16706</v>
      </c>
      <c r="G6576" t="str">
        <f>HYPERLINK("https://n.news.naver.com/mnews/article/030/0003321611?sid=105")</f>
        <v>https://n.news.naver.com/mnews/article/030/0003321611?sid=105</v>
      </c>
      <c r="H6576">
        <v>0.309</v>
      </c>
    </row>
    <row r="6577" spans="1:8" x14ac:dyDescent="0.3">
      <c r="A6577" t="s">
        <v>14761</v>
      </c>
      <c r="B6577" t="s">
        <v>26951</v>
      </c>
      <c r="C6577" t="s">
        <v>16710</v>
      </c>
      <c r="D6577" t="s">
        <v>16709</v>
      </c>
      <c r="E6577" s="2" t="s">
        <v>418</v>
      </c>
      <c r="F6577" t="s">
        <v>15353</v>
      </c>
      <c r="G6577" t="str">
        <f>HYPERLINK("http://www.seoulwire.com/news/articleView.html?idxno=656198")</f>
        <v>http://www.seoulwire.com/news/articleView.html?idxno=656198</v>
      </c>
      <c r="H6577">
        <v>0.94699999999999995</v>
      </c>
    </row>
    <row r="6578" spans="1:8" x14ac:dyDescent="0.3">
      <c r="A6578" t="s">
        <v>14761</v>
      </c>
      <c r="B6578" t="s">
        <v>26951</v>
      </c>
      <c r="C6578" t="s">
        <v>16714</v>
      </c>
      <c r="D6578" t="s">
        <v>16713</v>
      </c>
      <c r="E6578" s="2" t="s">
        <v>418</v>
      </c>
      <c r="F6578" t="s">
        <v>16712</v>
      </c>
      <c r="G6578" t="str">
        <f>HYPERLINK("http://www.doctorstimes.com/news/articleView.html?idxno=233007")</f>
        <v>http://www.doctorstimes.com/news/articleView.html?idxno=233007</v>
      </c>
      <c r="H6578">
        <v>0.51300000000000001</v>
      </c>
    </row>
    <row r="6579" spans="1:8" x14ac:dyDescent="0.3">
      <c r="A6579" t="s">
        <v>14761</v>
      </c>
      <c r="B6579" t="s">
        <v>26951</v>
      </c>
      <c r="C6579" t="s">
        <v>16716</v>
      </c>
      <c r="D6579" t="s">
        <v>8319</v>
      </c>
      <c r="E6579" s="2" t="s">
        <v>418</v>
      </c>
      <c r="F6579" t="s">
        <v>16715</v>
      </c>
      <c r="G6579" t="str">
        <f>HYPERLINK("https://www.forbeskorea.co.kr/news/articleView.html?idxno=400277")</f>
        <v>https://www.forbeskorea.co.kr/news/articleView.html?idxno=400277</v>
      </c>
      <c r="H6579">
        <v>0.53500000000000003</v>
      </c>
    </row>
    <row r="6580" spans="1:8" x14ac:dyDescent="0.3">
      <c r="A6580" t="s">
        <v>14761</v>
      </c>
      <c r="B6580" t="s">
        <v>26951</v>
      </c>
      <c r="C6580" t="s">
        <v>16718</v>
      </c>
      <c r="D6580" t="s">
        <v>16717</v>
      </c>
      <c r="E6580" s="2" t="s">
        <v>418</v>
      </c>
      <c r="F6580" t="s">
        <v>10021</v>
      </c>
      <c r="G6580" t="str">
        <f>HYPERLINK("https://www.joongangenews.com/news/articleView.html?idxno=426673")</f>
        <v>https://www.joongangenews.com/news/articleView.html?idxno=426673</v>
      </c>
      <c r="H6580">
        <v>0.54800000000000004</v>
      </c>
    </row>
    <row r="6581" spans="1:8" x14ac:dyDescent="0.3">
      <c r="A6581" t="s">
        <v>14761</v>
      </c>
      <c r="B6581" t="s">
        <v>26951</v>
      </c>
      <c r="C6581" t="s">
        <v>16721</v>
      </c>
      <c r="D6581" t="s">
        <v>16720</v>
      </c>
      <c r="E6581" s="2" t="s">
        <v>418</v>
      </c>
      <c r="F6581" t="s">
        <v>16719</v>
      </c>
      <c r="G6581" t="str">
        <f>HYPERLINK("https://www.ekn.kr/web/view.php?key=20250630026421733")</f>
        <v>https://www.ekn.kr/web/view.php?key=20250630026421733</v>
      </c>
      <c r="H6581">
        <v>0.16800000000000001</v>
      </c>
    </row>
    <row r="6582" spans="1:8" x14ac:dyDescent="0.3">
      <c r="A6582" t="s">
        <v>14761</v>
      </c>
      <c r="B6582" t="s">
        <v>26951</v>
      </c>
      <c r="C6582" t="s">
        <v>16724</v>
      </c>
      <c r="D6582" t="s">
        <v>16723</v>
      </c>
      <c r="E6582" s="2" t="s">
        <v>418</v>
      </c>
      <c r="F6582" t="s">
        <v>16722</v>
      </c>
      <c r="G6582" t="str">
        <f>HYPERLINK("https://www.newsway.co.kr/news/view?ud=2025062515385316516")</f>
        <v>https://www.newsway.co.kr/news/view?ud=2025062515385316516</v>
      </c>
      <c r="H6582">
        <v>0.27600000000000002</v>
      </c>
    </row>
    <row r="6583" spans="1:8" x14ac:dyDescent="0.3">
      <c r="A6583" t="s">
        <v>14761</v>
      </c>
      <c r="B6583" t="s">
        <v>26951</v>
      </c>
      <c r="C6583" t="s">
        <v>16726</v>
      </c>
      <c r="D6583" t="s">
        <v>16725</v>
      </c>
      <c r="E6583" s="2" t="s">
        <v>418</v>
      </c>
      <c r="F6583" t="s">
        <v>14802</v>
      </c>
      <c r="G6583" t="str">
        <f>HYPERLINK("http://www.newsroad.co.kr/news/articleView.html?idxno=41618")</f>
        <v>http://www.newsroad.co.kr/news/articleView.html?idxno=41618</v>
      </c>
      <c r="H6583">
        <v>0.77900000000000003</v>
      </c>
    </row>
    <row r="6584" spans="1:8" x14ac:dyDescent="0.3">
      <c r="A6584" t="s">
        <v>14761</v>
      </c>
      <c r="B6584" t="s">
        <v>26951</v>
      </c>
      <c r="C6584" t="s">
        <v>16728</v>
      </c>
      <c r="D6584" t="s">
        <v>16727</v>
      </c>
      <c r="E6584" s="2" t="s">
        <v>418</v>
      </c>
      <c r="F6584" t="s">
        <v>8165</v>
      </c>
      <c r="G6584" t="str">
        <f>HYPERLINK("https://www.lecturernews.com/news/articleView.html?idxno=180528")</f>
        <v>https://www.lecturernews.com/news/articleView.html?idxno=180528</v>
      </c>
      <c r="H6584">
        <v>0.52700000000000002</v>
      </c>
    </row>
    <row r="6585" spans="1:8" x14ac:dyDescent="0.3">
      <c r="A6585" t="s">
        <v>14761</v>
      </c>
      <c r="B6585" t="s">
        <v>26951</v>
      </c>
      <c r="C6585" t="s">
        <v>16731</v>
      </c>
      <c r="D6585" t="s">
        <v>16730</v>
      </c>
      <c r="E6585" s="2" t="s">
        <v>418</v>
      </c>
      <c r="F6585" t="s">
        <v>16729</v>
      </c>
      <c r="G6585" t="str">
        <f>HYPERLINK("http://www.vogue.co.kr/?p=143242&amp;_C_=11")</f>
        <v>http://www.vogue.co.kr/?p=143242&amp;_C_=11</v>
      </c>
      <c r="H6585">
        <v>0.46100000000000002</v>
      </c>
    </row>
    <row r="6586" spans="1:8" x14ac:dyDescent="0.3">
      <c r="A6586" t="s">
        <v>14761</v>
      </c>
      <c r="B6586" t="s">
        <v>26951</v>
      </c>
      <c r="C6586" t="s">
        <v>12727</v>
      </c>
      <c r="D6586" t="s">
        <v>12726</v>
      </c>
      <c r="E6586" s="2" t="s">
        <v>418</v>
      </c>
      <c r="F6586" t="s">
        <v>11119</v>
      </c>
      <c r="G6586" t="str">
        <f>HYPERLINK("https://n.news.naver.com/mnews/article/028/0002577020?sid=103")</f>
        <v>https://n.news.naver.com/mnews/article/028/0002577020?sid=103</v>
      </c>
      <c r="H6586">
        <v>0.32400000000000001</v>
      </c>
    </row>
    <row r="6587" spans="1:8" x14ac:dyDescent="0.3">
      <c r="A6587" t="s">
        <v>14761</v>
      </c>
      <c r="B6587" t="s">
        <v>26951</v>
      </c>
      <c r="C6587" t="s">
        <v>16734</v>
      </c>
      <c r="D6587" t="s">
        <v>16733</v>
      </c>
      <c r="E6587" s="2" t="s">
        <v>418</v>
      </c>
      <c r="F6587" t="s">
        <v>16732</v>
      </c>
      <c r="G6587" t="str">
        <f>HYPERLINK("https://www.econovill.com/news/articleView.html?idxno=517014")</f>
        <v>https://www.econovill.com/news/articleView.html?idxno=517014</v>
      </c>
      <c r="H6587">
        <v>0.36699999999999999</v>
      </c>
    </row>
    <row r="6588" spans="1:8" x14ac:dyDescent="0.3">
      <c r="A6588" t="s">
        <v>14761</v>
      </c>
      <c r="B6588" t="s">
        <v>26951</v>
      </c>
      <c r="C6588" t="s">
        <v>16736</v>
      </c>
      <c r="D6588" t="s">
        <v>16735</v>
      </c>
      <c r="E6588" s="2" t="s">
        <v>418</v>
      </c>
      <c r="F6588" t="s">
        <v>15022</v>
      </c>
      <c r="G6588" t="str">
        <f>HYPERLINK("http://www.issuenbiz.com/news/articleView.html?idxno=62143")</f>
        <v>http://www.issuenbiz.com/news/articleView.html?idxno=62143</v>
      </c>
      <c r="H6588">
        <v>0.98</v>
      </c>
    </row>
    <row r="6589" spans="1:8" x14ac:dyDescent="0.3">
      <c r="A6589" t="s">
        <v>14761</v>
      </c>
      <c r="B6589" t="s">
        <v>26951</v>
      </c>
      <c r="C6589" t="s">
        <v>16738</v>
      </c>
      <c r="D6589" t="s">
        <v>16737</v>
      </c>
      <c r="E6589" s="2" t="s">
        <v>418</v>
      </c>
      <c r="F6589" t="s">
        <v>14319</v>
      </c>
      <c r="G6589" t="str">
        <f>HYPERLINK("https://n.news.naver.com/mnews/article/028/0002743215?sid=102")</f>
        <v>https://n.news.naver.com/mnews/article/028/0002743215?sid=102</v>
      </c>
      <c r="H6589">
        <v>0.17100000000000001</v>
      </c>
    </row>
    <row r="6590" spans="1:8" x14ac:dyDescent="0.3">
      <c r="A6590" t="s">
        <v>14761</v>
      </c>
      <c r="B6590" t="s">
        <v>26951</v>
      </c>
      <c r="C6590" t="s">
        <v>16740</v>
      </c>
      <c r="D6590" t="s">
        <v>16739</v>
      </c>
      <c r="E6590" s="2" t="s">
        <v>418</v>
      </c>
      <c r="F6590" t="s">
        <v>1109</v>
      </c>
      <c r="G6590" t="str">
        <f>HYPERLINK("http://www.newsfarm.co.kr/news/articleView.html?idxno=75504")</f>
        <v>http://www.newsfarm.co.kr/news/articleView.html?idxno=75504</v>
      </c>
      <c r="H6590">
        <v>0.65800000000000003</v>
      </c>
    </row>
    <row r="6591" spans="1:8" x14ac:dyDescent="0.3">
      <c r="A6591" t="s">
        <v>14761</v>
      </c>
      <c r="B6591" t="s">
        <v>26951</v>
      </c>
      <c r="C6591" t="s">
        <v>16742</v>
      </c>
      <c r="D6591" t="s">
        <v>16741</v>
      </c>
      <c r="E6591" s="2" t="s">
        <v>418</v>
      </c>
      <c r="F6591" t="s">
        <v>5630</v>
      </c>
      <c r="G6591" t="str">
        <f>HYPERLINK("http://www.woodkorea.co.kr/news/articleView.html?idxno=29090")</f>
        <v>http://www.woodkorea.co.kr/news/articleView.html?idxno=29090</v>
      </c>
      <c r="H6591">
        <v>0.4</v>
      </c>
    </row>
    <row r="6592" spans="1:8" x14ac:dyDescent="0.3">
      <c r="A6592" t="s">
        <v>14761</v>
      </c>
      <c r="B6592" t="s">
        <v>26951</v>
      </c>
      <c r="C6592" t="s">
        <v>16745</v>
      </c>
      <c r="D6592" t="s">
        <v>16744</v>
      </c>
      <c r="E6592" s="2" t="s">
        <v>418</v>
      </c>
      <c r="F6592" t="s">
        <v>16743</v>
      </c>
      <c r="G6592" t="str">
        <f>HYPERLINK("http://www.veritas-a.com/news/articleView.html?idxno=100151")</f>
        <v>http://www.veritas-a.com/news/articleView.html?idxno=100151</v>
      </c>
      <c r="H6592">
        <v>0.32300000000000001</v>
      </c>
    </row>
    <row r="6593" spans="1:8" x14ac:dyDescent="0.3">
      <c r="A6593" t="s">
        <v>14761</v>
      </c>
      <c r="B6593" t="s">
        <v>26951</v>
      </c>
      <c r="C6593" t="s">
        <v>16747</v>
      </c>
      <c r="D6593" t="s">
        <v>16746</v>
      </c>
      <c r="E6593" s="2" t="s">
        <v>418</v>
      </c>
      <c r="F6593" t="s">
        <v>7621</v>
      </c>
      <c r="G6593" t="str">
        <f>HYPERLINK("https://www.apnews.kr/news/articleView.html?idxno=3029960")</f>
        <v>https://www.apnews.kr/news/articleView.html?idxno=3029960</v>
      </c>
      <c r="H6593">
        <v>0.249</v>
      </c>
    </row>
    <row r="6594" spans="1:8" x14ac:dyDescent="0.3">
      <c r="A6594" t="s">
        <v>14761</v>
      </c>
      <c r="B6594" t="s">
        <v>26951</v>
      </c>
      <c r="C6594" t="s">
        <v>16750</v>
      </c>
      <c r="D6594" t="s">
        <v>16749</v>
      </c>
      <c r="E6594" s="2" t="s">
        <v>418</v>
      </c>
      <c r="F6594" t="s">
        <v>16748</v>
      </c>
      <c r="G6594" t="str">
        <f>HYPERLINK("https://www.huffingtonpost.kr/news/articleView.html?idxno=203948")</f>
        <v>https://www.huffingtonpost.kr/news/articleView.html?idxno=203948</v>
      </c>
      <c r="H6594">
        <v>0.58599999999999997</v>
      </c>
    </row>
    <row r="6595" spans="1:8" x14ac:dyDescent="0.3">
      <c r="A6595" t="s">
        <v>14761</v>
      </c>
      <c r="B6595" t="s">
        <v>26951</v>
      </c>
      <c r="C6595" t="s">
        <v>16752</v>
      </c>
      <c r="D6595" t="s">
        <v>16751</v>
      </c>
      <c r="E6595" s="2" t="s">
        <v>418</v>
      </c>
      <c r="F6595" t="s">
        <v>7635</v>
      </c>
      <c r="G6595" t="str">
        <f>HYPERLINK("https://www.apnews.kr/news/articleView.html?idxno=3028169")</f>
        <v>https://www.apnews.kr/news/articleView.html?idxno=3028169</v>
      </c>
      <c r="H6595">
        <v>0.23799999999999999</v>
      </c>
    </row>
    <row r="6596" spans="1:8" x14ac:dyDescent="0.3">
      <c r="A6596" t="s">
        <v>14761</v>
      </c>
      <c r="B6596" t="s">
        <v>26951</v>
      </c>
      <c r="C6596" t="s">
        <v>16754</v>
      </c>
      <c r="D6596" t="s">
        <v>16753</v>
      </c>
      <c r="E6596" s="2" t="s">
        <v>418</v>
      </c>
      <c r="F6596" t="s">
        <v>10235</v>
      </c>
      <c r="G6596" t="str">
        <f>HYPERLINK("https://www.jemin.com/news/articleView.html?idxno=815572")</f>
        <v>https://www.jemin.com/news/articleView.html?idxno=815572</v>
      </c>
      <c r="H6596">
        <v>0.64</v>
      </c>
    </row>
    <row r="6597" spans="1:8" x14ac:dyDescent="0.3">
      <c r="A6597" t="s">
        <v>14761</v>
      </c>
      <c r="B6597" t="s">
        <v>26951</v>
      </c>
      <c r="C6597" t="s">
        <v>16757</v>
      </c>
      <c r="D6597" t="s">
        <v>16756</v>
      </c>
      <c r="E6597" s="2" t="s">
        <v>418</v>
      </c>
      <c r="F6597" t="s">
        <v>16755</v>
      </c>
      <c r="G6597" t="str">
        <f>HYPERLINK("https://n.news.naver.com/mnews/article/016/0002492597?sid=102")</f>
        <v>https://n.news.naver.com/mnews/article/016/0002492597?sid=102</v>
      </c>
      <c r="H6597">
        <v>0.184</v>
      </c>
    </row>
    <row r="6598" spans="1:8" x14ac:dyDescent="0.3">
      <c r="A6598" t="s">
        <v>14761</v>
      </c>
      <c r="B6598" t="s">
        <v>26951</v>
      </c>
      <c r="C6598" t="s">
        <v>16759</v>
      </c>
      <c r="D6598" t="s">
        <v>16758</v>
      </c>
      <c r="E6598" s="2" t="s">
        <v>418</v>
      </c>
      <c r="F6598" t="s">
        <v>8165</v>
      </c>
      <c r="G6598" t="str">
        <f>HYPERLINK("https://n.news.naver.com/mnews/article/030/0001957482?sid=105")</f>
        <v>https://n.news.naver.com/mnews/article/030/0001957482?sid=105</v>
      </c>
      <c r="H6598">
        <v>0.23899999999999999</v>
      </c>
    </row>
    <row r="6599" spans="1:8" x14ac:dyDescent="0.3">
      <c r="A6599" t="s">
        <v>14761</v>
      </c>
      <c r="B6599" t="s">
        <v>26951</v>
      </c>
      <c r="C6599" t="s">
        <v>16761</v>
      </c>
      <c r="D6599" t="s">
        <v>16760</v>
      </c>
      <c r="E6599" s="2" t="s">
        <v>418</v>
      </c>
      <c r="F6599" t="s">
        <v>12458</v>
      </c>
      <c r="G6599" t="str">
        <f>HYPERLINK("https://www.greened.kr/news/articleView.html?idxno=327899")</f>
        <v>https://www.greened.kr/news/articleView.html?idxno=327899</v>
      </c>
      <c r="H6599">
        <v>0.55100000000000005</v>
      </c>
    </row>
    <row r="6600" spans="1:8" x14ac:dyDescent="0.3">
      <c r="A6600" t="s">
        <v>14761</v>
      </c>
      <c r="B6600" t="s">
        <v>26951</v>
      </c>
      <c r="C6600" t="s">
        <v>16763</v>
      </c>
      <c r="D6600" t="s">
        <v>16762</v>
      </c>
      <c r="E6600" s="2" t="s">
        <v>418</v>
      </c>
      <c r="F6600" t="s">
        <v>12458</v>
      </c>
      <c r="G6600" t="str">
        <f>HYPERLINK("https://www.etoday.co.kr/news/view/2481346")</f>
        <v>https://www.etoday.co.kr/news/view/2481346</v>
      </c>
      <c r="H6600">
        <v>0.35899999999999999</v>
      </c>
    </row>
    <row r="6601" spans="1:8" x14ac:dyDescent="0.3">
      <c r="A6601" t="s">
        <v>14761</v>
      </c>
      <c r="B6601" t="s">
        <v>26951</v>
      </c>
      <c r="C6601" t="s">
        <v>16765</v>
      </c>
      <c r="D6601" t="s">
        <v>16764</v>
      </c>
      <c r="E6601" s="2" t="s">
        <v>418</v>
      </c>
      <c r="F6601" t="s">
        <v>12458</v>
      </c>
      <c r="G6601" t="str">
        <f>HYPERLINK("https://www.lecturernews.com/news/articleView.html?idxno=180528")</f>
        <v>https://www.lecturernews.com/news/articleView.html?idxno=180528</v>
      </c>
      <c r="H6601">
        <v>0.59399999999999997</v>
      </c>
    </row>
    <row r="6602" spans="1:8" x14ac:dyDescent="0.3">
      <c r="A6602" t="s">
        <v>14761</v>
      </c>
      <c r="B6602" t="s">
        <v>26951</v>
      </c>
      <c r="C6602" t="s">
        <v>16767</v>
      </c>
      <c r="D6602" t="s">
        <v>16766</v>
      </c>
      <c r="E6602" s="2" t="s">
        <v>418</v>
      </c>
      <c r="F6602" t="s">
        <v>12458</v>
      </c>
      <c r="G6602" t="str">
        <f>HYPERLINK("https://www.lecturernews.com/news/articleView.html?idxno=180528")</f>
        <v>https://www.lecturernews.com/news/articleView.html?idxno=180528</v>
      </c>
      <c r="H6602">
        <v>0.52900000000000003</v>
      </c>
    </row>
    <row r="6603" spans="1:8" x14ac:dyDescent="0.3">
      <c r="A6603" t="s">
        <v>14761</v>
      </c>
      <c r="B6603" t="s">
        <v>26951</v>
      </c>
      <c r="C6603" t="s">
        <v>16769</v>
      </c>
      <c r="D6603" t="s">
        <v>16768</v>
      </c>
      <c r="E6603" s="2" t="s">
        <v>418</v>
      </c>
      <c r="F6603" t="s">
        <v>4119</v>
      </c>
      <c r="G6603" t="str">
        <f>HYPERLINK("https://www.lecturernews.com/news/articleView.html?idxno=180528")</f>
        <v>https://www.lecturernews.com/news/articleView.html?idxno=180528</v>
      </c>
      <c r="H6603">
        <v>0.55200000000000005</v>
      </c>
    </row>
    <row r="6604" spans="1:8" x14ac:dyDescent="0.3">
      <c r="A6604" t="s">
        <v>14761</v>
      </c>
      <c r="B6604" t="s">
        <v>26951</v>
      </c>
      <c r="C6604" t="s">
        <v>16771</v>
      </c>
      <c r="D6604" t="s">
        <v>16770</v>
      </c>
      <c r="E6604" s="2" t="s">
        <v>418</v>
      </c>
      <c r="F6604" t="s">
        <v>4119</v>
      </c>
      <c r="G6604" t="str">
        <f>HYPERLINK("https://sports.hankooki.com/news/articleView.html?idxno=6900065")</f>
        <v>https://sports.hankooki.com/news/articleView.html?idxno=6900065</v>
      </c>
      <c r="H6604">
        <v>0.495</v>
      </c>
    </row>
    <row r="6605" spans="1:8" x14ac:dyDescent="0.3">
      <c r="A6605" t="s">
        <v>14761</v>
      </c>
      <c r="B6605" t="s">
        <v>26951</v>
      </c>
      <c r="C6605" t="s">
        <v>16773</v>
      </c>
      <c r="D6605" t="s">
        <v>16772</v>
      </c>
      <c r="E6605" s="2" t="s">
        <v>418</v>
      </c>
      <c r="F6605" t="s">
        <v>15722</v>
      </c>
      <c r="G6605" t="str">
        <f>HYPERLINK("https://www.dnews.co.kr/uhtml/view.jsp?idxno=202505220952217970192")</f>
        <v>https://www.dnews.co.kr/uhtml/view.jsp?idxno=202505220952217970192</v>
      </c>
      <c r="H6605">
        <v>0.83899999999999997</v>
      </c>
    </row>
    <row r="6606" spans="1:8" x14ac:dyDescent="0.3">
      <c r="A6606" t="s">
        <v>14761</v>
      </c>
      <c r="B6606" t="s">
        <v>26951</v>
      </c>
      <c r="C6606" t="s">
        <v>16775</v>
      </c>
      <c r="D6606" t="s">
        <v>16774</v>
      </c>
      <c r="E6606" s="2" t="s">
        <v>418</v>
      </c>
      <c r="F6606" t="s">
        <v>8165</v>
      </c>
      <c r="G6606" t="str">
        <f>HYPERLINK("https://sports.hankooki.com/news/articleView.html?idxno=6900065")</f>
        <v>https://sports.hankooki.com/news/articleView.html?idxno=6900065</v>
      </c>
      <c r="H6606">
        <v>0.51500000000000001</v>
      </c>
    </row>
    <row r="6607" spans="1:8" x14ac:dyDescent="0.3">
      <c r="A6607" t="s">
        <v>14761</v>
      </c>
      <c r="B6607" t="s">
        <v>26951</v>
      </c>
      <c r="C6607" t="s">
        <v>16778</v>
      </c>
      <c r="D6607" t="s">
        <v>16777</v>
      </c>
      <c r="E6607" s="2" t="s">
        <v>418</v>
      </c>
      <c r="F6607" t="s">
        <v>3235</v>
      </c>
      <c r="G6607" t="str">
        <f>HYPERLINK("https://www.joongangenews.com/news/articleView.html?idxno=424915")</f>
        <v>https://www.joongangenews.com/news/articleView.html?idxno=424915</v>
      </c>
      <c r="H6607">
        <v>0.32300000000000001</v>
      </c>
    </row>
    <row r="6608" spans="1:8" x14ac:dyDescent="0.3">
      <c r="A6608" t="s">
        <v>14761</v>
      </c>
      <c r="B6608" t="s">
        <v>26951</v>
      </c>
      <c r="C6608" t="s">
        <v>16780</v>
      </c>
      <c r="D6608" t="s">
        <v>16779</v>
      </c>
      <c r="E6608" s="2" t="s">
        <v>418</v>
      </c>
      <c r="F6608" t="s">
        <v>15583</v>
      </c>
      <c r="G6608" t="str">
        <f>HYPERLINK("https://www.newscj.com/news/articleView.html?idxno=3287495")</f>
        <v>https://www.newscj.com/news/articleView.html?idxno=3287495</v>
      </c>
      <c r="H6608">
        <v>0.55900000000000005</v>
      </c>
    </row>
    <row r="6609" spans="1:8" x14ac:dyDescent="0.3">
      <c r="A6609" t="s">
        <v>14761</v>
      </c>
      <c r="B6609" t="s">
        <v>26951</v>
      </c>
      <c r="C6609" t="s">
        <v>16783</v>
      </c>
      <c r="D6609" t="s">
        <v>16782</v>
      </c>
      <c r="E6609" s="2" t="s">
        <v>267</v>
      </c>
      <c r="F6609" t="s">
        <v>16781</v>
      </c>
      <c r="G6609" t="str">
        <f>HYPERLINK("http://www.goodkyung.com/news/articleView.html?idxno=222532")</f>
        <v>http://www.goodkyung.com/news/articleView.html?idxno=222532</v>
      </c>
      <c r="H6609">
        <v>0.255</v>
      </c>
    </row>
    <row r="6610" spans="1:8" x14ac:dyDescent="0.3">
      <c r="A6610" t="s">
        <v>14761</v>
      </c>
      <c r="B6610" t="s">
        <v>26951</v>
      </c>
      <c r="C6610" t="s">
        <v>16786</v>
      </c>
      <c r="D6610" t="s">
        <v>16785</v>
      </c>
      <c r="E6610" s="2" t="s">
        <v>267</v>
      </c>
      <c r="F6610" t="s">
        <v>16784</v>
      </c>
      <c r="G6610" t="str">
        <f>HYPERLINK("http://www.pdjournal.com/news/articleView.html?idxno=62456")</f>
        <v>http://www.pdjournal.com/news/articleView.html?idxno=62456</v>
      </c>
      <c r="H6610">
        <v>0.371</v>
      </c>
    </row>
    <row r="6611" spans="1:8" x14ac:dyDescent="0.3">
      <c r="A6611" t="s">
        <v>14761</v>
      </c>
      <c r="B6611" t="s">
        <v>26951</v>
      </c>
      <c r="C6611" t="s">
        <v>16789</v>
      </c>
      <c r="D6611" t="s">
        <v>16788</v>
      </c>
      <c r="E6611" s="2" t="s">
        <v>267</v>
      </c>
      <c r="F6611" t="s">
        <v>16787</v>
      </c>
      <c r="G6611" t="str">
        <f>HYPERLINK("http://www.press9.kr/news/articleView.html?idxno=64364")</f>
        <v>http://www.press9.kr/news/articleView.html?idxno=64364</v>
      </c>
      <c r="H6611">
        <v>0.35199999999999998</v>
      </c>
    </row>
    <row r="6612" spans="1:8" x14ac:dyDescent="0.3">
      <c r="A6612" t="s">
        <v>14761</v>
      </c>
      <c r="B6612" t="s">
        <v>26951</v>
      </c>
      <c r="C6612" t="s">
        <v>16791</v>
      </c>
      <c r="D6612" t="s">
        <v>16790</v>
      </c>
      <c r="E6612" s="2" t="s">
        <v>267</v>
      </c>
      <c r="F6612" t="s">
        <v>10172</v>
      </c>
      <c r="G6612" t="str">
        <f>HYPERLINK("http://www.ccdailynews.com/news/articleView.html?idxno=761032")</f>
        <v>http://www.ccdailynews.com/news/articleView.html?idxno=761032</v>
      </c>
      <c r="H6612">
        <v>0.39200000000000002</v>
      </c>
    </row>
    <row r="6613" spans="1:8" x14ac:dyDescent="0.3">
      <c r="A6613" t="s">
        <v>14761</v>
      </c>
      <c r="B6613" t="s">
        <v>26951</v>
      </c>
      <c r="C6613" t="s">
        <v>16793</v>
      </c>
      <c r="D6613" t="s">
        <v>16792</v>
      </c>
      <c r="E6613" s="2" t="s">
        <v>267</v>
      </c>
      <c r="F6613" t="s">
        <v>10565</v>
      </c>
      <c r="G6613" t="str">
        <f>HYPERLINK("http://www.sisaweek.com/news/curationView.html?idxno=146451")</f>
        <v>http://www.sisaweek.com/news/curationView.html?idxno=146451</v>
      </c>
      <c r="H6613">
        <v>0.46700000000000003</v>
      </c>
    </row>
    <row r="6614" spans="1:8" x14ac:dyDescent="0.3">
      <c r="A6614" t="s">
        <v>14761</v>
      </c>
      <c r="B6614" t="s">
        <v>26951</v>
      </c>
      <c r="C6614" t="s">
        <v>16795</v>
      </c>
      <c r="D6614" t="s">
        <v>16794</v>
      </c>
      <c r="E6614" s="2" t="s">
        <v>267</v>
      </c>
      <c r="F6614" t="s">
        <v>6007</v>
      </c>
      <c r="G6614" t="str">
        <f>HYPERLINK("https://www.gameshot.net/common/con_view.php?code=GA68578aa1ebf0d")</f>
        <v>https://www.gameshot.net/common/con_view.php?code=GA68578aa1ebf0d</v>
      </c>
      <c r="H6614">
        <v>0.374</v>
      </c>
    </row>
    <row r="6615" spans="1:8" x14ac:dyDescent="0.3">
      <c r="A6615" t="s">
        <v>14761</v>
      </c>
      <c r="B6615" t="s">
        <v>26951</v>
      </c>
      <c r="C6615" t="s">
        <v>16798</v>
      </c>
      <c r="D6615" t="s">
        <v>16797</v>
      </c>
      <c r="E6615" s="2" t="s">
        <v>267</v>
      </c>
      <c r="F6615" t="s">
        <v>16796</v>
      </c>
      <c r="G6615" t="str">
        <f>HYPERLINK("https://www.foodneconomy.com/news/articleView.html?idxno=306539")</f>
        <v>https://www.foodneconomy.com/news/articleView.html?idxno=306539</v>
      </c>
      <c r="H6615">
        <v>0.314</v>
      </c>
    </row>
    <row r="6616" spans="1:8" x14ac:dyDescent="0.3">
      <c r="A6616" t="s">
        <v>14761</v>
      </c>
      <c r="B6616" t="s">
        <v>26951</v>
      </c>
      <c r="C6616" t="s">
        <v>16800</v>
      </c>
      <c r="D6616" t="s">
        <v>16799</v>
      </c>
      <c r="E6616" s="2" t="s">
        <v>267</v>
      </c>
      <c r="F6616" t="s">
        <v>9738</v>
      </c>
      <c r="G6616" t="str">
        <f>HYPERLINK("http://interview365.com/client/news/view.asp?sidx=3664")</f>
        <v>http://interview365.com/client/news/view.asp?sidx=3664</v>
      </c>
      <c r="H6616">
        <v>0.51700000000000002</v>
      </c>
    </row>
    <row r="6617" spans="1:8" x14ac:dyDescent="0.3">
      <c r="A6617" t="s">
        <v>14761</v>
      </c>
      <c r="B6617" t="s">
        <v>26951</v>
      </c>
      <c r="C6617" t="s">
        <v>16802</v>
      </c>
      <c r="D6617" t="s">
        <v>16801</v>
      </c>
      <c r="E6617" s="2" t="s">
        <v>267</v>
      </c>
      <c r="F6617" t="s">
        <v>7034</v>
      </c>
      <c r="G6617" t="str">
        <f>HYPERLINK("https://n.news.naver.com/mnews/article/055/0001271236?sid=100")</f>
        <v>https://n.news.naver.com/mnews/article/055/0001271236?sid=100</v>
      </c>
      <c r="H6617">
        <v>0.22</v>
      </c>
    </row>
    <row r="6618" spans="1:8" x14ac:dyDescent="0.3">
      <c r="A6618" t="s">
        <v>14761</v>
      </c>
      <c r="B6618" t="s">
        <v>26951</v>
      </c>
      <c r="C6618" t="s">
        <v>16805</v>
      </c>
      <c r="D6618" t="s">
        <v>16804</v>
      </c>
      <c r="E6618" s="2" t="s">
        <v>267</v>
      </c>
      <c r="F6618" t="s">
        <v>16803</v>
      </c>
      <c r="G6618" t="str">
        <f>HYPERLINK("https://www.getnews.co.kr/news/articleView.html?idxno=818773")</f>
        <v>https://www.getnews.co.kr/news/articleView.html?idxno=818773</v>
      </c>
      <c r="H6618">
        <v>0.39</v>
      </c>
    </row>
    <row r="6619" spans="1:8" x14ac:dyDescent="0.3">
      <c r="A6619" t="s">
        <v>14761</v>
      </c>
      <c r="B6619" t="s">
        <v>26951</v>
      </c>
      <c r="C6619" t="s">
        <v>16807</v>
      </c>
      <c r="D6619" t="s">
        <v>16806</v>
      </c>
      <c r="E6619" s="2" t="s">
        <v>267</v>
      </c>
      <c r="F6619" t="s">
        <v>6486</v>
      </c>
      <c r="G6619" t="str">
        <f>HYPERLINK("https://n.news.naver.com/mnews/article/055/0000883633?sid=104")</f>
        <v>https://n.news.naver.com/mnews/article/055/0000883633?sid=104</v>
      </c>
      <c r="H6619">
        <v>0.24399999999999999</v>
      </c>
    </row>
    <row r="6620" spans="1:8" x14ac:dyDescent="0.3">
      <c r="A6620" t="s">
        <v>14761</v>
      </c>
      <c r="B6620" t="s">
        <v>26951</v>
      </c>
      <c r="C6620" t="s">
        <v>16810</v>
      </c>
      <c r="D6620" t="s">
        <v>16809</v>
      </c>
      <c r="E6620" s="2" t="s">
        <v>267</v>
      </c>
      <c r="F6620" t="s">
        <v>16808</v>
      </c>
      <c r="G6620" t="str">
        <f>HYPERLINK("https://www.widedaily.com/news/articleView.html?idxno=136270")</f>
        <v>https://www.widedaily.com/news/articleView.html?idxno=136270</v>
      </c>
      <c r="H6620">
        <v>0.50600000000000001</v>
      </c>
    </row>
    <row r="6621" spans="1:8" x14ac:dyDescent="0.3">
      <c r="A6621" t="s">
        <v>14761</v>
      </c>
      <c r="B6621" t="s">
        <v>26951</v>
      </c>
      <c r="C6621" t="s">
        <v>16813</v>
      </c>
      <c r="D6621" t="s">
        <v>16812</v>
      </c>
      <c r="E6621" s="2" t="s">
        <v>267</v>
      </c>
      <c r="F6621" t="s">
        <v>16811</v>
      </c>
      <c r="G6621" t="str">
        <f>HYPERLINK("http://www.newsroad.co.kr/news/articleView.html?idxno=32205")</f>
        <v>http://www.newsroad.co.kr/news/articleView.html?idxno=32205</v>
      </c>
      <c r="H6621">
        <v>0.63800000000000001</v>
      </c>
    </row>
    <row r="6622" spans="1:8" x14ac:dyDescent="0.3">
      <c r="A6622" t="s">
        <v>14761</v>
      </c>
      <c r="B6622" t="s">
        <v>26951</v>
      </c>
      <c r="C6622" t="s">
        <v>16816</v>
      </c>
      <c r="D6622" t="s">
        <v>16815</v>
      </c>
      <c r="E6622" s="2" t="s">
        <v>267</v>
      </c>
      <c r="F6622" t="s">
        <v>16814</v>
      </c>
      <c r="G6622" t="str">
        <f>HYPERLINK("http://www.breaknews.com/1126895")</f>
        <v>http://www.breaknews.com/1126895</v>
      </c>
      <c r="H6622">
        <v>0.30599999999999999</v>
      </c>
    </row>
    <row r="6623" spans="1:8" x14ac:dyDescent="0.3">
      <c r="A6623" t="s">
        <v>14761</v>
      </c>
      <c r="B6623" t="s">
        <v>26951</v>
      </c>
      <c r="C6623" t="s">
        <v>16819</v>
      </c>
      <c r="D6623" t="s">
        <v>16818</v>
      </c>
      <c r="E6623" s="2" t="s">
        <v>267</v>
      </c>
      <c r="F6623" t="s">
        <v>9944</v>
      </c>
      <c r="G6623" t="str">
        <f>HYPERLINK("https://www.nc.press/news/articleView.html?idxno=568633")</f>
        <v>https://www.nc.press/news/articleView.html?idxno=568633</v>
      </c>
      <c r="H6623">
        <v>0.41</v>
      </c>
    </row>
    <row r="6624" spans="1:8" x14ac:dyDescent="0.3">
      <c r="A6624" t="s">
        <v>14761</v>
      </c>
      <c r="B6624" t="s">
        <v>26951</v>
      </c>
      <c r="C6624" t="s">
        <v>16822</v>
      </c>
      <c r="D6624" t="s">
        <v>16821</v>
      </c>
      <c r="E6624" s="2" t="s">
        <v>267</v>
      </c>
      <c r="F6624" t="s">
        <v>16820</v>
      </c>
      <c r="G6624" t="str">
        <f>HYPERLINK("https://www.etoday.co.kr/news/view/2480735")</f>
        <v>https://www.etoday.co.kr/news/view/2480735</v>
      </c>
      <c r="H6624">
        <v>0.436</v>
      </c>
    </row>
    <row r="6625" spans="1:8" x14ac:dyDescent="0.3">
      <c r="A6625" t="s">
        <v>14761</v>
      </c>
      <c r="B6625" t="s">
        <v>26951</v>
      </c>
      <c r="C6625" t="s">
        <v>16824</v>
      </c>
      <c r="D6625" t="s">
        <v>16823</v>
      </c>
      <c r="E6625" s="2" t="s">
        <v>267</v>
      </c>
      <c r="F6625" t="s">
        <v>14865</v>
      </c>
      <c r="G6625" t="str">
        <f>HYPERLINK("https://sports.hankooki.com/news/articleView.html?idxno=6902043")</f>
        <v>https://sports.hankooki.com/news/articleView.html?idxno=6902043</v>
      </c>
      <c r="H6625">
        <v>0.497</v>
      </c>
    </row>
    <row r="6626" spans="1:8" x14ac:dyDescent="0.3">
      <c r="A6626" t="s">
        <v>14761</v>
      </c>
      <c r="B6626" t="s">
        <v>26951</v>
      </c>
      <c r="C6626" t="s">
        <v>16826</v>
      </c>
      <c r="D6626" t="s">
        <v>16825</v>
      </c>
      <c r="E6626" s="2" t="s">
        <v>267</v>
      </c>
      <c r="F6626" t="s">
        <v>3235</v>
      </c>
      <c r="G6626" t="str">
        <f>HYPERLINK("https://www.joongangenews.com/news/articleView.html?idxno=424942")</f>
        <v>https://www.joongangenews.com/news/articleView.html?idxno=424942</v>
      </c>
      <c r="H6626">
        <v>0.58299999999999996</v>
      </c>
    </row>
    <row r="6627" spans="1:8" x14ac:dyDescent="0.3">
      <c r="A6627" t="s">
        <v>14761</v>
      </c>
      <c r="B6627" t="s">
        <v>26951</v>
      </c>
      <c r="C6627" t="s">
        <v>16829</v>
      </c>
      <c r="D6627" t="s">
        <v>16828</v>
      </c>
      <c r="E6627" s="2" t="s">
        <v>267</v>
      </c>
      <c r="F6627" t="s">
        <v>16827</v>
      </c>
      <c r="G6627" t="str">
        <f>HYPERLINK("https://n.news.naver.com/mnews/article/308/0000016532?sid=102")</f>
        <v>https://n.news.naver.com/mnews/article/308/0000016532?sid=102</v>
      </c>
      <c r="H6627">
        <v>0.36799999999999999</v>
      </c>
    </row>
    <row r="6628" spans="1:8" x14ac:dyDescent="0.3">
      <c r="A6628" t="s">
        <v>14761</v>
      </c>
      <c r="B6628" t="s">
        <v>26951</v>
      </c>
      <c r="C6628" t="s">
        <v>16831</v>
      </c>
      <c r="D6628" t="s">
        <v>16830</v>
      </c>
      <c r="E6628" s="2" t="s">
        <v>267</v>
      </c>
      <c r="F6628" t="s">
        <v>857</v>
      </c>
      <c r="G6628" t="str">
        <f>HYPERLINK("https://n.news.naver.com/mnews/article/008/0005210830?sid=103")</f>
        <v>https://n.news.naver.com/mnews/article/008/0005210830?sid=103</v>
      </c>
      <c r="H6628">
        <v>0.29899999999999999</v>
      </c>
    </row>
    <row r="6629" spans="1:8" x14ac:dyDescent="0.3">
      <c r="A6629" t="s">
        <v>14761</v>
      </c>
      <c r="B6629" t="s">
        <v>26951</v>
      </c>
      <c r="C6629" t="s">
        <v>16834</v>
      </c>
      <c r="D6629" t="s">
        <v>16833</v>
      </c>
      <c r="E6629" s="2" t="s">
        <v>267</v>
      </c>
      <c r="F6629" t="s">
        <v>16832</v>
      </c>
      <c r="G6629" t="str">
        <f>HYPERLINK("http://www.jndn.com/article.php?aid=1750836454412274189")</f>
        <v>http://www.jndn.com/article.php?aid=1750836454412274189</v>
      </c>
      <c r="H6629">
        <v>9.7000000000000003E-2</v>
      </c>
    </row>
    <row r="6630" spans="1:8" x14ac:dyDescent="0.3">
      <c r="A6630" t="s">
        <v>14761</v>
      </c>
      <c r="B6630" t="s">
        <v>26951</v>
      </c>
      <c r="C6630" t="s">
        <v>16836</v>
      </c>
      <c r="D6630" t="s">
        <v>16835</v>
      </c>
      <c r="E6630" s="2" t="s">
        <v>267</v>
      </c>
      <c r="F6630" t="s">
        <v>13678</v>
      </c>
      <c r="G6630" t="str">
        <f>HYPERLINK("https://www.ftimes.kr/news/articleView.html?idxno=31502")</f>
        <v>https://www.ftimes.kr/news/articleView.html?idxno=31502</v>
      </c>
      <c r="H6630">
        <v>0.65600000000000003</v>
      </c>
    </row>
    <row r="6631" spans="1:8" x14ac:dyDescent="0.3">
      <c r="A6631" t="s">
        <v>14761</v>
      </c>
      <c r="B6631" t="s">
        <v>26951</v>
      </c>
      <c r="C6631" t="s">
        <v>16838</v>
      </c>
      <c r="D6631" t="s">
        <v>16837</v>
      </c>
      <c r="E6631" s="2" t="s">
        <v>267</v>
      </c>
      <c r="F6631" t="s">
        <v>14932</v>
      </c>
      <c r="G6631" t="str">
        <f>HYPERLINK("https://www.newscj.com/news/articleView.html?idxno=3284979")</f>
        <v>https://www.newscj.com/news/articleView.html?idxno=3284979</v>
      </c>
      <c r="H6631">
        <v>0.439</v>
      </c>
    </row>
    <row r="6632" spans="1:8" x14ac:dyDescent="0.3">
      <c r="A6632" t="s">
        <v>14761</v>
      </c>
      <c r="B6632" t="s">
        <v>26951</v>
      </c>
      <c r="C6632" t="s">
        <v>16840</v>
      </c>
      <c r="D6632" t="s">
        <v>16839</v>
      </c>
      <c r="E6632" s="2" t="s">
        <v>267</v>
      </c>
      <c r="F6632" t="s">
        <v>9944</v>
      </c>
      <c r="G6632" t="str">
        <f>HYPERLINK("http://ch.yes24.com/Article/View/25299")</f>
        <v>http://ch.yes24.com/Article/View/25299</v>
      </c>
      <c r="H6632">
        <v>0.54700000000000004</v>
      </c>
    </row>
    <row r="6633" spans="1:8" x14ac:dyDescent="0.3">
      <c r="A6633" t="s">
        <v>14761</v>
      </c>
      <c r="B6633" t="s">
        <v>26951</v>
      </c>
      <c r="C6633" t="s">
        <v>16842</v>
      </c>
      <c r="D6633" t="s">
        <v>16841</v>
      </c>
      <c r="E6633" s="2" t="s">
        <v>267</v>
      </c>
      <c r="F6633" t="s">
        <v>10506</v>
      </c>
      <c r="G6633" t="str">
        <f>HYPERLINK("http://www.metroseoul.co.kr/news/newsview?newscd=2015030200074")</f>
        <v>http://www.metroseoul.co.kr/news/newsview?newscd=2015030200074</v>
      </c>
      <c r="H6633">
        <v>5.5E-2</v>
      </c>
    </row>
    <row r="6634" spans="1:8" x14ac:dyDescent="0.3">
      <c r="A6634" t="s">
        <v>14761</v>
      </c>
      <c r="B6634" t="s">
        <v>26951</v>
      </c>
      <c r="C6634" t="s">
        <v>16846</v>
      </c>
      <c r="D6634" t="s">
        <v>16845</v>
      </c>
      <c r="E6634" s="2" t="s">
        <v>267</v>
      </c>
      <c r="F6634" t="s">
        <v>16844</v>
      </c>
      <c r="G6634" t="str">
        <f>HYPERLINK("http://www.breaknews.com/1127320")</f>
        <v>http://www.breaknews.com/1127320</v>
      </c>
      <c r="H6634">
        <v>0.251</v>
      </c>
    </row>
    <row r="6635" spans="1:8" x14ac:dyDescent="0.3">
      <c r="A6635" t="s">
        <v>14761</v>
      </c>
      <c r="B6635" t="s">
        <v>26951</v>
      </c>
      <c r="C6635" t="s">
        <v>16849</v>
      </c>
      <c r="D6635" t="s">
        <v>16848</v>
      </c>
      <c r="E6635" s="2" t="s">
        <v>267</v>
      </c>
      <c r="F6635" t="s">
        <v>16847</v>
      </c>
      <c r="G6635" t="str">
        <f>HYPERLINK("https://www.jjan.kr/article/20220628580150")</f>
        <v>https://www.jjan.kr/article/20220628580150</v>
      </c>
      <c r="H6635">
        <v>0.627</v>
      </c>
    </row>
    <row r="6636" spans="1:8" x14ac:dyDescent="0.3">
      <c r="A6636" t="s">
        <v>14761</v>
      </c>
      <c r="B6636" t="s">
        <v>26951</v>
      </c>
      <c r="C6636" t="s">
        <v>16852</v>
      </c>
      <c r="D6636" t="s">
        <v>16851</v>
      </c>
      <c r="E6636" s="2" t="s">
        <v>267</v>
      </c>
      <c r="F6636" t="s">
        <v>16850</v>
      </c>
      <c r="G6636" t="str">
        <f>HYPERLINK("http://www.naeil.com/news_view/?id_art=472834")</f>
        <v>http://www.naeil.com/news_view/?id_art=472834</v>
      </c>
      <c r="H6636">
        <v>0.33400000000000002</v>
      </c>
    </row>
    <row r="6637" spans="1:8" x14ac:dyDescent="0.3">
      <c r="A6637" t="s">
        <v>14761</v>
      </c>
      <c r="B6637" t="s">
        <v>26951</v>
      </c>
      <c r="C6637" t="s">
        <v>13032</v>
      </c>
      <c r="D6637" t="s">
        <v>13031</v>
      </c>
      <c r="E6637" s="2" t="s">
        <v>267</v>
      </c>
      <c r="F6637" t="s">
        <v>9962</v>
      </c>
      <c r="G6637" t="str">
        <f>HYPERLINK("http://www.apsk.co.kr/news/articleView.html?idxno=14471")</f>
        <v>http://www.apsk.co.kr/news/articleView.html?idxno=14471</v>
      </c>
      <c r="H6637">
        <v>0.47299999999999998</v>
      </c>
    </row>
    <row r="6638" spans="1:8" x14ac:dyDescent="0.3">
      <c r="A6638" t="s">
        <v>14761</v>
      </c>
      <c r="B6638" t="s">
        <v>26951</v>
      </c>
      <c r="C6638" t="s">
        <v>16855</v>
      </c>
      <c r="D6638" t="s">
        <v>16854</v>
      </c>
      <c r="E6638" s="2" t="s">
        <v>267</v>
      </c>
      <c r="F6638" t="s">
        <v>16853</v>
      </c>
      <c r="G6638" t="str">
        <f>HYPERLINK("http://www.enewstoday.co.kr/news/articleView.html?idxno=2289222")</f>
        <v>http://www.enewstoday.co.kr/news/articleView.html?idxno=2289222</v>
      </c>
      <c r="H6638">
        <v>0.32100000000000001</v>
      </c>
    </row>
    <row r="6639" spans="1:8" x14ac:dyDescent="0.3">
      <c r="A6639" t="s">
        <v>14761</v>
      </c>
      <c r="B6639" t="s">
        <v>26951</v>
      </c>
      <c r="C6639" t="s">
        <v>16858</v>
      </c>
      <c r="D6639" t="s">
        <v>16857</v>
      </c>
      <c r="E6639" s="2" t="s">
        <v>267</v>
      </c>
      <c r="F6639" t="s">
        <v>16856</v>
      </c>
      <c r="G6639" t="str">
        <f>HYPERLINK("https://www.cnet.co.kr/view/?no=20250211111718")</f>
        <v>https://www.cnet.co.kr/view/?no=20250211111718</v>
      </c>
      <c r="H6639">
        <v>0.37</v>
      </c>
    </row>
    <row r="6640" spans="1:8" x14ac:dyDescent="0.3">
      <c r="A6640" t="s">
        <v>14761</v>
      </c>
      <c r="B6640" t="s">
        <v>26951</v>
      </c>
      <c r="C6640" t="s">
        <v>16861</v>
      </c>
      <c r="D6640" t="s">
        <v>16860</v>
      </c>
      <c r="E6640" s="2" t="s">
        <v>267</v>
      </c>
      <c r="F6640" t="s">
        <v>16859</v>
      </c>
      <c r="G6640" t="str">
        <f>HYPERLINK("https://n.news.naver.com/mnews/article/016/0000383774?sid=102")</f>
        <v>https://n.news.naver.com/mnews/article/016/0000383774?sid=102</v>
      </c>
      <c r="H6640">
        <v>0.191</v>
      </c>
    </row>
    <row r="6641" spans="1:8" x14ac:dyDescent="0.3">
      <c r="A6641" t="s">
        <v>14761</v>
      </c>
      <c r="B6641" t="s">
        <v>26951</v>
      </c>
      <c r="C6641" t="s">
        <v>16863</v>
      </c>
      <c r="D6641" t="s">
        <v>16862</v>
      </c>
      <c r="E6641" s="2" t="s">
        <v>267</v>
      </c>
      <c r="F6641" t="s">
        <v>13462</v>
      </c>
      <c r="G6641" t="str">
        <f>HYPERLINK("https://www.etoday.co.kr/news/view/2389137")</f>
        <v>https://www.etoday.co.kr/news/view/2389137</v>
      </c>
      <c r="H6641">
        <v>0.27500000000000002</v>
      </c>
    </row>
    <row r="6642" spans="1:8" x14ac:dyDescent="0.3">
      <c r="A6642" t="s">
        <v>14761</v>
      </c>
      <c r="B6642" t="s">
        <v>26951</v>
      </c>
      <c r="C6642" t="s">
        <v>16866</v>
      </c>
      <c r="D6642" t="s">
        <v>16865</v>
      </c>
      <c r="E6642" s="2" t="s">
        <v>267</v>
      </c>
      <c r="F6642" t="s">
        <v>16864</v>
      </c>
      <c r="G6642" t="str">
        <f>HYPERLINK("https://www.newspim.com/news/view/20241024000632")</f>
        <v>https://www.newspim.com/news/view/20241024000632</v>
      </c>
      <c r="H6642">
        <v>0.245</v>
      </c>
    </row>
    <row r="6643" spans="1:8" x14ac:dyDescent="0.3">
      <c r="A6643" t="s">
        <v>14761</v>
      </c>
      <c r="B6643" t="s">
        <v>26951</v>
      </c>
      <c r="C6643" t="s">
        <v>16869</v>
      </c>
      <c r="D6643" t="s">
        <v>16868</v>
      </c>
      <c r="E6643" s="2" t="s">
        <v>267</v>
      </c>
      <c r="F6643" t="s">
        <v>16867</v>
      </c>
      <c r="G6643" t="str">
        <f>HYPERLINK("https://www.itbiznews.com/news/articleView.html?idxno=103205")</f>
        <v>https://www.itbiznews.com/news/articleView.html?idxno=103205</v>
      </c>
      <c r="H6643">
        <v>0.40799999999999997</v>
      </c>
    </row>
    <row r="6644" spans="1:8" x14ac:dyDescent="0.3">
      <c r="A6644" t="s">
        <v>14761</v>
      </c>
      <c r="B6644" t="s">
        <v>26951</v>
      </c>
      <c r="C6644" t="s">
        <v>16872</v>
      </c>
      <c r="D6644" t="s">
        <v>16871</v>
      </c>
      <c r="E6644" s="2" t="s">
        <v>267</v>
      </c>
      <c r="F6644" t="s">
        <v>9922</v>
      </c>
      <c r="G6644" t="str">
        <f>HYPERLINK("http://www.samdailbo.com/news/articleView.html?idxno=199280")</f>
        <v>http://www.samdailbo.com/news/articleView.html?idxno=199280</v>
      </c>
      <c r="H6644">
        <v>0.70699999999999996</v>
      </c>
    </row>
    <row r="6645" spans="1:8" x14ac:dyDescent="0.3">
      <c r="A6645" t="s">
        <v>14761</v>
      </c>
      <c r="B6645" t="s">
        <v>26951</v>
      </c>
      <c r="C6645" t="s">
        <v>16874</v>
      </c>
      <c r="D6645" t="s">
        <v>16873</v>
      </c>
      <c r="E6645" s="2" t="s">
        <v>267</v>
      </c>
      <c r="F6645" t="s">
        <v>1098</v>
      </c>
      <c r="G6645" t="str">
        <f>HYPERLINK("https://www.newspim.com/news/view/20241210000031")</f>
        <v>https://www.newspim.com/news/view/20241210000031</v>
      </c>
      <c r="H6645">
        <v>0.44500000000000001</v>
      </c>
    </row>
    <row r="6646" spans="1:8" x14ac:dyDescent="0.3">
      <c r="A6646" t="s">
        <v>14761</v>
      </c>
      <c r="B6646" t="s">
        <v>26951</v>
      </c>
      <c r="C6646" t="s">
        <v>16876</v>
      </c>
      <c r="D6646" t="s">
        <v>16875</v>
      </c>
      <c r="E6646" s="2" t="s">
        <v>267</v>
      </c>
      <c r="F6646" t="s">
        <v>7580</v>
      </c>
      <c r="G6646" t="str">
        <f>HYPERLINK("https://m.entertain.naver.com/article/076/0002048197")</f>
        <v>https://m.entertain.naver.com/article/076/0002048197</v>
      </c>
      <c r="H6646">
        <v>0.45300000000000001</v>
      </c>
    </row>
    <row r="6647" spans="1:8" x14ac:dyDescent="0.3">
      <c r="A6647" t="s">
        <v>14761</v>
      </c>
      <c r="B6647" t="s">
        <v>26951</v>
      </c>
      <c r="C6647" t="s">
        <v>16878</v>
      </c>
      <c r="D6647" t="s">
        <v>16877</v>
      </c>
      <c r="E6647" s="2" t="s">
        <v>267</v>
      </c>
      <c r="F6647" t="s">
        <v>4467</v>
      </c>
      <c r="G6647" t="str">
        <f>HYPERLINK("http://www.naeil.com/news_view/?id_art=331729")</f>
        <v>http://www.naeil.com/news_view/?id_art=331729</v>
      </c>
      <c r="H6647">
        <v>0.45500000000000002</v>
      </c>
    </row>
    <row r="6648" spans="1:8" x14ac:dyDescent="0.3">
      <c r="A6648" t="s">
        <v>14761</v>
      </c>
      <c r="B6648" t="s">
        <v>26951</v>
      </c>
      <c r="C6648" t="s">
        <v>16880</v>
      </c>
      <c r="D6648" t="s">
        <v>16879</v>
      </c>
      <c r="E6648" s="2" t="s">
        <v>267</v>
      </c>
      <c r="F6648" t="s">
        <v>3420</v>
      </c>
      <c r="G6648" t="str">
        <f>HYPERLINK("https://n.news.naver.com/mnews/article/002/0002394032?sid=100")</f>
        <v>https://n.news.naver.com/mnews/article/002/0002394032?sid=100</v>
      </c>
      <c r="H6648">
        <v>0.29599999999999999</v>
      </c>
    </row>
    <row r="6649" spans="1:8" x14ac:dyDescent="0.3">
      <c r="A6649" t="s">
        <v>14761</v>
      </c>
      <c r="B6649" t="s">
        <v>26951</v>
      </c>
      <c r="C6649" t="s">
        <v>16883</v>
      </c>
      <c r="D6649" t="s">
        <v>16882</v>
      </c>
      <c r="E6649" s="2" t="s">
        <v>267</v>
      </c>
      <c r="F6649" t="s">
        <v>16881</v>
      </c>
      <c r="G6649" t="str">
        <f>HYPERLINK("https://n.news.naver.com/mnews/article/214/0001433557?sid=100")</f>
        <v>https://n.news.naver.com/mnews/article/214/0001433557?sid=100</v>
      </c>
      <c r="H6649">
        <v>0.20300000000000001</v>
      </c>
    </row>
    <row r="6650" spans="1:8" x14ac:dyDescent="0.3">
      <c r="A6650" t="s">
        <v>14761</v>
      </c>
      <c r="B6650" t="s">
        <v>26951</v>
      </c>
      <c r="C6650" t="s">
        <v>16885</v>
      </c>
      <c r="D6650" t="s">
        <v>16884</v>
      </c>
      <c r="E6650" s="2" t="s">
        <v>267</v>
      </c>
      <c r="F6650" t="s">
        <v>10111</v>
      </c>
      <c r="G6650" t="str">
        <f>HYPERLINK("https://www.jemin.com/news/articleView.html?idxno=817682")</f>
        <v>https://www.jemin.com/news/articleView.html?idxno=817682</v>
      </c>
      <c r="H6650">
        <v>0.16800000000000001</v>
      </c>
    </row>
    <row r="6651" spans="1:8" x14ac:dyDescent="0.3">
      <c r="A6651" t="s">
        <v>14761</v>
      </c>
      <c r="B6651" t="s">
        <v>26951</v>
      </c>
      <c r="C6651" t="s">
        <v>16888</v>
      </c>
      <c r="D6651" t="s">
        <v>16887</v>
      </c>
      <c r="E6651" s="2" t="s">
        <v>267</v>
      </c>
      <c r="F6651" t="s">
        <v>16886</v>
      </c>
      <c r="G6651" t="str">
        <f>HYPERLINK("https://www.apnews.kr/news/articleView.html?idxno=3028740")</f>
        <v>https://www.apnews.kr/news/articleView.html?idxno=3028740</v>
      </c>
      <c r="H6651">
        <v>0.41499999999999998</v>
      </c>
    </row>
    <row r="6652" spans="1:8" x14ac:dyDescent="0.3">
      <c r="A6652" t="s">
        <v>14761</v>
      </c>
      <c r="B6652" t="s">
        <v>26951</v>
      </c>
      <c r="C6652" t="s">
        <v>13056</v>
      </c>
      <c r="D6652" t="s">
        <v>13055</v>
      </c>
      <c r="E6652" s="2" t="s">
        <v>267</v>
      </c>
      <c r="F6652" t="s">
        <v>12310</v>
      </c>
      <c r="G6652" t="str">
        <f>HYPERLINK("https://www.kizmom.com/news/articleView.html?idxno=101865")</f>
        <v>https://www.kizmom.com/news/articleView.html?idxno=101865</v>
      </c>
      <c r="H6652">
        <v>0.41099999999999998</v>
      </c>
    </row>
    <row r="6653" spans="1:8" x14ac:dyDescent="0.3">
      <c r="A6653" t="s">
        <v>14761</v>
      </c>
      <c r="B6653" t="s">
        <v>26951</v>
      </c>
      <c r="C6653" t="s">
        <v>16890</v>
      </c>
      <c r="D6653" t="s">
        <v>16889</v>
      </c>
      <c r="E6653" s="2" t="s">
        <v>267</v>
      </c>
      <c r="F6653" t="s">
        <v>2517</v>
      </c>
      <c r="G6653" t="str">
        <f>HYPERLINK("https://n.news.naver.com/mnews/article/002/0002111956?sid=110")</f>
        <v>https://n.news.naver.com/mnews/article/002/0002111956?sid=110</v>
      </c>
      <c r="H6653">
        <v>0.20399999999999999</v>
      </c>
    </row>
    <row r="6654" spans="1:8" x14ac:dyDescent="0.3">
      <c r="A6654" t="s">
        <v>14761</v>
      </c>
      <c r="B6654" t="s">
        <v>26951</v>
      </c>
      <c r="C6654" t="s">
        <v>16892</v>
      </c>
      <c r="D6654" t="s">
        <v>16891</v>
      </c>
      <c r="E6654" s="2" t="s">
        <v>267</v>
      </c>
      <c r="F6654" t="s">
        <v>2517</v>
      </c>
      <c r="G6654" t="str">
        <f>HYPERLINK("https://www.mediajeju.com/news/articleView.html?idxno=358498")</f>
        <v>https://www.mediajeju.com/news/articleView.html?idxno=358498</v>
      </c>
      <c r="H6654">
        <v>0.436</v>
      </c>
    </row>
    <row r="6655" spans="1:8" x14ac:dyDescent="0.3">
      <c r="A6655" t="s">
        <v>14761</v>
      </c>
      <c r="B6655" t="s">
        <v>26951</v>
      </c>
      <c r="C6655" t="s">
        <v>16895</v>
      </c>
      <c r="D6655" t="s">
        <v>16894</v>
      </c>
      <c r="E6655" s="2" t="s">
        <v>267</v>
      </c>
      <c r="F6655" t="s">
        <v>16893</v>
      </c>
      <c r="G6655" t="str">
        <f>HYPERLINK("http://www.enewstoday.co.kr/news/articleView.html?idxno=1600956")</f>
        <v>http://www.enewstoday.co.kr/news/articleView.html?idxno=1600956</v>
      </c>
      <c r="H6655">
        <v>0.23699999999999999</v>
      </c>
    </row>
    <row r="6656" spans="1:8" x14ac:dyDescent="0.3">
      <c r="A6656" t="s">
        <v>14761</v>
      </c>
      <c r="B6656" t="s">
        <v>26951</v>
      </c>
      <c r="C6656" t="s">
        <v>16897</v>
      </c>
      <c r="D6656" t="s">
        <v>16896</v>
      </c>
      <c r="E6656" s="2" t="s">
        <v>267</v>
      </c>
      <c r="F6656" t="s">
        <v>10021</v>
      </c>
      <c r="G6656" t="str">
        <f>HYPERLINK("https://www.jemin.com/news/articleView.html?idxno=817534")</f>
        <v>https://www.jemin.com/news/articleView.html?idxno=817534</v>
      </c>
      <c r="H6656">
        <v>0.80600000000000005</v>
      </c>
    </row>
    <row r="6657" spans="1:8" x14ac:dyDescent="0.3">
      <c r="A6657" t="s">
        <v>14761</v>
      </c>
      <c r="B6657" t="s">
        <v>26951</v>
      </c>
      <c r="C6657" t="s">
        <v>16899</v>
      </c>
      <c r="D6657" t="s">
        <v>16898</v>
      </c>
      <c r="E6657" s="2" t="s">
        <v>267</v>
      </c>
      <c r="F6657" t="s">
        <v>15519</v>
      </c>
      <c r="G6657" t="str">
        <f>HYPERLINK("https://www.lecturernews.com/news/articleView.html?idxno=180904")</f>
        <v>https://www.lecturernews.com/news/articleView.html?idxno=180904</v>
      </c>
      <c r="H6657">
        <v>0.46800000000000003</v>
      </c>
    </row>
    <row r="6658" spans="1:8" x14ac:dyDescent="0.3">
      <c r="A6658" t="s">
        <v>14761</v>
      </c>
      <c r="B6658" t="s">
        <v>26951</v>
      </c>
      <c r="C6658" t="s">
        <v>16902</v>
      </c>
      <c r="D6658" t="s">
        <v>16901</v>
      </c>
      <c r="E6658" s="2" t="s">
        <v>267</v>
      </c>
      <c r="F6658" t="s">
        <v>16900</v>
      </c>
      <c r="G6658" t="str">
        <f>HYPERLINK("https://www.aitimes.kr/news/articleView.html?idxno=35108")</f>
        <v>https://www.aitimes.kr/news/articleView.html?idxno=35108</v>
      </c>
      <c r="H6658">
        <v>0.47199999999999998</v>
      </c>
    </row>
    <row r="6659" spans="1:8" x14ac:dyDescent="0.3">
      <c r="A6659" t="s">
        <v>14761</v>
      </c>
      <c r="B6659" t="s">
        <v>26951</v>
      </c>
      <c r="C6659" t="s">
        <v>16904</v>
      </c>
      <c r="D6659" t="s">
        <v>16903</v>
      </c>
      <c r="E6659" s="2" t="s">
        <v>267</v>
      </c>
      <c r="F6659" t="s">
        <v>10543</v>
      </c>
      <c r="G6659" t="str">
        <f>HYPERLINK("https://www.vogue.co.kr/2025/06/20/%ec%98%a4%eb%9e%9c%eb%a7%8c%ec%97%90-%eb%a7%8c%eb%82%98%eb%8a%94-%ec%a0%95%ed%86%b5-%eb%a9%9c%eb%a1%9c-%ec%9a%b0%eb%a6%ac%ec%98%81%ed%99%94/?utm_source=naver&amp;utm_medium=partnership")</f>
        <v>https://www.vogue.co.kr/2025/06/20/%ec%98%a4%eb%9e%9c%eb%a7%8c%ec%97%90-%eb%a7%8c%eb%82%98%eb%8a%94-%ec%a0%95%ed%86%b5-%eb%a9%9c%eb%a1%9c-%ec%9a%b0%eb%a6%ac%ec%98%81%ed%99%94/?utm_source=naver&amp;utm_medium=partnership</v>
      </c>
      <c r="H6659">
        <v>0.56299999999999994</v>
      </c>
    </row>
    <row r="6660" spans="1:8" x14ac:dyDescent="0.3">
      <c r="A6660" t="s">
        <v>14761</v>
      </c>
      <c r="B6660" t="s">
        <v>26951</v>
      </c>
      <c r="C6660" t="s">
        <v>16906</v>
      </c>
      <c r="D6660" t="s">
        <v>16905</v>
      </c>
      <c r="E6660" s="2" t="s">
        <v>267</v>
      </c>
      <c r="F6660" t="s">
        <v>10029</v>
      </c>
      <c r="G6660" t="str">
        <f>HYPERLINK("https://www.sportsw.kr/news/newsview.php?ncode=1065561986863170")</f>
        <v>https://www.sportsw.kr/news/newsview.php?ncode=1065561986863170</v>
      </c>
      <c r="H6660">
        <v>0.42799999999999999</v>
      </c>
    </row>
    <row r="6661" spans="1:8" x14ac:dyDescent="0.3">
      <c r="A6661" t="s">
        <v>14761</v>
      </c>
      <c r="B6661" t="s">
        <v>26951</v>
      </c>
      <c r="C6661" t="s">
        <v>16909</v>
      </c>
      <c r="D6661" t="s">
        <v>16908</v>
      </c>
      <c r="E6661" s="2" t="s">
        <v>267</v>
      </c>
      <c r="F6661" t="s">
        <v>16907</v>
      </c>
      <c r="G6661" t="str">
        <f>HYPERLINK("http://www.ggilbo.com/news/articleView.html?idxno=722293")</f>
        <v>http://www.ggilbo.com/news/articleView.html?idxno=722293</v>
      </c>
      <c r="H6661">
        <v>0.14499999999999999</v>
      </c>
    </row>
    <row r="6662" spans="1:8" x14ac:dyDescent="0.3">
      <c r="A6662" t="s">
        <v>14761</v>
      </c>
      <c r="B6662" t="s">
        <v>26951</v>
      </c>
      <c r="C6662" t="s">
        <v>3887</v>
      </c>
      <c r="D6662" t="s">
        <v>3886</v>
      </c>
      <c r="E6662" s="2" t="s">
        <v>267</v>
      </c>
      <c r="F6662" t="s">
        <v>3885</v>
      </c>
      <c r="G6662" t="str">
        <f>HYPERLINK("https://www.sportsw.kr/news/newsview.php?ncode=1065579553225023")</f>
        <v>https://www.sportsw.kr/news/newsview.php?ncode=1065579553225023</v>
      </c>
      <c r="H6662">
        <v>0.223</v>
      </c>
    </row>
    <row r="6663" spans="1:8" x14ac:dyDescent="0.3">
      <c r="A6663" t="s">
        <v>14761</v>
      </c>
      <c r="B6663" t="s">
        <v>26951</v>
      </c>
      <c r="C6663" t="s">
        <v>16911</v>
      </c>
      <c r="D6663" t="s">
        <v>16910</v>
      </c>
      <c r="E6663" s="2" t="s">
        <v>267</v>
      </c>
      <c r="F6663" t="s">
        <v>10101</v>
      </c>
      <c r="G6663" t="str">
        <f>HYPERLINK("http://www.lecturernews.com/news/articleView.html?idxno=109556")</f>
        <v>http://www.lecturernews.com/news/articleView.html?idxno=109556</v>
      </c>
      <c r="H6663">
        <v>0.45700000000000002</v>
      </c>
    </row>
    <row r="6664" spans="1:8" x14ac:dyDescent="0.3">
      <c r="A6664" t="s">
        <v>14761</v>
      </c>
      <c r="B6664" t="s">
        <v>26951</v>
      </c>
      <c r="C6664" t="s">
        <v>16913</v>
      </c>
      <c r="D6664" t="s">
        <v>16912</v>
      </c>
      <c r="E6664" s="2" t="s">
        <v>267</v>
      </c>
      <c r="F6664" t="s">
        <v>10422</v>
      </c>
      <c r="G6664" t="str">
        <f>HYPERLINK("https://n.news.naver.com/mnews/article/055/0000662512?sid=101")</f>
        <v>https://n.news.naver.com/mnews/article/055/0000662512?sid=101</v>
      </c>
      <c r="H6664">
        <v>0.35099999999999998</v>
      </c>
    </row>
    <row r="6665" spans="1:8" x14ac:dyDescent="0.3">
      <c r="A6665" t="s">
        <v>14761</v>
      </c>
      <c r="B6665" t="s">
        <v>26951</v>
      </c>
      <c r="C6665" t="s">
        <v>16916</v>
      </c>
      <c r="D6665" t="s">
        <v>16915</v>
      </c>
      <c r="E6665" s="2" t="s">
        <v>267</v>
      </c>
      <c r="F6665" t="s">
        <v>16914</v>
      </c>
      <c r="G6665" t="str">
        <f>HYPERLINK("http://ch.yes24.com/Article/View/46882")</f>
        <v>http://ch.yes24.com/Article/View/46882</v>
      </c>
      <c r="H6665">
        <v>0.38200000000000001</v>
      </c>
    </row>
    <row r="6666" spans="1:8" x14ac:dyDescent="0.3">
      <c r="A6666" t="s">
        <v>14761</v>
      </c>
      <c r="B6666" t="s">
        <v>26951</v>
      </c>
      <c r="C6666" t="s">
        <v>16919</v>
      </c>
      <c r="D6666" t="s">
        <v>16918</v>
      </c>
      <c r="E6666" s="2" t="s">
        <v>267</v>
      </c>
      <c r="F6666" t="s">
        <v>16917</v>
      </c>
      <c r="G6666" t="str">
        <f>HYPERLINK("https://www.vogue.co.kr/2021/04/09/%ec%9d%b8%ec%83%9d%ec%9d%84-%eb%a8%bc%ec%a0%80-%ea%b2%bd%ed%97%98%ed%95%9c-%eb%8b%a4%ec%84%af-%ec%96%b8%eb%8b%88%ec%9d%98-%ec%9d%b4%ec%95%bc%ea%b8%b0/?utm_source=naver&amp;utm_medium=partnership")</f>
        <v>https://www.vogue.co.kr/2021/04/09/%ec%9d%b8%ec%83%9d%ec%9d%84-%eb%a8%bc%ec%a0%80-%ea%b2%bd%ed%97%98%ed%95%9c-%eb%8b%a4%ec%84%af-%ec%96%b8%eb%8b%88%ec%9d%98-%ec%9d%b4%ec%95%bc%ea%b8%b0/?utm_source=naver&amp;utm_medium=partnership</v>
      </c>
      <c r="H6666">
        <v>0.64400000000000002</v>
      </c>
    </row>
    <row r="6667" spans="1:8" x14ac:dyDescent="0.3">
      <c r="A6667" t="s">
        <v>14761</v>
      </c>
      <c r="B6667" t="s">
        <v>26951</v>
      </c>
      <c r="C6667" t="s">
        <v>16921</v>
      </c>
      <c r="D6667" t="s">
        <v>16920</v>
      </c>
      <c r="E6667" s="2" t="s">
        <v>280</v>
      </c>
      <c r="F6667" t="s">
        <v>1377</v>
      </c>
      <c r="G6667" t="str">
        <f>HYPERLINK("https://sports.hankooki.com/news/articleView.html?idxno=6866922")</f>
        <v>https://sports.hankooki.com/news/articleView.html?idxno=6866922</v>
      </c>
      <c r="H6667">
        <v>0.53300000000000003</v>
      </c>
    </row>
    <row r="6668" spans="1:8" x14ac:dyDescent="0.3">
      <c r="A6668" t="s">
        <v>14761</v>
      </c>
      <c r="B6668" t="s">
        <v>26951</v>
      </c>
      <c r="C6668" t="s">
        <v>16924</v>
      </c>
      <c r="D6668" t="s">
        <v>16923</v>
      </c>
      <c r="E6668" s="2" t="s">
        <v>280</v>
      </c>
      <c r="F6668" t="s">
        <v>16922</v>
      </c>
      <c r="G6668" t="str">
        <f>HYPERLINK("https://daily.hankooki.com/news/articleView.html?idxno=1232222")</f>
        <v>https://daily.hankooki.com/news/articleView.html?idxno=1232222</v>
      </c>
      <c r="H6668">
        <v>0.70699999999999996</v>
      </c>
    </row>
    <row r="6669" spans="1:8" x14ac:dyDescent="0.3">
      <c r="A6669" t="s">
        <v>14761</v>
      </c>
      <c r="B6669" t="s">
        <v>26951</v>
      </c>
      <c r="C6669" t="s">
        <v>16927</v>
      </c>
      <c r="D6669" t="s">
        <v>16926</v>
      </c>
      <c r="E6669" s="2" t="s">
        <v>280</v>
      </c>
      <c r="F6669" t="s">
        <v>16925</v>
      </c>
      <c r="G6669" t="str">
        <f>HYPERLINK("https://n.news.naver.com/mnews/article/277/0002253062?sid=101")</f>
        <v>https://n.news.naver.com/mnews/article/277/0002253062?sid=101</v>
      </c>
      <c r="H6669">
        <v>0.17499999999999999</v>
      </c>
    </row>
    <row r="6670" spans="1:8" x14ac:dyDescent="0.3">
      <c r="A6670" t="s">
        <v>14761</v>
      </c>
      <c r="B6670" t="s">
        <v>26951</v>
      </c>
      <c r="C6670" t="s">
        <v>16930</v>
      </c>
      <c r="D6670" t="s">
        <v>16929</v>
      </c>
      <c r="E6670" s="2" t="s">
        <v>280</v>
      </c>
      <c r="F6670" t="s">
        <v>16928</v>
      </c>
      <c r="G6670" t="str">
        <f>HYPERLINK("https://n.news.naver.com/mnews/article/008/0005211303?sid=100")</f>
        <v>https://n.news.naver.com/mnews/article/008/0005211303?sid=100</v>
      </c>
      <c r="H6670">
        <v>0.248</v>
      </c>
    </row>
    <row r="6671" spans="1:8" x14ac:dyDescent="0.3">
      <c r="A6671" t="s">
        <v>14761</v>
      </c>
      <c r="B6671" t="s">
        <v>26951</v>
      </c>
      <c r="C6671" t="s">
        <v>16932</v>
      </c>
      <c r="D6671" t="s">
        <v>16931</v>
      </c>
      <c r="E6671" s="2" t="s">
        <v>280</v>
      </c>
      <c r="F6671" t="s">
        <v>4733</v>
      </c>
      <c r="G6671" t="str">
        <f>HYPERLINK("https://sports.hankooki.com/news/articleView.html?idxno=6901059")</f>
        <v>https://sports.hankooki.com/news/articleView.html?idxno=6901059</v>
      </c>
      <c r="H6671">
        <v>0.21299999999999999</v>
      </c>
    </row>
    <row r="6672" spans="1:8" x14ac:dyDescent="0.3">
      <c r="A6672" t="s">
        <v>14761</v>
      </c>
      <c r="B6672" t="s">
        <v>26951</v>
      </c>
      <c r="C6672" t="s">
        <v>16934</v>
      </c>
      <c r="D6672" t="s">
        <v>16933</v>
      </c>
      <c r="E6672" s="2" t="s">
        <v>280</v>
      </c>
      <c r="F6672" t="s">
        <v>15700</v>
      </c>
      <c r="G6672" t="str">
        <f>HYPERLINK("http://ch.yes24.com/Article/View/20382")</f>
        <v>http://ch.yes24.com/Article/View/20382</v>
      </c>
      <c r="H6672">
        <v>0.154</v>
      </c>
    </row>
    <row r="6673" spans="1:8" x14ac:dyDescent="0.3">
      <c r="A6673" t="s">
        <v>14761</v>
      </c>
      <c r="B6673" t="s">
        <v>26951</v>
      </c>
      <c r="C6673" t="s">
        <v>16936</v>
      </c>
      <c r="D6673" t="s">
        <v>16935</v>
      </c>
      <c r="E6673" s="2" t="s">
        <v>280</v>
      </c>
      <c r="F6673" t="s">
        <v>3235</v>
      </c>
      <c r="G6673" t="str">
        <f>HYPERLINK("https://www.joongangenews.com/news/articleView.html?idxno=426487")</f>
        <v>https://www.joongangenews.com/news/articleView.html?idxno=426487</v>
      </c>
      <c r="H6673">
        <v>0.46800000000000003</v>
      </c>
    </row>
    <row r="6674" spans="1:8" x14ac:dyDescent="0.3">
      <c r="A6674" t="s">
        <v>14761</v>
      </c>
      <c r="B6674" t="s">
        <v>26951</v>
      </c>
      <c r="C6674" t="s">
        <v>16938</v>
      </c>
      <c r="D6674" t="s">
        <v>16937</v>
      </c>
      <c r="E6674" s="2" t="s">
        <v>280</v>
      </c>
      <c r="F6674" t="s">
        <v>1151</v>
      </c>
      <c r="G6674" t="str">
        <f>HYPERLINK("http://www.metroseoul.co.kr/news/newsview?newscd=2015030900076")</f>
        <v>http://www.metroseoul.co.kr/news/newsview?newscd=2015030900076</v>
      </c>
      <c r="H6674">
        <v>0.06</v>
      </c>
    </row>
    <row r="6675" spans="1:8" x14ac:dyDescent="0.3">
      <c r="A6675" t="s">
        <v>14761</v>
      </c>
      <c r="B6675" t="s">
        <v>26951</v>
      </c>
      <c r="C6675" t="s">
        <v>16940</v>
      </c>
      <c r="D6675" t="s">
        <v>16939</v>
      </c>
      <c r="E6675" s="2" t="s">
        <v>280</v>
      </c>
      <c r="F6675" t="s">
        <v>14054</v>
      </c>
      <c r="G6675" t="str">
        <f>HYPERLINK("http://www.dynews.co.kr/news/articleView.html?idxno=454012")</f>
        <v>http://www.dynews.co.kr/news/articleView.html?idxno=454012</v>
      </c>
      <c r="H6675">
        <v>0.41299999999999998</v>
      </c>
    </row>
    <row r="6676" spans="1:8" x14ac:dyDescent="0.3">
      <c r="A6676" t="s">
        <v>14761</v>
      </c>
      <c r="B6676" t="s">
        <v>26951</v>
      </c>
      <c r="C6676" t="s">
        <v>16943</v>
      </c>
      <c r="D6676" t="s">
        <v>16942</v>
      </c>
      <c r="E6676" s="2" t="s">
        <v>280</v>
      </c>
      <c r="F6676" t="s">
        <v>16941</v>
      </c>
      <c r="G6676" t="str">
        <f>HYPERLINK("http://www.veritas-a.com/news/articleView.html?idxno=557395")</f>
        <v>http://www.veritas-a.com/news/articleView.html?idxno=557395</v>
      </c>
      <c r="H6676">
        <v>0.44600000000000001</v>
      </c>
    </row>
    <row r="6677" spans="1:8" x14ac:dyDescent="0.3">
      <c r="A6677" t="s">
        <v>14761</v>
      </c>
      <c r="B6677" t="s">
        <v>26951</v>
      </c>
      <c r="C6677" t="s">
        <v>16945</v>
      </c>
      <c r="D6677" t="s">
        <v>16944</v>
      </c>
      <c r="E6677" s="2" t="s">
        <v>280</v>
      </c>
      <c r="F6677" t="s">
        <v>10172</v>
      </c>
      <c r="G6677" t="str">
        <f>HYPERLINK("https://n.news.naver.com/mnews/article/016/0002491169?sid=102")</f>
        <v>https://n.news.naver.com/mnews/article/016/0002491169?sid=102</v>
      </c>
      <c r="H6677">
        <v>0.17399999999999999</v>
      </c>
    </row>
    <row r="6678" spans="1:8" x14ac:dyDescent="0.3">
      <c r="A6678" t="s">
        <v>14761</v>
      </c>
      <c r="B6678" t="s">
        <v>26951</v>
      </c>
      <c r="C6678" t="s">
        <v>16949</v>
      </c>
      <c r="D6678" t="s">
        <v>16948</v>
      </c>
      <c r="E6678" s="2" t="s">
        <v>280</v>
      </c>
      <c r="F6678" t="s">
        <v>12391</v>
      </c>
      <c r="G6678" t="str">
        <f>HYPERLINK("http://www.newsway.co.kr/view.php?tp=1&amp;ud=2015040120495088524")</f>
        <v>http://www.newsway.co.kr/view.php?tp=1&amp;ud=2015040120495088524</v>
      </c>
      <c r="H6678">
        <v>0.216</v>
      </c>
    </row>
    <row r="6679" spans="1:8" x14ac:dyDescent="0.3">
      <c r="A6679" t="s">
        <v>14761</v>
      </c>
      <c r="B6679" t="s">
        <v>26951</v>
      </c>
      <c r="C6679" t="s">
        <v>16951</v>
      </c>
      <c r="D6679" t="s">
        <v>16950</v>
      </c>
      <c r="E6679" s="2" t="s">
        <v>280</v>
      </c>
      <c r="F6679" t="s">
        <v>9679</v>
      </c>
      <c r="G6679" t="str">
        <f>HYPERLINK("https://n.news.naver.com/mnews/article/055/0001268572?sid=102")</f>
        <v>https://n.news.naver.com/mnews/article/055/0001268572?sid=102</v>
      </c>
      <c r="H6679">
        <v>0.32500000000000001</v>
      </c>
    </row>
    <row r="6680" spans="1:8" x14ac:dyDescent="0.3">
      <c r="A6680" t="s">
        <v>14761</v>
      </c>
      <c r="B6680" t="s">
        <v>26951</v>
      </c>
      <c r="C6680" t="s">
        <v>16953</v>
      </c>
      <c r="D6680" t="s">
        <v>16952</v>
      </c>
      <c r="E6680" s="2" t="s">
        <v>280</v>
      </c>
      <c r="F6680" t="s">
        <v>10111</v>
      </c>
      <c r="G6680" t="str">
        <f>HYPERLINK("https://www.jemin.com/news/articleView.html?idxno=817682")</f>
        <v>https://www.jemin.com/news/articleView.html?idxno=817682</v>
      </c>
      <c r="H6680">
        <v>0.13700000000000001</v>
      </c>
    </row>
    <row r="6681" spans="1:8" x14ac:dyDescent="0.3">
      <c r="A6681" t="s">
        <v>14761</v>
      </c>
      <c r="B6681" t="s">
        <v>26951</v>
      </c>
      <c r="C6681" t="s">
        <v>16955</v>
      </c>
      <c r="D6681" t="s">
        <v>16954</v>
      </c>
      <c r="E6681" s="2" t="s">
        <v>280</v>
      </c>
      <c r="F6681" t="s">
        <v>9978</v>
      </c>
      <c r="G6681" t="str">
        <f>HYPERLINK("https://www.etoday.co.kr/news/view/2477603")</f>
        <v>https://www.etoday.co.kr/news/view/2477603</v>
      </c>
      <c r="H6681">
        <v>0.498</v>
      </c>
    </row>
    <row r="6682" spans="1:8" x14ac:dyDescent="0.3">
      <c r="A6682" t="s">
        <v>14761</v>
      </c>
      <c r="B6682" t="s">
        <v>26951</v>
      </c>
      <c r="C6682" t="s">
        <v>16957</v>
      </c>
      <c r="D6682" t="s">
        <v>16956</v>
      </c>
      <c r="E6682" s="2" t="s">
        <v>280</v>
      </c>
      <c r="F6682" t="s">
        <v>16100</v>
      </c>
      <c r="G6682" t="str">
        <f>HYPERLINK("https://n.news.naver.com/mnews/article/016/0002492796?sid=101")</f>
        <v>https://n.news.naver.com/mnews/article/016/0002492796?sid=101</v>
      </c>
      <c r="H6682">
        <v>0.28899999999999998</v>
      </c>
    </row>
    <row r="6683" spans="1:8" x14ac:dyDescent="0.3">
      <c r="A6683" t="s">
        <v>14761</v>
      </c>
      <c r="B6683" t="s">
        <v>26951</v>
      </c>
      <c r="C6683" t="s">
        <v>16959</v>
      </c>
      <c r="D6683" t="s">
        <v>16958</v>
      </c>
      <c r="E6683" s="2" t="s">
        <v>280</v>
      </c>
      <c r="F6683" t="s">
        <v>10111</v>
      </c>
      <c r="G6683" t="str">
        <f>HYPERLINK("https://www.jemin.com/news/articleView.html?idxno=817682")</f>
        <v>https://www.jemin.com/news/articleView.html?idxno=817682</v>
      </c>
      <c r="H6683">
        <v>0.156</v>
      </c>
    </row>
    <row r="6684" spans="1:8" x14ac:dyDescent="0.3">
      <c r="A6684" t="s">
        <v>14761</v>
      </c>
      <c r="B6684" t="s">
        <v>26951</v>
      </c>
      <c r="C6684" t="s">
        <v>16961</v>
      </c>
      <c r="D6684" t="s">
        <v>16960</v>
      </c>
      <c r="E6684" s="2" t="s">
        <v>280</v>
      </c>
      <c r="F6684" t="s">
        <v>13171</v>
      </c>
      <c r="G6684" t="str">
        <f>HYPERLINK("https://www.lecturernews.com/news/articleView.html?idxno=175120")</f>
        <v>https://www.lecturernews.com/news/articleView.html?idxno=175120</v>
      </c>
      <c r="H6684">
        <v>0.318</v>
      </c>
    </row>
    <row r="6685" spans="1:8" x14ac:dyDescent="0.3">
      <c r="A6685" t="s">
        <v>14761</v>
      </c>
      <c r="B6685" t="s">
        <v>26951</v>
      </c>
      <c r="C6685" t="s">
        <v>16963</v>
      </c>
      <c r="D6685" t="s">
        <v>16962</v>
      </c>
      <c r="E6685" s="2" t="s">
        <v>280</v>
      </c>
      <c r="F6685" t="s">
        <v>13171</v>
      </c>
      <c r="G6685" t="str">
        <f>HYPERLINK("https://n.news.naver.com/mnews/article/079/0003941903?sid=100")</f>
        <v>https://n.news.naver.com/mnews/article/079/0003941903?sid=100</v>
      </c>
      <c r="H6685">
        <v>0.17499999999999999</v>
      </c>
    </row>
    <row r="6686" spans="1:8" x14ac:dyDescent="0.3">
      <c r="A6686" t="s">
        <v>14761</v>
      </c>
      <c r="B6686" t="s">
        <v>26951</v>
      </c>
      <c r="C6686" t="s">
        <v>16966</v>
      </c>
      <c r="D6686" t="s">
        <v>16965</v>
      </c>
      <c r="E6686" s="2" t="s">
        <v>280</v>
      </c>
      <c r="F6686" t="s">
        <v>16964</v>
      </c>
      <c r="G6686" t="str">
        <f>HYPERLINK("https://n.news.naver.com/mnews/article/011/0004503180?sid=100")</f>
        <v>https://n.news.naver.com/mnews/article/011/0004503180?sid=100</v>
      </c>
      <c r="H6686">
        <v>0.20200000000000001</v>
      </c>
    </row>
    <row r="6687" spans="1:8" x14ac:dyDescent="0.3">
      <c r="A6687" t="s">
        <v>14761</v>
      </c>
      <c r="B6687" t="s">
        <v>26951</v>
      </c>
      <c r="C6687" t="s">
        <v>16968</v>
      </c>
      <c r="D6687" t="s">
        <v>16967</v>
      </c>
      <c r="E6687" s="2" t="s">
        <v>280</v>
      </c>
      <c r="F6687" t="s">
        <v>12378</v>
      </c>
      <c r="G6687" t="str">
        <f>HYPERLINK("http://www.daejonilbo.com/news/newsitem.asp?pk_no=1403420")</f>
        <v>http://www.daejonilbo.com/news/newsitem.asp?pk_no=1403420</v>
      </c>
      <c r="H6687">
        <v>0.44400000000000001</v>
      </c>
    </row>
    <row r="6688" spans="1:8" x14ac:dyDescent="0.3">
      <c r="A6688" t="s">
        <v>14761</v>
      </c>
      <c r="B6688" t="s">
        <v>26951</v>
      </c>
      <c r="C6688" t="s">
        <v>16971</v>
      </c>
      <c r="D6688" t="s">
        <v>16970</v>
      </c>
      <c r="E6688" s="2" t="s">
        <v>280</v>
      </c>
      <c r="F6688" t="s">
        <v>16969</v>
      </c>
      <c r="G6688" t="str">
        <f>HYPERLINK("https://www.christiantoday.co.kr/news/361734")</f>
        <v>https://www.christiantoday.co.kr/news/361734</v>
      </c>
      <c r="H6688">
        <v>0.317</v>
      </c>
    </row>
    <row r="6689" spans="1:8" x14ac:dyDescent="0.3">
      <c r="A6689" t="s">
        <v>14761</v>
      </c>
      <c r="B6689" t="s">
        <v>26951</v>
      </c>
      <c r="C6689" t="s">
        <v>16973</v>
      </c>
      <c r="D6689" t="s">
        <v>16972</v>
      </c>
      <c r="E6689" s="2" t="s">
        <v>280</v>
      </c>
      <c r="F6689" t="s">
        <v>5342</v>
      </c>
      <c r="G6689" t="str">
        <f>HYPERLINK("https://www.dailysportshankook.co.kr/news/articleView.html?idxno=408433")</f>
        <v>https://www.dailysportshankook.co.kr/news/articleView.html?idxno=408433</v>
      </c>
      <c r="H6689">
        <v>0.63800000000000001</v>
      </c>
    </row>
    <row r="6690" spans="1:8" x14ac:dyDescent="0.3">
      <c r="A6690" t="s">
        <v>14761</v>
      </c>
      <c r="B6690" t="s">
        <v>26951</v>
      </c>
      <c r="C6690" t="s">
        <v>16976</v>
      </c>
      <c r="D6690" t="s">
        <v>16975</v>
      </c>
      <c r="E6690" s="2" t="s">
        <v>280</v>
      </c>
      <c r="F6690" t="s">
        <v>16974</v>
      </c>
      <c r="G6690" t="str">
        <f>HYPERLINK("https://n.news.naver.com/mnews/article/088/0000304744?sid=004")</f>
        <v>https://n.news.naver.com/mnews/article/088/0000304744?sid=004</v>
      </c>
      <c r="H6690">
        <v>0.29299999999999998</v>
      </c>
    </row>
    <row r="6691" spans="1:8" x14ac:dyDescent="0.3">
      <c r="A6691" t="s">
        <v>14761</v>
      </c>
      <c r="B6691" t="s">
        <v>26951</v>
      </c>
      <c r="C6691" t="s">
        <v>16979</v>
      </c>
      <c r="D6691" t="s">
        <v>16978</v>
      </c>
      <c r="E6691" s="2" t="s">
        <v>280</v>
      </c>
      <c r="F6691" t="s">
        <v>16977</v>
      </c>
      <c r="G6691" t="str">
        <f>HYPERLINK("http://news.lghellovision.net/news/articleView.html?idxno=510065")</f>
        <v>http://news.lghellovision.net/news/articleView.html?idxno=510065</v>
      </c>
      <c r="H6691">
        <v>0.38100000000000001</v>
      </c>
    </row>
    <row r="6692" spans="1:8" x14ac:dyDescent="0.3">
      <c r="A6692" t="s">
        <v>14761</v>
      </c>
      <c r="B6692" t="s">
        <v>26951</v>
      </c>
      <c r="C6692" t="s">
        <v>16981</v>
      </c>
      <c r="D6692" t="s">
        <v>16980</v>
      </c>
      <c r="E6692" s="2" t="s">
        <v>280</v>
      </c>
      <c r="F6692" t="s">
        <v>10317</v>
      </c>
      <c r="G6692" t="str">
        <f>HYPERLINK("https://n.news.naver.com/mnews/article/011/0003069221?sid=101")</f>
        <v>https://n.news.naver.com/mnews/article/011/0003069221?sid=101</v>
      </c>
      <c r="H6692">
        <v>0.26600000000000001</v>
      </c>
    </row>
    <row r="6693" spans="1:8" x14ac:dyDescent="0.3">
      <c r="A6693" t="s">
        <v>14761</v>
      </c>
      <c r="B6693" t="s">
        <v>26951</v>
      </c>
      <c r="C6693" t="s">
        <v>16984</v>
      </c>
      <c r="D6693" t="s">
        <v>16983</v>
      </c>
      <c r="E6693" s="2" t="s">
        <v>280</v>
      </c>
      <c r="F6693" t="s">
        <v>16982</v>
      </c>
      <c r="G6693" t="str">
        <f>HYPERLINK("https://www.sportsw.kr/news/newsview.php?ncode=1065602737578390")</f>
        <v>https://www.sportsw.kr/news/newsview.php?ncode=1065602737578390</v>
      </c>
      <c r="H6693">
        <v>0.27600000000000002</v>
      </c>
    </row>
    <row r="6694" spans="1:8" x14ac:dyDescent="0.3">
      <c r="A6694" t="s">
        <v>14761</v>
      </c>
      <c r="B6694" t="s">
        <v>26951</v>
      </c>
      <c r="C6694" t="s">
        <v>16986</v>
      </c>
      <c r="D6694" t="s">
        <v>16985</v>
      </c>
      <c r="E6694" s="2" t="s">
        <v>280</v>
      </c>
      <c r="F6694" t="s">
        <v>8528</v>
      </c>
      <c r="G6694" t="str">
        <f>HYPERLINK("https://www.dailysecu.com/news/articleView.html?idxno=166831")</f>
        <v>https://www.dailysecu.com/news/articleView.html?idxno=166831</v>
      </c>
      <c r="H6694">
        <v>0.39600000000000002</v>
      </c>
    </row>
    <row r="6695" spans="1:8" x14ac:dyDescent="0.3">
      <c r="A6695" t="s">
        <v>14761</v>
      </c>
      <c r="B6695" t="s">
        <v>26951</v>
      </c>
      <c r="C6695" t="s">
        <v>16989</v>
      </c>
      <c r="D6695" t="s">
        <v>16988</v>
      </c>
      <c r="E6695" s="2" t="s">
        <v>280</v>
      </c>
      <c r="F6695" t="s">
        <v>16987</v>
      </c>
      <c r="G6695" t="str">
        <f>HYPERLINK("https://n.news.naver.com/mnews/article/022/0004047970?sid=100")</f>
        <v>https://n.news.naver.com/mnews/article/022/0004047970?sid=100</v>
      </c>
      <c r="H6695">
        <v>0.128</v>
      </c>
    </row>
    <row r="6696" spans="1:8" x14ac:dyDescent="0.3">
      <c r="A6696" t="s">
        <v>14761</v>
      </c>
      <c r="B6696" t="s">
        <v>26951</v>
      </c>
      <c r="C6696" t="s">
        <v>16991</v>
      </c>
      <c r="D6696" t="s">
        <v>16990</v>
      </c>
      <c r="E6696" s="2" t="s">
        <v>280</v>
      </c>
      <c r="F6696" t="s">
        <v>10101</v>
      </c>
      <c r="G6696" t="str">
        <f>HYPERLINK("http://www.lecturernews.com/news/articleView.html?idxno=109556")</f>
        <v>http://www.lecturernews.com/news/articleView.html?idxno=109556</v>
      </c>
      <c r="H6696">
        <v>0.47899999999999998</v>
      </c>
    </row>
    <row r="6697" spans="1:8" x14ac:dyDescent="0.3">
      <c r="A6697" t="s">
        <v>14761</v>
      </c>
      <c r="B6697" t="s">
        <v>26951</v>
      </c>
      <c r="C6697" t="s">
        <v>16994</v>
      </c>
      <c r="D6697" t="s">
        <v>16993</v>
      </c>
      <c r="E6697" s="2" t="s">
        <v>280</v>
      </c>
      <c r="F6697" t="s">
        <v>16992</v>
      </c>
      <c r="G6697" t="str">
        <f>HYPERLINK("http://www.newsmp.com/news/articleView.html?idxno=235803")</f>
        <v>http://www.newsmp.com/news/articleView.html?idxno=235803</v>
      </c>
      <c r="H6697">
        <v>0.48399999999999999</v>
      </c>
    </row>
    <row r="6698" spans="1:8" x14ac:dyDescent="0.3">
      <c r="A6698" t="s">
        <v>14761</v>
      </c>
      <c r="B6698" t="s">
        <v>26951</v>
      </c>
      <c r="C6698" t="s">
        <v>16996</v>
      </c>
      <c r="D6698" t="s">
        <v>16995</v>
      </c>
      <c r="E6698" s="2" t="s">
        <v>280</v>
      </c>
      <c r="F6698" t="s">
        <v>3235</v>
      </c>
      <c r="G6698" t="str">
        <f>HYPERLINK("https://www.ggilbo.com/news/articleView.html?idxno=1097294")</f>
        <v>https://www.ggilbo.com/news/articleView.html?idxno=1097294</v>
      </c>
      <c r="H6698">
        <v>0.45700000000000002</v>
      </c>
    </row>
    <row r="6699" spans="1:8" x14ac:dyDescent="0.3">
      <c r="A6699" t="s">
        <v>14761</v>
      </c>
      <c r="B6699" t="s">
        <v>26951</v>
      </c>
      <c r="C6699" t="s">
        <v>16999</v>
      </c>
      <c r="D6699" t="s">
        <v>16998</v>
      </c>
      <c r="E6699" s="2" t="s">
        <v>280</v>
      </c>
      <c r="F6699" t="s">
        <v>16997</v>
      </c>
      <c r="G6699" t="str">
        <f>HYPERLINK("https://n.news.naver.com/mnews/article/088/0000956630?sid=100")</f>
        <v>https://n.news.naver.com/mnews/article/088/0000956630?sid=100</v>
      </c>
      <c r="H6699">
        <v>0.16300000000000001</v>
      </c>
    </row>
    <row r="6700" spans="1:8" x14ac:dyDescent="0.3">
      <c r="A6700" t="s">
        <v>14761</v>
      </c>
      <c r="B6700" t="s">
        <v>26951</v>
      </c>
      <c r="C6700" t="s">
        <v>17001</v>
      </c>
      <c r="D6700" t="s">
        <v>17000</v>
      </c>
      <c r="E6700" s="2" t="s">
        <v>313</v>
      </c>
      <c r="F6700" t="s">
        <v>9738</v>
      </c>
      <c r="G6700" t="str">
        <f>HYPERLINK("http://news.inochong.org/detail.php?number=4556&amp;thread=23r10")</f>
        <v>http://news.inochong.org/detail.php?number=4556&amp;thread=23r10</v>
      </c>
      <c r="H6700">
        <v>0.58799999999999997</v>
      </c>
    </row>
    <row r="6701" spans="1:8" x14ac:dyDescent="0.3">
      <c r="A6701" t="s">
        <v>14761</v>
      </c>
      <c r="B6701" t="s">
        <v>26951</v>
      </c>
      <c r="C6701" t="s">
        <v>17003</v>
      </c>
      <c r="D6701" t="s">
        <v>17002</v>
      </c>
      <c r="E6701" s="2" t="s">
        <v>313</v>
      </c>
      <c r="F6701" t="s">
        <v>1377</v>
      </c>
      <c r="G6701" t="str">
        <f>HYPERLINK("https://sports.hankooki.com/news/articleView.html?idxno=6901523")</f>
        <v>https://sports.hankooki.com/news/articleView.html?idxno=6901523</v>
      </c>
      <c r="H6701">
        <v>0.74299999999999999</v>
      </c>
    </row>
    <row r="6702" spans="1:8" x14ac:dyDescent="0.3">
      <c r="A6702" t="s">
        <v>14761</v>
      </c>
      <c r="B6702" t="s">
        <v>26951</v>
      </c>
      <c r="C6702" t="s">
        <v>17005</v>
      </c>
      <c r="D6702" t="s">
        <v>17004</v>
      </c>
      <c r="E6702" s="2" t="s">
        <v>313</v>
      </c>
      <c r="F6702" t="s">
        <v>16409</v>
      </c>
      <c r="G6702" t="str">
        <f>HYPERLINK("http://www.greened.kr/news/articleView.html?idxno=308656")</f>
        <v>http://www.greened.kr/news/articleView.html?idxno=308656</v>
      </c>
      <c r="H6702">
        <v>0.35899999999999999</v>
      </c>
    </row>
    <row r="6703" spans="1:8" x14ac:dyDescent="0.3">
      <c r="A6703" t="s">
        <v>14761</v>
      </c>
      <c r="B6703" t="s">
        <v>26951</v>
      </c>
      <c r="C6703" t="s">
        <v>17006</v>
      </c>
      <c r="D6703" t="s">
        <v>14922</v>
      </c>
      <c r="E6703" s="2" t="s">
        <v>313</v>
      </c>
      <c r="F6703" t="s">
        <v>9786</v>
      </c>
      <c r="G6703" t="str">
        <f>HYPERLINK("http://ch.yes24.com/Article/View/21574")</f>
        <v>http://ch.yes24.com/Article/View/21574</v>
      </c>
      <c r="H6703">
        <v>2.5000000000000001E-2</v>
      </c>
    </row>
    <row r="6704" spans="1:8" x14ac:dyDescent="0.3">
      <c r="A6704" t="s">
        <v>14761</v>
      </c>
      <c r="B6704" t="s">
        <v>26951</v>
      </c>
      <c r="C6704" t="s">
        <v>17009</v>
      </c>
      <c r="D6704" t="s">
        <v>17008</v>
      </c>
      <c r="E6704" s="2" t="s">
        <v>313</v>
      </c>
      <c r="F6704" t="s">
        <v>17007</v>
      </c>
      <c r="G6704" t="str">
        <f>HYPERLINK("https://www.kgnews.co.kr/news/article.html?no=780763")</f>
        <v>https://www.kgnews.co.kr/news/article.html?no=780763</v>
      </c>
      <c r="H6704">
        <v>0.25800000000000001</v>
      </c>
    </row>
    <row r="6705" spans="1:8" x14ac:dyDescent="0.3">
      <c r="A6705" t="s">
        <v>14761</v>
      </c>
      <c r="B6705" t="s">
        <v>26951</v>
      </c>
      <c r="C6705" t="s">
        <v>17012</v>
      </c>
      <c r="D6705" t="s">
        <v>17011</v>
      </c>
      <c r="E6705" s="2" t="s">
        <v>313</v>
      </c>
      <c r="F6705" t="s">
        <v>10111</v>
      </c>
      <c r="G6705" t="str">
        <f>HYPERLINK("http://www.wolyo.co.kr/news/articleView.html?idxno=249582")</f>
        <v>http://www.wolyo.co.kr/news/articleView.html?idxno=249582</v>
      </c>
      <c r="H6705">
        <v>0.33500000000000002</v>
      </c>
    </row>
    <row r="6706" spans="1:8" x14ac:dyDescent="0.3">
      <c r="A6706" t="s">
        <v>14761</v>
      </c>
      <c r="B6706" t="s">
        <v>26951</v>
      </c>
      <c r="C6706" t="s">
        <v>17014</v>
      </c>
      <c r="D6706" t="s">
        <v>17013</v>
      </c>
      <c r="E6706" s="2" t="s">
        <v>313</v>
      </c>
      <c r="F6706" t="s">
        <v>16946</v>
      </c>
      <c r="G6706" t="str">
        <f>HYPERLINK("http://www.kihoilbo.co.kr/news/articleView.html?idxno=863155")</f>
        <v>http://www.kihoilbo.co.kr/news/articleView.html?idxno=863155</v>
      </c>
      <c r="H6706">
        <v>0.29399999999999998</v>
      </c>
    </row>
    <row r="6707" spans="1:8" x14ac:dyDescent="0.3">
      <c r="A6707" t="s">
        <v>14761</v>
      </c>
      <c r="B6707" t="s">
        <v>26951</v>
      </c>
      <c r="C6707" t="s">
        <v>17017</v>
      </c>
      <c r="D6707" t="s">
        <v>17016</v>
      </c>
      <c r="E6707" s="2" t="s">
        <v>313</v>
      </c>
      <c r="F6707" t="s">
        <v>17015</v>
      </c>
      <c r="G6707" t="str">
        <f>HYPERLINK("http://www.kjdaily.com/article.php?aid=1729762468642755227")</f>
        <v>http://www.kjdaily.com/article.php?aid=1729762468642755227</v>
      </c>
      <c r="H6707">
        <v>0.03</v>
      </c>
    </row>
    <row r="6708" spans="1:8" x14ac:dyDescent="0.3">
      <c r="A6708" t="s">
        <v>14761</v>
      </c>
      <c r="B6708" t="s">
        <v>26951</v>
      </c>
      <c r="C6708" t="s">
        <v>17019</v>
      </c>
      <c r="D6708" t="s">
        <v>17018</v>
      </c>
      <c r="E6708" s="2" t="s">
        <v>313</v>
      </c>
      <c r="F6708" t="s">
        <v>17010</v>
      </c>
      <c r="G6708" t="str">
        <f>HYPERLINK("https://www.pinpointnews.co.kr/news/articleView.html?idxno=284444")</f>
        <v>https://www.pinpointnews.co.kr/news/articleView.html?idxno=284444</v>
      </c>
      <c r="H6708">
        <v>0.53700000000000003</v>
      </c>
    </row>
    <row r="6709" spans="1:8" x14ac:dyDescent="0.3">
      <c r="A6709" t="s">
        <v>14761</v>
      </c>
      <c r="B6709" t="s">
        <v>26951</v>
      </c>
      <c r="C6709" t="s">
        <v>17021</v>
      </c>
      <c r="D6709" t="s">
        <v>17020</v>
      </c>
      <c r="E6709" s="2" t="s">
        <v>313</v>
      </c>
      <c r="F6709" t="s">
        <v>12622</v>
      </c>
      <c r="G6709" t="str">
        <f>HYPERLINK("https://www.kizmom.com/news/articleView.html?idxno=101499")</f>
        <v>https://www.kizmom.com/news/articleView.html?idxno=101499</v>
      </c>
      <c r="H6709">
        <v>0.27600000000000002</v>
      </c>
    </row>
    <row r="6710" spans="1:8" x14ac:dyDescent="0.3">
      <c r="A6710" t="s">
        <v>14761</v>
      </c>
      <c r="B6710" t="s">
        <v>26951</v>
      </c>
      <c r="C6710" t="s">
        <v>17024</v>
      </c>
      <c r="D6710" t="s">
        <v>17023</v>
      </c>
      <c r="E6710" s="2" t="s">
        <v>313</v>
      </c>
      <c r="F6710" t="s">
        <v>17022</v>
      </c>
      <c r="G6710" t="str">
        <f>HYPERLINK("https://news.bbsi.co.kr/news/articleView.html?idxno=4025051")</f>
        <v>https://news.bbsi.co.kr/news/articleView.html?idxno=4025051</v>
      </c>
      <c r="H6710">
        <v>0.34100000000000003</v>
      </c>
    </row>
    <row r="6711" spans="1:8" x14ac:dyDescent="0.3">
      <c r="A6711" t="s">
        <v>14761</v>
      </c>
      <c r="B6711" t="s">
        <v>26951</v>
      </c>
      <c r="C6711" t="s">
        <v>17027</v>
      </c>
      <c r="D6711" t="s">
        <v>17026</v>
      </c>
      <c r="E6711" s="2" t="s">
        <v>313</v>
      </c>
      <c r="F6711" t="s">
        <v>17025</v>
      </c>
      <c r="G6711" t="str">
        <f>HYPERLINK("http://www.munhwanews.com/news/articleView.html?idxno=16916")</f>
        <v>http://www.munhwanews.com/news/articleView.html?idxno=16916</v>
      </c>
      <c r="H6711">
        <v>0.53</v>
      </c>
    </row>
    <row r="6712" spans="1:8" x14ac:dyDescent="0.3">
      <c r="A6712" t="s">
        <v>14761</v>
      </c>
      <c r="B6712" t="s">
        <v>26951</v>
      </c>
      <c r="C6712" t="s">
        <v>17029</v>
      </c>
      <c r="D6712" t="s">
        <v>17028</v>
      </c>
      <c r="E6712" s="2" t="s">
        <v>313</v>
      </c>
      <c r="F6712" t="s">
        <v>13168</v>
      </c>
      <c r="G6712" t="str">
        <f>HYPERLINK("https://n.news.naver.com/mnews/article/052/0000747814?sid=103")</f>
        <v>https://n.news.naver.com/mnews/article/052/0000747814?sid=103</v>
      </c>
      <c r="H6712">
        <v>0.23</v>
      </c>
    </row>
    <row r="6713" spans="1:8" x14ac:dyDescent="0.3">
      <c r="A6713" t="s">
        <v>14761</v>
      </c>
      <c r="B6713" t="s">
        <v>26951</v>
      </c>
      <c r="C6713" t="s">
        <v>17031</v>
      </c>
      <c r="D6713" t="s">
        <v>17030</v>
      </c>
      <c r="E6713" s="2" t="s">
        <v>313</v>
      </c>
      <c r="F6713" t="s">
        <v>3235</v>
      </c>
      <c r="G6713" t="str">
        <f>HYPERLINK("https://sports.hankooki.com/news/articleView.html?idxno=6902043")</f>
        <v>https://sports.hankooki.com/news/articleView.html?idxno=6902043</v>
      </c>
      <c r="H6713">
        <v>0.498</v>
      </c>
    </row>
    <row r="6714" spans="1:8" x14ac:dyDescent="0.3">
      <c r="A6714" t="s">
        <v>14761</v>
      </c>
      <c r="B6714" t="s">
        <v>26951</v>
      </c>
      <c r="C6714" t="s">
        <v>17034</v>
      </c>
      <c r="D6714" t="s">
        <v>17033</v>
      </c>
      <c r="E6714" s="2" t="s">
        <v>313</v>
      </c>
      <c r="F6714" t="s">
        <v>17032</v>
      </c>
      <c r="G6714" t="str">
        <f>HYPERLINK("http://www.allurekorea.com/?p=88527&amp;_C_=5")</f>
        <v>http://www.allurekorea.com/?p=88527&amp;_C_=5</v>
      </c>
      <c r="H6714">
        <v>0.53500000000000003</v>
      </c>
    </row>
    <row r="6715" spans="1:8" x14ac:dyDescent="0.3">
      <c r="A6715" t="s">
        <v>14761</v>
      </c>
      <c r="B6715" t="s">
        <v>26951</v>
      </c>
      <c r="C6715" t="s">
        <v>17036</v>
      </c>
      <c r="D6715" t="s">
        <v>17035</v>
      </c>
      <c r="E6715" s="2" t="s">
        <v>313</v>
      </c>
      <c r="F6715" t="s">
        <v>9944</v>
      </c>
      <c r="G6715" t="str">
        <f>HYPERLINK("http://ch.yes24.com/Article/View/20296")</f>
        <v>http://ch.yes24.com/Article/View/20296</v>
      </c>
      <c r="H6715">
        <v>0.193</v>
      </c>
    </row>
    <row r="6716" spans="1:8" x14ac:dyDescent="0.3">
      <c r="A6716" t="s">
        <v>14761</v>
      </c>
      <c r="B6716" t="s">
        <v>26951</v>
      </c>
      <c r="C6716" t="s">
        <v>17039</v>
      </c>
      <c r="D6716" t="s">
        <v>17038</v>
      </c>
      <c r="E6716" s="2" t="s">
        <v>313</v>
      </c>
      <c r="F6716" t="s">
        <v>17037</v>
      </c>
      <c r="G6716" t="str">
        <f>HYPERLINK("https://www.gqkorea.co.kr/2022/05/05/%ec%97%ac%ed%96%89-%ed%8c%8c%ed%8a%b8%eb%84%88%eb%b3%84%eb%a1%9c-%eb%94%b1-%eb%a7%9e%ea%b2%8c-%ec%b6%94%ec%b2%9c%ed%95%98%eb%8a%94-%ec%97%ac%ed%96%89%ec%a7%80-58%ea%b3%b3/?utm_source=naver&amp;utm_medium=partnership")</f>
        <v>https://www.gqkorea.co.kr/2022/05/05/%ec%97%ac%ed%96%89-%ed%8c%8c%ed%8a%b8%eb%84%88%eb%b3%84%eb%a1%9c-%eb%94%b1-%eb%a7%9e%ea%b2%8c-%ec%b6%94%ec%b2%9c%ed%95%98%eb%8a%94-%ec%97%ac%ed%96%89%ec%a7%80-58%ea%b3%b3/?utm_source=naver&amp;utm_medium=partnership</v>
      </c>
      <c r="H6716">
        <v>0.376</v>
      </c>
    </row>
    <row r="6717" spans="1:8" x14ac:dyDescent="0.3">
      <c r="A6717" t="s">
        <v>14761</v>
      </c>
      <c r="B6717" t="s">
        <v>26951</v>
      </c>
      <c r="C6717" t="s">
        <v>17041</v>
      </c>
      <c r="D6717" t="s">
        <v>17040</v>
      </c>
      <c r="E6717" s="2" t="s">
        <v>313</v>
      </c>
      <c r="F6717" t="s">
        <v>5132</v>
      </c>
      <c r="G6717" t="str">
        <f>HYPERLINK("http://www.viva100.com/main/view.php?key=20150312010002104")</f>
        <v>http://www.viva100.com/main/view.php?key=20150312010002104</v>
      </c>
      <c r="H6717">
        <v>0.374</v>
      </c>
    </row>
    <row r="6718" spans="1:8" x14ac:dyDescent="0.3">
      <c r="A6718" t="s">
        <v>14761</v>
      </c>
      <c r="B6718" t="s">
        <v>26951</v>
      </c>
      <c r="C6718" t="s">
        <v>17044</v>
      </c>
      <c r="D6718" t="s">
        <v>17043</v>
      </c>
      <c r="E6718" s="2" t="s">
        <v>313</v>
      </c>
      <c r="F6718" t="s">
        <v>17042</v>
      </c>
      <c r="G6718" t="str">
        <f>HYPERLINK("http://www.opinionnews.co.kr/news/articleView.html?idxno=119733")</f>
        <v>http://www.opinionnews.co.kr/news/articleView.html?idxno=119733</v>
      </c>
      <c r="H6718">
        <v>0.627</v>
      </c>
    </row>
    <row r="6719" spans="1:8" x14ac:dyDescent="0.3">
      <c r="A6719" t="s">
        <v>14761</v>
      </c>
      <c r="B6719" t="s">
        <v>26951</v>
      </c>
      <c r="C6719" t="s">
        <v>17047</v>
      </c>
      <c r="D6719" t="s">
        <v>17046</v>
      </c>
      <c r="E6719" s="2" t="s">
        <v>313</v>
      </c>
      <c r="F6719" t="s">
        <v>17045</v>
      </c>
      <c r="G6719" t="str">
        <f>HYPERLINK("https://n.news.naver.com/mnews/article/022/0003975957?sid=103")</f>
        <v>https://n.news.naver.com/mnews/article/022/0003975957?sid=103</v>
      </c>
      <c r="H6719">
        <v>0.23</v>
      </c>
    </row>
    <row r="6720" spans="1:8" x14ac:dyDescent="0.3">
      <c r="A6720" t="s">
        <v>14761</v>
      </c>
      <c r="B6720" t="s">
        <v>26951</v>
      </c>
      <c r="C6720" t="s">
        <v>17049</v>
      </c>
      <c r="D6720" t="s">
        <v>17048</v>
      </c>
      <c r="E6720" s="2" t="s">
        <v>313</v>
      </c>
      <c r="F6720" t="s">
        <v>10788</v>
      </c>
      <c r="G6720" t="str">
        <f>HYPERLINK("https://www.lecturernews.com/news/articleView.html?idxno=180904")</f>
        <v>https://www.lecturernews.com/news/articleView.html?idxno=180904</v>
      </c>
      <c r="H6720">
        <v>0.52100000000000002</v>
      </c>
    </row>
    <row r="6721" spans="1:8" x14ac:dyDescent="0.3">
      <c r="A6721" t="s">
        <v>14761</v>
      </c>
      <c r="B6721" t="s">
        <v>26951</v>
      </c>
      <c r="C6721" t="s">
        <v>17051</v>
      </c>
      <c r="D6721" t="s">
        <v>17050</v>
      </c>
      <c r="E6721" s="2" t="s">
        <v>313</v>
      </c>
      <c r="F6721" t="s">
        <v>10788</v>
      </c>
      <c r="G6721" t="str">
        <f>HYPERLINK("https://www.joongangenews.com/news/articleView.html?idxno=428498")</f>
        <v>https://www.joongangenews.com/news/articleView.html?idxno=428498</v>
      </c>
      <c r="H6721">
        <v>0.39</v>
      </c>
    </row>
    <row r="6722" spans="1:8" x14ac:dyDescent="0.3">
      <c r="A6722" t="s">
        <v>14761</v>
      </c>
      <c r="B6722" t="s">
        <v>26951</v>
      </c>
      <c r="C6722" t="s">
        <v>17053</v>
      </c>
      <c r="D6722" t="s">
        <v>17052</v>
      </c>
      <c r="E6722" s="2" t="s">
        <v>313</v>
      </c>
      <c r="F6722" t="s">
        <v>14878</v>
      </c>
      <c r="G6722" t="str">
        <f>HYPERLINK("https://sports.hankooki.com/news/articleView.html?idxno=6902043")</f>
        <v>https://sports.hankooki.com/news/articleView.html?idxno=6902043</v>
      </c>
      <c r="H6722">
        <v>0.54300000000000004</v>
      </c>
    </row>
    <row r="6723" spans="1:8" x14ac:dyDescent="0.3">
      <c r="A6723" t="s">
        <v>14761</v>
      </c>
      <c r="B6723" t="s">
        <v>26951</v>
      </c>
      <c r="C6723" t="s">
        <v>17056</v>
      </c>
      <c r="D6723" t="s">
        <v>17055</v>
      </c>
      <c r="E6723" s="2" t="s">
        <v>313</v>
      </c>
      <c r="F6723" t="s">
        <v>17054</v>
      </c>
      <c r="G6723" t="str">
        <f>HYPERLINK("https://n.news.naver.com/mnews/article/127/0000001707?sid=119")</f>
        <v>https://n.news.naver.com/mnews/article/127/0000001707?sid=119</v>
      </c>
      <c r="H6723">
        <v>1.0999999999999999E-2</v>
      </c>
    </row>
    <row r="6724" spans="1:8" x14ac:dyDescent="0.3">
      <c r="A6724" t="s">
        <v>14761</v>
      </c>
      <c r="B6724" t="s">
        <v>26951</v>
      </c>
      <c r="C6724" t="s">
        <v>17059</v>
      </c>
      <c r="D6724" t="s">
        <v>17058</v>
      </c>
      <c r="E6724" s="2" t="s">
        <v>313</v>
      </c>
      <c r="F6724" t="s">
        <v>17057</v>
      </c>
      <c r="G6724" t="str">
        <f>HYPERLINK("http://www.yeongnam.com/mnews/newsview.do?mode=newsView&amp;newskey=20140120.010080720480001")</f>
        <v>http://www.yeongnam.com/mnews/newsview.do?mode=newsView&amp;newskey=20140120.010080720480001</v>
      </c>
      <c r="H6724">
        <v>0.46100000000000002</v>
      </c>
    </row>
    <row r="6725" spans="1:8" x14ac:dyDescent="0.3">
      <c r="A6725" t="s">
        <v>14761</v>
      </c>
      <c r="B6725" t="s">
        <v>26951</v>
      </c>
      <c r="C6725" t="s">
        <v>17061</v>
      </c>
      <c r="D6725" t="s">
        <v>17060</v>
      </c>
      <c r="E6725" s="2" t="s">
        <v>313</v>
      </c>
      <c r="F6725" t="s">
        <v>14865</v>
      </c>
      <c r="G6725" t="str">
        <f>HYPERLINK("https://sports.hankooki.com/news/articleView.html?idxno=6902043")</f>
        <v>https://sports.hankooki.com/news/articleView.html?idxno=6902043</v>
      </c>
      <c r="H6725">
        <v>0.49099999999999999</v>
      </c>
    </row>
    <row r="6726" spans="1:8" x14ac:dyDescent="0.3">
      <c r="A6726" t="s">
        <v>14761</v>
      </c>
      <c r="B6726" t="s">
        <v>26951</v>
      </c>
      <c r="C6726" t="s">
        <v>17064</v>
      </c>
      <c r="D6726" t="s">
        <v>17063</v>
      </c>
      <c r="E6726" s="2" t="s">
        <v>313</v>
      </c>
      <c r="F6726" t="s">
        <v>17062</v>
      </c>
      <c r="G6726" t="str">
        <f>HYPERLINK("https://www.nbnews.kr/news/articleView.html?idxno=110005")</f>
        <v>https://www.nbnews.kr/news/articleView.html?idxno=110005</v>
      </c>
      <c r="H6726">
        <v>0.34699999999999998</v>
      </c>
    </row>
    <row r="6727" spans="1:8" x14ac:dyDescent="0.3">
      <c r="A6727" t="s">
        <v>14761</v>
      </c>
      <c r="B6727" t="s">
        <v>26951</v>
      </c>
      <c r="C6727" t="s">
        <v>17066</v>
      </c>
      <c r="D6727" t="s">
        <v>17065</v>
      </c>
      <c r="E6727" s="2" t="s">
        <v>313</v>
      </c>
      <c r="F6727" t="s">
        <v>10111</v>
      </c>
      <c r="G6727" t="str">
        <f>HYPERLINK("https://www.jemin.com/news/articleView.html?idxno=817682")</f>
        <v>https://www.jemin.com/news/articleView.html?idxno=817682</v>
      </c>
      <c r="H6727">
        <v>0.13100000000000001</v>
      </c>
    </row>
    <row r="6728" spans="1:8" x14ac:dyDescent="0.3">
      <c r="A6728" t="s">
        <v>14761</v>
      </c>
      <c r="B6728" t="s">
        <v>26951</v>
      </c>
      <c r="C6728" t="s">
        <v>17069</v>
      </c>
      <c r="D6728" t="s">
        <v>17068</v>
      </c>
      <c r="E6728" s="2" t="s">
        <v>313</v>
      </c>
      <c r="F6728" t="s">
        <v>17067</v>
      </c>
      <c r="G6728" t="str">
        <f>HYPERLINK("https://n.news.naver.com/mnews/article/079/0004039104?sid=102")</f>
        <v>https://n.news.naver.com/mnews/article/079/0004039104?sid=102</v>
      </c>
      <c r="H6728">
        <v>0.191</v>
      </c>
    </row>
    <row r="6729" spans="1:8" x14ac:dyDescent="0.3">
      <c r="A6729" t="s">
        <v>14761</v>
      </c>
      <c r="B6729" t="s">
        <v>26951</v>
      </c>
      <c r="C6729" t="s">
        <v>13306</v>
      </c>
      <c r="D6729" t="s">
        <v>13305</v>
      </c>
      <c r="E6729" s="2" t="s">
        <v>313</v>
      </c>
      <c r="F6729" t="s">
        <v>10605</v>
      </c>
      <c r="G6729" t="str">
        <f>HYPERLINK("https://www.huffingtonpost.kr/news/articleView.html?idxno=229951")</f>
        <v>https://www.huffingtonpost.kr/news/articleView.html?idxno=229951</v>
      </c>
      <c r="H6729">
        <v>0.63100000000000001</v>
      </c>
    </row>
    <row r="6730" spans="1:8" x14ac:dyDescent="0.3">
      <c r="A6730" t="s">
        <v>14761</v>
      </c>
      <c r="B6730" t="s">
        <v>26951</v>
      </c>
      <c r="C6730" t="s">
        <v>17071</v>
      </c>
      <c r="D6730" t="s">
        <v>17070</v>
      </c>
      <c r="E6730" s="2" t="s">
        <v>313</v>
      </c>
      <c r="F6730" t="s">
        <v>10181</v>
      </c>
      <c r="G6730" t="str">
        <f>HYPERLINK("https://sports.hankooki.com/news/articleView.html?idxno=6900943")</f>
        <v>https://sports.hankooki.com/news/articleView.html?idxno=6900943</v>
      </c>
      <c r="H6730">
        <v>0.58399999999999996</v>
      </c>
    </row>
    <row r="6731" spans="1:8" x14ac:dyDescent="0.3">
      <c r="A6731" t="s">
        <v>14761</v>
      </c>
      <c r="B6731" t="s">
        <v>26951</v>
      </c>
      <c r="C6731" t="s">
        <v>17073</v>
      </c>
      <c r="D6731" t="s">
        <v>17072</v>
      </c>
      <c r="E6731" s="2" t="s">
        <v>313</v>
      </c>
      <c r="F6731" t="s">
        <v>4119</v>
      </c>
      <c r="G6731" t="str">
        <f>HYPERLINK("https://www.etoday.co.kr/news/view/2476448")</f>
        <v>https://www.etoday.co.kr/news/view/2476448</v>
      </c>
      <c r="H6731">
        <v>0.54900000000000004</v>
      </c>
    </row>
    <row r="6732" spans="1:8" x14ac:dyDescent="0.3">
      <c r="A6732" t="s">
        <v>14761</v>
      </c>
      <c r="B6732" t="s">
        <v>26951</v>
      </c>
      <c r="C6732" t="s">
        <v>17076</v>
      </c>
      <c r="D6732" t="s">
        <v>17075</v>
      </c>
      <c r="E6732" s="2" t="s">
        <v>313</v>
      </c>
      <c r="F6732" t="s">
        <v>17074</v>
      </c>
      <c r="G6732" t="str">
        <f>HYPERLINK("http://www.newspim.com/news/view/20160523000218")</f>
        <v>http://www.newspim.com/news/view/20160523000218</v>
      </c>
      <c r="H6732">
        <v>0.32600000000000001</v>
      </c>
    </row>
    <row r="6733" spans="1:8" x14ac:dyDescent="0.3">
      <c r="A6733" t="s">
        <v>14761</v>
      </c>
      <c r="B6733" t="s">
        <v>26951</v>
      </c>
      <c r="C6733" t="s">
        <v>17078</v>
      </c>
      <c r="D6733" t="s">
        <v>17077</v>
      </c>
      <c r="E6733" s="2" t="s">
        <v>313</v>
      </c>
      <c r="F6733" t="s">
        <v>12082</v>
      </c>
      <c r="G6733" t="str">
        <f>HYPERLINK("https://n.news.naver.com/mnews/article/032/0002937481?sid=103")</f>
        <v>https://n.news.naver.com/mnews/article/032/0002937481?sid=103</v>
      </c>
      <c r="H6733">
        <v>0.317</v>
      </c>
    </row>
    <row r="6734" spans="1:8" x14ac:dyDescent="0.3">
      <c r="A6734" t="s">
        <v>14761</v>
      </c>
      <c r="B6734" t="s">
        <v>26951</v>
      </c>
      <c r="C6734" t="s">
        <v>17080</v>
      </c>
      <c r="D6734" t="s">
        <v>17079</v>
      </c>
      <c r="E6734" s="2" t="s">
        <v>313</v>
      </c>
      <c r="F6734" t="s">
        <v>10111</v>
      </c>
      <c r="G6734" t="str">
        <f>HYPERLINK("https://www.jemin.com/news/articleView.html?idxno=817682")</f>
        <v>https://www.jemin.com/news/articleView.html?idxno=817682</v>
      </c>
      <c r="H6734">
        <v>0.125</v>
      </c>
    </row>
    <row r="6735" spans="1:8" x14ac:dyDescent="0.3">
      <c r="A6735" t="s">
        <v>14761</v>
      </c>
      <c r="B6735" t="s">
        <v>26951</v>
      </c>
      <c r="C6735" t="s">
        <v>17082</v>
      </c>
      <c r="D6735" t="s">
        <v>17081</v>
      </c>
      <c r="E6735" s="2" t="s">
        <v>313</v>
      </c>
      <c r="F6735" t="s">
        <v>9944</v>
      </c>
      <c r="G6735" t="str">
        <f>HYPERLINK("https://www.ggilbo.com/news/articleView.html?idxno=1097294")</f>
        <v>https://www.ggilbo.com/news/articleView.html?idxno=1097294</v>
      </c>
      <c r="H6735">
        <v>0.38700000000000001</v>
      </c>
    </row>
    <row r="6736" spans="1:8" x14ac:dyDescent="0.3">
      <c r="A6736" t="s">
        <v>14761</v>
      </c>
      <c r="B6736" t="s">
        <v>26951</v>
      </c>
      <c r="C6736" t="s">
        <v>17084</v>
      </c>
      <c r="D6736" t="s">
        <v>17083</v>
      </c>
      <c r="E6736" s="2" t="s">
        <v>313</v>
      </c>
      <c r="F6736" t="s">
        <v>14878</v>
      </c>
      <c r="G6736" t="str">
        <f>HYPERLINK("https://www.ggilbo.com/news/articleView.html?idxno=1097294")</f>
        <v>https://www.ggilbo.com/news/articleView.html?idxno=1097294</v>
      </c>
      <c r="H6736">
        <v>0.44400000000000001</v>
      </c>
    </row>
    <row r="6737" spans="1:8" x14ac:dyDescent="0.3">
      <c r="A6737" t="s">
        <v>14761</v>
      </c>
      <c r="B6737" t="s">
        <v>26951</v>
      </c>
      <c r="C6737" t="s">
        <v>17086</v>
      </c>
      <c r="D6737" t="s">
        <v>17085</v>
      </c>
      <c r="E6737" s="2" t="s">
        <v>313</v>
      </c>
      <c r="F6737" t="s">
        <v>14873</v>
      </c>
      <c r="G6737" t="str">
        <f>HYPERLINK("https://www.dailysportshankook.co.kr/news/articleView.html?idxno=313355")</f>
        <v>https://www.dailysportshankook.co.kr/news/articleView.html?idxno=313355</v>
      </c>
      <c r="H6737">
        <v>0.45500000000000002</v>
      </c>
    </row>
    <row r="6738" spans="1:8" x14ac:dyDescent="0.3">
      <c r="A6738" t="s">
        <v>14761</v>
      </c>
      <c r="B6738" t="s">
        <v>26951</v>
      </c>
      <c r="C6738" t="s">
        <v>17088</v>
      </c>
      <c r="D6738" t="s">
        <v>17087</v>
      </c>
      <c r="E6738" s="2" t="s">
        <v>313</v>
      </c>
      <c r="F6738" t="s">
        <v>10044</v>
      </c>
      <c r="G6738" t="str">
        <f>HYPERLINK("https://n.news.naver.com/mnews/article/016/0002429776?sid=103")</f>
        <v>https://n.news.naver.com/mnews/article/016/0002429776?sid=103</v>
      </c>
      <c r="H6738">
        <v>0.312</v>
      </c>
    </row>
    <row r="6739" spans="1:8" x14ac:dyDescent="0.3">
      <c r="A6739" t="s">
        <v>14761</v>
      </c>
      <c r="B6739" t="s">
        <v>26951</v>
      </c>
      <c r="C6739" t="s">
        <v>17090</v>
      </c>
      <c r="D6739" t="s">
        <v>17089</v>
      </c>
      <c r="E6739" s="2" t="s">
        <v>313</v>
      </c>
      <c r="F6739" t="s">
        <v>7046</v>
      </c>
      <c r="G6739" t="str">
        <f>HYPERLINK("https://www.smartfn.co.kr/news/articleView.html?idxno=111305")</f>
        <v>https://www.smartfn.co.kr/news/articleView.html?idxno=111305</v>
      </c>
      <c r="H6739">
        <v>8.2000000000000003E-2</v>
      </c>
    </row>
    <row r="6740" spans="1:8" x14ac:dyDescent="0.3">
      <c r="A6740" t="s">
        <v>14761</v>
      </c>
      <c r="B6740" t="s">
        <v>26951</v>
      </c>
      <c r="C6740" t="s">
        <v>17093</v>
      </c>
      <c r="D6740" t="s">
        <v>17092</v>
      </c>
      <c r="E6740" s="2" t="s">
        <v>313</v>
      </c>
      <c r="F6740" t="s">
        <v>17091</v>
      </c>
      <c r="G6740" t="str">
        <f>HYPERLINK("http://www.mediapen.com/news/articleView.html?idxno=107112")</f>
        <v>http://www.mediapen.com/news/articleView.html?idxno=107112</v>
      </c>
      <c r="H6740">
        <v>0.308</v>
      </c>
    </row>
    <row r="6741" spans="1:8" x14ac:dyDescent="0.3">
      <c r="A6741" t="s">
        <v>14761</v>
      </c>
      <c r="B6741" t="s">
        <v>26951</v>
      </c>
      <c r="C6741" t="s">
        <v>17095</v>
      </c>
      <c r="D6741" t="s">
        <v>17094</v>
      </c>
      <c r="E6741" s="2" t="s">
        <v>313</v>
      </c>
      <c r="F6741" t="s">
        <v>1266</v>
      </c>
      <c r="G6741" t="str">
        <f>HYPERLINK("https://www.nc.press/news/articleView.html?idxno=568633")</f>
        <v>https://www.nc.press/news/articleView.html?idxno=568633</v>
      </c>
      <c r="H6741">
        <v>0.46400000000000002</v>
      </c>
    </row>
    <row r="6742" spans="1:8" x14ac:dyDescent="0.3">
      <c r="A6742" t="s">
        <v>14761</v>
      </c>
      <c r="B6742" t="s">
        <v>26951</v>
      </c>
      <c r="C6742" t="s">
        <v>17097</v>
      </c>
      <c r="D6742" t="s">
        <v>17096</v>
      </c>
      <c r="E6742" s="2" t="s">
        <v>313</v>
      </c>
      <c r="F6742" t="s">
        <v>14865</v>
      </c>
      <c r="G6742" t="str">
        <f>HYPERLINK("https://www.etoday.co.kr/news/view/2482171")</f>
        <v>https://www.etoday.co.kr/news/view/2482171</v>
      </c>
      <c r="H6742">
        <v>0.38300000000000001</v>
      </c>
    </row>
    <row r="6743" spans="1:8" x14ac:dyDescent="0.3">
      <c r="A6743" t="s">
        <v>14761</v>
      </c>
      <c r="B6743" t="s">
        <v>26951</v>
      </c>
      <c r="C6743" t="s">
        <v>17100</v>
      </c>
      <c r="D6743" t="s">
        <v>17099</v>
      </c>
      <c r="E6743" s="2" t="s">
        <v>313</v>
      </c>
      <c r="F6743" t="s">
        <v>17098</v>
      </c>
      <c r="G6743" t="str">
        <f>HYPERLINK("https://www.newspim.com/news/view/20250527000972")</f>
        <v>https://www.newspim.com/news/view/20250527000972</v>
      </c>
      <c r="H6743">
        <v>6.0999999999999999E-2</v>
      </c>
    </row>
    <row r="6744" spans="1:8" x14ac:dyDescent="0.3">
      <c r="A6744" t="s">
        <v>14761</v>
      </c>
      <c r="B6744" t="s">
        <v>26951</v>
      </c>
      <c r="C6744" t="s">
        <v>17102</v>
      </c>
      <c r="D6744" t="s">
        <v>17101</v>
      </c>
      <c r="E6744" s="2" t="s">
        <v>313</v>
      </c>
      <c r="F6744" t="s">
        <v>304</v>
      </c>
      <c r="G6744" t="str">
        <f>HYPERLINK("https://n.news.naver.com/mnews/article/014/0005365821?sid=102")</f>
        <v>https://n.news.naver.com/mnews/article/014/0005365821?sid=102</v>
      </c>
      <c r="H6744">
        <v>0.187</v>
      </c>
    </row>
    <row r="6745" spans="1:8" x14ac:dyDescent="0.3">
      <c r="A6745" t="s">
        <v>14761</v>
      </c>
      <c r="B6745" t="s">
        <v>26951</v>
      </c>
      <c r="C6745" t="s">
        <v>17104</v>
      </c>
      <c r="D6745" t="s">
        <v>17103</v>
      </c>
      <c r="E6745" s="2" t="s">
        <v>313</v>
      </c>
      <c r="F6745" t="s">
        <v>11938</v>
      </c>
      <c r="G6745" t="str">
        <f>HYPERLINK("https://www.econovill.com/news/articleView.html?idxno=701624")</f>
        <v>https://www.econovill.com/news/articleView.html?idxno=701624</v>
      </c>
      <c r="H6745">
        <v>0.34300000000000003</v>
      </c>
    </row>
    <row r="6746" spans="1:8" x14ac:dyDescent="0.3">
      <c r="A6746" t="s">
        <v>14761</v>
      </c>
      <c r="B6746" t="s">
        <v>26951</v>
      </c>
      <c r="C6746" t="s">
        <v>17107</v>
      </c>
      <c r="D6746" t="s">
        <v>17106</v>
      </c>
      <c r="E6746" s="2" t="s">
        <v>313</v>
      </c>
      <c r="F6746" t="s">
        <v>17105</v>
      </c>
      <c r="G6746" t="str">
        <f>HYPERLINK("https://n.news.naver.com/mnews/article/018/0006043404?sid=101")</f>
        <v>https://n.news.naver.com/mnews/article/018/0006043404?sid=101</v>
      </c>
      <c r="H6746">
        <v>0.155</v>
      </c>
    </row>
    <row r="6747" spans="1:8" x14ac:dyDescent="0.3">
      <c r="A6747" t="s">
        <v>14761</v>
      </c>
      <c r="B6747" t="s">
        <v>26951</v>
      </c>
      <c r="C6747" t="s">
        <v>17109</v>
      </c>
      <c r="D6747" t="s">
        <v>17108</v>
      </c>
      <c r="E6747" s="2" t="s">
        <v>313</v>
      </c>
      <c r="F6747" t="s">
        <v>8428</v>
      </c>
      <c r="G6747" t="str">
        <f>HYPERLINK("https://n.news.naver.com/mnews/article/018/0006043404?sid=101")</f>
        <v>https://n.news.naver.com/mnews/article/018/0006043404?sid=101</v>
      </c>
      <c r="H6747">
        <v>0.17599999999999999</v>
      </c>
    </row>
    <row r="6748" spans="1:8" x14ac:dyDescent="0.3">
      <c r="A6748" t="s">
        <v>14761</v>
      </c>
      <c r="B6748" t="s">
        <v>26951</v>
      </c>
      <c r="C6748" t="s">
        <v>17111</v>
      </c>
      <c r="D6748" t="s">
        <v>17110</v>
      </c>
      <c r="E6748" s="2" t="s">
        <v>313</v>
      </c>
      <c r="F6748" t="s">
        <v>11998</v>
      </c>
      <c r="G6748" t="str">
        <f>HYPERLINK("http://www.dentalnews.or.kr/news/article.html?no=39677")</f>
        <v>http://www.dentalnews.or.kr/news/article.html?no=39677</v>
      </c>
      <c r="H6748">
        <v>0.52500000000000002</v>
      </c>
    </row>
    <row r="6749" spans="1:8" x14ac:dyDescent="0.3">
      <c r="A6749" t="s">
        <v>14761</v>
      </c>
      <c r="B6749" t="s">
        <v>26951</v>
      </c>
      <c r="C6749" t="s">
        <v>17113</v>
      </c>
      <c r="D6749" t="s">
        <v>17112</v>
      </c>
      <c r="E6749" s="2" t="s">
        <v>313</v>
      </c>
      <c r="F6749" t="s">
        <v>7926</v>
      </c>
      <c r="G6749" t="str">
        <f>HYPERLINK("http://www.dailypop.kr/news/articleView.html?idxno=88903")</f>
        <v>http://www.dailypop.kr/news/articleView.html?idxno=88903</v>
      </c>
      <c r="H6749">
        <v>0.69699999999999995</v>
      </c>
    </row>
    <row r="6750" spans="1:8" x14ac:dyDescent="0.3">
      <c r="A6750" t="s">
        <v>14761</v>
      </c>
      <c r="B6750" t="s">
        <v>26951</v>
      </c>
      <c r="C6750" t="s">
        <v>17115</v>
      </c>
      <c r="D6750" t="s">
        <v>17114</v>
      </c>
      <c r="E6750" s="2" t="s">
        <v>313</v>
      </c>
      <c r="F6750" t="s">
        <v>2594</v>
      </c>
      <c r="G6750" t="str">
        <f>HYPERLINK("http://www.headlinejeju.co.kr/news/articleView.html?idxno=572567")</f>
        <v>http://www.headlinejeju.co.kr/news/articleView.html?idxno=572567</v>
      </c>
      <c r="H6750">
        <v>0.314</v>
      </c>
    </row>
    <row r="6751" spans="1:8" x14ac:dyDescent="0.3">
      <c r="A6751" t="s">
        <v>14761</v>
      </c>
      <c r="B6751" t="s">
        <v>26951</v>
      </c>
      <c r="C6751" t="s">
        <v>17117</v>
      </c>
      <c r="D6751" t="s">
        <v>17116</v>
      </c>
      <c r="E6751" s="2" t="s">
        <v>313</v>
      </c>
      <c r="F6751" t="s">
        <v>10229</v>
      </c>
      <c r="G6751" t="str">
        <f>HYPERLINK("http://www.kjdaily.com/article.php?aid=1711668942626066227")</f>
        <v>http://www.kjdaily.com/article.php?aid=1711668942626066227</v>
      </c>
      <c r="H6751">
        <v>5.1999999999999998E-2</v>
      </c>
    </row>
    <row r="6752" spans="1:8" x14ac:dyDescent="0.3">
      <c r="A6752" t="s">
        <v>14761</v>
      </c>
      <c r="B6752" t="s">
        <v>26951</v>
      </c>
      <c r="C6752" t="s">
        <v>17119</v>
      </c>
      <c r="D6752" t="s">
        <v>17118</v>
      </c>
      <c r="E6752" s="2" t="s">
        <v>313</v>
      </c>
      <c r="F6752" t="s">
        <v>10235</v>
      </c>
      <c r="G6752" t="str">
        <f>HYPERLINK("http://www.newsmp.com/news/articleView.html?idxno=235803")</f>
        <v>http://www.newsmp.com/news/articleView.html?idxno=235803</v>
      </c>
      <c r="H6752">
        <v>0.59299999999999997</v>
      </c>
    </row>
    <row r="6753" spans="1:8" x14ac:dyDescent="0.3">
      <c r="A6753" t="s">
        <v>14761</v>
      </c>
      <c r="B6753" t="s">
        <v>26951</v>
      </c>
      <c r="C6753" t="s">
        <v>17122</v>
      </c>
      <c r="D6753" t="s">
        <v>17121</v>
      </c>
      <c r="E6753" s="2" t="s">
        <v>313</v>
      </c>
      <c r="F6753" t="s">
        <v>17120</v>
      </c>
      <c r="G6753" t="str">
        <f>HYPERLINK("https://www.lecturernews.com/news/articleView.html?idxno=163469")</f>
        <v>https://www.lecturernews.com/news/articleView.html?idxno=163469</v>
      </c>
      <c r="H6753">
        <v>0.34</v>
      </c>
    </row>
    <row r="6754" spans="1:8" x14ac:dyDescent="0.3">
      <c r="A6754" t="s">
        <v>14761</v>
      </c>
      <c r="B6754" t="s">
        <v>26951</v>
      </c>
      <c r="C6754" t="s">
        <v>17124</v>
      </c>
      <c r="D6754" t="s">
        <v>17123</v>
      </c>
      <c r="E6754" s="2" t="s">
        <v>313</v>
      </c>
      <c r="F6754" t="s">
        <v>96</v>
      </c>
      <c r="G6754" t="str">
        <f>HYPERLINK("https://www.newspim.com/news/view/20250623000780")</f>
        <v>https://www.newspim.com/news/view/20250623000780</v>
      </c>
      <c r="H6754">
        <v>0.36599999999999999</v>
      </c>
    </row>
    <row r="6755" spans="1:8" x14ac:dyDescent="0.3">
      <c r="A6755" t="s">
        <v>14761</v>
      </c>
      <c r="B6755" t="s">
        <v>26951</v>
      </c>
      <c r="C6755" t="s">
        <v>17126</v>
      </c>
      <c r="D6755" t="s">
        <v>17125</v>
      </c>
      <c r="E6755" s="2" t="s">
        <v>313</v>
      </c>
      <c r="F6755" t="s">
        <v>4119</v>
      </c>
      <c r="G6755" t="str">
        <f>HYPERLINK("https://www.nc.press/news/articleView.html?idxno=568678")</f>
        <v>https://www.nc.press/news/articleView.html?idxno=568678</v>
      </c>
      <c r="H6755">
        <v>0.66200000000000003</v>
      </c>
    </row>
    <row r="6756" spans="1:8" x14ac:dyDescent="0.3">
      <c r="A6756" t="s">
        <v>14761</v>
      </c>
      <c r="B6756" t="s">
        <v>26951</v>
      </c>
      <c r="C6756" t="s">
        <v>17128</v>
      </c>
      <c r="D6756" t="s">
        <v>17127</v>
      </c>
      <c r="E6756" s="2" t="s">
        <v>313</v>
      </c>
      <c r="F6756" t="s">
        <v>2459</v>
      </c>
      <c r="G6756" t="str">
        <f>HYPERLINK("https://n.news.naver.com/mnews/article/008/0005211453?sid=101")</f>
        <v>https://n.news.naver.com/mnews/article/008/0005211453?sid=101</v>
      </c>
      <c r="H6756">
        <v>0.25</v>
      </c>
    </row>
    <row r="6757" spans="1:8" x14ac:dyDescent="0.3">
      <c r="A6757" t="s">
        <v>14761</v>
      </c>
      <c r="B6757" t="s">
        <v>26951</v>
      </c>
      <c r="C6757" t="s">
        <v>17130</v>
      </c>
      <c r="D6757" t="s">
        <v>17129</v>
      </c>
      <c r="E6757" s="2" t="s">
        <v>313</v>
      </c>
      <c r="F6757" t="s">
        <v>10471</v>
      </c>
      <c r="G6757" t="str">
        <f>HYPERLINK("https://www.nc.press/news/articleView.html?idxno=568678")</f>
        <v>https://www.nc.press/news/articleView.html?idxno=568678</v>
      </c>
      <c r="H6757">
        <v>0.66900000000000004</v>
      </c>
    </row>
    <row r="6758" spans="1:8" x14ac:dyDescent="0.3">
      <c r="A6758" t="s">
        <v>14761</v>
      </c>
      <c r="B6758" t="s">
        <v>26951</v>
      </c>
      <c r="C6758" t="s">
        <v>17132</v>
      </c>
      <c r="D6758" t="s">
        <v>17131</v>
      </c>
      <c r="E6758" s="2" t="s">
        <v>313</v>
      </c>
      <c r="F6758" t="s">
        <v>10471</v>
      </c>
      <c r="G6758" t="str">
        <f>HYPERLINK("https://sports.hankooki.com/news/articleView.html?idxno=6897307")</f>
        <v>https://sports.hankooki.com/news/articleView.html?idxno=6897307</v>
      </c>
      <c r="H6758">
        <v>0.47299999999999998</v>
      </c>
    </row>
    <row r="6759" spans="1:8" x14ac:dyDescent="0.3">
      <c r="A6759" t="s">
        <v>14761</v>
      </c>
      <c r="B6759" t="s">
        <v>26951</v>
      </c>
      <c r="C6759" t="s">
        <v>17135</v>
      </c>
      <c r="D6759" t="s">
        <v>17134</v>
      </c>
      <c r="E6759" s="2" t="s">
        <v>313</v>
      </c>
      <c r="F6759" t="s">
        <v>17133</v>
      </c>
      <c r="G6759" t="str">
        <f>HYPERLINK("http://www.apnews.kr/news/articleView.html?idxno=3004124")</f>
        <v>http://www.apnews.kr/news/articleView.html?idxno=3004124</v>
      </c>
      <c r="H6759">
        <v>0.14899999999999999</v>
      </c>
    </row>
    <row r="6760" spans="1:8" x14ac:dyDescent="0.3">
      <c r="A6760" t="s">
        <v>14761</v>
      </c>
      <c r="B6760" t="s">
        <v>26951</v>
      </c>
      <c r="C6760" t="s">
        <v>17137</v>
      </c>
      <c r="D6760" t="s">
        <v>17136</v>
      </c>
      <c r="E6760" s="2" t="s">
        <v>313</v>
      </c>
      <c r="F6760" t="s">
        <v>3235</v>
      </c>
      <c r="G6760" t="str">
        <f>HYPERLINK("https://www.ggilbo.com/news/articleView.html?idxno=1097294")</f>
        <v>https://www.ggilbo.com/news/articleView.html?idxno=1097294</v>
      </c>
      <c r="H6760">
        <v>0.55400000000000005</v>
      </c>
    </row>
    <row r="6761" spans="1:8" x14ac:dyDescent="0.3">
      <c r="A6761" t="s">
        <v>14761</v>
      </c>
      <c r="B6761" t="s">
        <v>26951</v>
      </c>
      <c r="C6761" t="s">
        <v>17140</v>
      </c>
      <c r="D6761" t="s">
        <v>17139</v>
      </c>
      <c r="E6761" s="2" t="s">
        <v>313</v>
      </c>
      <c r="F6761" t="s">
        <v>17138</v>
      </c>
      <c r="G6761" t="str">
        <f>HYPERLINK("https://www.lecturernews.com/news/articleView.html?idxno=111489")</f>
        <v>https://www.lecturernews.com/news/articleView.html?idxno=111489</v>
      </c>
      <c r="H6761">
        <v>0.44400000000000001</v>
      </c>
    </row>
    <row r="6762" spans="1:8" x14ac:dyDescent="0.3">
      <c r="A6762" t="s">
        <v>14761</v>
      </c>
      <c r="B6762" t="s">
        <v>26951</v>
      </c>
      <c r="C6762" t="s">
        <v>17143</v>
      </c>
      <c r="D6762" t="s">
        <v>17142</v>
      </c>
      <c r="E6762" s="2" t="s">
        <v>313</v>
      </c>
      <c r="F6762" t="s">
        <v>17141</v>
      </c>
      <c r="G6762" t="str">
        <f>HYPERLINK("https://www.newscj.com/news/articleView.html?idxno=3189732")</f>
        <v>https://www.newscj.com/news/articleView.html?idxno=3189732</v>
      </c>
      <c r="H6762">
        <v>0.60499999999999998</v>
      </c>
    </row>
    <row r="6763" spans="1:8" x14ac:dyDescent="0.3">
      <c r="A6763" t="s">
        <v>14761</v>
      </c>
      <c r="B6763" t="s">
        <v>26951</v>
      </c>
      <c r="C6763" t="s">
        <v>17145</v>
      </c>
      <c r="D6763" t="s">
        <v>17144</v>
      </c>
      <c r="E6763" s="2" t="s">
        <v>313</v>
      </c>
      <c r="F6763" t="s">
        <v>9944</v>
      </c>
      <c r="G6763" t="str">
        <f>HYPERLINK("https://www.socialvalue.kr/news/view/1065567508469609")</f>
        <v>https://www.socialvalue.kr/news/view/1065567508469609</v>
      </c>
      <c r="H6763">
        <v>0.27900000000000003</v>
      </c>
    </row>
    <row r="6764" spans="1:8" x14ac:dyDescent="0.3">
      <c r="A6764" t="s">
        <v>14761</v>
      </c>
      <c r="B6764" t="s">
        <v>26951</v>
      </c>
      <c r="C6764" t="s">
        <v>17147</v>
      </c>
      <c r="D6764" t="s">
        <v>17146</v>
      </c>
      <c r="E6764" s="2" t="s">
        <v>313</v>
      </c>
      <c r="F6764" t="s">
        <v>10069</v>
      </c>
      <c r="G6764" t="str">
        <f>HYPERLINK("https://www.thekpm.com/news/articleView.html?idxno=179827")</f>
        <v>https://www.thekpm.com/news/articleView.html?idxno=179827</v>
      </c>
      <c r="H6764">
        <v>0.27300000000000002</v>
      </c>
    </row>
    <row r="6765" spans="1:8" x14ac:dyDescent="0.3">
      <c r="A6765" t="s">
        <v>14761</v>
      </c>
      <c r="B6765" t="s">
        <v>26951</v>
      </c>
      <c r="C6765" t="s">
        <v>17150</v>
      </c>
      <c r="D6765" t="s">
        <v>17149</v>
      </c>
      <c r="E6765" s="2" t="s">
        <v>313</v>
      </c>
      <c r="F6765" t="s">
        <v>17148</v>
      </c>
      <c r="G6765" t="str">
        <f>HYPERLINK("https://n.news.naver.com/mnews/article/052/0002085539?sid=100")</f>
        <v>https://n.news.naver.com/mnews/article/052/0002085539?sid=100</v>
      </c>
      <c r="H6765">
        <v>0.13100000000000001</v>
      </c>
    </row>
    <row r="6766" spans="1:8" x14ac:dyDescent="0.3">
      <c r="A6766" t="s">
        <v>14761</v>
      </c>
      <c r="B6766" t="s">
        <v>26951</v>
      </c>
      <c r="C6766" t="s">
        <v>17152</v>
      </c>
      <c r="D6766" t="s">
        <v>17151</v>
      </c>
      <c r="E6766" s="2" t="s">
        <v>313</v>
      </c>
      <c r="F6766" t="s">
        <v>6379</v>
      </c>
      <c r="G6766" t="str">
        <f>HYPERLINK("https://www.youthdaily.co.kr/news/article.html?no=92235")</f>
        <v>https://www.youthdaily.co.kr/news/article.html?no=92235</v>
      </c>
      <c r="H6766">
        <v>0.60899999999999999</v>
      </c>
    </row>
    <row r="6767" spans="1:8" x14ac:dyDescent="0.3">
      <c r="A6767" t="s">
        <v>14761</v>
      </c>
      <c r="B6767" t="s">
        <v>26951</v>
      </c>
      <c r="C6767" t="s">
        <v>17154</v>
      </c>
      <c r="D6767" t="s">
        <v>17153</v>
      </c>
      <c r="E6767" s="2" t="s">
        <v>313</v>
      </c>
      <c r="F6767" t="s">
        <v>11264</v>
      </c>
      <c r="G6767" t="str">
        <f>HYPERLINK("https://www.lecturernews.com/news/articleView.html?idxno=180820")</f>
        <v>https://www.lecturernews.com/news/articleView.html?idxno=180820</v>
      </c>
      <c r="H6767">
        <v>0.45600000000000002</v>
      </c>
    </row>
    <row r="6768" spans="1:8" x14ac:dyDescent="0.3">
      <c r="A6768" t="s">
        <v>14761</v>
      </c>
      <c r="B6768" t="s">
        <v>26951</v>
      </c>
      <c r="C6768" t="s">
        <v>17157</v>
      </c>
      <c r="D6768" t="s">
        <v>17156</v>
      </c>
      <c r="E6768" s="2" t="s">
        <v>172</v>
      </c>
      <c r="F6768" t="s">
        <v>17155</v>
      </c>
      <c r="G6768" t="str">
        <f>HYPERLINK("https://www.etoday.co.kr/news/view/2482579")</f>
        <v>https://www.etoday.co.kr/news/view/2482579</v>
      </c>
      <c r="H6768">
        <v>0.496</v>
      </c>
    </row>
    <row r="6769" spans="1:8" x14ac:dyDescent="0.3">
      <c r="A6769" t="s">
        <v>14761</v>
      </c>
      <c r="B6769" t="s">
        <v>26951</v>
      </c>
      <c r="C6769" t="s">
        <v>17160</v>
      </c>
      <c r="D6769" t="s">
        <v>17159</v>
      </c>
      <c r="E6769" s="2" t="s">
        <v>172</v>
      </c>
      <c r="F6769" t="s">
        <v>17158</v>
      </c>
      <c r="G6769" t="str">
        <f>HYPERLINK("https://www.ekn.kr/web/view.php?key=20250529026061918")</f>
        <v>https://www.ekn.kr/web/view.php?key=20250529026061918</v>
      </c>
      <c r="H6769">
        <v>0.56000000000000005</v>
      </c>
    </row>
    <row r="6770" spans="1:8" x14ac:dyDescent="0.3">
      <c r="A6770" t="s">
        <v>14761</v>
      </c>
      <c r="B6770" t="s">
        <v>26951</v>
      </c>
      <c r="C6770" t="s">
        <v>17162</v>
      </c>
      <c r="D6770" t="s">
        <v>17161</v>
      </c>
      <c r="E6770" s="2" t="s">
        <v>172</v>
      </c>
      <c r="F6770" t="s">
        <v>7926</v>
      </c>
      <c r="G6770" t="str">
        <f>HYPERLINK("https://www.etoday.co.kr/news/view/2171137")</f>
        <v>https://www.etoday.co.kr/news/view/2171137</v>
      </c>
      <c r="H6770">
        <v>0.432</v>
      </c>
    </row>
    <row r="6771" spans="1:8" x14ac:dyDescent="0.3">
      <c r="A6771" t="s">
        <v>14761</v>
      </c>
      <c r="B6771" t="s">
        <v>26951</v>
      </c>
      <c r="C6771" t="s">
        <v>17164</v>
      </c>
      <c r="D6771" t="s">
        <v>17163</v>
      </c>
      <c r="E6771" s="2" t="s">
        <v>172</v>
      </c>
      <c r="F6771" t="s">
        <v>10132</v>
      </c>
      <c r="G6771" t="str">
        <f>HYPERLINK("https://n.news.naver.com/mnews/article/032/0003252262?sid=103")</f>
        <v>https://n.news.naver.com/mnews/article/032/0003252262?sid=103</v>
      </c>
      <c r="H6771">
        <v>0.25900000000000001</v>
      </c>
    </row>
    <row r="6772" spans="1:8" x14ac:dyDescent="0.3">
      <c r="A6772" t="s">
        <v>14761</v>
      </c>
      <c r="B6772" t="s">
        <v>26951</v>
      </c>
      <c r="C6772" t="s">
        <v>17167</v>
      </c>
      <c r="D6772" t="s">
        <v>17166</v>
      </c>
      <c r="E6772" s="2" t="s">
        <v>172</v>
      </c>
      <c r="F6772" t="s">
        <v>17165</v>
      </c>
      <c r="G6772" t="str">
        <f>HYPERLINK("http://www.greened.kr/news/articleView.html?idxno=299113")</f>
        <v>http://www.greened.kr/news/articleView.html?idxno=299113</v>
      </c>
      <c r="H6772">
        <v>0.31900000000000001</v>
      </c>
    </row>
    <row r="6773" spans="1:8" x14ac:dyDescent="0.3">
      <c r="A6773" t="s">
        <v>14761</v>
      </c>
      <c r="B6773" t="s">
        <v>26951</v>
      </c>
      <c r="C6773" t="s">
        <v>17169</v>
      </c>
      <c r="D6773" t="s">
        <v>17168</v>
      </c>
      <c r="E6773" s="2" t="s">
        <v>172</v>
      </c>
      <c r="F6773" t="s">
        <v>15128</v>
      </c>
      <c r="G6773" t="str">
        <f>HYPERLINK("https://n.news.naver.com/mnews/article/006/0000128241?sid=102")</f>
        <v>https://n.news.naver.com/mnews/article/006/0000128241?sid=102</v>
      </c>
      <c r="H6773">
        <v>0.21099999999999999</v>
      </c>
    </row>
    <row r="6774" spans="1:8" x14ac:dyDescent="0.3">
      <c r="A6774" t="s">
        <v>14761</v>
      </c>
      <c r="B6774" t="s">
        <v>26951</v>
      </c>
      <c r="C6774" t="s">
        <v>17171</v>
      </c>
      <c r="D6774" t="s">
        <v>17170</v>
      </c>
      <c r="E6774" s="2" t="s">
        <v>172</v>
      </c>
      <c r="F6774" t="s">
        <v>4122</v>
      </c>
      <c r="G6774" t="str">
        <f>HYPERLINK("http://www.breaknews.com/1127320")</f>
        <v>http://www.breaknews.com/1127320</v>
      </c>
      <c r="H6774">
        <v>0.39900000000000002</v>
      </c>
    </row>
    <row r="6775" spans="1:8" x14ac:dyDescent="0.3">
      <c r="A6775" t="s">
        <v>14761</v>
      </c>
      <c r="B6775" t="s">
        <v>26951</v>
      </c>
      <c r="C6775" t="s">
        <v>17175</v>
      </c>
      <c r="D6775" t="s">
        <v>17174</v>
      </c>
      <c r="E6775" s="2" t="s">
        <v>172</v>
      </c>
      <c r="F6775" t="s">
        <v>17173</v>
      </c>
      <c r="G6775" t="str">
        <f>HYPERLINK("http://www.bulkwang.co.kr/news/articleView.html?idxno=38398")</f>
        <v>http://www.bulkwang.co.kr/news/articleView.html?idxno=38398</v>
      </c>
      <c r="H6775">
        <v>0.64400000000000002</v>
      </c>
    </row>
    <row r="6776" spans="1:8" x14ac:dyDescent="0.3">
      <c r="A6776" t="s">
        <v>14761</v>
      </c>
      <c r="B6776" t="s">
        <v>26951</v>
      </c>
      <c r="C6776" t="s">
        <v>17177</v>
      </c>
      <c r="D6776" t="s">
        <v>17176</v>
      </c>
      <c r="E6776" s="2" t="s">
        <v>172</v>
      </c>
      <c r="F6776" t="s">
        <v>10917</v>
      </c>
      <c r="G6776" t="str">
        <f>HYPERLINK("https://n.news.naver.com/mnews/article/016/0002490941?sid=103")</f>
        <v>https://n.news.naver.com/mnews/article/016/0002490941?sid=103</v>
      </c>
      <c r="H6776">
        <v>0.221</v>
      </c>
    </row>
    <row r="6777" spans="1:8" x14ac:dyDescent="0.3">
      <c r="A6777" t="s">
        <v>14761</v>
      </c>
      <c r="B6777" t="s">
        <v>26951</v>
      </c>
      <c r="C6777" t="s">
        <v>17179</v>
      </c>
      <c r="D6777" t="s">
        <v>17178</v>
      </c>
      <c r="E6777" s="2" t="s">
        <v>172</v>
      </c>
      <c r="F6777" t="s">
        <v>3235</v>
      </c>
      <c r="G6777" t="str">
        <f>HYPERLINK("https://www.joongangenews.com/news/articleView.html?idxno=424915")</f>
        <v>https://www.joongangenews.com/news/articleView.html?idxno=424915</v>
      </c>
      <c r="H6777">
        <v>0.54300000000000004</v>
      </c>
    </row>
    <row r="6778" spans="1:8" x14ac:dyDescent="0.3">
      <c r="A6778" t="s">
        <v>14761</v>
      </c>
      <c r="B6778" t="s">
        <v>26951</v>
      </c>
      <c r="C6778" t="s">
        <v>17181</v>
      </c>
      <c r="D6778" t="s">
        <v>17180</v>
      </c>
      <c r="E6778" s="2" t="s">
        <v>172</v>
      </c>
      <c r="F6778" t="s">
        <v>3235</v>
      </c>
      <c r="G6778" t="str">
        <f>HYPERLINK("https://www.joongangenews.com/news/articleView.html?idxno=426487")</f>
        <v>https://www.joongangenews.com/news/articleView.html?idxno=426487</v>
      </c>
      <c r="H6778">
        <v>0.48299999999999998</v>
      </c>
    </row>
    <row r="6779" spans="1:8" x14ac:dyDescent="0.3">
      <c r="A6779" t="s">
        <v>14761</v>
      </c>
      <c r="B6779" t="s">
        <v>26951</v>
      </c>
      <c r="C6779" t="s">
        <v>17184</v>
      </c>
      <c r="D6779" t="s">
        <v>17183</v>
      </c>
      <c r="E6779" s="2" t="s">
        <v>172</v>
      </c>
      <c r="F6779" t="s">
        <v>10111</v>
      </c>
      <c r="G6779" t="str">
        <f>HYPERLINK("https://www.ggilbo.com/news/articleView.html?idxno=1097294")</f>
        <v>https://www.ggilbo.com/news/articleView.html?idxno=1097294</v>
      </c>
      <c r="H6779">
        <v>0.42</v>
      </c>
    </row>
    <row r="6780" spans="1:8" x14ac:dyDescent="0.3">
      <c r="A6780" t="s">
        <v>14761</v>
      </c>
      <c r="B6780" t="s">
        <v>26951</v>
      </c>
      <c r="C6780" t="s">
        <v>17187</v>
      </c>
      <c r="D6780" t="s">
        <v>17186</v>
      </c>
      <c r="E6780" s="2" t="s">
        <v>172</v>
      </c>
      <c r="F6780" t="s">
        <v>17185</v>
      </c>
      <c r="G6780" t="str">
        <f>HYPERLINK("http://www.newstnt.com/news/articleView.html?idxno=382686")</f>
        <v>http://www.newstnt.com/news/articleView.html?idxno=382686</v>
      </c>
      <c r="H6780">
        <v>0.52900000000000003</v>
      </c>
    </row>
    <row r="6781" spans="1:8" x14ac:dyDescent="0.3">
      <c r="A6781" t="s">
        <v>14761</v>
      </c>
      <c r="B6781" t="s">
        <v>26951</v>
      </c>
      <c r="C6781" t="s">
        <v>17190</v>
      </c>
      <c r="D6781" t="s">
        <v>17189</v>
      </c>
      <c r="E6781" s="2" t="s">
        <v>172</v>
      </c>
      <c r="F6781" t="s">
        <v>17188</v>
      </c>
      <c r="G6781" t="str">
        <f>HYPERLINK("https://sports.hankooki.com/news/articleView.html?idxno=6901904")</f>
        <v>https://sports.hankooki.com/news/articleView.html?idxno=6901904</v>
      </c>
      <c r="H6781">
        <v>0.61299999999999999</v>
      </c>
    </row>
    <row r="6782" spans="1:8" x14ac:dyDescent="0.3">
      <c r="A6782" t="s">
        <v>14761</v>
      </c>
      <c r="B6782" t="s">
        <v>26951</v>
      </c>
      <c r="C6782" t="s">
        <v>17193</v>
      </c>
      <c r="D6782" t="s">
        <v>17192</v>
      </c>
      <c r="E6782" s="2" t="s">
        <v>172</v>
      </c>
      <c r="F6782" t="s">
        <v>17191</v>
      </c>
      <c r="G6782" t="str">
        <f>HYPERLINK("http://www.foodtvnews.com/view.php?ud=2017060908305361447b682bb492_11")</f>
        <v>http://www.foodtvnews.com/view.php?ud=2017060908305361447b682bb492_11</v>
      </c>
      <c r="H6782">
        <v>5.8000000000000003E-2</v>
      </c>
    </row>
    <row r="6783" spans="1:8" x14ac:dyDescent="0.3">
      <c r="A6783" t="s">
        <v>14761</v>
      </c>
      <c r="B6783" t="s">
        <v>26951</v>
      </c>
      <c r="C6783" t="s">
        <v>17196</v>
      </c>
      <c r="D6783" t="s">
        <v>17195</v>
      </c>
      <c r="E6783" s="2" t="s">
        <v>172</v>
      </c>
      <c r="F6783" t="s">
        <v>17194</v>
      </c>
      <c r="G6783" t="str">
        <f>HYPERLINK("https://n.news.naver.com/mnews/article/008/0003429524?sid=100")</f>
        <v>https://n.news.naver.com/mnews/article/008/0003429524?sid=100</v>
      </c>
      <c r="H6783">
        <v>0.18099999999999999</v>
      </c>
    </row>
    <row r="6784" spans="1:8" x14ac:dyDescent="0.3">
      <c r="A6784" t="s">
        <v>14761</v>
      </c>
      <c r="B6784" t="s">
        <v>26951</v>
      </c>
      <c r="C6784" t="s">
        <v>17198</v>
      </c>
      <c r="D6784" t="s">
        <v>17197</v>
      </c>
      <c r="E6784" s="2" t="s">
        <v>172</v>
      </c>
      <c r="F6784" t="s">
        <v>4119</v>
      </c>
      <c r="G6784" t="str">
        <f>HYPERLINK("https://sports.hankooki.com/news/articleView.html?idxno=6901356")</f>
        <v>https://sports.hankooki.com/news/articleView.html?idxno=6901356</v>
      </c>
      <c r="H6784">
        <v>0.57299999999999995</v>
      </c>
    </row>
    <row r="6785" spans="1:8" x14ac:dyDescent="0.3">
      <c r="A6785" t="s">
        <v>14761</v>
      </c>
      <c r="B6785" t="s">
        <v>26951</v>
      </c>
      <c r="C6785" t="s">
        <v>17200</v>
      </c>
      <c r="D6785" t="s">
        <v>17199</v>
      </c>
      <c r="E6785" s="2" t="s">
        <v>172</v>
      </c>
      <c r="F6785" t="s">
        <v>10021</v>
      </c>
      <c r="G6785" t="str">
        <f>HYPERLINK("https://sports.hankooki.com/news/articleView.html?idxno=6886057")</f>
        <v>https://sports.hankooki.com/news/articleView.html?idxno=6886057</v>
      </c>
      <c r="H6785">
        <v>0.60799999999999998</v>
      </c>
    </row>
    <row r="6786" spans="1:8" x14ac:dyDescent="0.3">
      <c r="A6786" t="s">
        <v>14761</v>
      </c>
      <c r="B6786" t="s">
        <v>26951</v>
      </c>
      <c r="C6786" t="s">
        <v>17203</v>
      </c>
      <c r="D6786" t="s">
        <v>17202</v>
      </c>
      <c r="E6786" s="2" t="s">
        <v>172</v>
      </c>
      <c r="F6786" t="s">
        <v>17201</v>
      </c>
      <c r="G6786" t="str">
        <f>HYPERLINK("https://n.news.naver.com/mnews/article/214/0001425912?sid=101")</f>
        <v>https://n.news.naver.com/mnews/article/214/0001425912?sid=101</v>
      </c>
      <c r="H6786">
        <v>0.223</v>
      </c>
    </row>
    <row r="6787" spans="1:8" x14ac:dyDescent="0.3">
      <c r="A6787" t="s">
        <v>14761</v>
      </c>
      <c r="B6787" t="s">
        <v>26951</v>
      </c>
      <c r="C6787" t="s">
        <v>17205</v>
      </c>
      <c r="D6787" t="s">
        <v>17204</v>
      </c>
      <c r="E6787" s="2" t="s">
        <v>172</v>
      </c>
      <c r="F6787" t="s">
        <v>5548</v>
      </c>
      <c r="G6787" t="str">
        <f>HYPERLINK("https://sports.hankooki.com/news/articleView.html?idxno=6892461")</f>
        <v>https://sports.hankooki.com/news/articleView.html?idxno=6892461</v>
      </c>
      <c r="H6787">
        <v>0.59899999999999998</v>
      </c>
    </row>
    <row r="6788" spans="1:8" x14ac:dyDescent="0.3">
      <c r="A6788" t="s">
        <v>14761</v>
      </c>
      <c r="B6788" t="s">
        <v>26951</v>
      </c>
      <c r="C6788" t="s">
        <v>17208</v>
      </c>
      <c r="D6788" t="s">
        <v>17207</v>
      </c>
      <c r="E6788" s="2" t="s">
        <v>172</v>
      </c>
      <c r="F6788" t="s">
        <v>17206</v>
      </c>
      <c r="G6788" t="str">
        <f>HYPERLINK("https://www.ablenews.co.kr/news/articleView.html?idxno=222821")</f>
        <v>https://www.ablenews.co.kr/news/articleView.html?idxno=222821</v>
      </c>
      <c r="H6788">
        <v>9.7000000000000003E-2</v>
      </c>
    </row>
    <row r="6789" spans="1:8" x14ac:dyDescent="0.3">
      <c r="A6789" t="s">
        <v>14761</v>
      </c>
      <c r="B6789" t="s">
        <v>26951</v>
      </c>
      <c r="C6789" t="s">
        <v>17210</v>
      </c>
      <c r="D6789" t="s">
        <v>17209</v>
      </c>
      <c r="E6789" s="2" t="s">
        <v>172</v>
      </c>
      <c r="F6789" t="s">
        <v>7846</v>
      </c>
      <c r="G6789" t="str">
        <f>HYPERLINK("http://www.breaknews.com/775561")</f>
        <v>http://www.breaknews.com/775561</v>
      </c>
      <c r="H6789">
        <v>0.32400000000000001</v>
      </c>
    </row>
    <row r="6790" spans="1:8" x14ac:dyDescent="0.3">
      <c r="A6790" t="s">
        <v>14761</v>
      </c>
      <c r="B6790" t="s">
        <v>26951</v>
      </c>
      <c r="C6790" t="s">
        <v>17212</v>
      </c>
      <c r="D6790" t="s">
        <v>17211</v>
      </c>
      <c r="E6790" s="2" t="s">
        <v>172</v>
      </c>
      <c r="F6790" t="s">
        <v>9679</v>
      </c>
      <c r="G6790" t="str">
        <f>HYPERLINK("https://n.news.naver.com/mnews/article/016/0002492932?sid=102")</f>
        <v>https://n.news.naver.com/mnews/article/016/0002492932?sid=102</v>
      </c>
      <c r="H6790">
        <v>0.28299999999999997</v>
      </c>
    </row>
    <row r="6791" spans="1:8" x14ac:dyDescent="0.3">
      <c r="A6791" t="s">
        <v>14761</v>
      </c>
      <c r="B6791" t="s">
        <v>26951</v>
      </c>
      <c r="C6791" t="s">
        <v>17214</v>
      </c>
      <c r="D6791" t="s">
        <v>17213</v>
      </c>
      <c r="E6791" s="2" t="s">
        <v>172</v>
      </c>
      <c r="F6791" t="s">
        <v>5548</v>
      </c>
      <c r="G6791" t="str">
        <f>HYPERLINK("https://www.jemin.com/news/articleView.html?idxno=793972")</f>
        <v>https://www.jemin.com/news/articleView.html?idxno=793972</v>
      </c>
      <c r="H6791">
        <v>0.40500000000000003</v>
      </c>
    </row>
    <row r="6792" spans="1:8" x14ac:dyDescent="0.3">
      <c r="A6792" t="s">
        <v>14761</v>
      </c>
      <c r="B6792" t="s">
        <v>26951</v>
      </c>
      <c r="C6792" t="s">
        <v>17216</v>
      </c>
      <c r="D6792" t="s">
        <v>17215</v>
      </c>
      <c r="E6792" s="2" t="s">
        <v>172</v>
      </c>
      <c r="F6792" t="s">
        <v>171</v>
      </c>
      <c r="G6792" t="str">
        <f>HYPERLINK("https://www.ggilbo.com/news/articleView.html?idxno=1097294")</f>
        <v>https://www.ggilbo.com/news/articleView.html?idxno=1097294</v>
      </c>
      <c r="H6792">
        <v>0.61</v>
      </c>
    </row>
    <row r="6793" spans="1:8" x14ac:dyDescent="0.3">
      <c r="A6793" t="s">
        <v>14761</v>
      </c>
      <c r="B6793" t="s">
        <v>26951</v>
      </c>
      <c r="C6793" t="s">
        <v>17218</v>
      </c>
      <c r="D6793" t="s">
        <v>17217</v>
      </c>
      <c r="E6793" s="2" t="s">
        <v>172</v>
      </c>
      <c r="F6793" t="s">
        <v>8165</v>
      </c>
      <c r="G6793" t="str">
        <f>HYPERLINK("http://www.koreastocknews.com/news/articleView.html?idxno=97561")</f>
        <v>http://www.koreastocknews.com/news/articleView.html?idxno=97561</v>
      </c>
      <c r="H6793">
        <v>0.53</v>
      </c>
    </row>
    <row r="6794" spans="1:8" x14ac:dyDescent="0.3">
      <c r="A6794" t="s">
        <v>14761</v>
      </c>
      <c r="B6794" t="s">
        <v>26951</v>
      </c>
      <c r="C6794" t="s">
        <v>17220</v>
      </c>
      <c r="D6794" t="s">
        <v>17219</v>
      </c>
      <c r="E6794" s="2" t="s">
        <v>172</v>
      </c>
      <c r="F6794" t="s">
        <v>9944</v>
      </c>
      <c r="G6794" t="str">
        <f>HYPERLINK("https://sports.hankooki.com/news/articleView.html?idxno=6902043")</f>
        <v>https://sports.hankooki.com/news/articleView.html?idxno=6902043</v>
      </c>
      <c r="H6794">
        <v>0.39500000000000002</v>
      </c>
    </row>
    <row r="6795" spans="1:8" x14ac:dyDescent="0.3">
      <c r="A6795" t="s">
        <v>14761</v>
      </c>
      <c r="B6795" t="s">
        <v>26951</v>
      </c>
      <c r="C6795" t="s">
        <v>17222</v>
      </c>
      <c r="D6795" t="s">
        <v>17221</v>
      </c>
      <c r="E6795" s="2" t="s">
        <v>172</v>
      </c>
      <c r="F6795" t="s">
        <v>12391</v>
      </c>
      <c r="G6795" t="str">
        <f>HYPERLINK("https://www.korea.kr/news/cultureColumnView.do?newsId=148944535&amp;call_from=naver_news")</f>
        <v>https://www.korea.kr/news/cultureColumnView.do?newsId=148944535&amp;call_from=naver_news</v>
      </c>
      <c r="H6795">
        <v>0.44900000000000001</v>
      </c>
    </row>
    <row r="6796" spans="1:8" x14ac:dyDescent="0.3">
      <c r="A6796" t="s">
        <v>14761</v>
      </c>
      <c r="B6796" t="s">
        <v>26951</v>
      </c>
      <c r="C6796" t="s">
        <v>17225</v>
      </c>
      <c r="D6796" t="s">
        <v>17224</v>
      </c>
      <c r="E6796" s="2" t="s">
        <v>172</v>
      </c>
      <c r="F6796" t="s">
        <v>17223</v>
      </c>
      <c r="G6796" t="str">
        <f>HYPERLINK("https://www.etoday.co.kr/news/view/2477603")</f>
        <v>https://www.etoday.co.kr/news/view/2477603</v>
      </c>
      <c r="H6796">
        <v>0.436</v>
      </c>
    </row>
    <row r="6797" spans="1:8" x14ac:dyDescent="0.3">
      <c r="A6797" t="s">
        <v>14761</v>
      </c>
      <c r="B6797" t="s">
        <v>26951</v>
      </c>
      <c r="C6797" t="s">
        <v>17227</v>
      </c>
      <c r="D6797" t="s">
        <v>17226</v>
      </c>
      <c r="E6797" s="2" t="s">
        <v>172</v>
      </c>
      <c r="F6797" t="s">
        <v>1378</v>
      </c>
      <c r="G6797" t="str">
        <f>HYPERLINK("https://n.news.naver.com/mnews/article/008/0004004560?sid=103")</f>
        <v>https://n.news.naver.com/mnews/article/008/0004004560?sid=103</v>
      </c>
      <c r="H6797">
        <v>0.26500000000000001</v>
      </c>
    </row>
    <row r="6798" spans="1:8" x14ac:dyDescent="0.3">
      <c r="A6798" t="s">
        <v>14761</v>
      </c>
      <c r="B6798" t="s">
        <v>26951</v>
      </c>
      <c r="C6798" t="s">
        <v>17229</v>
      </c>
      <c r="D6798" t="s">
        <v>17228</v>
      </c>
      <c r="E6798" s="2" t="s">
        <v>172</v>
      </c>
      <c r="F6798" t="s">
        <v>6486</v>
      </c>
      <c r="G6798" t="str">
        <f>HYPERLINK("https://n.news.naver.com/mnews/article/088/0000106495?sid=102")</f>
        <v>https://n.news.naver.com/mnews/article/088/0000106495?sid=102</v>
      </c>
      <c r="H6798">
        <v>0.20899999999999999</v>
      </c>
    </row>
    <row r="6799" spans="1:8" x14ac:dyDescent="0.3">
      <c r="A6799" t="s">
        <v>14761</v>
      </c>
      <c r="B6799" t="s">
        <v>26951</v>
      </c>
      <c r="C6799" t="s">
        <v>17232</v>
      </c>
      <c r="D6799" t="s">
        <v>17231</v>
      </c>
      <c r="E6799" s="2" t="s">
        <v>172</v>
      </c>
      <c r="F6799" t="s">
        <v>17230</v>
      </c>
      <c r="G6799" t="str">
        <f>HYPERLINK("https://www.etoday.co.kr/news/view/2481787")</f>
        <v>https://www.etoday.co.kr/news/view/2481787</v>
      </c>
      <c r="H6799">
        <v>0.48699999999999999</v>
      </c>
    </row>
    <row r="6800" spans="1:8" x14ac:dyDescent="0.3">
      <c r="A6800" t="s">
        <v>14761</v>
      </c>
      <c r="B6800" t="s">
        <v>26951</v>
      </c>
      <c r="C6800" t="s">
        <v>17234</v>
      </c>
      <c r="D6800" t="s">
        <v>17233</v>
      </c>
      <c r="E6800" s="2" t="s">
        <v>172</v>
      </c>
      <c r="F6800" t="s">
        <v>171</v>
      </c>
      <c r="G6800" t="str">
        <f>HYPERLINK("https://www.huffingtonpost.kr/news/articleView.html?idxno=236816")</f>
        <v>https://www.huffingtonpost.kr/news/articleView.html?idxno=236816</v>
      </c>
      <c r="H6800">
        <v>0.71099999999999997</v>
      </c>
    </row>
    <row r="6801" spans="1:8" x14ac:dyDescent="0.3">
      <c r="A6801" t="s">
        <v>14761</v>
      </c>
      <c r="B6801" t="s">
        <v>26951</v>
      </c>
      <c r="C6801" t="s">
        <v>17236</v>
      </c>
      <c r="D6801" t="s">
        <v>17235</v>
      </c>
      <c r="E6801" s="2" t="s">
        <v>172</v>
      </c>
      <c r="F6801" t="s">
        <v>1705</v>
      </c>
      <c r="G6801" t="str">
        <f>HYPERLINK("https://n.news.naver.com/mnews/article/016/0002491169?sid=102")</f>
        <v>https://n.news.naver.com/mnews/article/016/0002491169?sid=102</v>
      </c>
      <c r="H6801">
        <v>0.21199999999999999</v>
      </c>
    </row>
    <row r="6802" spans="1:8" x14ac:dyDescent="0.3">
      <c r="A6802" t="s">
        <v>14761</v>
      </c>
      <c r="B6802" t="s">
        <v>26951</v>
      </c>
      <c r="C6802" t="s">
        <v>17238</v>
      </c>
      <c r="D6802" t="s">
        <v>17237</v>
      </c>
      <c r="E6802" s="2" t="s">
        <v>172</v>
      </c>
      <c r="F6802" t="s">
        <v>10433</v>
      </c>
      <c r="G6802" t="str">
        <f>HYPERLINK("http://kpenews.com/Board.aspx?BoardNo=2504")</f>
        <v>http://kpenews.com/Board.aspx?BoardNo=2504</v>
      </c>
      <c r="H6802">
        <v>0.28899999999999998</v>
      </c>
    </row>
    <row r="6803" spans="1:8" x14ac:dyDescent="0.3">
      <c r="A6803" t="s">
        <v>14761</v>
      </c>
      <c r="B6803" t="s">
        <v>26951</v>
      </c>
      <c r="C6803" t="s">
        <v>17240</v>
      </c>
      <c r="D6803" t="s">
        <v>17239</v>
      </c>
      <c r="E6803" s="2" t="s">
        <v>172</v>
      </c>
      <c r="F6803" t="s">
        <v>817</v>
      </c>
      <c r="G6803" t="str">
        <f>HYPERLINK("https://n.news.naver.com/mnews/article/018/0006053491?sid=102")</f>
        <v>https://n.news.naver.com/mnews/article/018/0006053491?sid=102</v>
      </c>
      <c r="H6803">
        <v>0.245</v>
      </c>
    </row>
    <row r="6804" spans="1:8" x14ac:dyDescent="0.3">
      <c r="A6804" t="s">
        <v>14761</v>
      </c>
      <c r="B6804" t="s">
        <v>26951</v>
      </c>
      <c r="C6804" t="s">
        <v>17242</v>
      </c>
      <c r="D6804" t="s">
        <v>17241</v>
      </c>
      <c r="E6804" s="2" t="s">
        <v>172</v>
      </c>
      <c r="F6804" t="s">
        <v>10471</v>
      </c>
      <c r="G6804" t="str">
        <f>HYPERLINK("https://www.etoday.co.kr/news/view/2480112")</f>
        <v>https://www.etoday.co.kr/news/view/2480112</v>
      </c>
      <c r="H6804">
        <v>0.48799999999999999</v>
      </c>
    </row>
    <row r="6805" spans="1:8" x14ac:dyDescent="0.3">
      <c r="A6805" t="s">
        <v>14761</v>
      </c>
      <c r="B6805" t="s">
        <v>26951</v>
      </c>
      <c r="C6805" t="s">
        <v>17245</v>
      </c>
      <c r="D6805" t="s">
        <v>17244</v>
      </c>
      <c r="E6805" s="2" t="s">
        <v>172</v>
      </c>
      <c r="F6805" t="s">
        <v>10471</v>
      </c>
      <c r="G6805" t="str">
        <f>HYPERLINK("https://n.news.naver.com/mnews/article/016/0002491169?sid=102")</f>
        <v>https://n.news.naver.com/mnews/article/016/0002491169?sid=102</v>
      </c>
      <c r="H6805">
        <v>0.27600000000000002</v>
      </c>
    </row>
    <row r="6806" spans="1:8" x14ac:dyDescent="0.3">
      <c r="A6806" t="s">
        <v>14761</v>
      </c>
      <c r="B6806" t="s">
        <v>26951</v>
      </c>
      <c r="C6806" t="s">
        <v>17248</v>
      </c>
      <c r="D6806" t="s">
        <v>17247</v>
      </c>
      <c r="E6806" s="2" t="s">
        <v>172</v>
      </c>
      <c r="F6806" t="s">
        <v>17246</v>
      </c>
      <c r="G6806" t="str">
        <f>HYPERLINK("https://n.news.naver.com/mnews/article/056/0011980411?sid=100")</f>
        <v>https://n.news.naver.com/mnews/article/056/0011980411?sid=100</v>
      </c>
      <c r="H6806">
        <v>0.191</v>
      </c>
    </row>
    <row r="6807" spans="1:8" x14ac:dyDescent="0.3">
      <c r="A6807" t="s">
        <v>14761</v>
      </c>
      <c r="B6807" t="s">
        <v>26951</v>
      </c>
      <c r="C6807" t="s">
        <v>17250</v>
      </c>
      <c r="D6807" t="s">
        <v>17249</v>
      </c>
      <c r="E6807" s="2" t="s">
        <v>172</v>
      </c>
      <c r="F6807" t="s">
        <v>5523</v>
      </c>
      <c r="G6807" t="str">
        <f>HYPERLINK("http://www.bizenter.co.kr/view/news_view.php?varAtcId=83714")</f>
        <v>http://www.bizenter.co.kr/view/news_view.php?varAtcId=83714</v>
      </c>
      <c r="H6807">
        <v>0.44900000000000001</v>
      </c>
    </row>
    <row r="6808" spans="1:8" x14ac:dyDescent="0.3">
      <c r="A6808" t="s">
        <v>14761</v>
      </c>
      <c r="B6808" t="s">
        <v>26951</v>
      </c>
      <c r="C6808" t="s">
        <v>17253</v>
      </c>
      <c r="D6808" t="s">
        <v>17252</v>
      </c>
      <c r="E6808" s="2" t="s">
        <v>172</v>
      </c>
      <c r="F6808" t="s">
        <v>17251</v>
      </c>
      <c r="G6808" t="str">
        <f>HYPERLINK("https://www.jemin.com/news/articleView.html?idxno=817682")</f>
        <v>https://www.jemin.com/news/articleView.html?idxno=817682</v>
      </c>
      <c r="H6808">
        <v>0.26500000000000001</v>
      </c>
    </row>
    <row r="6809" spans="1:8" x14ac:dyDescent="0.3">
      <c r="A6809" t="s">
        <v>14761</v>
      </c>
      <c r="B6809" t="s">
        <v>26951</v>
      </c>
      <c r="C6809" t="s">
        <v>17255</v>
      </c>
      <c r="D6809" t="s">
        <v>17254</v>
      </c>
      <c r="E6809" s="2" t="s">
        <v>172</v>
      </c>
      <c r="F6809" t="s">
        <v>16193</v>
      </c>
      <c r="G6809" t="str">
        <f>HYPERLINK("https://www.econovill.com/news/articleView.html?idxno=701715")</f>
        <v>https://www.econovill.com/news/articleView.html?idxno=701715</v>
      </c>
      <c r="H6809">
        <v>0.218</v>
      </c>
    </row>
    <row r="6810" spans="1:8" x14ac:dyDescent="0.3">
      <c r="A6810" t="s">
        <v>14761</v>
      </c>
      <c r="B6810" t="s">
        <v>26951</v>
      </c>
      <c r="C6810" t="s">
        <v>17257</v>
      </c>
      <c r="D6810" t="s">
        <v>17256</v>
      </c>
      <c r="E6810" s="2" t="s">
        <v>172</v>
      </c>
      <c r="F6810" t="s">
        <v>9749</v>
      </c>
      <c r="G6810" t="str">
        <f>HYPERLINK("https://n.news.naver.com/mnews/article/016/0002492932?sid=102")</f>
        <v>https://n.news.naver.com/mnews/article/016/0002492932?sid=102</v>
      </c>
      <c r="H6810">
        <v>0.21199999999999999</v>
      </c>
    </row>
    <row r="6811" spans="1:8" x14ac:dyDescent="0.3">
      <c r="A6811" t="s">
        <v>14761</v>
      </c>
      <c r="B6811" t="s">
        <v>26951</v>
      </c>
      <c r="C6811" t="s">
        <v>17260</v>
      </c>
      <c r="D6811" t="s">
        <v>17259</v>
      </c>
      <c r="E6811" s="2" t="s">
        <v>172</v>
      </c>
      <c r="F6811" t="s">
        <v>17258</v>
      </c>
      <c r="G6811" t="str">
        <f>HYPERLINK("http://theviewers.co.kr/View.aspx?No=639758")</f>
        <v>http://theviewers.co.kr/View.aspx?No=639758</v>
      </c>
      <c r="H6811">
        <v>0.221</v>
      </c>
    </row>
    <row r="6812" spans="1:8" x14ac:dyDescent="0.3">
      <c r="A6812" t="s">
        <v>14761</v>
      </c>
      <c r="B6812" t="s">
        <v>26951</v>
      </c>
      <c r="C6812" t="s">
        <v>17262</v>
      </c>
      <c r="D6812" t="s">
        <v>17261</v>
      </c>
      <c r="E6812" s="2" t="s">
        <v>172</v>
      </c>
      <c r="F6812" t="s">
        <v>12310</v>
      </c>
      <c r="G6812" t="str">
        <f>HYPERLINK("https://sports.hankooki.com/news/articleView.html?idxno=6827122")</f>
        <v>https://sports.hankooki.com/news/articleView.html?idxno=6827122</v>
      </c>
      <c r="H6812">
        <v>0.46200000000000002</v>
      </c>
    </row>
    <row r="6813" spans="1:8" x14ac:dyDescent="0.3">
      <c r="A6813" t="s">
        <v>14761</v>
      </c>
      <c r="B6813" t="s">
        <v>26951</v>
      </c>
      <c r="C6813" t="s">
        <v>17266</v>
      </c>
      <c r="D6813" t="s">
        <v>17265</v>
      </c>
      <c r="E6813" s="2" t="s">
        <v>172</v>
      </c>
      <c r="F6813" t="s">
        <v>9897</v>
      </c>
      <c r="G6813" t="str">
        <f>HYPERLINK("https://n.news.naver.com/mnews/article/008/0005212299?sid=102")</f>
        <v>https://n.news.naver.com/mnews/article/008/0005212299?sid=102</v>
      </c>
      <c r="H6813">
        <v>0.246</v>
      </c>
    </row>
    <row r="6814" spans="1:8" x14ac:dyDescent="0.3">
      <c r="A6814" t="s">
        <v>14761</v>
      </c>
      <c r="B6814" t="s">
        <v>26951</v>
      </c>
      <c r="C6814" t="s">
        <v>17269</v>
      </c>
      <c r="D6814" t="s">
        <v>17268</v>
      </c>
      <c r="E6814" s="2" t="s">
        <v>172</v>
      </c>
      <c r="F6814" t="s">
        <v>17267</v>
      </c>
      <c r="G6814" t="str">
        <f>HYPERLINK("http://www.enewstoday.co.kr/news/articleView.html?idxno=2284535")</f>
        <v>http://www.enewstoday.co.kr/news/articleView.html?idxno=2284535</v>
      </c>
      <c r="H6814">
        <v>0.22500000000000001</v>
      </c>
    </row>
    <row r="6815" spans="1:8" x14ac:dyDescent="0.3">
      <c r="A6815" t="s">
        <v>14761</v>
      </c>
      <c r="B6815" t="s">
        <v>26951</v>
      </c>
      <c r="C6815" t="s">
        <v>17272</v>
      </c>
      <c r="D6815" t="s">
        <v>17271</v>
      </c>
      <c r="E6815" s="2" t="s">
        <v>172</v>
      </c>
      <c r="F6815" t="s">
        <v>17270</v>
      </c>
      <c r="G6815" t="str">
        <f>HYPERLINK("https://www.yeongnam.com/web/view.php?key=20240807010000909")</f>
        <v>https://www.yeongnam.com/web/view.php?key=20240807010000909</v>
      </c>
      <c r="H6815">
        <v>0.59199999999999997</v>
      </c>
    </row>
    <row r="6816" spans="1:8" x14ac:dyDescent="0.3">
      <c r="A6816" t="s">
        <v>14761</v>
      </c>
      <c r="B6816" t="s">
        <v>26951</v>
      </c>
      <c r="C6816" t="s">
        <v>17274</v>
      </c>
      <c r="D6816" t="s">
        <v>17273</v>
      </c>
      <c r="E6816" s="2" t="s">
        <v>172</v>
      </c>
      <c r="F6816" t="s">
        <v>16547</v>
      </c>
      <c r="G6816" t="str">
        <f>HYPERLINK("http://www.it-b.co.kr/news/articleView.html?idxno=52049")</f>
        <v>http://www.it-b.co.kr/news/articleView.html?idxno=52049</v>
      </c>
      <c r="H6816">
        <v>0.34599999999999997</v>
      </c>
    </row>
    <row r="6817" spans="1:8" x14ac:dyDescent="0.3">
      <c r="A6817" t="s">
        <v>14761</v>
      </c>
      <c r="B6817" t="s">
        <v>26951</v>
      </c>
      <c r="C6817" t="s">
        <v>17277</v>
      </c>
      <c r="D6817" t="s">
        <v>17276</v>
      </c>
      <c r="E6817" s="2" t="s">
        <v>172</v>
      </c>
      <c r="F6817" t="s">
        <v>17275</v>
      </c>
      <c r="G6817" t="str">
        <f>HYPERLINK("http://ppss.kr/archives/144217")</f>
        <v>http://ppss.kr/archives/144217</v>
      </c>
      <c r="H6817">
        <v>0.45600000000000002</v>
      </c>
    </row>
    <row r="6818" spans="1:8" x14ac:dyDescent="0.3">
      <c r="A6818" t="s">
        <v>14761</v>
      </c>
      <c r="B6818" t="s">
        <v>26951</v>
      </c>
      <c r="C6818" t="s">
        <v>17280</v>
      </c>
      <c r="D6818" t="s">
        <v>17279</v>
      </c>
      <c r="E6818" s="2" t="s">
        <v>172</v>
      </c>
      <c r="F6818" t="s">
        <v>14472</v>
      </c>
      <c r="G6818" t="str">
        <f>HYPERLINK("https://www.ggilbo.com/news/articleView.html?idxno=1096831")</f>
        <v>https://www.ggilbo.com/news/articleView.html?idxno=1096831</v>
      </c>
      <c r="H6818">
        <v>0.63800000000000001</v>
      </c>
    </row>
    <row r="6819" spans="1:8" x14ac:dyDescent="0.3">
      <c r="A6819" t="s">
        <v>14761</v>
      </c>
      <c r="B6819" t="s">
        <v>26951</v>
      </c>
      <c r="C6819" t="s">
        <v>17282</v>
      </c>
      <c r="D6819" t="s">
        <v>17281</v>
      </c>
      <c r="E6819" s="2" t="s">
        <v>172</v>
      </c>
      <c r="F6819" t="s">
        <v>9929</v>
      </c>
      <c r="G6819" t="str">
        <f>HYPERLINK("http://www.wolyo.co.kr/news/articleView.html?idxno=241133")</f>
        <v>http://www.wolyo.co.kr/news/articleView.html?idxno=241133</v>
      </c>
      <c r="H6819">
        <v>0.63500000000000001</v>
      </c>
    </row>
    <row r="6820" spans="1:8" x14ac:dyDescent="0.3">
      <c r="A6820" t="s">
        <v>14761</v>
      </c>
      <c r="B6820" t="s">
        <v>26951</v>
      </c>
      <c r="C6820" t="s">
        <v>17284</v>
      </c>
      <c r="D6820" t="s">
        <v>17283</v>
      </c>
      <c r="E6820" s="2" t="s">
        <v>172</v>
      </c>
      <c r="F6820" t="s">
        <v>5116</v>
      </c>
      <c r="G6820" t="str">
        <f>HYPERLINK("http://www.smarttimes.co.kr/news/articleView.html?idxno=34669")</f>
        <v>http://www.smarttimes.co.kr/news/articleView.html?idxno=34669</v>
      </c>
      <c r="H6820">
        <v>0.71899999999999997</v>
      </c>
    </row>
    <row r="6821" spans="1:8" x14ac:dyDescent="0.3">
      <c r="A6821" t="s">
        <v>14761</v>
      </c>
      <c r="B6821" t="s">
        <v>26951</v>
      </c>
      <c r="C6821" t="s">
        <v>17286</v>
      </c>
      <c r="D6821" t="s">
        <v>17285</v>
      </c>
      <c r="E6821" s="2" t="s">
        <v>172</v>
      </c>
      <c r="F6821" t="s">
        <v>11264</v>
      </c>
      <c r="G6821" t="str">
        <f>HYPERLINK("http://www.ilemonde.com/news/articleView.html?idxno=18571")</f>
        <v>http://www.ilemonde.com/news/articleView.html?idxno=18571</v>
      </c>
      <c r="H6821">
        <v>0.36699999999999999</v>
      </c>
    </row>
    <row r="6822" spans="1:8" x14ac:dyDescent="0.3">
      <c r="A6822" t="s">
        <v>14761</v>
      </c>
      <c r="B6822" t="s">
        <v>26951</v>
      </c>
      <c r="C6822" t="s">
        <v>17288</v>
      </c>
      <c r="D6822" t="s">
        <v>17287</v>
      </c>
      <c r="E6822" s="2" t="s">
        <v>172</v>
      </c>
      <c r="F6822" t="s">
        <v>4119</v>
      </c>
      <c r="G6822" t="str">
        <f>HYPERLINK("http://www.kyeongin.com/?mod=news&amp;act=articleView&amp;idxno=917998")</f>
        <v>http://www.kyeongin.com/?mod=news&amp;act=articleView&amp;idxno=917998</v>
      </c>
      <c r="H6822">
        <v>0.47199999999999998</v>
      </c>
    </row>
    <row r="6823" spans="1:8" x14ac:dyDescent="0.3">
      <c r="A6823" t="s">
        <v>14761</v>
      </c>
      <c r="B6823" t="s">
        <v>26951</v>
      </c>
      <c r="C6823" t="s">
        <v>17291</v>
      </c>
      <c r="D6823" t="s">
        <v>17290</v>
      </c>
      <c r="E6823" s="2" t="s">
        <v>172</v>
      </c>
      <c r="F6823" t="s">
        <v>17289</v>
      </c>
      <c r="G6823" t="str">
        <f>HYPERLINK("https://n.news.naver.com/mnews/article/277/0003437170?sid=101")</f>
        <v>https://n.news.naver.com/mnews/article/277/0003437170?sid=101</v>
      </c>
      <c r="H6823">
        <v>0.17100000000000001</v>
      </c>
    </row>
    <row r="6824" spans="1:8" x14ac:dyDescent="0.3">
      <c r="A6824" t="s">
        <v>14761</v>
      </c>
      <c r="B6824" t="s">
        <v>26951</v>
      </c>
      <c r="C6824" t="s">
        <v>17293</v>
      </c>
      <c r="D6824" t="s">
        <v>17292</v>
      </c>
      <c r="E6824" s="2" t="s">
        <v>172</v>
      </c>
      <c r="F6824" t="s">
        <v>9929</v>
      </c>
      <c r="G6824" t="str">
        <f>HYPERLINK("http://interview365.com/client/news/view.asp?sidx=3664")</f>
        <v>http://interview365.com/client/news/view.asp?sidx=3664</v>
      </c>
      <c r="H6824">
        <v>0.45700000000000002</v>
      </c>
    </row>
    <row r="6825" spans="1:8" x14ac:dyDescent="0.3">
      <c r="A6825" t="s">
        <v>14761</v>
      </c>
      <c r="B6825" t="s">
        <v>26951</v>
      </c>
      <c r="C6825" t="s">
        <v>17296</v>
      </c>
      <c r="D6825" t="s">
        <v>17295</v>
      </c>
      <c r="E6825" s="2" t="s">
        <v>172</v>
      </c>
      <c r="F6825" t="s">
        <v>17294</v>
      </c>
      <c r="G6825" t="str">
        <f>HYPERLINK("https://www.golfjournal.co.kr/news/articleView.html?idxno=10305")</f>
        <v>https://www.golfjournal.co.kr/news/articleView.html?idxno=10305</v>
      </c>
      <c r="H6825">
        <v>0.47</v>
      </c>
    </row>
    <row r="6826" spans="1:8" x14ac:dyDescent="0.3">
      <c r="A6826" t="s">
        <v>14761</v>
      </c>
      <c r="B6826" t="s">
        <v>26951</v>
      </c>
      <c r="C6826" t="s">
        <v>17298</v>
      </c>
      <c r="D6826" t="s">
        <v>17297</v>
      </c>
      <c r="E6826" s="2" t="s">
        <v>172</v>
      </c>
      <c r="F6826" t="s">
        <v>13678</v>
      </c>
      <c r="G6826" t="str">
        <f>HYPERLINK("https://www.joongangenews.com/news/articleView.html?idxno=429755")</f>
        <v>https://www.joongangenews.com/news/articleView.html?idxno=429755</v>
      </c>
      <c r="H6826">
        <v>0.66800000000000004</v>
      </c>
    </row>
    <row r="6827" spans="1:8" x14ac:dyDescent="0.3">
      <c r="A6827" t="s">
        <v>14761</v>
      </c>
      <c r="B6827" t="s">
        <v>26951</v>
      </c>
      <c r="C6827" t="s">
        <v>17301</v>
      </c>
      <c r="D6827" t="s">
        <v>17300</v>
      </c>
      <c r="E6827" s="2" t="s">
        <v>172</v>
      </c>
      <c r="F6827" t="s">
        <v>17299</v>
      </c>
      <c r="G6827" t="str">
        <f>HYPERLINK("https://n.news.naver.com/mnews/article/022/0004043761?sid=102")</f>
        <v>https://n.news.naver.com/mnews/article/022/0004043761?sid=102</v>
      </c>
      <c r="H6827">
        <v>0.23100000000000001</v>
      </c>
    </row>
    <row r="6828" spans="1:8" x14ac:dyDescent="0.3">
      <c r="A6828" t="s">
        <v>14761</v>
      </c>
      <c r="B6828" t="s">
        <v>26951</v>
      </c>
      <c r="C6828" t="s">
        <v>13815</v>
      </c>
      <c r="D6828" t="s">
        <v>13814</v>
      </c>
      <c r="E6828" s="2" t="s">
        <v>172</v>
      </c>
      <c r="F6828" t="s">
        <v>11924</v>
      </c>
      <c r="G6828" t="str">
        <f>HYPERLINK("http://www.dtnews24.com/news/article.html?no=410811")</f>
        <v>http://www.dtnews24.com/news/article.html?no=410811</v>
      </c>
      <c r="H6828">
        <v>0.46800000000000003</v>
      </c>
    </row>
    <row r="6829" spans="1:8" x14ac:dyDescent="0.3">
      <c r="A6829" t="s">
        <v>14761</v>
      </c>
      <c r="B6829" t="s">
        <v>26951</v>
      </c>
      <c r="C6829" t="s">
        <v>17303</v>
      </c>
      <c r="D6829" t="s">
        <v>17302</v>
      </c>
      <c r="E6829" s="2" t="s">
        <v>172</v>
      </c>
      <c r="F6829" t="s">
        <v>4119</v>
      </c>
      <c r="G6829" t="str">
        <f>HYPERLINK("https://sports.hankooki.com/news/articleView.html?idxno=6892703")</f>
        <v>https://sports.hankooki.com/news/articleView.html?idxno=6892703</v>
      </c>
      <c r="H6829">
        <v>0.52800000000000002</v>
      </c>
    </row>
    <row r="6830" spans="1:8" x14ac:dyDescent="0.3">
      <c r="A6830" t="s">
        <v>14761</v>
      </c>
      <c r="B6830" t="s">
        <v>26951</v>
      </c>
      <c r="C6830" t="s">
        <v>17305</v>
      </c>
      <c r="D6830" t="s">
        <v>17304</v>
      </c>
      <c r="E6830" s="2" t="s">
        <v>172</v>
      </c>
      <c r="F6830" t="s">
        <v>10397</v>
      </c>
      <c r="G6830" t="str">
        <f>HYPERLINK("https://www.ftimes.kr/news/articleView.html?idxno=31526")</f>
        <v>https://www.ftimes.kr/news/articleView.html?idxno=31526</v>
      </c>
      <c r="H6830">
        <v>0.64500000000000002</v>
      </c>
    </row>
    <row r="6831" spans="1:8" x14ac:dyDescent="0.3">
      <c r="A6831" t="s">
        <v>14761</v>
      </c>
      <c r="B6831" t="s">
        <v>26951</v>
      </c>
      <c r="C6831" t="s">
        <v>17307</v>
      </c>
      <c r="D6831" t="s">
        <v>17306</v>
      </c>
      <c r="E6831" s="2" t="s">
        <v>172</v>
      </c>
      <c r="F6831" t="s">
        <v>4119</v>
      </c>
      <c r="G6831" t="str">
        <f>HYPERLINK("https://sports.hankooki.com/news/articleView.html?idxno=6892703")</f>
        <v>https://sports.hankooki.com/news/articleView.html?idxno=6892703</v>
      </c>
      <c r="H6831">
        <v>0.51900000000000002</v>
      </c>
    </row>
    <row r="6832" spans="1:8" x14ac:dyDescent="0.3">
      <c r="A6832" t="s">
        <v>14761</v>
      </c>
      <c r="B6832" t="s">
        <v>26951</v>
      </c>
      <c r="C6832" t="s">
        <v>17310</v>
      </c>
      <c r="D6832" t="s">
        <v>17309</v>
      </c>
      <c r="E6832" s="2" t="s">
        <v>172</v>
      </c>
      <c r="F6832" t="s">
        <v>17308</v>
      </c>
      <c r="G6832" t="str">
        <f>HYPERLINK("http://www.mediawatch.kr/news/article.html?no=230196")</f>
        <v>http://www.mediawatch.kr/news/article.html?no=230196</v>
      </c>
      <c r="H6832">
        <v>0.499</v>
      </c>
    </row>
    <row r="6833" spans="1:8" x14ac:dyDescent="0.3">
      <c r="A6833" t="s">
        <v>14761</v>
      </c>
      <c r="B6833" t="s">
        <v>26951</v>
      </c>
      <c r="C6833" t="s">
        <v>17312</v>
      </c>
      <c r="D6833" t="s">
        <v>17311</v>
      </c>
      <c r="E6833" s="2" t="s">
        <v>172</v>
      </c>
      <c r="F6833" t="s">
        <v>3235</v>
      </c>
      <c r="G6833" t="str">
        <f>HYPERLINK("https://www.ggilbo.com/news/articleView.html?idxno=1097294")</f>
        <v>https://www.ggilbo.com/news/articleView.html?idxno=1097294</v>
      </c>
      <c r="H6833">
        <v>0.44900000000000001</v>
      </c>
    </row>
    <row r="6834" spans="1:8" x14ac:dyDescent="0.3">
      <c r="A6834" t="s">
        <v>14761</v>
      </c>
      <c r="B6834" t="s">
        <v>26951</v>
      </c>
      <c r="C6834" t="s">
        <v>17314</v>
      </c>
      <c r="D6834" t="s">
        <v>17313</v>
      </c>
      <c r="E6834" s="2" t="s">
        <v>172</v>
      </c>
      <c r="F6834" t="s">
        <v>15171</v>
      </c>
      <c r="G6834" t="str">
        <f>HYPERLINK("https://www.etoday.co.kr/news/view/2477603")</f>
        <v>https://www.etoday.co.kr/news/view/2477603</v>
      </c>
      <c r="H6834">
        <v>0.61099999999999999</v>
      </c>
    </row>
    <row r="6835" spans="1:8" x14ac:dyDescent="0.3">
      <c r="A6835" t="s">
        <v>14761</v>
      </c>
      <c r="B6835" t="s">
        <v>26951</v>
      </c>
      <c r="C6835" t="s">
        <v>17316</v>
      </c>
      <c r="D6835" t="s">
        <v>17315</v>
      </c>
      <c r="E6835" s="2" t="s">
        <v>172</v>
      </c>
      <c r="F6835" t="s">
        <v>5548</v>
      </c>
      <c r="G6835" t="str">
        <f>HYPERLINK("https://sports.hankooki.com/news/articleView.html?idxno=6872006")</f>
        <v>https://sports.hankooki.com/news/articleView.html?idxno=6872006</v>
      </c>
      <c r="H6835">
        <v>0.44700000000000001</v>
      </c>
    </row>
    <row r="6836" spans="1:8" x14ac:dyDescent="0.3">
      <c r="A6836" t="s">
        <v>14761</v>
      </c>
      <c r="B6836" t="s">
        <v>26951</v>
      </c>
      <c r="C6836" t="s">
        <v>17319</v>
      </c>
      <c r="D6836" t="s">
        <v>17318</v>
      </c>
      <c r="E6836" s="2" t="s">
        <v>172</v>
      </c>
      <c r="F6836" t="s">
        <v>17317</v>
      </c>
      <c r="G6836" t="str">
        <f>HYPERLINK("http://www.metroseoul.co.kr/article/20250630500025")</f>
        <v>http://www.metroseoul.co.kr/article/20250630500025</v>
      </c>
      <c r="H6836">
        <v>0.64300000000000002</v>
      </c>
    </row>
    <row r="6837" spans="1:8" x14ac:dyDescent="0.3">
      <c r="A6837" t="s">
        <v>14761</v>
      </c>
      <c r="B6837" t="s">
        <v>26951</v>
      </c>
      <c r="C6837" t="s">
        <v>17321</v>
      </c>
      <c r="D6837" t="s">
        <v>17320</v>
      </c>
      <c r="E6837" s="2" t="s">
        <v>172</v>
      </c>
      <c r="F6837" t="s">
        <v>5548</v>
      </c>
      <c r="G6837" t="str">
        <f>HYPERLINK("https://www.goodnews1.com/news/articleView.html?idxno=410146")</f>
        <v>https://www.goodnews1.com/news/articleView.html?idxno=410146</v>
      </c>
      <c r="H6837">
        <v>0.56599999999999995</v>
      </c>
    </row>
    <row r="6838" spans="1:8" x14ac:dyDescent="0.3">
      <c r="A6838" t="s">
        <v>14761</v>
      </c>
      <c r="B6838" t="s">
        <v>26951</v>
      </c>
      <c r="C6838" t="s">
        <v>17323</v>
      </c>
      <c r="D6838" t="s">
        <v>17322</v>
      </c>
      <c r="E6838" s="2" t="s">
        <v>172</v>
      </c>
      <c r="F6838" t="s">
        <v>15052</v>
      </c>
      <c r="G6838" t="str">
        <f>HYPERLINK("http://www.seoulwire.com/news/articleView.html?idxno=450655")</f>
        <v>http://www.seoulwire.com/news/articleView.html?idxno=450655</v>
      </c>
      <c r="H6838">
        <v>0.253</v>
      </c>
    </row>
    <row r="6839" spans="1:8" x14ac:dyDescent="0.3">
      <c r="A6839" t="s">
        <v>14761</v>
      </c>
      <c r="B6839" t="s">
        <v>26951</v>
      </c>
      <c r="C6839" t="s">
        <v>17326</v>
      </c>
      <c r="D6839" t="s">
        <v>17325</v>
      </c>
      <c r="E6839" s="2" t="s">
        <v>196</v>
      </c>
      <c r="F6839" t="s">
        <v>8165</v>
      </c>
      <c r="G6839" t="str">
        <f>HYPERLINK("http://www.kjdaily.com/article.php?aid=1662455151583471227")</f>
        <v>http://www.kjdaily.com/article.php?aid=1662455151583471227</v>
      </c>
      <c r="H6839">
        <v>2.3E-2</v>
      </c>
    </row>
    <row r="6840" spans="1:8" x14ac:dyDescent="0.3">
      <c r="A6840" t="s">
        <v>14761</v>
      </c>
      <c r="B6840" t="s">
        <v>26951</v>
      </c>
      <c r="C6840" t="s">
        <v>17329</v>
      </c>
      <c r="D6840" t="s">
        <v>17328</v>
      </c>
      <c r="E6840" s="2" t="s">
        <v>196</v>
      </c>
      <c r="F6840" t="s">
        <v>17327</v>
      </c>
      <c r="G6840" t="str">
        <f>HYPERLINK("https://n.news.naver.com/mnews/article/030/0003327294?sid=102")</f>
        <v>https://n.news.naver.com/mnews/article/030/0003327294?sid=102</v>
      </c>
      <c r="H6840">
        <v>0.31</v>
      </c>
    </row>
    <row r="6841" spans="1:8" x14ac:dyDescent="0.3">
      <c r="A6841" t="s">
        <v>14761</v>
      </c>
      <c r="B6841" t="s">
        <v>26951</v>
      </c>
      <c r="C6841" t="s">
        <v>17331</v>
      </c>
      <c r="D6841" t="s">
        <v>17330</v>
      </c>
      <c r="E6841" s="2" t="s">
        <v>196</v>
      </c>
      <c r="F6841" t="s">
        <v>1377</v>
      </c>
      <c r="G6841" t="str">
        <f>HYPERLINK("https://n.news.naver.com/mnews/article/016/0002491169?sid=102")</f>
        <v>https://n.news.naver.com/mnews/article/016/0002491169?sid=102</v>
      </c>
      <c r="H6841">
        <v>0.122</v>
      </c>
    </row>
    <row r="6842" spans="1:8" x14ac:dyDescent="0.3">
      <c r="A6842" t="s">
        <v>14761</v>
      </c>
      <c r="B6842" t="s">
        <v>26951</v>
      </c>
      <c r="C6842" t="s">
        <v>17333</v>
      </c>
      <c r="D6842" t="s">
        <v>17332</v>
      </c>
      <c r="E6842" s="2" t="s">
        <v>196</v>
      </c>
      <c r="F6842" t="s">
        <v>11298</v>
      </c>
      <c r="G6842" t="str">
        <f>HYPERLINK("https://sports.hankooki.com/news/articleView.html?idxno=6898007")</f>
        <v>https://sports.hankooki.com/news/articleView.html?idxno=6898007</v>
      </c>
      <c r="H6842">
        <v>0.53700000000000003</v>
      </c>
    </row>
    <row r="6843" spans="1:8" x14ac:dyDescent="0.3">
      <c r="A6843" t="s">
        <v>14761</v>
      </c>
      <c r="B6843" t="s">
        <v>26951</v>
      </c>
      <c r="C6843" t="s">
        <v>17335</v>
      </c>
      <c r="D6843" t="s">
        <v>17334</v>
      </c>
      <c r="E6843" s="2" t="s">
        <v>196</v>
      </c>
      <c r="F6843" t="s">
        <v>15260</v>
      </c>
      <c r="G6843" t="str">
        <f>HYPERLINK("https://www.viva100.com/article/20250624501394")</f>
        <v>https://www.viva100.com/article/20250624501394</v>
      </c>
      <c r="H6843">
        <v>0.85599999999999998</v>
      </c>
    </row>
    <row r="6844" spans="1:8" x14ac:dyDescent="0.3">
      <c r="A6844" t="s">
        <v>14761</v>
      </c>
      <c r="B6844" t="s">
        <v>26951</v>
      </c>
      <c r="C6844" t="s">
        <v>17337</v>
      </c>
      <c r="D6844" t="s">
        <v>17336</v>
      </c>
      <c r="E6844" s="2" t="s">
        <v>196</v>
      </c>
      <c r="F6844" t="s">
        <v>8165</v>
      </c>
      <c r="G6844" t="str">
        <f>HYPERLINK("https://sports.hankooki.com/news/articleView.html?idxno=6893689")</f>
        <v>https://sports.hankooki.com/news/articleView.html?idxno=6893689</v>
      </c>
      <c r="H6844">
        <v>0.47499999999999998</v>
      </c>
    </row>
    <row r="6845" spans="1:8" x14ac:dyDescent="0.3">
      <c r="A6845" t="s">
        <v>14761</v>
      </c>
      <c r="B6845" t="s">
        <v>26951</v>
      </c>
      <c r="C6845" t="s">
        <v>17340</v>
      </c>
      <c r="D6845" t="s">
        <v>17339</v>
      </c>
      <c r="E6845" s="2" t="s">
        <v>196</v>
      </c>
      <c r="F6845" t="s">
        <v>17338</v>
      </c>
      <c r="G6845" t="str">
        <f>HYPERLINK("http://www.catholicpress.kr/news/view.php?idx=8069")</f>
        <v>http://www.catholicpress.kr/news/view.php?idx=8069</v>
      </c>
      <c r="H6845">
        <v>0.63400000000000001</v>
      </c>
    </row>
    <row r="6846" spans="1:8" x14ac:dyDescent="0.3">
      <c r="A6846" t="s">
        <v>14761</v>
      </c>
      <c r="B6846" t="s">
        <v>26951</v>
      </c>
      <c r="C6846" t="s">
        <v>17342</v>
      </c>
      <c r="D6846" t="s">
        <v>17341</v>
      </c>
      <c r="E6846" s="2" t="s">
        <v>196</v>
      </c>
      <c r="F6846" t="s">
        <v>3235</v>
      </c>
      <c r="G6846" t="str">
        <f>HYPERLINK("https://www.joongangenews.com/news/articleView.html?idxno=426487")</f>
        <v>https://www.joongangenews.com/news/articleView.html?idxno=426487</v>
      </c>
      <c r="H6846">
        <v>0.38600000000000001</v>
      </c>
    </row>
    <row r="6847" spans="1:8" x14ac:dyDescent="0.3">
      <c r="A6847" t="s">
        <v>14761</v>
      </c>
      <c r="B6847" t="s">
        <v>26951</v>
      </c>
      <c r="C6847" t="s">
        <v>17344</v>
      </c>
      <c r="D6847" t="s">
        <v>17343</v>
      </c>
      <c r="E6847" s="2" t="s">
        <v>196</v>
      </c>
      <c r="F6847" t="s">
        <v>10041</v>
      </c>
      <c r="G6847" t="str">
        <f>HYPERLINK("http://www.jnilbo.com/76504993461")</f>
        <v>http://www.jnilbo.com/76504993461</v>
      </c>
      <c r="H6847">
        <v>3.9E-2</v>
      </c>
    </row>
    <row r="6848" spans="1:8" x14ac:dyDescent="0.3">
      <c r="A6848" t="s">
        <v>14761</v>
      </c>
      <c r="B6848" t="s">
        <v>26951</v>
      </c>
      <c r="C6848" t="s">
        <v>17347</v>
      </c>
      <c r="D6848" t="s">
        <v>17346</v>
      </c>
      <c r="E6848" s="2" t="s">
        <v>196</v>
      </c>
      <c r="F6848" t="s">
        <v>17345</v>
      </c>
      <c r="G6848" t="str">
        <f>HYPERLINK("https://n.news.naver.com/mnews/article/087/0001126726?sid=102")</f>
        <v>https://n.news.naver.com/mnews/article/087/0001126726?sid=102</v>
      </c>
      <c r="H6848">
        <v>0.247</v>
      </c>
    </row>
    <row r="6849" spans="1:8" x14ac:dyDescent="0.3">
      <c r="A6849" t="s">
        <v>14761</v>
      </c>
      <c r="B6849" t="s">
        <v>26951</v>
      </c>
      <c r="C6849" t="s">
        <v>17349</v>
      </c>
      <c r="D6849" t="s">
        <v>17348</v>
      </c>
      <c r="E6849" s="2" t="s">
        <v>196</v>
      </c>
      <c r="F6849" t="s">
        <v>3882</v>
      </c>
      <c r="G6849" t="str">
        <f>HYPERLINK("https://n.news.naver.com/mnews/article/014/0005367789?sid=103")</f>
        <v>https://n.news.naver.com/mnews/article/014/0005367789?sid=103</v>
      </c>
      <c r="H6849">
        <v>0.24099999999999999</v>
      </c>
    </row>
    <row r="6850" spans="1:8" x14ac:dyDescent="0.3">
      <c r="A6850" t="s">
        <v>14761</v>
      </c>
      <c r="B6850" t="s">
        <v>26951</v>
      </c>
      <c r="C6850" t="s">
        <v>17351</v>
      </c>
      <c r="D6850" t="s">
        <v>17350</v>
      </c>
      <c r="E6850" s="2" t="s">
        <v>196</v>
      </c>
      <c r="F6850" t="s">
        <v>17182</v>
      </c>
      <c r="G6850" t="str">
        <f>HYPERLINK("http://www.ggilbo.com/news/articleView.html?idxno=996560")</f>
        <v>http://www.ggilbo.com/news/articleView.html?idxno=996560</v>
      </c>
      <c r="H6850">
        <v>0.32700000000000001</v>
      </c>
    </row>
    <row r="6851" spans="1:8" x14ac:dyDescent="0.3">
      <c r="A6851" t="s">
        <v>14761</v>
      </c>
      <c r="B6851" t="s">
        <v>26951</v>
      </c>
      <c r="C6851" t="s">
        <v>17353</v>
      </c>
      <c r="D6851" t="s">
        <v>17352</v>
      </c>
      <c r="E6851" s="2" t="s">
        <v>196</v>
      </c>
      <c r="F6851" t="s">
        <v>12622</v>
      </c>
      <c r="G6851" t="str">
        <f>HYPERLINK("https://www.fortunekorea.co.kr/news/articleView.html?idxno=48776")</f>
        <v>https://www.fortunekorea.co.kr/news/articleView.html?idxno=48776</v>
      </c>
      <c r="H6851">
        <v>0.496</v>
      </c>
    </row>
    <row r="6852" spans="1:8" x14ac:dyDescent="0.3">
      <c r="A6852" t="s">
        <v>14761</v>
      </c>
      <c r="B6852" t="s">
        <v>26951</v>
      </c>
      <c r="C6852" t="s">
        <v>17356</v>
      </c>
      <c r="D6852" t="s">
        <v>17355</v>
      </c>
      <c r="E6852" s="2" t="s">
        <v>196</v>
      </c>
      <c r="F6852" t="s">
        <v>17354</v>
      </c>
      <c r="G6852" t="str">
        <f>HYPERLINK("http://www.hansbiz.co.kr/news/articleView.html?idxno=757115")</f>
        <v>http://www.hansbiz.co.kr/news/articleView.html?idxno=757115</v>
      </c>
      <c r="H6852">
        <v>0.68799999999999994</v>
      </c>
    </row>
    <row r="6853" spans="1:8" x14ac:dyDescent="0.3">
      <c r="A6853" t="s">
        <v>14761</v>
      </c>
      <c r="B6853" t="s">
        <v>26951</v>
      </c>
      <c r="C6853" t="s">
        <v>17358</v>
      </c>
      <c r="D6853" t="s">
        <v>17357</v>
      </c>
      <c r="E6853" s="2" t="s">
        <v>196</v>
      </c>
      <c r="F6853" t="s">
        <v>9845</v>
      </c>
      <c r="G6853" t="str">
        <f>HYPERLINK("https://n.news.naver.com/mnews/article/018/0006053491?sid=102")</f>
        <v>https://n.news.naver.com/mnews/article/018/0006053491?sid=102</v>
      </c>
      <c r="H6853">
        <v>0.23400000000000001</v>
      </c>
    </row>
    <row r="6854" spans="1:8" x14ac:dyDescent="0.3">
      <c r="A6854" t="s">
        <v>14761</v>
      </c>
      <c r="B6854" t="s">
        <v>26951</v>
      </c>
      <c r="C6854" t="s">
        <v>17360</v>
      </c>
      <c r="D6854" t="s">
        <v>17359</v>
      </c>
      <c r="E6854" s="2" t="s">
        <v>196</v>
      </c>
      <c r="F6854" t="s">
        <v>10470</v>
      </c>
      <c r="G6854" t="str">
        <f>HYPERLINK("https://www.etoday.co.kr/news/view/2481787")</f>
        <v>https://www.etoday.co.kr/news/view/2481787</v>
      </c>
      <c r="H6854">
        <v>0.67600000000000005</v>
      </c>
    </row>
    <row r="6855" spans="1:8" x14ac:dyDescent="0.3">
      <c r="A6855" t="s">
        <v>14761</v>
      </c>
      <c r="B6855" t="s">
        <v>26951</v>
      </c>
      <c r="C6855" t="s">
        <v>17362</v>
      </c>
      <c r="D6855" t="s">
        <v>17361</v>
      </c>
      <c r="E6855" s="2" t="s">
        <v>196</v>
      </c>
      <c r="F6855" t="s">
        <v>9944</v>
      </c>
      <c r="G6855" t="str">
        <f>HYPERLINK("http://www.sporbiz.co.kr/news/articleView.html?idxno=399612")</f>
        <v>http://www.sporbiz.co.kr/news/articleView.html?idxno=399612</v>
      </c>
      <c r="H6855">
        <v>0.41399999999999998</v>
      </c>
    </row>
    <row r="6856" spans="1:8" x14ac:dyDescent="0.3">
      <c r="A6856" t="s">
        <v>14761</v>
      </c>
      <c r="B6856" t="s">
        <v>26951</v>
      </c>
      <c r="C6856" t="s">
        <v>17364</v>
      </c>
      <c r="D6856" t="s">
        <v>17363</v>
      </c>
      <c r="E6856" s="2" t="s">
        <v>196</v>
      </c>
      <c r="F6856" t="s">
        <v>1378</v>
      </c>
      <c r="G6856" t="str">
        <f>HYPERLINK("https://n.news.naver.com/mnews/article/008/0004004560?sid=103")</f>
        <v>https://n.news.naver.com/mnews/article/008/0004004560?sid=103</v>
      </c>
      <c r="H6856">
        <v>0.315</v>
      </c>
    </row>
    <row r="6857" spans="1:8" x14ac:dyDescent="0.3">
      <c r="A6857" t="s">
        <v>14761</v>
      </c>
      <c r="B6857" t="s">
        <v>26951</v>
      </c>
      <c r="C6857" t="s">
        <v>17367</v>
      </c>
      <c r="D6857" t="s">
        <v>17366</v>
      </c>
      <c r="E6857" s="2" t="s">
        <v>196</v>
      </c>
      <c r="F6857" t="s">
        <v>17365</v>
      </c>
      <c r="G6857" t="str">
        <f>HYPERLINK("http://www.ftoday.co.kr/news/articleView.html?idxno=343399")</f>
        <v>http://www.ftoday.co.kr/news/articleView.html?idxno=343399</v>
      </c>
      <c r="H6857">
        <v>0.41699999999999998</v>
      </c>
    </row>
    <row r="6858" spans="1:8" x14ac:dyDescent="0.3">
      <c r="A6858" t="s">
        <v>14761</v>
      </c>
      <c r="B6858" t="s">
        <v>26951</v>
      </c>
      <c r="C6858" t="s">
        <v>17370</v>
      </c>
      <c r="D6858" t="s">
        <v>17369</v>
      </c>
      <c r="E6858" s="2" t="s">
        <v>196</v>
      </c>
      <c r="F6858" t="s">
        <v>17368</v>
      </c>
      <c r="G6858" t="str">
        <f>HYPERLINK("http://www.starnewsk.com/news/articleView.html?idxno=46888")</f>
        <v>http://www.starnewsk.com/news/articleView.html?idxno=46888</v>
      </c>
      <c r="H6858">
        <v>0.61699999999999999</v>
      </c>
    </row>
    <row r="6859" spans="1:8" x14ac:dyDescent="0.3">
      <c r="A6859" t="s">
        <v>14761</v>
      </c>
      <c r="B6859" t="s">
        <v>26951</v>
      </c>
      <c r="C6859" t="s">
        <v>17372</v>
      </c>
      <c r="D6859" t="s">
        <v>17371</v>
      </c>
      <c r="E6859" s="2" t="s">
        <v>196</v>
      </c>
      <c r="F6859" t="s">
        <v>9749</v>
      </c>
      <c r="G6859" t="str">
        <f>HYPERLINK("https://www.huffingtonpost.kr/news/articleView.html?idxno=236801")</f>
        <v>https://www.huffingtonpost.kr/news/articleView.html?idxno=236801</v>
      </c>
      <c r="H6859">
        <v>0.63500000000000001</v>
      </c>
    </row>
    <row r="6860" spans="1:8" x14ac:dyDescent="0.3">
      <c r="A6860" t="s">
        <v>14761</v>
      </c>
      <c r="B6860" t="s">
        <v>26951</v>
      </c>
      <c r="C6860" t="s">
        <v>17375</v>
      </c>
      <c r="D6860" t="s">
        <v>17374</v>
      </c>
      <c r="E6860" s="2" t="s">
        <v>196</v>
      </c>
      <c r="F6860" t="s">
        <v>17373</v>
      </c>
      <c r="G6860" t="str">
        <f>HYPERLINK("http://www.fntoday.co.kr/news/articleView.html?idxno=188050")</f>
        <v>http://www.fntoday.co.kr/news/articleView.html?idxno=188050</v>
      </c>
      <c r="H6860">
        <v>0.254</v>
      </c>
    </row>
    <row r="6861" spans="1:8" x14ac:dyDescent="0.3">
      <c r="A6861" t="s">
        <v>14761</v>
      </c>
      <c r="B6861" t="s">
        <v>26951</v>
      </c>
      <c r="C6861" t="s">
        <v>17377</v>
      </c>
      <c r="D6861" t="s">
        <v>17376</v>
      </c>
      <c r="E6861" s="2" t="s">
        <v>196</v>
      </c>
      <c r="F6861" t="s">
        <v>12524</v>
      </c>
      <c r="G6861" t="str">
        <f>HYPERLINK("https://www.nc.press/news/articleView.html?idxno=568678")</f>
        <v>https://www.nc.press/news/articleView.html?idxno=568678</v>
      </c>
      <c r="H6861">
        <v>0.47899999999999998</v>
      </c>
    </row>
    <row r="6862" spans="1:8" x14ac:dyDescent="0.3">
      <c r="A6862" t="s">
        <v>14761</v>
      </c>
      <c r="B6862" t="s">
        <v>26951</v>
      </c>
      <c r="C6862" t="s">
        <v>17380</v>
      </c>
      <c r="D6862" t="s">
        <v>17379</v>
      </c>
      <c r="E6862" s="2" t="s">
        <v>196</v>
      </c>
      <c r="F6862" t="s">
        <v>17378</v>
      </c>
      <c r="G6862" t="str">
        <f>HYPERLINK("http://www.asiatoday.co.kr/view.php?key=20181229000731002")</f>
        <v>http://www.asiatoday.co.kr/view.php?key=20181229000731002</v>
      </c>
      <c r="H6862">
        <v>0.30499999999999999</v>
      </c>
    </row>
    <row r="6863" spans="1:8" x14ac:dyDescent="0.3">
      <c r="A6863" t="s">
        <v>14761</v>
      </c>
      <c r="B6863" t="s">
        <v>26951</v>
      </c>
      <c r="C6863" t="s">
        <v>17383</v>
      </c>
      <c r="D6863" t="s">
        <v>17382</v>
      </c>
      <c r="E6863" s="2" t="s">
        <v>196</v>
      </c>
      <c r="F6863" t="s">
        <v>17381</v>
      </c>
      <c r="G6863" t="str">
        <f>HYPERLINK("https://n.news.naver.com/mnews/article/016/0001389448?sid=102")</f>
        <v>https://n.news.naver.com/mnews/article/016/0001389448?sid=102</v>
      </c>
      <c r="H6863">
        <v>0.13700000000000001</v>
      </c>
    </row>
    <row r="6864" spans="1:8" x14ac:dyDescent="0.3">
      <c r="A6864" t="s">
        <v>14761</v>
      </c>
      <c r="B6864" t="s">
        <v>26951</v>
      </c>
      <c r="C6864" t="s">
        <v>17386</v>
      </c>
      <c r="D6864" t="s">
        <v>17385</v>
      </c>
      <c r="E6864" s="2" t="s">
        <v>196</v>
      </c>
      <c r="F6864" t="s">
        <v>17384</v>
      </c>
      <c r="G6864" t="str">
        <f>HYPERLINK("http://www.pdjournal.com/news/articleView.html?idxno=15592")</f>
        <v>http://www.pdjournal.com/news/articleView.html?idxno=15592</v>
      </c>
      <c r="H6864">
        <v>0.69499999999999995</v>
      </c>
    </row>
    <row r="6865" spans="1:8" x14ac:dyDescent="0.3">
      <c r="A6865" t="s">
        <v>14761</v>
      </c>
      <c r="B6865" t="s">
        <v>26951</v>
      </c>
      <c r="C6865" t="s">
        <v>17388</v>
      </c>
      <c r="D6865" t="s">
        <v>17387</v>
      </c>
      <c r="E6865" s="2" t="s">
        <v>196</v>
      </c>
      <c r="F6865" t="s">
        <v>11363</v>
      </c>
      <c r="G6865" t="str">
        <f>HYPERLINK("https://www.jemin.com/news/articleView.html?idxno=818391")</f>
        <v>https://www.jemin.com/news/articleView.html?idxno=818391</v>
      </c>
      <c r="H6865">
        <v>0.53700000000000003</v>
      </c>
    </row>
    <row r="6866" spans="1:8" x14ac:dyDescent="0.3">
      <c r="A6866" t="s">
        <v>14761</v>
      </c>
      <c r="B6866" t="s">
        <v>26951</v>
      </c>
      <c r="C6866" t="s">
        <v>17390</v>
      </c>
      <c r="D6866" t="s">
        <v>17389</v>
      </c>
      <c r="E6866" s="2" t="s">
        <v>196</v>
      </c>
      <c r="F6866" t="s">
        <v>14211</v>
      </c>
      <c r="G6866" t="str">
        <f>HYPERLINK("https://sports.hankooki.com/news/articleView.html?idxno=6901860")</f>
        <v>https://sports.hankooki.com/news/articleView.html?idxno=6901860</v>
      </c>
      <c r="H6866">
        <v>0.56299999999999994</v>
      </c>
    </row>
    <row r="6867" spans="1:8" x14ac:dyDescent="0.3">
      <c r="A6867" t="s">
        <v>14761</v>
      </c>
      <c r="B6867" t="s">
        <v>26951</v>
      </c>
      <c r="C6867" t="s">
        <v>17392</v>
      </c>
      <c r="D6867" t="s">
        <v>17391</v>
      </c>
      <c r="E6867" s="2" t="s">
        <v>196</v>
      </c>
      <c r="F6867" t="s">
        <v>15297</v>
      </c>
      <c r="G6867" t="str">
        <f>HYPERLINK("http://www.asiatoday.co.kr/view.php?key=20191001002048484")</f>
        <v>http://www.asiatoday.co.kr/view.php?key=20191001002048484</v>
      </c>
      <c r="H6867">
        <v>7.4999999999999997E-2</v>
      </c>
    </row>
    <row r="6868" spans="1:8" x14ac:dyDescent="0.3">
      <c r="A6868" t="s">
        <v>14761</v>
      </c>
      <c r="B6868" t="s">
        <v>26951</v>
      </c>
      <c r="C6868" t="s">
        <v>17394</v>
      </c>
      <c r="D6868" t="s">
        <v>17393</v>
      </c>
      <c r="E6868" s="2" t="s">
        <v>196</v>
      </c>
      <c r="F6868" t="s">
        <v>1378</v>
      </c>
      <c r="G6868" t="str">
        <f>HYPERLINK("https://n.news.naver.com/mnews/article/008/0004004560?sid=103")</f>
        <v>https://n.news.naver.com/mnews/article/008/0004004560?sid=103</v>
      </c>
      <c r="H6868">
        <v>0.26500000000000001</v>
      </c>
    </row>
    <row r="6869" spans="1:8" x14ac:dyDescent="0.3">
      <c r="A6869" t="s">
        <v>14761</v>
      </c>
      <c r="B6869" t="s">
        <v>26951</v>
      </c>
      <c r="C6869" t="s">
        <v>17396</v>
      </c>
      <c r="D6869" t="s">
        <v>17395</v>
      </c>
      <c r="E6869" s="2" t="s">
        <v>196</v>
      </c>
      <c r="F6869" t="s">
        <v>1210</v>
      </c>
      <c r="G6869" t="str">
        <f>HYPERLINK("http://www.ilyoseoul.co.kr/news/articleView.html?idxno=105245")</f>
        <v>http://www.ilyoseoul.co.kr/news/articleView.html?idxno=105245</v>
      </c>
      <c r="H6869">
        <v>0.307</v>
      </c>
    </row>
    <row r="6870" spans="1:8" x14ac:dyDescent="0.3">
      <c r="A6870" t="s">
        <v>14761</v>
      </c>
      <c r="B6870" t="s">
        <v>26951</v>
      </c>
      <c r="C6870" t="s">
        <v>17398</v>
      </c>
      <c r="D6870" t="s">
        <v>17397</v>
      </c>
      <c r="E6870" s="2" t="s">
        <v>196</v>
      </c>
      <c r="F6870" t="s">
        <v>9679</v>
      </c>
      <c r="G6870" t="str">
        <f>HYPERLINK("https://n.news.naver.com/mnews/article/018/0006037604?sid=102")</f>
        <v>https://n.news.naver.com/mnews/article/018/0006037604?sid=102</v>
      </c>
      <c r="H6870">
        <v>0.26400000000000001</v>
      </c>
    </row>
    <row r="6871" spans="1:8" x14ac:dyDescent="0.3">
      <c r="A6871" t="s">
        <v>14761</v>
      </c>
      <c r="B6871" t="s">
        <v>26951</v>
      </c>
      <c r="C6871" t="s">
        <v>17400</v>
      </c>
      <c r="D6871" t="s">
        <v>17399</v>
      </c>
      <c r="E6871" s="2" t="s">
        <v>196</v>
      </c>
      <c r="F6871" t="s">
        <v>1286</v>
      </c>
      <c r="G6871" t="str">
        <f>HYPERLINK("https://n.news.naver.com/mnews/article/018/0006053491?sid=102")</f>
        <v>https://n.news.naver.com/mnews/article/018/0006053491?sid=102</v>
      </c>
      <c r="H6871">
        <v>0.29099999999999998</v>
      </c>
    </row>
    <row r="6872" spans="1:8" x14ac:dyDescent="0.3">
      <c r="A6872" t="s">
        <v>14761</v>
      </c>
      <c r="B6872" t="s">
        <v>26951</v>
      </c>
      <c r="C6872" t="s">
        <v>17402</v>
      </c>
      <c r="D6872" t="s">
        <v>17401</v>
      </c>
      <c r="E6872" s="2" t="s">
        <v>196</v>
      </c>
      <c r="F6872" t="s">
        <v>17194</v>
      </c>
      <c r="G6872" t="str">
        <f>HYPERLINK("http://www.greened.kr/news/articleView.html?idxno=300397")</f>
        <v>http://www.greened.kr/news/articleView.html?idxno=300397</v>
      </c>
      <c r="H6872">
        <v>0.38200000000000001</v>
      </c>
    </row>
    <row r="6873" spans="1:8" x14ac:dyDescent="0.3">
      <c r="A6873" t="s">
        <v>14761</v>
      </c>
      <c r="B6873" t="s">
        <v>26951</v>
      </c>
      <c r="C6873" t="s">
        <v>17405</v>
      </c>
      <c r="D6873" t="s">
        <v>17404</v>
      </c>
      <c r="E6873" s="2" t="s">
        <v>196</v>
      </c>
      <c r="F6873" t="s">
        <v>17403</v>
      </c>
      <c r="G6873" t="str">
        <f>HYPERLINK("https://www.insightkorea.co.kr/news/articleView.html?idxno=224861")</f>
        <v>https://www.insightkorea.co.kr/news/articleView.html?idxno=224861</v>
      </c>
      <c r="H6873">
        <v>0.14299999999999999</v>
      </c>
    </row>
    <row r="6874" spans="1:8" x14ac:dyDescent="0.3">
      <c r="A6874" t="s">
        <v>14761</v>
      </c>
      <c r="B6874" t="s">
        <v>26951</v>
      </c>
      <c r="C6874" t="s">
        <v>17408</v>
      </c>
      <c r="D6874" t="s">
        <v>17407</v>
      </c>
      <c r="E6874" s="2" t="s">
        <v>196</v>
      </c>
      <c r="F6874" t="s">
        <v>17406</v>
      </c>
      <c r="G6874" t="str">
        <f>HYPERLINK("https://n.news.naver.com/mnews/article/022/0004047762?sid=100")</f>
        <v>https://n.news.naver.com/mnews/article/022/0004047762?sid=100</v>
      </c>
      <c r="H6874">
        <v>8.8999999999999996E-2</v>
      </c>
    </row>
    <row r="6875" spans="1:8" x14ac:dyDescent="0.3">
      <c r="A6875" t="s">
        <v>14761</v>
      </c>
      <c r="B6875" t="s">
        <v>26951</v>
      </c>
      <c r="C6875" t="s">
        <v>17411</v>
      </c>
      <c r="D6875" t="s">
        <v>17410</v>
      </c>
      <c r="E6875" s="2" t="s">
        <v>196</v>
      </c>
      <c r="F6875" t="s">
        <v>17409</v>
      </c>
      <c r="G6875" t="str">
        <f>HYPERLINK("https://n.news.naver.com/mnews/article/022/0004047876?sid=102")</f>
        <v>https://n.news.naver.com/mnews/article/022/0004047876?sid=102</v>
      </c>
      <c r="H6875">
        <v>0.25</v>
      </c>
    </row>
    <row r="6876" spans="1:8" x14ac:dyDescent="0.3">
      <c r="A6876" t="s">
        <v>14761</v>
      </c>
      <c r="B6876" t="s">
        <v>26951</v>
      </c>
      <c r="C6876" t="s">
        <v>17413</v>
      </c>
      <c r="D6876" t="s">
        <v>17412</v>
      </c>
      <c r="E6876" s="2" t="s">
        <v>196</v>
      </c>
      <c r="F6876" t="s">
        <v>1378</v>
      </c>
      <c r="G6876" t="str">
        <f>HYPERLINK("https://n.news.naver.com/mnews/article/008/0004004560?sid=103")</f>
        <v>https://n.news.naver.com/mnews/article/008/0004004560?sid=103</v>
      </c>
      <c r="H6876">
        <v>0.27500000000000002</v>
      </c>
    </row>
    <row r="6877" spans="1:8" x14ac:dyDescent="0.3">
      <c r="A6877" t="s">
        <v>14761</v>
      </c>
      <c r="B6877" t="s">
        <v>26951</v>
      </c>
      <c r="C6877" t="s">
        <v>3954</v>
      </c>
      <c r="D6877" t="s">
        <v>3953</v>
      </c>
      <c r="E6877" s="2" t="s">
        <v>196</v>
      </c>
      <c r="F6877" t="s">
        <v>304</v>
      </c>
      <c r="G6877" t="str">
        <f>HYPERLINK("https://n.news.naver.com/mnews/article/014/0005370578?sid=102")</f>
        <v>https://n.news.naver.com/mnews/article/014/0005370578?sid=102</v>
      </c>
      <c r="H6877">
        <v>0.23699999999999999</v>
      </c>
    </row>
    <row r="6878" spans="1:8" x14ac:dyDescent="0.3">
      <c r="A6878" t="s">
        <v>14761</v>
      </c>
      <c r="B6878" t="s">
        <v>26951</v>
      </c>
      <c r="C6878" t="s">
        <v>17416</v>
      </c>
      <c r="D6878" t="s">
        <v>17415</v>
      </c>
      <c r="E6878" s="2" t="s">
        <v>196</v>
      </c>
      <c r="F6878" t="s">
        <v>17414</v>
      </c>
      <c r="G6878" t="str">
        <f>HYPERLINK("http://www.jejusori.net/news/articleView.html?idxno=82280")</f>
        <v>http://www.jejusori.net/news/articleView.html?idxno=82280</v>
      </c>
      <c r="H6878">
        <v>0.57299999999999995</v>
      </c>
    </row>
    <row r="6879" spans="1:8" x14ac:dyDescent="0.3">
      <c r="A6879" t="s">
        <v>14761</v>
      </c>
      <c r="B6879" t="s">
        <v>26951</v>
      </c>
      <c r="C6879" t="s">
        <v>17418</v>
      </c>
      <c r="D6879" t="s">
        <v>17417</v>
      </c>
      <c r="E6879" s="2" t="s">
        <v>196</v>
      </c>
      <c r="F6879" t="s">
        <v>9025</v>
      </c>
      <c r="G6879" t="str">
        <f>HYPERLINK("https://www.nc.press/news/articleView.html?idxno=568633")</f>
        <v>https://www.nc.press/news/articleView.html?idxno=568633</v>
      </c>
      <c r="H6879">
        <v>0.43</v>
      </c>
    </row>
    <row r="6880" spans="1:8" x14ac:dyDescent="0.3">
      <c r="A6880" t="s">
        <v>14761</v>
      </c>
      <c r="B6880" t="s">
        <v>26951</v>
      </c>
      <c r="C6880" t="s">
        <v>17420</v>
      </c>
      <c r="D6880" t="s">
        <v>17419</v>
      </c>
      <c r="E6880" s="2" t="s">
        <v>196</v>
      </c>
      <c r="F6880" t="s">
        <v>11906</v>
      </c>
      <c r="G6880" t="str">
        <f>HYPERLINK("https://n.news.naver.com/mnews/article/018/0006053491?sid=102")</f>
        <v>https://n.news.naver.com/mnews/article/018/0006053491?sid=102</v>
      </c>
      <c r="H6880">
        <v>0.217</v>
      </c>
    </row>
    <row r="6881" spans="1:8" x14ac:dyDescent="0.3">
      <c r="A6881" t="s">
        <v>14761</v>
      </c>
      <c r="B6881" t="s">
        <v>26951</v>
      </c>
      <c r="C6881" t="s">
        <v>17422</v>
      </c>
      <c r="D6881" t="s">
        <v>17421</v>
      </c>
      <c r="E6881" s="2" t="s">
        <v>196</v>
      </c>
      <c r="F6881" t="s">
        <v>14816</v>
      </c>
      <c r="G6881" t="str">
        <f>HYPERLINK("https://www.lecturernews.com/news/articleView.html?idxno=181048")</f>
        <v>https://www.lecturernews.com/news/articleView.html?idxno=181048</v>
      </c>
      <c r="H6881">
        <v>0.65700000000000003</v>
      </c>
    </row>
    <row r="6882" spans="1:8" x14ac:dyDescent="0.3">
      <c r="A6882" t="s">
        <v>14761</v>
      </c>
      <c r="B6882" t="s">
        <v>26951</v>
      </c>
      <c r="C6882" t="s">
        <v>17424</v>
      </c>
      <c r="D6882" t="s">
        <v>17423</v>
      </c>
      <c r="E6882" s="2" t="s">
        <v>196</v>
      </c>
      <c r="F6882" t="s">
        <v>9679</v>
      </c>
      <c r="G6882" t="str">
        <f>HYPERLINK("https://www.etoday.co.kr/news/view/2482947")</f>
        <v>https://www.etoday.co.kr/news/view/2482947</v>
      </c>
      <c r="H6882">
        <v>0.42</v>
      </c>
    </row>
    <row r="6883" spans="1:8" x14ac:dyDescent="0.3">
      <c r="A6883" t="s">
        <v>14761</v>
      </c>
      <c r="B6883" t="s">
        <v>26951</v>
      </c>
      <c r="C6883" t="s">
        <v>17426</v>
      </c>
      <c r="D6883" t="s">
        <v>17425</v>
      </c>
      <c r="E6883" s="2" t="s">
        <v>196</v>
      </c>
      <c r="F6883" t="s">
        <v>2269</v>
      </c>
      <c r="G6883" t="str">
        <f>HYPERLINK("https://www.jemin.com/news/articleView.html?idxno=818132")</f>
        <v>https://www.jemin.com/news/articleView.html?idxno=818132</v>
      </c>
      <c r="H6883">
        <v>0.503</v>
      </c>
    </row>
    <row r="6884" spans="1:8" x14ac:dyDescent="0.3">
      <c r="A6884" t="s">
        <v>14761</v>
      </c>
      <c r="B6884" t="s">
        <v>26951</v>
      </c>
      <c r="C6884" t="s">
        <v>17429</v>
      </c>
      <c r="D6884" t="s">
        <v>17428</v>
      </c>
      <c r="E6884" s="2" t="s">
        <v>196</v>
      </c>
      <c r="F6884" t="s">
        <v>17427</v>
      </c>
      <c r="G6884" t="str">
        <f>HYPERLINK("https://n.news.naver.com/mnews/article/082/0001333220?sid=102")</f>
        <v>https://n.news.naver.com/mnews/article/082/0001333220?sid=102</v>
      </c>
      <c r="H6884">
        <v>0.14399999999999999</v>
      </c>
    </row>
    <row r="6885" spans="1:8" x14ac:dyDescent="0.3">
      <c r="A6885" t="s">
        <v>14761</v>
      </c>
      <c r="B6885" t="s">
        <v>26951</v>
      </c>
      <c r="C6885" t="s">
        <v>17431</v>
      </c>
      <c r="D6885" t="s">
        <v>17430</v>
      </c>
      <c r="E6885" s="2" t="s">
        <v>196</v>
      </c>
      <c r="F6885" t="s">
        <v>9679</v>
      </c>
      <c r="G6885" t="str">
        <f>HYPERLINK("https://www.financialpost.co.kr/news/articleView.html?idxno=228640")</f>
        <v>https://www.financialpost.co.kr/news/articleView.html?idxno=228640</v>
      </c>
      <c r="H6885">
        <v>0.52400000000000002</v>
      </c>
    </row>
    <row r="6886" spans="1:8" x14ac:dyDescent="0.3">
      <c r="A6886" t="s">
        <v>14761</v>
      </c>
      <c r="B6886" t="s">
        <v>26951</v>
      </c>
      <c r="C6886" t="s">
        <v>17433</v>
      </c>
      <c r="D6886" t="s">
        <v>17432</v>
      </c>
      <c r="E6886" s="2" t="s">
        <v>196</v>
      </c>
      <c r="F6886" t="s">
        <v>817</v>
      </c>
      <c r="G6886" t="str">
        <f>HYPERLINK("https://n.news.naver.com/mnews/article/081/0003553947?sid=102")</f>
        <v>https://n.news.naver.com/mnews/article/081/0003553947?sid=102</v>
      </c>
      <c r="H6886">
        <v>0.19400000000000001</v>
      </c>
    </row>
    <row r="6887" spans="1:8" x14ac:dyDescent="0.3">
      <c r="A6887" t="s">
        <v>14761</v>
      </c>
      <c r="B6887" t="s">
        <v>26951</v>
      </c>
      <c r="C6887" t="s">
        <v>17435</v>
      </c>
      <c r="D6887" t="s">
        <v>17434</v>
      </c>
      <c r="E6887" s="2" t="s">
        <v>196</v>
      </c>
      <c r="F6887" t="s">
        <v>9897</v>
      </c>
      <c r="G6887" t="str">
        <f>HYPERLINK("https://n.news.naver.com/mnews/article/018/0006053491?sid=102")</f>
        <v>https://n.news.naver.com/mnews/article/018/0006053491?sid=102</v>
      </c>
      <c r="H6887">
        <v>0.28299999999999997</v>
      </c>
    </row>
    <row r="6888" spans="1:8" x14ac:dyDescent="0.3">
      <c r="A6888" t="s">
        <v>14761</v>
      </c>
      <c r="B6888" t="s">
        <v>26951</v>
      </c>
      <c r="C6888" t="s">
        <v>17437</v>
      </c>
      <c r="D6888" t="s">
        <v>17436</v>
      </c>
      <c r="E6888" s="2" t="s">
        <v>196</v>
      </c>
      <c r="F6888" t="s">
        <v>17188</v>
      </c>
      <c r="G6888" t="str">
        <f>HYPERLINK("https://www.asiatoday.co.kr/view.php?key=20250624001108473")</f>
        <v>https://www.asiatoday.co.kr/view.php?key=20250624001108473</v>
      </c>
      <c r="H6888">
        <v>7.2999999999999995E-2</v>
      </c>
    </row>
    <row r="6889" spans="1:8" x14ac:dyDescent="0.3">
      <c r="A6889" t="s">
        <v>14761</v>
      </c>
      <c r="B6889" t="s">
        <v>26951</v>
      </c>
      <c r="C6889" t="s">
        <v>17439</v>
      </c>
      <c r="D6889" t="s">
        <v>17438</v>
      </c>
      <c r="E6889" s="2" t="s">
        <v>196</v>
      </c>
      <c r="F6889" t="s">
        <v>10111</v>
      </c>
      <c r="G6889" t="str">
        <f>HYPERLINK("https://www.jemin.com/news/articleView.html?idxno=817682")</f>
        <v>https://www.jemin.com/news/articleView.html?idxno=817682</v>
      </c>
      <c r="H6889">
        <v>0.16</v>
      </c>
    </row>
    <row r="6890" spans="1:8" x14ac:dyDescent="0.3">
      <c r="A6890" t="s">
        <v>14761</v>
      </c>
      <c r="B6890" t="s">
        <v>26951</v>
      </c>
      <c r="C6890" t="s">
        <v>17441</v>
      </c>
      <c r="D6890" t="s">
        <v>17440</v>
      </c>
      <c r="E6890" s="2" t="s">
        <v>196</v>
      </c>
      <c r="F6890" t="s">
        <v>12122</v>
      </c>
      <c r="G6890" t="str">
        <f>HYPERLINK("https://n.news.naver.com/mnews/article/018/0006053491?sid=102")</f>
        <v>https://n.news.naver.com/mnews/article/018/0006053491?sid=102</v>
      </c>
      <c r="H6890">
        <v>0.26500000000000001</v>
      </c>
    </row>
    <row r="6891" spans="1:8" x14ac:dyDescent="0.3">
      <c r="A6891" t="s">
        <v>14761</v>
      </c>
      <c r="B6891" t="s">
        <v>26951</v>
      </c>
      <c r="C6891" t="s">
        <v>17443</v>
      </c>
      <c r="D6891" t="s">
        <v>17442</v>
      </c>
      <c r="E6891" s="2" t="s">
        <v>196</v>
      </c>
      <c r="F6891" t="s">
        <v>10021</v>
      </c>
      <c r="G6891" t="str">
        <f>HYPERLINK("https://www.joongangenews.com/news/articleView.html?idxno=423140")</f>
        <v>https://www.joongangenews.com/news/articleView.html?idxno=423140</v>
      </c>
      <c r="H6891">
        <v>0.29799999999999999</v>
      </c>
    </row>
    <row r="6892" spans="1:8" x14ac:dyDescent="0.3">
      <c r="A6892" t="s">
        <v>14761</v>
      </c>
      <c r="B6892" t="s">
        <v>26951</v>
      </c>
      <c r="C6892" t="s">
        <v>17445</v>
      </c>
      <c r="D6892" t="s">
        <v>17444</v>
      </c>
      <c r="E6892" s="2" t="s">
        <v>196</v>
      </c>
      <c r="F6892" t="s">
        <v>10181</v>
      </c>
      <c r="G6892" t="str">
        <f>HYPERLINK("http://www.lecturernews.com/news/articleView.html?idxno=100724")</f>
        <v>http://www.lecturernews.com/news/articleView.html?idxno=100724</v>
      </c>
      <c r="H6892">
        <v>0.38700000000000001</v>
      </c>
    </row>
    <row r="6893" spans="1:8" x14ac:dyDescent="0.3">
      <c r="A6893" t="s">
        <v>14761</v>
      </c>
      <c r="B6893" t="s">
        <v>26951</v>
      </c>
      <c r="C6893" t="s">
        <v>17448</v>
      </c>
      <c r="D6893" t="s">
        <v>17447</v>
      </c>
      <c r="E6893" s="2" t="s">
        <v>196</v>
      </c>
      <c r="F6893" t="s">
        <v>17446</v>
      </c>
      <c r="G6893" t="str">
        <f>HYPERLINK("http://www.mediafine.co.kr/news/articleView.html?idxno=6930")</f>
        <v>http://www.mediafine.co.kr/news/articleView.html?idxno=6930</v>
      </c>
      <c r="H6893">
        <v>0.32200000000000001</v>
      </c>
    </row>
    <row r="6894" spans="1:8" x14ac:dyDescent="0.3">
      <c r="A6894" t="s">
        <v>14761</v>
      </c>
      <c r="B6894" t="s">
        <v>26951</v>
      </c>
      <c r="C6894" t="s">
        <v>17451</v>
      </c>
      <c r="D6894" t="s">
        <v>17450</v>
      </c>
      <c r="E6894" s="2" t="s">
        <v>196</v>
      </c>
      <c r="F6894" t="s">
        <v>17449</v>
      </c>
      <c r="G6894" t="str">
        <f>HYPERLINK("http://www.dtnews24.com/news/articleView.html?idxno=523371")</f>
        <v>http://www.dtnews24.com/news/articleView.html?idxno=523371</v>
      </c>
      <c r="H6894">
        <v>0.54700000000000004</v>
      </c>
    </row>
    <row r="6895" spans="1:8" x14ac:dyDescent="0.3">
      <c r="A6895" t="s">
        <v>14761</v>
      </c>
      <c r="B6895" t="s">
        <v>26951</v>
      </c>
      <c r="C6895" t="s">
        <v>17453</v>
      </c>
      <c r="D6895" t="s">
        <v>17452</v>
      </c>
      <c r="E6895" s="2" t="s">
        <v>196</v>
      </c>
      <c r="F6895" t="s">
        <v>9152</v>
      </c>
      <c r="G6895" t="str">
        <f>HYPERLINK("http://www.newstnt.com/news/articleView.html?idxno=503009")</f>
        <v>http://www.newstnt.com/news/articleView.html?idxno=503009</v>
      </c>
      <c r="H6895">
        <v>0.89300000000000002</v>
      </c>
    </row>
    <row r="6896" spans="1:8" x14ac:dyDescent="0.3">
      <c r="A6896" t="s">
        <v>14761</v>
      </c>
      <c r="B6896" t="s">
        <v>26951</v>
      </c>
      <c r="C6896" t="s">
        <v>17455</v>
      </c>
      <c r="D6896" t="s">
        <v>17454</v>
      </c>
      <c r="E6896" s="2" t="s">
        <v>196</v>
      </c>
      <c r="F6896" t="s">
        <v>776</v>
      </c>
      <c r="G6896" t="str">
        <f>HYPERLINK("https://n.news.naver.com/mnews/article/056/0010545050?sid=100")</f>
        <v>https://n.news.naver.com/mnews/article/056/0010545050?sid=100</v>
      </c>
      <c r="H6896">
        <v>0.245</v>
      </c>
    </row>
    <row r="6897" spans="1:8" x14ac:dyDescent="0.3">
      <c r="A6897" t="s">
        <v>14761</v>
      </c>
      <c r="B6897" t="s">
        <v>26951</v>
      </c>
      <c r="C6897" t="s">
        <v>17458</v>
      </c>
      <c r="D6897" t="s">
        <v>17457</v>
      </c>
      <c r="E6897" s="2" t="s">
        <v>196</v>
      </c>
      <c r="F6897" t="s">
        <v>17456</v>
      </c>
      <c r="H6897">
        <v>0.29299999999999998</v>
      </c>
    </row>
    <row r="6898" spans="1:8" x14ac:dyDescent="0.3">
      <c r="A6898" t="s">
        <v>14761</v>
      </c>
      <c r="B6898" t="s">
        <v>26951</v>
      </c>
      <c r="C6898" t="s">
        <v>17460</v>
      </c>
      <c r="D6898" t="s">
        <v>17459</v>
      </c>
      <c r="E6898" s="2" t="s">
        <v>196</v>
      </c>
      <c r="F6898" t="s">
        <v>5342</v>
      </c>
      <c r="G6898" t="str">
        <f>HYPERLINK("https://n.news.naver.com/mnews/article/016/0002488979?sid=103")</f>
        <v>https://n.news.naver.com/mnews/article/016/0002488979?sid=103</v>
      </c>
      <c r="H6898">
        <v>0.23499999999999999</v>
      </c>
    </row>
    <row r="6899" spans="1:8" x14ac:dyDescent="0.3">
      <c r="A6899" t="s">
        <v>14761</v>
      </c>
      <c r="B6899" t="s">
        <v>26951</v>
      </c>
      <c r="C6899" t="s">
        <v>17463</v>
      </c>
      <c r="D6899" t="s">
        <v>17462</v>
      </c>
      <c r="E6899" s="2" t="s">
        <v>196</v>
      </c>
      <c r="F6899" t="s">
        <v>17461</v>
      </c>
      <c r="G6899" t="str">
        <f>HYPERLINK("https://www.jemin.com/news/articleView.html?idxno=818132")</f>
        <v>https://www.jemin.com/news/articleView.html?idxno=818132</v>
      </c>
      <c r="H6899">
        <v>0.53</v>
      </c>
    </row>
    <row r="6900" spans="1:8" x14ac:dyDescent="0.3">
      <c r="A6900" t="s">
        <v>14761</v>
      </c>
      <c r="B6900" t="s">
        <v>26951</v>
      </c>
      <c r="C6900" t="s">
        <v>17465</v>
      </c>
      <c r="D6900" t="s">
        <v>17464</v>
      </c>
      <c r="E6900" s="2" t="s">
        <v>196</v>
      </c>
      <c r="F6900" t="s">
        <v>17461</v>
      </c>
      <c r="G6900" t="str">
        <f>HYPERLINK("https://www.nc.press/news/articleView.html?idxno=568633")</f>
        <v>https://www.nc.press/news/articleView.html?idxno=568633</v>
      </c>
      <c r="H6900">
        <v>0.49399999999999999</v>
      </c>
    </row>
    <row r="6901" spans="1:8" x14ac:dyDescent="0.3">
      <c r="A6901" t="s">
        <v>14761</v>
      </c>
      <c r="B6901" t="s">
        <v>26951</v>
      </c>
      <c r="C6901" t="s">
        <v>9355</v>
      </c>
      <c r="D6901" t="s">
        <v>9354</v>
      </c>
      <c r="E6901" s="2" t="s">
        <v>196</v>
      </c>
      <c r="F6901" t="s">
        <v>235</v>
      </c>
      <c r="G6901" t="str">
        <f>HYPERLINK("https://n.news.naver.com/mnews/article/032/0003041090?sid=103")</f>
        <v>https://n.news.naver.com/mnews/article/032/0003041090?sid=103</v>
      </c>
      <c r="H6901">
        <v>0.22700000000000001</v>
      </c>
    </row>
    <row r="6902" spans="1:8" x14ac:dyDescent="0.3">
      <c r="A6902" t="s">
        <v>14761</v>
      </c>
      <c r="B6902" t="s">
        <v>26951</v>
      </c>
      <c r="C6902" t="s">
        <v>17467</v>
      </c>
      <c r="D6902" t="s">
        <v>17466</v>
      </c>
      <c r="E6902" s="2" t="s">
        <v>196</v>
      </c>
      <c r="F6902" t="s">
        <v>17278</v>
      </c>
      <c r="G6902" t="str">
        <f>HYPERLINK("https://www.nc.press/news/articleView.html?idxno=568608")</f>
        <v>https://www.nc.press/news/articleView.html?idxno=568608</v>
      </c>
      <c r="H6902">
        <v>0.53</v>
      </c>
    </row>
    <row r="6903" spans="1:8" x14ac:dyDescent="0.3">
      <c r="A6903" t="s">
        <v>14761</v>
      </c>
      <c r="B6903" t="s">
        <v>26951</v>
      </c>
      <c r="C6903" t="s">
        <v>17469</v>
      </c>
      <c r="D6903" t="s">
        <v>17468</v>
      </c>
      <c r="E6903" s="2" t="s">
        <v>196</v>
      </c>
      <c r="F6903" t="s">
        <v>10021</v>
      </c>
      <c r="G6903" t="str">
        <f>HYPERLINK("http://www.lecturernews.com/news/articleView.html?idxno=65988")</f>
        <v>http://www.lecturernews.com/news/articleView.html?idxno=65988</v>
      </c>
      <c r="H6903">
        <v>0.34899999999999998</v>
      </c>
    </row>
    <row r="6904" spans="1:8" x14ac:dyDescent="0.3">
      <c r="A6904" t="s">
        <v>14761</v>
      </c>
      <c r="B6904" t="s">
        <v>26951</v>
      </c>
      <c r="C6904" t="s">
        <v>17471</v>
      </c>
      <c r="D6904" t="s">
        <v>17470</v>
      </c>
      <c r="E6904" s="2" t="s">
        <v>196</v>
      </c>
      <c r="F6904" t="s">
        <v>14802</v>
      </c>
      <c r="G6904" t="str">
        <f>HYPERLINK("http://www.newsroad.co.kr/news/articleView.html?idxno=41618")</f>
        <v>http://www.newsroad.co.kr/news/articleView.html?idxno=41618</v>
      </c>
      <c r="H6904">
        <v>0.93799999999999994</v>
      </c>
    </row>
    <row r="6905" spans="1:8" x14ac:dyDescent="0.3">
      <c r="A6905" t="s">
        <v>14761</v>
      </c>
      <c r="B6905" t="s">
        <v>26951</v>
      </c>
      <c r="C6905" t="s">
        <v>17473</v>
      </c>
      <c r="D6905" t="s">
        <v>17472</v>
      </c>
      <c r="E6905" s="2" t="s">
        <v>196</v>
      </c>
      <c r="F6905" t="s">
        <v>10840</v>
      </c>
      <c r="G6905" t="str">
        <f>HYPERLINK("https://n.news.naver.com/mnews/article/016/0002489565?sid=103")</f>
        <v>https://n.news.naver.com/mnews/article/016/0002489565?sid=103</v>
      </c>
      <c r="H6905">
        <v>0.223</v>
      </c>
    </row>
    <row r="6906" spans="1:8" x14ac:dyDescent="0.3">
      <c r="A6906" t="s">
        <v>14761</v>
      </c>
      <c r="B6906" t="s">
        <v>26951</v>
      </c>
      <c r="C6906" t="s">
        <v>17475</v>
      </c>
      <c r="D6906" t="s">
        <v>17474</v>
      </c>
      <c r="E6906" s="2" t="s">
        <v>196</v>
      </c>
      <c r="F6906" t="s">
        <v>7635</v>
      </c>
      <c r="G6906" t="str">
        <f>HYPERLINK("https://www.apnews.kr/news/articleView.html?idxno=3028169")</f>
        <v>https://www.apnews.kr/news/articleView.html?idxno=3028169</v>
      </c>
      <c r="H6906">
        <v>0.23599999999999999</v>
      </c>
    </row>
    <row r="6907" spans="1:8" x14ac:dyDescent="0.3">
      <c r="A6907" t="s">
        <v>14761</v>
      </c>
      <c r="B6907" t="s">
        <v>26951</v>
      </c>
      <c r="C6907" t="s">
        <v>17478</v>
      </c>
      <c r="D6907" t="s">
        <v>17477</v>
      </c>
      <c r="E6907" s="2" t="s">
        <v>196</v>
      </c>
      <c r="F6907" t="s">
        <v>17476</v>
      </c>
      <c r="G6907" t="str">
        <f>HYPERLINK("http://www.dynews.co.kr/news/articleView.html?idxno=624752")</f>
        <v>http://www.dynews.co.kr/news/articleView.html?idxno=624752</v>
      </c>
      <c r="H6907">
        <v>0.17599999999999999</v>
      </c>
    </row>
    <row r="6908" spans="1:8" x14ac:dyDescent="0.3">
      <c r="A6908" t="s">
        <v>14761</v>
      </c>
      <c r="B6908" t="s">
        <v>26951</v>
      </c>
      <c r="C6908" t="s">
        <v>17480</v>
      </c>
      <c r="D6908" t="s">
        <v>17479</v>
      </c>
      <c r="E6908" s="2" t="s">
        <v>196</v>
      </c>
      <c r="F6908" t="s">
        <v>13207</v>
      </c>
      <c r="G6908" t="str">
        <f>HYPERLINK("https://www.apnews.kr/news/articleView.html?idxno=3014108")</f>
        <v>https://www.apnews.kr/news/articleView.html?idxno=3014108</v>
      </c>
      <c r="H6908">
        <v>0.39500000000000002</v>
      </c>
    </row>
    <row r="6909" spans="1:8" x14ac:dyDescent="0.3">
      <c r="A6909" t="s">
        <v>14761</v>
      </c>
      <c r="B6909" t="s">
        <v>26951</v>
      </c>
      <c r="C6909" t="s">
        <v>17482</v>
      </c>
      <c r="D6909" t="s">
        <v>17481</v>
      </c>
      <c r="E6909" s="2" t="s">
        <v>196</v>
      </c>
      <c r="F6909" t="s">
        <v>3235</v>
      </c>
      <c r="G6909" t="str">
        <f>HYPERLINK("https://www.joongangenews.com/news/articleView.html?idxno=430913")</f>
        <v>https://www.joongangenews.com/news/articleView.html?idxno=430913</v>
      </c>
      <c r="H6909">
        <v>0.53300000000000003</v>
      </c>
    </row>
    <row r="6910" spans="1:8" x14ac:dyDescent="0.3">
      <c r="A6910" t="s">
        <v>14761</v>
      </c>
      <c r="B6910" t="s">
        <v>26951</v>
      </c>
      <c r="C6910" t="s">
        <v>17485</v>
      </c>
      <c r="D6910" t="s">
        <v>17484</v>
      </c>
      <c r="E6910" s="2" t="s">
        <v>196</v>
      </c>
      <c r="F6910" t="s">
        <v>17483</v>
      </c>
      <c r="G6910" t="str">
        <f>HYPERLINK("http://www.newsmp.com/news/articleView.html?idxno=238758")</f>
        <v>http://www.newsmp.com/news/articleView.html?idxno=238758</v>
      </c>
      <c r="H6910">
        <v>0.47</v>
      </c>
    </row>
    <row r="6911" spans="1:8" x14ac:dyDescent="0.3">
      <c r="A6911" t="s">
        <v>14761</v>
      </c>
      <c r="B6911" t="s">
        <v>26951</v>
      </c>
      <c r="C6911" t="s">
        <v>17487</v>
      </c>
      <c r="D6911" t="s">
        <v>17486</v>
      </c>
      <c r="E6911" s="2" t="s">
        <v>196</v>
      </c>
      <c r="F6911" t="s">
        <v>4119</v>
      </c>
      <c r="G6911" t="str">
        <f>HYPERLINK("https://www.lecturernews.com/news/articleView.html?idxno=181048")</f>
        <v>https://www.lecturernews.com/news/articleView.html?idxno=181048</v>
      </c>
      <c r="H6911">
        <v>0.495</v>
      </c>
    </row>
    <row r="6912" spans="1:8" x14ac:dyDescent="0.3">
      <c r="A6912" t="s">
        <v>14761</v>
      </c>
      <c r="B6912" t="s">
        <v>26951</v>
      </c>
      <c r="C6912" t="s">
        <v>17490</v>
      </c>
      <c r="D6912" t="s">
        <v>17489</v>
      </c>
      <c r="E6912" s="2" t="s">
        <v>196</v>
      </c>
      <c r="F6912" t="s">
        <v>17488</v>
      </c>
      <c r="G6912" t="str">
        <f>HYPERLINK("http://www.yeongnam.com/mnews/newsview.do?mode=newsView&amp;newskey=20160429.010420818230001")</f>
        <v>http://www.yeongnam.com/mnews/newsview.do?mode=newsView&amp;newskey=20160429.010420818230001</v>
      </c>
      <c r="H6912">
        <v>0.36499999999999999</v>
      </c>
    </row>
    <row r="6913" spans="1:8" x14ac:dyDescent="0.3">
      <c r="A6913" t="s">
        <v>14761</v>
      </c>
      <c r="B6913" t="s">
        <v>26951</v>
      </c>
      <c r="C6913" t="s">
        <v>17492</v>
      </c>
      <c r="D6913" t="s">
        <v>17491</v>
      </c>
      <c r="E6913" s="2" t="s">
        <v>196</v>
      </c>
      <c r="F6913" t="s">
        <v>1377</v>
      </c>
      <c r="G6913" t="str">
        <f>HYPERLINK("https://n.news.naver.com/mnews/article/006/0000129881?sid=102")</f>
        <v>https://n.news.naver.com/mnews/article/006/0000129881?sid=102</v>
      </c>
      <c r="H6913">
        <v>0.127</v>
      </c>
    </row>
    <row r="6914" spans="1:8" x14ac:dyDescent="0.3">
      <c r="A6914" t="s">
        <v>14761</v>
      </c>
      <c r="B6914" t="s">
        <v>26951</v>
      </c>
      <c r="C6914" t="s">
        <v>17494</v>
      </c>
      <c r="D6914" t="s">
        <v>17493</v>
      </c>
      <c r="E6914" s="2" t="s">
        <v>230</v>
      </c>
      <c r="F6914" t="s">
        <v>3204</v>
      </c>
      <c r="G6914" t="str">
        <f>HYPERLINK("https://sports.hankooki.com/news/articleView.html?idxno=6902393")</f>
        <v>https://sports.hankooki.com/news/articleView.html?idxno=6902393</v>
      </c>
      <c r="H6914">
        <v>0.127</v>
      </c>
    </row>
    <row r="6915" spans="1:8" x14ac:dyDescent="0.3">
      <c r="A6915" t="s">
        <v>14761</v>
      </c>
      <c r="B6915" t="s">
        <v>26951</v>
      </c>
      <c r="C6915" t="s">
        <v>17496</v>
      </c>
      <c r="D6915" t="s">
        <v>17495</v>
      </c>
      <c r="E6915" s="2" t="s">
        <v>230</v>
      </c>
      <c r="F6915" t="s">
        <v>3613</v>
      </c>
      <c r="G6915" t="str">
        <f>HYPERLINK("https://www.fetv.co.kr/news/article.html?no=195561")</f>
        <v>https://www.fetv.co.kr/news/article.html?no=195561</v>
      </c>
      <c r="H6915">
        <v>0.51500000000000001</v>
      </c>
    </row>
    <row r="6916" spans="1:8" x14ac:dyDescent="0.3">
      <c r="A6916" t="s">
        <v>14761</v>
      </c>
      <c r="B6916" t="s">
        <v>26951</v>
      </c>
      <c r="C6916" t="s">
        <v>17498</v>
      </c>
      <c r="D6916" t="s">
        <v>17497</v>
      </c>
      <c r="E6916" s="2" t="s">
        <v>230</v>
      </c>
      <c r="F6916" t="s">
        <v>3235</v>
      </c>
      <c r="G6916" t="str">
        <f>HYPERLINK("https://www.etoday.co.kr/news/view/2460702")</f>
        <v>https://www.etoday.co.kr/news/view/2460702</v>
      </c>
      <c r="H6916">
        <v>0.55200000000000005</v>
      </c>
    </row>
    <row r="6917" spans="1:8" x14ac:dyDescent="0.3">
      <c r="A6917" t="s">
        <v>14761</v>
      </c>
      <c r="B6917" t="s">
        <v>26951</v>
      </c>
      <c r="C6917" t="s">
        <v>17501</v>
      </c>
      <c r="D6917" t="s">
        <v>17500</v>
      </c>
      <c r="E6917" s="2" t="s">
        <v>230</v>
      </c>
      <c r="F6917" t="s">
        <v>17499</v>
      </c>
      <c r="G6917" t="str">
        <f>HYPERLINK("http://www.gjdream.com/news/articleView.html?idxno=658925")</f>
        <v>http://www.gjdream.com/news/articleView.html?idxno=658925</v>
      </c>
      <c r="H6917">
        <v>0.442</v>
      </c>
    </row>
    <row r="6918" spans="1:8" x14ac:dyDescent="0.3">
      <c r="A6918" t="s">
        <v>14761</v>
      </c>
      <c r="B6918" t="s">
        <v>26951</v>
      </c>
      <c r="C6918" t="s">
        <v>17503</v>
      </c>
      <c r="D6918" t="s">
        <v>17502</v>
      </c>
      <c r="E6918" s="2" t="s">
        <v>230</v>
      </c>
      <c r="F6918" t="s">
        <v>9786</v>
      </c>
      <c r="G6918" t="str">
        <f>HYPERLINK("https://n.news.naver.com/mnews/article/005/0000092000?sid=111")</f>
        <v>https://n.news.naver.com/mnews/article/005/0000092000?sid=111</v>
      </c>
      <c r="H6918">
        <v>0.126</v>
      </c>
    </row>
    <row r="6919" spans="1:8" x14ac:dyDescent="0.3">
      <c r="A6919" t="s">
        <v>14761</v>
      </c>
      <c r="B6919" t="s">
        <v>26951</v>
      </c>
      <c r="C6919" t="s">
        <v>17506</v>
      </c>
      <c r="D6919" t="s">
        <v>17505</v>
      </c>
      <c r="E6919" s="2" t="s">
        <v>230</v>
      </c>
      <c r="F6919" t="s">
        <v>17504</v>
      </c>
      <c r="G6919" t="str">
        <f>HYPERLINK("https://www.idomin.com/news/articleView.html?idxno=900139")</f>
        <v>https://www.idomin.com/news/articleView.html?idxno=900139</v>
      </c>
      <c r="H6919">
        <v>0.377</v>
      </c>
    </row>
    <row r="6920" spans="1:8" x14ac:dyDescent="0.3">
      <c r="A6920" t="s">
        <v>14761</v>
      </c>
      <c r="B6920" t="s">
        <v>26951</v>
      </c>
      <c r="C6920" t="s">
        <v>17509</v>
      </c>
      <c r="D6920" t="s">
        <v>17508</v>
      </c>
      <c r="E6920" s="2" t="s">
        <v>230</v>
      </c>
      <c r="F6920" t="s">
        <v>17507</v>
      </c>
      <c r="G6920" t="str">
        <f>HYPERLINK("http://www.knnews.co.kr/news/articleView.php?idxno=1311278")</f>
        <v>http://www.knnews.co.kr/news/articleView.php?idxno=1311278</v>
      </c>
      <c r="H6920">
        <v>0.57199999999999995</v>
      </c>
    </row>
    <row r="6921" spans="1:8" x14ac:dyDescent="0.3">
      <c r="A6921" t="s">
        <v>14761</v>
      </c>
      <c r="B6921" t="s">
        <v>26951</v>
      </c>
      <c r="C6921" t="s">
        <v>17512</v>
      </c>
      <c r="D6921" t="s">
        <v>17511</v>
      </c>
      <c r="E6921" s="2" t="s">
        <v>230</v>
      </c>
      <c r="F6921" t="s">
        <v>17510</v>
      </c>
      <c r="G6921" t="str">
        <f>HYPERLINK("http://www.travie.com/news/articleView.html?idxno=21628")</f>
        <v>http://www.travie.com/news/articleView.html?idxno=21628</v>
      </c>
      <c r="H6921">
        <v>0.33700000000000002</v>
      </c>
    </row>
    <row r="6922" spans="1:8" x14ac:dyDescent="0.3">
      <c r="A6922" t="s">
        <v>14761</v>
      </c>
      <c r="B6922" t="s">
        <v>26951</v>
      </c>
      <c r="C6922" t="s">
        <v>17514</v>
      </c>
      <c r="D6922" t="s">
        <v>17513</v>
      </c>
      <c r="E6922" s="2" t="s">
        <v>230</v>
      </c>
      <c r="F6922" t="s">
        <v>4119</v>
      </c>
      <c r="G6922" t="str">
        <f>HYPERLINK("https://www.lecturernews.com/news/articleView.html?idxno=181048")</f>
        <v>https://www.lecturernews.com/news/articleView.html?idxno=181048</v>
      </c>
      <c r="H6922">
        <v>0.73199999999999998</v>
      </c>
    </row>
    <row r="6923" spans="1:8" x14ac:dyDescent="0.3">
      <c r="A6923" t="s">
        <v>14761</v>
      </c>
      <c r="B6923" t="s">
        <v>26951</v>
      </c>
      <c r="C6923" t="s">
        <v>17516</v>
      </c>
      <c r="D6923" t="s">
        <v>17515</v>
      </c>
      <c r="E6923" s="2" t="s">
        <v>230</v>
      </c>
      <c r="F6923" t="s">
        <v>10132</v>
      </c>
      <c r="G6923" t="str">
        <f>HYPERLINK("https://sports.hankooki.com/news/articleView.html?idxno=6902462")</f>
        <v>https://sports.hankooki.com/news/articleView.html?idxno=6902462</v>
      </c>
      <c r="H6923">
        <v>0.66600000000000004</v>
      </c>
    </row>
    <row r="6924" spans="1:8" x14ac:dyDescent="0.3">
      <c r="A6924" t="s">
        <v>14761</v>
      </c>
      <c r="B6924" t="s">
        <v>26951</v>
      </c>
      <c r="C6924" t="s">
        <v>17518</v>
      </c>
      <c r="D6924" t="s">
        <v>17517</v>
      </c>
      <c r="E6924" s="2" t="s">
        <v>230</v>
      </c>
      <c r="F6924" t="s">
        <v>9863</v>
      </c>
      <c r="G6924" t="str">
        <f>HYPERLINK("https://www.jemin.com/news/articleView.html?idxno=817534")</f>
        <v>https://www.jemin.com/news/articleView.html?idxno=817534</v>
      </c>
      <c r="H6924">
        <v>0.71099999999999997</v>
      </c>
    </row>
    <row r="6925" spans="1:8" x14ac:dyDescent="0.3">
      <c r="A6925" t="s">
        <v>14761</v>
      </c>
      <c r="B6925" t="s">
        <v>26951</v>
      </c>
      <c r="C6925" t="s">
        <v>17521</v>
      </c>
      <c r="D6925" t="s">
        <v>17520</v>
      </c>
      <c r="E6925" s="2" t="s">
        <v>230</v>
      </c>
      <c r="F6925" t="s">
        <v>17519</v>
      </c>
      <c r="G6925" t="str">
        <f>HYPERLINK("https://n.news.naver.com/mnews/article/055/0001209048?sid=104")</f>
        <v>https://n.news.naver.com/mnews/article/055/0001209048?sid=104</v>
      </c>
      <c r="H6925">
        <v>0.40300000000000002</v>
      </c>
    </row>
    <row r="6926" spans="1:8" x14ac:dyDescent="0.3">
      <c r="A6926" t="s">
        <v>14761</v>
      </c>
      <c r="B6926" t="s">
        <v>26951</v>
      </c>
      <c r="C6926" t="s">
        <v>17523</v>
      </c>
      <c r="D6926" t="s">
        <v>17522</v>
      </c>
      <c r="E6926" s="2" t="s">
        <v>230</v>
      </c>
      <c r="F6926" t="s">
        <v>6486</v>
      </c>
      <c r="G6926" t="str">
        <f>HYPERLINK("http://www.gvalley.co.kr/552094")</f>
        <v>http://www.gvalley.co.kr/552094</v>
      </c>
      <c r="H6926">
        <v>0.27600000000000002</v>
      </c>
    </row>
    <row r="6927" spans="1:8" x14ac:dyDescent="0.3">
      <c r="A6927" t="s">
        <v>14761</v>
      </c>
      <c r="B6927" t="s">
        <v>26951</v>
      </c>
      <c r="C6927" t="s">
        <v>17525</v>
      </c>
      <c r="D6927" t="s">
        <v>17524</v>
      </c>
      <c r="E6927" s="2" t="s">
        <v>230</v>
      </c>
      <c r="F6927" t="s">
        <v>13738</v>
      </c>
      <c r="G6927" t="str">
        <f>HYPERLINK("http://jmagazine.joins.com/forbes/view/320595")</f>
        <v>http://jmagazine.joins.com/forbes/view/320595</v>
      </c>
      <c r="H6927">
        <v>0.29299999999999998</v>
      </c>
    </row>
    <row r="6928" spans="1:8" x14ac:dyDescent="0.3">
      <c r="A6928" t="s">
        <v>14761</v>
      </c>
      <c r="B6928" t="s">
        <v>26951</v>
      </c>
      <c r="C6928" t="s">
        <v>17527</v>
      </c>
      <c r="D6928" t="s">
        <v>17526</v>
      </c>
      <c r="E6928" s="2" t="s">
        <v>230</v>
      </c>
      <c r="F6928" t="s">
        <v>9679</v>
      </c>
      <c r="G6928" t="str">
        <f>HYPERLINK("https://n.news.naver.com/mnews/article/052/0000969359?sid=100")</f>
        <v>https://n.news.naver.com/mnews/article/052/0000969359?sid=100</v>
      </c>
      <c r="H6928">
        <v>0.188</v>
      </c>
    </row>
    <row r="6929" spans="1:8" x14ac:dyDescent="0.3">
      <c r="A6929" t="s">
        <v>14761</v>
      </c>
      <c r="B6929" t="s">
        <v>26951</v>
      </c>
      <c r="C6929" t="s">
        <v>17529</v>
      </c>
      <c r="D6929" t="s">
        <v>17528</v>
      </c>
      <c r="E6929" s="2" t="s">
        <v>230</v>
      </c>
      <c r="F6929" t="s">
        <v>9944</v>
      </c>
      <c r="G6929" t="str">
        <f>HYPERLINK("https://www.pennmike.com/news/articleView.html?idxno=103817")</f>
        <v>https://www.pennmike.com/news/articleView.html?idxno=103817</v>
      </c>
      <c r="H6929">
        <v>0.47599999999999998</v>
      </c>
    </row>
    <row r="6930" spans="1:8" x14ac:dyDescent="0.3">
      <c r="A6930" t="s">
        <v>14761</v>
      </c>
      <c r="B6930" t="s">
        <v>26951</v>
      </c>
      <c r="C6930" t="s">
        <v>17531</v>
      </c>
      <c r="D6930" t="s">
        <v>17530</v>
      </c>
      <c r="E6930" s="2" t="s">
        <v>230</v>
      </c>
      <c r="F6930" t="s">
        <v>12458</v>
      </c>
      <c r="G6930" t="str">
        <f>HYPERLINK("http://www.updownnews.co.kr/news/articleView.html?idxno=88273")</f>
        <v>http://www.updownnews.co.kr/news/articleView.html?idxno=88273</v>
      </c>
      <c r="H6930">
        <v>0.42899999999999999</v>
      </c>
    </row>
    <row r="6931" spans="1:8" x14ac:dyDescent="0.3">
      <c r="A6931" t="s">
        <v>14761</v>
      </c>
      <c r="B6931" t="s">
        <v>26951</v>
      </c>
      <c r="C6931" t="s">
        <v>17534</v>
      </c>
      <c r="D6931" t="s">
        <v>17533</v>
      </c>
      <c r="E6931" s="2" t="s">
        <v>230</v>
      </c>
      <c r="F6931" t="s">
        <v>17532</v>
      </c>
      <c r="G6931" t="str">
        <f>HYPERLINK("https://www.newsfreezone.co.kr/news/articleView.html?idxno=518260")</f>
        <v>https://www.newsfreezone.co.kr/news/articleView.html?idxno=518260</v>
      </c>
      <c r="H6931">
        <v>0.41199999999999998</v>
      </c>
    </row>
    <row r="6932" spans="1:8" x14ac:dyDescent="0.3">
      <c r="A6932" t="s">
        <v>14761</v>
      </c>
      <c r="B6932" t="s">
        <v>26951</v>
      </c>
      <c r="C6932" t="s">
        <v>17537</v>
      </c>
      <c r="D6932" t="s">
        <v>17536</v>
      </c>
      <c r="E6932" s="2" t="s">
        <v>230</v>
      </c>
      <c r="F6932" t="s">
        <v>17535</v>
      </c>
      <c r="G6932" t="str">
        <f>HYPERLINK("http://www.veritas-a.com/news/articleView.html?idxno=512820")</f>
        <v>http://www.veritas-a.com/news/articleView.html?idxno=512820</v>
      </c>
      <c r="H6932">
        <v>0.20200000000000001</v>
      </c>
    </row>
    <row r="6933" spans="1:8" x14ac:dyDescent="0.3">
      <c r="A6933" t="s">
        <v>14761</v>
      </c>
      <c r="B6933" t="s">
        <v>26951</v>
      </c>
      <c r="C6933" t="s">
        <v>17540</v>
      </c>
      <c r="D6933" t="s">
        <v>17539</v>
      </c>
      <c r="E6933" s="2" t="s">
        <v>230</v>
      </c>
      <c r="F6933" t="s">
        <v>17538</v>
      </c>
      <c r="G6933" t="str">
        <f>HYPERLINK("https://www.jemin.com/news/articleView.html?idxno=817758")</f>
        <v>https://www.jemin.com/news/articleView.html?idxno=817758</v>
      </c>
      <c r="H6933">
        <v>0.51600000000000001</v>
      </c>
    </row>
    <row r="6934" spans="1:8" x14ac:dyDescent="0.3">
      <c r="A6934" t="s">
        <v>14761</v>
      </c>
      <c r="B6934" t="s">
        <v>26951</v>
      </c>
      <c r="C6934" t="s">
        <v>17543</v>
      </c>
      <c r="D6934" t="s">
        <v>17542</v>
      </c>
      <c r="E6934" s="2" t="s">
        <v>230</v>
      </c>
      <c r="F6934" t="s">
        <v>17541</v>
      </c>
      <c r="G6934" t="str">
        <f>HYPERLINK("http://www.ilemonde.com/news/articleView.html?idxno=13773")</f>
        <v>http://www.ilemonde.com/news/articleView.html?idxno=13773</v>
      </c>
      <c r="H6934">
        <v>0.55200000000000005</v>
      </c>
    </row>
    <row r="6935" spans="1:8" x14ac:dyDescent="0.3">
      <c r="A6935" t="s">
        <v>14761</v>
      </c>
      <c r="B6935" t="s">
        <v>26951</v>
      </c>
      <c r="C6935" t="s">
        <v>17549</v>
      </c>
      <c r="D6935" t="s">
        <v>17548</v>
      </c>
      <c r="E6935" s="2" t="s">
        <v>230</v>
      </c>
      <c r="F6935" t="s">
        <v>17547</v>
      </c>
      <c r="G6935" t="str">
        <f>HYPERLINK("https://n.news.naver.com/mnews/article/082/0001332627?sid=102")</f>
        <v>https://n.news.naver.com/mnews/article/082/0001332627?sid=102</v>
      </c>
      <c r="H6935">
        <v>0.27300000000000002</v>
      </c>
    </row>
    <row r="6936" spans="1:8" x14ac:dyDescent="0.3">
      <c r="A6936" t="s">
        <v>14761</v>
      </c>
      <c r="B6936" t="s">
        <v>26951</v>
      </c>
      <c r="C6936" t="s">
        <v>17551</v>
      </c>
      <c r="D6936" t="s">
        <v>17550</v>
      </c>
      <c r="E6936" s="2" t="s">
        <v>230</v>
      </c>
      <c r="F6936" t="s">
        <v>16136</v>
      </c>
      <c r="G6936" t="str">
        <f>HYPERLINK("https://www.inthenews.co.kr/news/article.html?no=72467")</f>
        <v>https://www.inthenews.co.kr/news/article.html?no=72467</v>
      </c>
      <c r="H6936">
        <v>0.45700000000000002</v>
      </c>
    </row>
    <row r="6937" spans="1:8" x14ac:dyDescent="0.3">
      <c r="A6937" t="s">
        <v>14761</v>
      </c>
      <c r="B6937" t="s">
        <v>26951</v>
      </c>
      <c r="C6937" t="s">
        <v>17554</v>
      </c>
      <c r="D6937" t="s">
        <v>17553</v>
      </c>
      <c r="E6937" s="2" t="s">
        <v>230</v>
      </c>
      <c r="F6937" t="s">
        <v>17552</v>
      </c>
      <c r="G6937" t="str">
        <f>HYPERLINK("http://www.ilemonde.com/news/articleView.html?idxno=20715")</f>
        <v>http://www.ilemonde.com/news/articleView.html?idxno=20715</v>
      </c>
      <c r="H6937">
        <v>0.45200000000000001</v>
      </c>
    </row>
    <row r="6938" spans="1:8" x14ac:dyDescent="0.3">
      <c r="A6938" t="s">
        <v>14761</v>
      </c>
      <c r="B6938" t="s">
        <v>26951</v>
      </c>
      <c r="C6938" t="s">
        <v>17557</v>
      </c>
      <c r="D6938" t="s">
        <v>17556</v>
      </c>
      <c r="E6938" s="2" t="s">
        <v>230</v>
      </c>
      <c r="F6938" t="s">
        <v>17555</v>
      </c>
      <c r="G6938" t="str">
        <f>HYPERLINK("https://www.kukinews.com/article/view/kuk202506210013")</f>
        <v>https://www.kukinews.com/article/view/kuk202506210013</v>
      </c>
      <c r="H6938">
        <v>0.34799999999999998</v>
      </c>
    </row>
    <row r="6939" spans="1:8" x14ac:dyDescent="0.3">
      <c r="A6939" t="s">
        <v>14761</v>
      </c>
      <c r="B6939" t="s">
        <v>26951</v>
      </c>
      <c r="C6939" t="s">
        <v>17560</v>
      </c>
      <c r="D6939" t="s">
        <v>17559</v>
      </c>
      <c r="E6939" s="2" t="s">
        <v>230</v>
      </c>
      <c r="F6939" t="s">
        <v>17558</v>
      </c>
      <c r="G6939" t="str">
        <f>HYPERLINK("https://www.kbmaeil.com/article/20250623500138")</f>
        <v>https://www.kbmaeil.com/article/20250623500138</v>
      </c>
      <c r="H6939">
        <v>0.746</v>
      </c>
    </row>
    <row r="6940" spans="1:8" x14ac:dyDescent="0.3">
      <c r="A6940" t="s">
        <v>14761</v>
      </c>
      <c r="B6940" t="s">
        <v>26951</v>
      </c>
      <c r="C6940" t="s">
        <v>17563</v>
      </c>
      <c r="D6940" t="s">
        <v>17562</v>
      </c>
      <c r="E6940" s="2" t="s">
        <v>230</v>
      </c>
      <c r="F6940" t="s">
        <v>17561</v>
      </c>
      <c r="G6940" t="str">
        <f>HYPERLINK("https://www.bbc.com/korean/articles/c17wq87qdg2o?xtor=AL-73-%5Bpartner%5D-%5Bnaver%5D-%5Bheadline%5D-%5Bkorean%5D-%5Bbizdev%5D-%5Bisapi%5D")</f>
        <v>https://www.bbc.com/korean/articles/c17wq87qdg2o?xtor=AL-73-%5Bpartner%5D-%5Bnaver%5D-%5Bheadline%5D-%5Bkorean%5D-%5Bbizdev%5D-%5Bisapi%5D</v>
      </c>
      <c r="H6940">
        <v>0.59499999999999997</v>
      </c>
    </row>
    <row r="6941" spans="1:8" x14ac:dyDescent="0.3">
      <c r="A6941" t="s">
        <v>14761</v>
      </c>
      <c r="B6941" t="s">
        <v>26951</v>
      </c>
      <c r="C6941" t="s">
        <v>17566</v>
      </c>
      <c r="D6941" t="s">
        <v>17565</v>
      </c>
      <c r="E6941" s="2" t="s">
        <v>230</v>
      </c>
      <c r="F6941" t="s">
        <v>17564</v>
      </c>
      <c r="G6941" t="str">
        <f>HYPERLINK("https://n.news.naver.com/mnews/article/081/0002903188?sid=110")</f>
        <v>https://n.news.naver.com/mnews/article/081/0002903188?sid=110</v>
      </c>
      <c r="H6941">
        <v>0.191</v>
      </c>
    </row>
    <row r="6942" spans="1:8" x14ac:dyDescent="0.3">
      <c r="A6942" t="s">
        <v>14761</v>
      </c>
      <c r="B6942" t="s">
        <v>26951</v>
      </c>
      <c r="C6942" t="s">
        <v>17568</v>
      </c>
      <c r="D6942" t="s">
        <v>17567</v>
      </c>
      <c r="E6942" s="2" t="s">
        <v>230</v>
      </c>
      <c r="F6942" t="s">
        <v>10471</v>
      </c>
      <c r="G6942" t="str">
        <f>HYPERLINK("https://www.jemin.com/news/articleView.html?idxno=796826")</f>
        <v>https://www.jemin.com/news/articleView.html?idxno=796826</v>
      </c>
      <c r="H6942">
        <v>0.35399999999999998</v>
      </c>
    </row>
    <row r="6943" spans="1:8" x14ac:dyDescent="0.3">
      <c r="A6943" t="s">
        <v>14761</v>
      </c>
      <c r="B6943" t="s">
        <v>26951</v>
      </c>
      <c r="C6943" t="s">
        <v>17570</v>
      </c>
      <c r="D6943" t="s">
        <v>17569</v>
      </c>
      <c r="E6943" s="2" t="s">
        <v>230</v>
      </c>
      <c r="F6943" t="s">
        <v>16547</v>
      </c>
      <c r="G6943" t="str">
        <f>HYPERLINK("https://n.news.naver.com/mnews/article/079/0004039492?sid=102")</f>
        <v>https://n.news.naver.com/mnews/article/079/0004039492?sid=102</v>
      </c>
      <c r="H6943">
        <v>0.245</v>
      </c>
    </row>
    <row r="6944" spans="1:8" x14ac:dyDescent="0.3">
      <c r="A6944" t="s">
        <v>14761</v>
      </c>
      <c r="B6944" t="s">
        <v>26951</v>
      </c>
      <c r="C6944" t="s">
        <v>17572</v>
      </c>
      <c r="D6944" t="s">
        <v>17571</v>
      </c>
      <c r="E6944" s="2" t="s">
        <v>230</v>
      </c>
      <c r="F6944" t="s">
        <v>12381</v>
      </c>
      <c r="G6944" t="str">
        <f>HYPERLINK("https://www.ablenews.co.kr/news/articleView.html?idxno=221195")</f>
        <v>https://www.ablenews.co.kr/news/articleView.html?idxno=221195</v>
      </c>
      <c r="H6944">
        <v>0.54100000000000004</v>
      </c>
    </row>
    <row r="6945" spans="1:8" x14ac:dyDescent="0.3">
      <c r="A6945" t="s">
        <v>14761</v>
      </c>
      <c r="B6945" t="s">
        <v>26951</v>
      </c>
      <c r="C6945" t="s">
        <v>17575</v>
      </c>
      <c r="D6945" t="s">
        <v>17574</v>
      </c>
      <c r="E6945" s="2" t="s">
        <v>230</v>
      </c>
      <c r="F6945" t="s">
        <v>16435</v>
      </c>
      <c r="G6945" t="str">
        <f>HYPERLINK("https://n.news.naver.com/mnews/article/277/0005616102?sid=100")</f>
        <v>https://n.news.naver.com/mnews/article/277/0005616102?sid=100</v>
      </c>
      <c r="H6945">
        <v>0.13500000000000001</v>
      </c>
    </row>
    <row r="6946" spans="1:8" x14ac:dyDescent="0.3">
      <c r="A6946" t="s">
        <v>14761</v>
      </c>
      <c r="B6946" t="s">
        <v>26951</v>
      </c>
      <c r="C6946" t="s">
        <v>17578</v>
      </c>
      <c r="D6946" t="s">
        <v>17577</v>
      </c>
      <c r="E6946" s="2" t="s">
        <v>230</v>
      </c>
      <c r="F6946" t="s">
        <v>17576</v>
      </c>
      <c r="G6946" t="str">
        <f>HYPERLINK("https://n.news.naver.com/mnews/article/055/0001261767?sid=103")</f>
        <v>https://n.news.naver.com/mnews/article/055/0001261767?sid=103</v>
      </c>
      <c r="H6946">
        <v>0.27400000000000002</v>
      </c>
    </row>
    <row r="6947" spans="1:8" x14ac:dyDescent="0.3">
      <c r="A6947" t="s">
        <v>14761</v>
      </c>
      <c r="B6947" t="s">
        <v>26951</v>
      </c>
      <c r="C6947" t="s">
        <v>17581</v>
      </c>
      <c r="D6947" t="s">
        <v>17580</v>
      </c>
      <c r="E6947" s="2" t="s">
        <v>230</v>
      </c>
      <c r="F6947" t="s">
        <v>17579</v>
      </c>
      <c r="G6947" t="str">
        <f>HYPERLINK("https://www.autodaily.co.kr/news/articleView.html?idxno=532548")</f>
        <v>https://www.autodaily.co.kr/news/articleView.html?idxno=532548</v>
      </c>
      <c r="H6947">
        <v>0.98899999999999999</v>
      </c>
    </row>
    <row r="6948" spans="1:8" x14ac:dyDescent="0.3">
      <c r="A6948" t="s">
        <v>14761</v>
      </c>
      <c r="B6948" t="s">
        <v>26951</v>
      </c>
      <c r="C6948" t="s">
        <v>17583</v>
      </c>
      <c r="D6948" t="s">
        <v>17582</v>
      </c>
      <c r="E6948" s="2" t="s">
        <v>230</v>
      </c>
      <c r="F6948" t="s">
        <v>8656</v>
      </c>
      <c r="G6948" t="str">
        <f>HYPERLINK("http://www.laborplus.co.kr/news/articleView.html?idxno=31386")</f>
        <v>http://www.laborplus.co.kr/news/articleView.html?idxno=31386</v>
      </c>
      <c r="H6948">
        <v>0.317</v>
      </c>
    </row>
    <row r="6949" spans="1:8" x14ac:dyDescent="0.3">
      <c r="A6949" t="s">
        <v>14761</v>
      </c>
      <c r="B6949" t="s">
        <v>26951</v>
      </c>
      <c r="C6949" t="s">
        <v>17585</v>
      </c>
      <c r="D6949" t="s">
        <v>17584</v>
      </c>
      <c r="E6949" s="2" t="s">
        <v>230</v>
      </c>
      <c r="F6949" t="s">
        <v>10172</v>
      </c>
      <c r="G6949" t="str">
        <f>HYPERLINK("http://www.thefirstmedia.net/news/articleView.html?idxno=133098")</f>
        <v>http://www.thefirstmedia.net/news/articleView.html?idxno=133098</v>
      </c>
      <c r="H6949">
        <v>0.28999999999999998</v>
      </c>
    </row>
    <row r="6950" spans="1:8" x14ac:dyDescent="0.3">
      <c r="A6950" t="s">
        <v>14761</v>
      </c>
      <c r="B6950" t="s">
        <v>26951</v>
      </c>
      <c r="C6950" t="s">
        <v>17588</v>
      </c>
      <c r="D6950" t="s">
        <v>17587</v>
      </c>
      <c r="E6950" s="2" t="s">
        <v>230</v>
      </c>
      <c r="F6950" t="s">
        <v>17586</v>
      </c>
      <c r="G6950" t="str">
        <f>HYPERLINK("https://www.dailysportshankook.co.kr/news/articleView.html?idxno=408677")</f>
        <v>https://www.dailysportshankook.co.kr/news/articleView.html?idxno=408677</v>
      </c>
      <c r="H6950">
        <v>0.376</v>
      </c>
    </row>
    <row r="6951" spans="1:8" x14ac:dyDescent="0.3">
      <c r="A6951" t="s">
        <v>14761</v>
      </c>
      <c r="B6951" t="s">
        <v>26951</v>
      </c>
      <c r="C6951" t="s">
        <v>17591</v>
      </c>
      <c r="D6951" t="s">
        <v>17590</v>
      </c>
      <c r="E6951" s="2" t="s">
        <v>230</v>
      </c>
      <c r="F6951" t="s">
        <v>17589</v>
      </c>
      <c r="G6951" t="str">
        <f>HYPERLINK("https://n.news.naver.com/mnews/article/014/0005365770?sid=101")</f>
        <v>https://n.news.naver.com/mnews/article/014/0005365770?sid=101</v>
      </c>
      <c r="H6951">
        <v>0.20399999999999999</v>
      </c>
    </row>
    <row r="6952" spans="1:8" x14ac:dyDescent="0.3">
      <c r="A6952" t="s">
        <v>14761</v>
      </c>
      <c r="B6952" t="s">
        <v>26951</v>
      </c>
      <c r="C6952" t="s">
        <v>17593</v>
      </c>
      <c r="D6952" t="s">
        <v>17592</v>
      </c>
      <c r="E6952" s="2" t="s">
        <v>230</v>
      </c>
      <c r="F6952" t="s">
        <v>16711</v>
      </c>
      <c r="G6952" t="str">
        <f>HYPERLINK("https://n.news.naver.com/mnews/article/052/0002182284?sid=104")</f>
        <v>https://n.news.naver.com/mnews/article/052/0002182284?sid=104</v>
      </c>
      <c r="H6952">
        <v>0.252</v>
      </c>
    </row>
    <row r="6953" spans="1:8" x14ac:dyDescent="0.3">
      <c r="A6953" t="s">
        <v>14761</v>
      </c>
      <c r="B6953" t="s">
        <v>26951</v>
      </c>
      <c r="C6953" t="s">
        <v>17595</v>
      </c>
      <c r="D6953" t="s">
        <v>17594</v>
      </c>
      <c r="E6953" s="2" t="s">
        <v>230</v>
      </c>
      <c r="F6953" t="s">
        <v>3235</v>
      </c>
      <c r="G6953" t="str">
        <f>HYPERLINK("https://www.joongangenews.com/news/articleView.html?idxno=426487")</f>
        <v>https://www.joongangenews.com/news/articleView.html?idxno=426487</v>
      </c>
      <c r="H6953">
        <v>0.52100000000000002</v>
      </c>
    </row>
    <row r="6954" spans="1:8" x14ac:dyDescent="0.3">
      <c r="A6954" t="s">
        <v>14761</v>
      </c>
      <c r="B6954" t="s">
        <v>26951</v>
      </c>
      <c r="C6954" t="s">
        <v>17597</v>
      </c>
      <c r="D6954" t="s">
        <v>17596</v>
      </c>
      <c r="E6954" s="2" t="s">
        <v>230</v>
      </c>
      <c r="F6954" t="s">
        <v>13678</v>
      </c>
      <c r="G6954" t="str">
        <f>HYPERLINK("http://www.sporbiz.co.kr/news/articleView.html?idxno=463516")</f>
        <v>http://www.sporbiz.co.kr/news/articleView.html?idxno=463516</v>
      </c>
      <c r="H6954">
        <v>0.39800000000000002</v>
      </c>
    </row>
    <row r="6955" spans="1:8" x14ac:dyDescent="0.3">
      <c r="A6955" t="s">
        <v>14761</v>
      </c>
      <c r="B6955" t="s">
        <v>26951</v>
      </c>
      <c r="C6955" t="s">
        <v>17599</v>
      </c>
      <c r="D6955" t="s">
        <v>17598</v>
      </c>
      <c r="E6955" s="2" t="s">
        <v>66</v>
      </c>
      <c r="F6955" t="s">
        <v>13964</v>
      </c>
      <c r="G6955" t="str">
        <f>HYPERLINK("https://www.newspim.com/news/view/20250630000345")</f>
        <v>https://www.newspim.com/news/view/20250630000345</v>
      </c>
      <c r="H6955">
        <v>0.47399999999999998</v>
      </c>
    </row>
    <row r="6956" spans="1:8" x14ac:dyDescent="0.3">
      <c r="A6956" t="s">
        <v>14761</v>
      </c>
      <c r="B6956" t="s">
        <v>26951</v>
      </c>
      <c r="C6956" t="s">
        <v>17602</v>
      </c>
      <c r="D6956" t="s">
        <v>17601</v>
      </c>
      <c r="E6956" s="2" t="s">
        <v>66</v>
      </c>
      <c r="F6956" t="s">
        <v>17600</v>
      </c>
      <c r="G6956" t="str">
        <f>HYPERLINK("https://www.cooknchefnews.com/news/view/1065570155974900")</f>
        <v>https://www.cooknchefnews.com/news/view/1065570155974900</v>
      </c>
      <c r="H6956">
        <v>0.192</v>
      </c>
    </row>
    <row r="6957" spans="1:8" x14ac:dyDescent="0.3">
      <c r="A6957" t="s">
        <v>14761</v>
      </c>
      <c r="B6957" t="s">
        <v>26951</v>
      </c>
      <c r="C6957" t="s">
        <v>17605</v>
      </c>
      <c r="D6957" t="s">
        <v>17604</v>
      </c>
      <c r="E6957" s="2" t="s">
        <v>66</v>
      </c>
      <c r="F6957" t="s">
        <v>17603</v>
      </c>
      <c r="G6957" t="str">
        <f>HYPERLINK("http://www.sisacast.kr/news/articleView.html?idxno=75279")</f>
        <v>http://www.sisacast.kr/news/articleView.html?idxno=75279</v>
      </c>
      <c r="H6957">
        <v>0.27500000000000002</v>
      </c>
    </row>
    <row r="6958" spans="1:8" x14ac:dyDescent="0.3">
      <c r="A6958" t="s">
        <v>14761</v>
      </c>
      <c r="B6958" t="s">
        <v>26951</v>
      </c>
      <c r="C6958" t="s">
        <v>17607</v>
      </c>
      <c r="D6958" t="s">
        <v>17606</v>
      </c>
      <c r="E6958" s="2" t="s">
        <v>66</v>
      </c>
      <c r="F6958" t="s">
        <v>9786</v>
      </c>
      <c r="G6958" t="str">
        <f>HYPERLINK("http://autotimes.co.kr/detail.php?number=682733&amp;thread=27")</f>
        <v>http://autotimes.co.kr/detail.php?number=682733&amp;thread=27</v>
      </c>
      <c r="H6958">
        <v>0.20200000000000001</v>
      </c>
    </row>
    <row r="6959" spans="1:8" x14ac:dyDescent="0.3">
      <c r="A6959" t="s">
        <v>14761</v>
      </c>
      <c r="B6959" t="s">
        <v>26951</v>
      </c>
      <c r="C6959" t="s">
        <v>17610</v>
      </c>
      <c r="D6959" t="s">
        <v>17609</v>
      </c>
      <c r="E6959" s="2" t="s">
        <v>66</v>
      </c>
      <c r="F6959" t="s">
        <v>17608</v>
      </c>
      <c r="G6959" t="str">
        <f>HYPERLINK("http://www.thedrive.co.kr/news/newsview.php?ncode=1065580517798919")</f>
        <v>http://www.thedrive.co.kr/news/newsview.php?ncode=1065580517798919</v>
      </c>
      <c r="H6959">
        <v>3.3000000000000002E-2</v>
      </c>
    </row>
    <row r="6960" spans="1:8" x14ac:dyDescent="0.3">
      <c r="A6960" t="s">
        <v>14761</v>
      </c>
      <c r="B6960" t="s">
        <v>26951</v>
      </c>
      <c r="C6960" t="s">
        <v>17613</v>
      </c>
      <c r="D6960" t="s">
        <v>17612</v>
      </c>
      <c r="E6960" s="2" t="s">
        <v>66</v>
      </c>
      <c r="F6960" t="s">
        <v>17611</v>
      </c>
      <c r="G6960" t="str">
        <f>HYPERLINK("https://www.vogue.co.kr/2021/07/02/z%ec%84%b8%eb%8c%80%ea%b0%80-%ec%84%b9%ec%8a%a4%eb%a5%bc-%ec%a6%90%ea%b8%b0%eb%8a%94-%eb%b2%95/?utm_source=naver&amp;utm_medium=partnership")</f>
        <v>https://www.vogue.co.kr/2021/07/02/z%ec%84%b8%eb%8c%80%ea%b0%80-%ec%84%b9%ec%8a%a4%eb%a5%bc-%ec%a6%90%ea%b8%b0%eb%8a%94-%eb%b2%95/?utm_source=naver&amp;utm_medium=partnership</v>
      </c>
      <c r="H6960">
        <v>0.47</v>
      </c>
    </row>
    <row r="6961" spans="1:8" x14ac:dyDescent="0.3">
      <c r="A6961" t="s">
        <v>14761</v>
      </c>
      <c r="B6961" t="s">
        <v>26951</v>
      </c>
      <c r="C6961" t="s">
        <v>17615</v>
      </c>
      <c r="D6961" t="s">
        <v>17614</v>
      </c>
      <c r="E6961" s="2" t="s">
        <v>66</v>
      </c>
      <c r="F6961" t="s">
        <v>3235</v>
      </c>
      <c r="G6961" t="str">
        <f>HYPERLINK("https://www.joongangenews.com/news/articleView.html?idxno=424942")</f>
        <v>https://www.joongangenews.com/news/articleView.html?idxno=424942</v>
      </c>
      <c r="H6961">
        <v>0.629</v>
      </c>
    </row>
    <row r="6962" spans="1:8" x14ac:dyDescent="0.3">
      <c r="A6962" t="s">
        <v>14761</v>
      </c>
      <c r="B6962" t="s">
        <v>26951</v>
      </c>
      <c r="C6962" t="s">
        <v>17616</v>
      </c>
      <c r="D6962" t="s">
        <v>16026</v>
      </c>
      <c r="E6962" s="2" t="s">
        <v>66</v>
      </c>
      <c r="F6962" t="s">
        <v>9786</v>
      </c>
      <c r="G6962" t="str">
        <f>HYPERLINK("http://www.ilyoseoul.co.kr/news/articleView.html?idxno=113624")</f>
        <v>http://www.ilyoseoul.co.kr/news/articleView.html?idxno=113624</v>
      </c>
      <c r="H6962">
        <v>0.111</v>
      </c>
    </row>
    <row r="6963" spans="1:8" x14ac:dyDescent="0.3">
      <c r="A6963" t="s">
        <v>14761</v>
      </c>
      <c r="B6963" t="s">
        <v>26951</v>
      </c>
      <c r="C6963" t="s">
        <v>17618</v>
      </c>
      <c r="D6963" t="s">
        <v>17617</v>
      </c>
      <c r="E6963" s="2" t="s">
        <v>66</v>
      </c>
      <c r="F6963" t="s">
        <v>16811</v>
      </c>
      <c r="G6963" t="str">
        <f>HYPERLINK("https://sports.hankooki.com/news/articleView.html?idxno=6902405")</f>
        <v>https://sports.hankooki.com/news/articleView.html?idxno=6902405</v>
      </c>
      <c r="H6963">
        <v>0.48599999999999999</v>
      </c>
    </row>
    <row r="6964" spans="1:8" x14ac:dyDescent="0.3">
      <c r="A6964" t="s">
        <v>14761</v>
      </c>
      <c r="B6964" t="s">
        <v>26951</v>
      </c>
      <c r="C6964" t="s">
        <v>17620</v>
      </c>
      <c r="D6964" t="s">
        <v>17619</v>
      </c>
      <c r="E6964" s="2" t="s">
        <v>66</v>
      </c>
      <c r="F6964" t="s">
        <v>5782</v>
      </c>
      <c r="G6964" t="str">
        <f>HYPERLINK("http://www.ggilbo.com/news/articleView.html?idxno=762999")</f>
        <v>http://www.ggilbo.com/news/articleView.html?idxno=762999</v>
      </c>
      <c r="H6964">
        <v>0.69899999999999995</v>
      </c>
    </row>
    <row r="6965" spans="1:8" x14ac:dyDescent="0.3">
      <c r="A6965" t="s">
        <v>14761</v>
      </c>
      <c r="B6965" t="s">
        <v>26951</v>
      </c>
      <c r="C6965" t="s">
        <v>17623</v>
      </c>
      <c r="D6965" t="s">
        <v>17622</v>
      </c>
      <c r="E6965" s="2" t="s">
        <v>66</v>
      </c>
      <c r="F6965" t="s">
        <v>17621</v>
      </c>
      <c r="G6965" t="str">
        <f>HYPERLINK("http://www.nongaek.com/news/articleView.html?idxno=91822")</f>
        <v>http://www.nongaek.com/news/articleView.html?idxno=91822</v>
      </c>
      <c r="H6965">
        <v>0.59699999999999998</v>
      </c>
    </row>
    <row r="6966" spans="1:8" x14ac:dyDescent="0.3">
      <c r="A6966" t="s">
        <v>14761</v>
      </c>
      <c r="B6966" t="s">
        <v>26951</v>
      </c>
      <c r="C6966" t="s">
        <v>17625</v>
      </c>
      <c r="D6966" t="s">
        <v>17624</v>
      </c>
      <c r="E6966" s="2" t="s">
        <v>66</v>
      </c>
      <c r="F6966" t="s">
        <v>10227</v>
      </c>
      <c r="G6966" t="str">
        <f>HYPERLINK("https://n.news.naver.com/mnews/article/079/0003313066?sid=102")</f>
        <v>https://n.news.naver.com/mnews/article/079/0003313066?sid=102</v>
      </c>
      <c r="H6966">
        <v>0.26400000000000001</v>
      </c>
    </row>
    <row r="6967" spans="1:8" x14ac:dyDescent="0.3">
      <c r="A6967" t="s">
        <v>14761</v>
      </c>
      <c r="B6967" t="s">
        <v>26951</v>
      </c>
      <c r="C6967" t="s">
        <v>17627</v>
      </c>
      <c r="D6967" t="s">
        <v>17626</v>
      </c>
      <c r="E6967" s="2" t="s">
        <v>66</v>
      </c>
      <c r="F6967" t="s">
        <v>9944</v>
      </c>
      <c r="G6967" t="str">
        <f>HYPERLINK("https://www.etoday.co.kr/news/view/2476448")</f>
        <v>https://www.etoday.co.kr/news/view/2476448</v>
      </c>
      <c r="H6967">
        <v>0.46200000000000002</v>
      </c>
    </row>
    <row r="6968" spans="1:8" x14ac:dyDescent="0.3">
      <c r="A6968" t="s">
        <v>14761</v>
      </c>
      <c r="B6968" t="s">
        <v>26951</v>
      </c>
      <c r="C6968" t="s">
        <v>17629</v>
      </c>
      <c r="D6968" t="s">
        <v>17628</v>
      </c>
      <c r="E6968" s="2" t="s">
        <v>66</v>
      </c>
      <c r="F6968" t="s">
        <v>10471</v>
      </c>
      <c r="G6968" t="str">
        <f>HYPERLINK("https://www.thefairnews.co.kr/news/articleView.html?idxno=34777")</f>
        <v>https://www.thefairnews.co.kr/news/articleView.html?idxno=34777</v>
      </c>
      <c r="H6968">
        <v>0.433</v>
      </c>
    </row>
    <row r="6969" spans="1:8" x14ac:dyDescent="0.3">
      <c r="A6969" t="s">
        <v>14761</v>
      </c>
      <c r="B6969" t="s">
        <v>26951</v>
      </c>
      <c r="C6969" t="s">
        <v>17631</v>
      </c>
      <c r="D6969" t="s">
        <v>17630</v>
      </c>
      <c r="E6969" s="2" t="s">
        <v>66</v>
      </c>
      <c r="F6969" t="s">
        <v>11310</v>
      </c>
      <c r="G6969" t="str">
        <f>HYPERLINK("http://www.newsroad.co.kr/news/articleView.html?idxno=41618")</f>
        <v>http://www.newsroad.co.kr/news/articleView.html?idxno=41618</v>
      </c>
      <c r="H6969">
        <v>0.30599999999999999</v>
      </c>
    </row>
    <row r="6970" spans="1:8" x14ac:dyDescent="0.3">
      <c r="A6970" t="s">
        <v>14761</v>
      </c>
      <c r="B6970" t="s">
        <v>26951</v>
      </c>
      <c r="C6970" t="s">
        <v>17633</v>
      </c>
      <c r="D6970" t="s">
        <v>17632</v>
      </c>
      <c r="E6970" s="2" t="s">
        <v>66</v>
      </c>
      <c r="F6970" t="s">
        <v>12592</v>
      </c>
      <c r="G6970" t="str">
        <f>HYPERLINK("https://sports.hankooki.com/news/articleView.html?idxno=6902311")</f>
        <v>https://sports.hankooki.com/news/articleView.html?idxno=6902311</v>
      </c>
      <c r="H6970">
        <v>0.71899999999999997</v>
      </c>
    </row>
    <row r="6971" spans="1:8" x14ac:dyDescent="0.3">
      <c r="A6971" t="s">
        <v>14761</v>
      </c>
      <c r="B6971" t="s">
        <v>26951</v>
      </c>
      <c r="C6971" t="s">
        <v>17636</v>
      </c>
      <c r="D6971" t="s">
        <v>17635</v>
      </c>
      <c r="E6971" s="2" t="s">
        <v>66</v>
      </c>
      <c r="F6971" t="s">
        <v>17634</v>
      </c>
      <c r="G6971" t="str">
        <f>HYPERLINK("http://www.hitnews.co.kr/news/articleView.html?idxno=66073")</f>
        <v>http://www.hitnews.co.kr/news/articleView.html?idxno=66073</v>
      </c>
      <c r="H6971">
        <v>0.36899999999999999</v>
      </c>
    </row>
    <row r="6972" spans="1:8" x14ac:dyDescent="0.3">
      <c r="A6972" t="s">
        <v>14761</v>
      </c>
      <c r="B6972" t="s">
        <v>26951</v>
      </c>
      <c r="C6972" t="s">
        <v>17638</v>
      </c>
      <c r="D6972" t="s">
        <v>17637</v>
      </c>
      <c r="E6972" s="2" t="s">
        <v>66</v>
      </c>
      <c r="F6972" t="s">
        <v>10111</v>
      </c>
      <c r="G6972" t="str">
        <f>HYPERLINK("https://www.nbntv.co.kr/news/articleView.html?idxno=3014081")</f>
        <v>https://www.nbntv.co.kr/news/articleView.html?idxno=3014081</v>
      </c>
      <c r="H6972">
        <v>0.42099999999999999</v>
      </c>
    </row>
    <row r="6973" spans="1:8" x14ac:dyDescent="0.3">
      <c r="A6973" t="s">
        <v>14761</v>
      </c>
      <c r="B6973" t="s">
        <v>26951</v>
      </c>
      <c r="C6973" t="s">
        <v>17641</v>
      </c>
      <c r="D6973" t="s">
        <v>17640</v>
      </c>
      <c r="E6973" s="2" t="s">
        <v>66</v>
      </c>
      <c r="F6973" t="s">
        <v>17639</v>
      </c>
      <c r="G6973" t="str">
        <f>HYPERLINK("https://www.ibabynews.com/news/articleView.html?idxno=134004")</f>
        <v>https://www.ibabynews.com/news/articleView.html?idxno=134004</v>
      </c>
      <c r="H6973">
        <v>0.31</v>
      </c>
    </row>
    <row r="6974" spans="1:8" x14ac:dyDescent="0.3">
      <c r="A6974" t="s">
        <v>14761</v>
      </c>
      <c r="B6974" t="s">
        <v>26951</v>
      </c>
      <c r="C6974" t="s">
        <v>17643</v>
      </c>
      <c r="D6974" t="s">
        <v>17642</v>
      </c>
      <c r="E6974" s="2" t="s">
        <v>66</v>
      </c>
      <c r="F6974" t="s">
        <v>10172</v>
      </c>
      <c r="G6974" t="str">
        <f>HYPERLINK("http://www.lecturernews.com/news/articleView.html?idxno=81265")</f>
        <v>http://www.lecturernews.com/news/articleView.html?idxno=81265</v>
      </c>
      <c r="H6974">
        <v>0.44900000000000001</v>
      </c>
    </row>
    <row r="6975" spans="1:8" x14ac:dyDescent="0.3">
      <c r="A6975" t="s">
        <v>14761</v>
      </c>
      <c r="B6975" t="s">
        <v>26951</v>
      </c>
      <c r="C6975" t="s">
        <v>17645</v>
      </c>
      <c r="D6975" t="s">
        <v>17644</v>
      </c>
      <c r="E6975" s="2" t="s">
        <v>66</v>
      </c>
      <c r="F6975" t="s">
        <v>11557</v>
      </c>
      <c r="G6975" t="str">
        <f>HYPERLINK("https://n.news.naver.com/mnews/article/008/0005214139?sid=102")</f>
        <v>https://n.news.naver.com/mnews/article/008/0005214139?sid=102</v>
      </c>
      <c r="H6975">
        <v>0.28000000000000003</v>
      </c>
    </row>
    <row r="6976" spans="1:8" x14ac:dyDescent="0.3">
      <c r="A6976" t="s">
        <v>14761</v>
      </c>
      <c r="B6976" t="s">
        <v>26951</v>
      </c>
      <c r="C6976" t="s">
        <v>17647</v>
      </c>
      <c r="D6976" t="s">
        <v>17646</v>
      </c>
      <c r="E6976" s="2" t="s">
        <v>66</v>
      </c>
      <c r="F6976" t="s">
        <v>6602</v>
      </c>
      <c r="G6976" t="str">
        <f>HYPERLINK("https://n.news.naver.com/mnews/article/214/0000688513?sid=102")</f>
        <v>https://n.news.naver.com/mnews/article/214/0000688513?sid=102</v>
      </c>
      <c r="H6976">
        <v>0.28000000000000003</v>
      </c>
    </row>
    <row r="6977" spans="1:8" x14ac:dyDescent="0.3">
      <c r="A6977" t="s">
        <v>14761</v>
      </c>
      <c r="B6977" t="s">
        <v>26951</v>
      </c>
      <c r="C6977" t="s">
        <v>17649</v>
      </c>
      <c r="D6977" t="s">
        <v>17648</v>
      </c>
      <c r="E6977" s="2" t="s">
        <v>66</v>
      </c>
      <c r="F6977" t="s">
        <v>9718</v>
      </c>
      <c r="G6977" t="str">
        <f>HYPERLINK("http://www.movist.com/star3d/read.asp?type=32&amp;id=27346")</f>
        <v>http://www.movist.com/star3d/read.asp?type=32&amp;id=27346</v>
      </c>
      <c r="H6977">
        <v>1.4E-2</v>
      </c>
    </row>
    <row r="6978" spans="1:8" x14ac:dyDescent="0.3">
      <c r="A6978" t="s">
        <v>14761</v>
      </c>
      <c r="B6978" t="s">
        <v>26951</v>
      </c>
      <c r="C6978" t="s">
        <v>17652</v>
      </c>
      <c r="D6978" t="s">
        <v>17651</v>
      </c>
      <c r="E6978" s="2" t="s">
        <v>66</v>
      </c>
      <c r="F6978" t="s">
        <v>17650</v>
      </c>
      <c r="G6978" t="str">
        <f>HYPERLINK("https://www.pennmike.com/news/articleView.html?idxno=103758")</f>
        <v>https://www.pennmike.com/news/articleView.html?idxno=103758</v>
      </c>
      <c r="H6978">
        <v>0.159</v>
      </c>
    </row>
    <row r="6979" spans="1:8" x14ac:dyDescent="0.3">
      <c r="A6979" t="s">
        <v>14761</v>
      </c>
      <c r="B6979" t="s">
        <v>26951</v>
      </c>
      <c r="C6979" t="s">
        <v>17654</v>
      </c>
      <c r="D6979" t="s">
        <v>17653</v>
      </c>
      <c r="E6979" s="2" t="s">
        <v>66</v>
      </c>
      <c r="F6979" t="s">
        <v>12848</v>
      </c>
      <c r="G6979" t="str">
        <f>HYPERLINK("https://www.joongangenews.com/news/articleView.html?idxno=430067")</f>
        <v>https://www.joongangenews.com/news/articleView.html?idxno=430067</v>
      </c>
      <c r="H6979">
        <v>0.60699999999999998</v>
      </c>
    </row>
    <row r="6980" spans="1:8" x14ac:dyDescent="0.3">
      <c r="A6980" t="s">
        <v>14761</v>
      </c>
      <c r="B6980" t="s">
        <v>26951</v>
      </c>
      <c r="C6980" t="s">
        <v>17656</v>
      </c>
      <c r="D6980" t="s">
        <v>17655</v>
      </c>
      <c r="E6980" s="2" t="s">
        <v>66</v>
      </c>
      <c r="F6980" t="s">
        <v>15519</v>
      </c>
      <c r="G6980" t="str">
        <f>HYPERLINK("https://www.lecturernews.com/news/articleView.html?idxno=181418")</f>
        <v>https://www.lecturernews.com/news/articleView.html?idxno=181418</v>
      </c>
      <c r="H6980">
        <v>0.58499999999999996</v>
      </c>
    </row>
    <row r="6981" spans="1:8" x14ac:dyDescent="0.3">
      <c r="A6981" t="s">
        <v>14761</v>
      </c>
      <c r="B6981" t="s">
        <v>26951</v>
      </c>
      <c r="C6981" t="s">
        <v>17659</v>
      </c>
      <c r="D6981" t="s">
        <v>17658</v>
      </c>
      <c r="E6981" s="2" t="s">
        <v>66</v>
      </c>
      <c r="F6981" t="s">
        <v>17657</v>
      </c>
      <c r="G6981" t="str">
        <f>HYPERLINK("https://www.ggilbo.com/news/articleView.html?idxno=1092245")</f>
        <v>https://www.ggilbo.com/news/articleView.html?idxno=1092245</v>
      </c>
      <c r="H6981">
        <v>0.54700000000000004</v>
      </c>
    </row>
    <row r="6982" spans="1:8" x14ac:dyDescent="0.3">
      <c r="A6982" t="s">
        <v>14761</v>
      </c>
      <c r="B6982" t="s">
        <v>26951</v>
      </c>
      <c r="C6982" t="s">
        <v>17661</v>
      </c>
      <c r="D6982" t="s">
        <v>17660</v>
      </c>
      <c r="E6982" s="2" t="s">
        <v>66</v>
      </c>
      <c r="F6982" t="s">
        <v>10044</v>
      </c>
      <c r="G6982" t="str">
        <f>HYPERLINK("https://sports.hankooki.com/news/articleView.html?idxno=6902162")</f>
        <v>https://sports.hankooki.com/news/articleView.html?idxno=6902162</v>
      </c>
      <c r="H6982">
        <v>0.71699999999999997</v>
      </c>
    </row>
    <row r="6983" spans="1:8" x14ac:dyDescent="0.3">
      <c r="A6983" t="s">
        <v>14761</v>
      </c>
      <c r="B6983" t="s">
        <v>26951</v>
      </c>
      <c r="C6983" t="s">
        <v>17664</v>
      </c>
      <c r="D6983" t="s">
        <v>17663</v>
      </c>
      <c r="E6983" s="2" t="s">
        <v>66</v>
      </c>
      <c r="F6983" t="s">
        <v>17662</v>
      </c>
      <c r="G6983" t="str">
        <f>HYPERLINK("http://www.idaegu.co.kr/news/articleView.html?idxno=318309")</f>
        <v>http://www.idaegu.co.kr/news/articleView.html?idxno=318309</v>
      </c>
      <c r="H6983">
        <v>0.41499999999999998</v>
      </c>
    </row>
    <row r="6984" spans="1:8" x14ac:dyDescent="0.3">
      <c r="A6984" t="s">
        <v>14761</v>
      </c>
      <c r="B6984" t="s">
        <v>26951</v>
      </c>
      <c r="C6984" t="s">
        <v>17666</v>
      </c>
      <c r="D6984" t="s">
        <v>17665</v>
      </c>
      <c r="E6984" s="2" t="s">
        <v>66</v>
      </c>
      <c r="F6984" t="s">
        <v>15533</v>
      </c>
      <c r="G6984" t="str">
        <f>HYPERLINK("http://www.jejusori.net/news/articleView.html?idxno=120808")</f>
        <v>http://www.jejusori.net/news/articleView.html?idxno=120808</v>
      </c>
      <c r="H6984">
        <v>0.54600000000000004</v>
      </c>
    </row>
    <row r="6985" spans="1:8" x14ac:dyDescent="0.3">
      <c r="A6985" t="s">
        <v>14761</v>
      </c>
      <c r="B6985" t="s">
        <v>26951</v>
      </c>
      <c r="C6985" t="s">
        <v>17669</v>
      </c>
      <c r="D6985" t="s">
        <v>17668</v>
      </c>
      <c r="E6985" s="2" t="s">
        <v>66</v>
      </c>
      <c r="F6985" t="s">
        <v>17667</v>
      </c>
      <c r="G6985" t="str">
        <f>HYPERLINK("https://n.news.naver.com/mnews/article/055/0001060887?sid=103")</f>
        <v>https://n.news.naver.com/mnews/article/055/0001060887?sid=103</v>
      </c>
      <c r="H6985">
        <v>0.15</v>
      </c>
    </row>
    <row r="6986" spans="1:8" x14ac:dyDescent="0.3">
      <c r="A6986" t="s">
        <v>14761</v>
      </c>
      <c r="B6986" t="s">
        <v>26951</v>
      </c>
      <c r="C6986" t="s">
        <v>17671</v>
      </c>
      <c r="D6986" t="s">
        <v>17670</v>
      </c>
      <c r="E6986" s="2" t="s">
        <v>66</v>
      </c>
      <c r="F6986" t="s">
        <v>10700</v>
      </c>
      <c r="G6986" t="str">
        <f>HYPERLINK("https://n.news.naver.com/mnews/article/008/0005214989?sid=100")</f>
        <v>https://n.news.naver.com/mnews/article/008/0005214989?sid=100</v>
      </c>
      <c r="H6986">
        <v>0.308</v>
      </c>
    </row>
    <row r="6987" spans="1:8" x14ac:dyDescent="0.3">
      <c r="A6987" t="s">
        <v>14761</v>
      </c>
      <c r="B6987" t="s">
        <v>26951</v>
      </c>
      <c r="C6987" t="s">
        <v>17673</v>
      </c>
      <c r="D6987" t="s">
        <v>17672</v>
      </c>
      <c r="E6987" s="2" t="s">
        <v>66</v>
      </c>
      <c r="F6987" t="s">
        <v>10101</v>
      </c>
      <c r="G6987" t="str">
        <f>HYPERLINK("http://www.lecturernews.com/news/articleView.html?idxno=109556")</f>
        <v>http://www.lecturernews.com/news/articleView.html?idxno=109556</v>
      </c>
      <c r="H6987">
        <v>0.44800000000000001</v>
      </c>
    </row>
    <row r="6988" spans="1:8" x14ac:dyDescent="0.3">
      <c r="A6988" t="s">
        <v>14761</v>
      </c>
      <c r="B6988" t="s">
        <v>26951</v>
      </c>
      <c r="C6988" t="s">
        <v>17675</v>
      </c>
      <c r="D6988" t="s">
        <v>17674</v>
      </c>
      <c r="E6988" s="2" t="s">
        <v>66</v>
      </c>
      <c r="F6988" t="s">
        <v>10433</v>
      </c>
      <c r="G6988" t="str">
        <f>HYPERLINK("http://www.daejonilbo.com/news/newsitem.asp?pk_no=1196057")</f>
        <v>http://www.daejonilbo.com/news/newsitem.asp?pk_no=1196057</v>
      </c>
      <c r="H6988">
        <v>0.47299999999999998</v>
      </c>
    </row>
    <row r="6989" spans="1:8" x14ac:dyDescent="0.3">
      <c r="A6989" t="s">
        <v>14761</v>
      </c>
      <c r="B6989" t="s">
        <v>26951</v>
      </c>
      <c r="C6989" t="s">
        <v>17677</v>
      </c>
      <c r="D6989" t="s">
        <v>17676</v>
      </c>
      <c r="E6989" s="2" t="s">
        <v>66</v>
      </c>
      <c r="F6989" t="s">
        <v>10433</v>
      </c>
      <c r="G6989" t="str">
        <f>HYPERLINK("http://www.namdonews.com/news/articleView.html?idxno=790085")</f>
        <v>http://www.namdonews.com/news/articleView.html?idxno=790085</v>
      </c>
      <c r="H6989">
        <v>0.53900000000000003</v>
      </c>
    </row>
    <row r="6990" spans="1:8" x14ac:dyDescent="0.3">
      <c r="A6990" t="s">
        <v>14761</v>
      </c>
      <c r="B6990" t="s">
        <v>26951</v>
      </c>
      <c r="C6990" t="s">
        <v>17679</v>
      </c>
      <c r="D6990" t="s">
        <v>17678</v>
      </c>
      <c r="E6990" s="2" t="s">
        <v>66</v>
      </c>
      <c r="F6990" t="s">
        <v>3235</v>
      </c>
      <c r="G6990" t="str">
        <f>HYPERLINK("https://www.joongangenews.com/news/articleView.html?idxno=426487")</f>
        <v>https://www.joongangenews.com/news/articleView.html?idxno=426487</v>
      </c>
      <c r="H6990">
        <v>0.51600000000000001</v>
      </c>
    </row>
    <row r="6991" spans="1:8" x14ac:dyDescent="0.3">
      <c r="A6991" t="s">
        <v>14761</v>
      </c>
      <c r="B6991" t="s">
        <v>26951</v>
      </c>
      <c r="C6991" t="s">
        <v>17681</v>
      </c>
      <c r="D6991" t="s">
        <v>17680</v>
      </c>
      <c r="E6991" s="2" t="s">
        <v>66</v>
      </c>
      <c r="F6991" t="s">
        <v>1822</v>
      </c>
      <c r="G6991" t="str">
        <f>HYPERLINK("https://www.forbeskorea.co.kr/news/articleView.html?idxno=400031")</f>
        <v>https://www.forbeskorea.co.kr/news/articleView.html?idxno=400031</v>
      </c>
      <c r="H6991">
        <v>0.35899999999999999</v>
      </c>
    </row>
    <row r="6992" spans="1:8" x14ac:dyDescent="0.3">
      <c r="A6992" t="s">
        <v>14761</v>
      </c>
      <c r="B6992" t="s">
        <v>26951</v>
      </c>
      <c r="C6992" t="s">
        <v>17683</v>
      </c>
      <c r="D6992" t="s">
        <v>17682</v>
      </c>
      <c r="E6992" s="2" t="s">
        <v>74</v>
      </c>
      <c r="F6992" t="s">
        <v>6486</v>
      </c>
      <c r="G6992" t="str">
        <f>HYPERLINK("https://n.news.naver.com/mnews/article/654/0000103126?sid=103")</f>
        <v>https://n.news.naver.com/mnews/article/654/0000103126?sid=103</v>
      </c>
      <c r="H6992">
        <v>0.16300000000000001</v>
      </c>
    </row>
    <row r="6993" spans="1:8" x14ac:dyDescent="0.3">
      <c r="A6993" t="s">
        <v>14761</v>
      </c>
      <c r="B6993" t="s">
        <v>26951</v>
      </c>
      <c r="C6993" t="s">
        <v>17686</v>
      </c>
      <c r="D6993" t="s">
        <v>17685</v>
      </c>
      <c r="E6993" s="2" t="s">
        <v>74</v>
      </c>
      <c r="F6993" t="s">
        <v>17684</v>
      </c>
      <c r="G6993" t="str">
        <f>HYPERLINK("http://www.jjan.kr/news/articleView.html?idxno=2083469")</f>
        <v>http://www.jjan.kr/news/articleView.html?idxno=2083469</v>
      </c>
      <c r="H6993">
        <v>0.55900000000000005</v>
      </c>
    </row>
    <row r="6994" spans="1:8" x14ac:dyDescent="0.3">
      <c r="A6994" t="s">
        <v>14761</v>
      </c>
      <c r="B6994" t="s">
        <v>26951</v>
      </c>
      <c r="C6994" t="s">
        <v>17689</v>
      </c>
      <c r="D6994" t="s">
        <v>17688</v>
      </c>
      <c r="E6994" s="2" t="s">
        <v>74</v>
      </c>
      <c r="F6994" t="s">
        <v>17687</v>
      </c>
      <c r="G6994" t="str">
        <f>HYPERLINK("http://www.ktsketch.co.kr/news/articleView.html?idxno=6235")</f>
        <v>http://www.ktsketch.co.kr/news/articleView.html?idxno=6235</v>
      </c>
      <c r="H6994">
        <v>0.51300000000000001</v>
      </c>
    </row>
    <row r="6995" spans="1:8" x14ac:dyDescent="0.3">
      <c r="A6995" t="s">
        <v>14761</v>
      </c>
      <c r="B6995" t="s">
        <v>26951</v>
      </c>
      <c r="C6995" t="s">
        <v>17692</v>
      </c>
      <c r="D6995" t="s">
        <v>17691</v>
      </c>
      <c r="E6995" s="2" t="s">
        <v>74</v>
      </c>
      <c r="F6995" t="s">
        <v>17690</v>
      </c>
      <c r="G6995" t="str">
        <f>HYPERLINK("https://n.news.naver.com/mnews/article/079/0003346230?sid=102")</f>
        <v>https://n.news.naver.com/mnews/article/079/0003346230?sid=102</v>
      </c>
      <c r="H6995">
        <v>0.29499999999999998</v>
      </c>
    </row>
    <row r="6996" spans="1:8" x14ac:dyDescent="0.3">
      <c r="A6996" t="s">
        <v>14761</v>
      </c>
      <c r="B6996" t="s">
        <v>26951</v>
      </c>
      <c r="C6996" t="s">
        <v>17695</v>
      </c>
      <c r="D6996" t="s">
        <v>17694</v>
      </c>
      <c r="E6996" s="2" t="s">
        <v>74</v>
      </c>
      <c r="F6996" t="s">
        <v>17693</v>
      </c>
      <c r="G6996" t="str">
        <f>HYPERLINK("https://ilyo.co.kr/?ac=article_view&amp;entry_id=495236")</f>
        <v>https://ilyo.co.kr/?ac=article_view&amp;entry_id=495236</v>
      </c>
      <c r="H6996">
        <v>9.5000000000000001E-2</v>
      </c>
    </row>
    <row r="6997" spans="1:8" x14ac:dyDescent="0.3">
      <c r="A6997" t="s">
        <v>14761</v>
      </c>
      <c r="B6997" t="s">
        <v>26951</v>
      </c>
      <c r="C6997" t="s">
        <v>17696</v>
      </c>
      <c r="D6997" t="s">
        <v>13237</v>
      </c>
      <c r="E6997" s="2" t="s">
        <v>74</v>
      </c>
      <c r="F6997" t="s">
        <v>9786</v>
      </c>
      <c r="G6997" t="str">
        <f>HYPERLINK("https://sports.hankooki.com/news/articleView.html?idxno=6900595")</f>
        <v>https://sports.hankooki.com/news/articleView.html?idxno=6900595</v>
      </c>
      <c r="H6997">
        <v>8.4000000000000005E-2</v>
      </c>
    </row>
    <row r="6998" spans="1:8" x14ac:dyDescent="0.3">
      <c r="A6998" t="s">
        <v>14761</v>
      </c>
      <c r="B6998" t="s">
        <v>26951</v>
      </c>
      <c r="C6998" t="s">
        <v>17698</v>
      </c>
      <c r="D6998" t="s">
        <v>17697</v>
      </c>
      <c r="E6998" s="2" t="s">
        <v>74</v>
      </c>
      <c r="F6998" t="s">
        <v>11644</v>
      </c>
      <c r="G6998" t="str">
        <f>HYPERLINK("https://www.s-journal.co.kr/news/articleView.html?idxno=30731")</f>
        <v>https://www.s-journal.co.kr/news/articleView.html?idxno=30731</v>
      </c>
      <c r="H6998">
        <v>0.19400000000000001</v>
      </c>
    </row>
    <row r="6999" spans="1:8" x14ac:dyDescent="0.3">
      <c r="A6999" t="s">
        <v>14761</v>
      </c>
      <c r="B6999" t="s">
        <v>26951</v>
      </c>
      <c r="C6999" t="s">
        <v>17701</v>
      </c>
      <c r="D6999" t="s">
        <v>17700</v>
      </c>
      <c r="E6999" s="2" t="s">
        <v>74</v>
      </c>
      <c r="F6999" t="s">
        <v>17699</v>
      </c>
      <c r="G6999" t="str">
        <f>HYPERLINK("http://www.lecturernews.com/news/articleView.html?idxno=101314")</f>
        <v>http://www.lecturernews.com/news/articleView.html?idxno=101314</v>
      </c>
      <c r="H6999">
        <v>0.34</v>
      </c>
    </row>
    <row r="7000" spans="1:8" x14ac:dyDescent="0.3">
      <c r="A7000" t="s">
        <v>14761</v>
      </c>
      <c r="B7000" t="s">
        <v>26951</v>
      </c>
      <c r="C7000" t="s">
        <v>17703</v>
      </c>
      <c r="D7000" t="s">
        <v>17702</v>
      </c>
      <c r="E7000" s="2" t="s">
        <v>74</v>
      </c>
      <c r="F7000" t="s">
        <v>15519</v>
      </c>
      <c r="G7000" t="str">
        <f>HYPERLINK("https://www.lecturernews.com/news/articleView.html?idxno=181392")</f>
        <v>https://www.lecturernews.com/news/articleView.html?idxno=181392</v>
      </c>
      <c r="H7000">
        <v>0.92400000000000004</v>
      </c>
    </row>
    <row r="7001" spans="1:8" x14ac:dyDescent="0.3">
      <c r="A7001" t="s">
        <v>14761</v>
      </c>
      <c r="B7001" t="s">
        <v>26951</v>
      </c>
      <c r="C7001" t="s">
        <v>17705</v>
      </c>
      <c r="D7001" t="s">
        <v>17704</v>
      </c>
      <c r="E7001" s="2" t="s">
        <v>74</v>
      </c>
      <c r="F7001" t="s">
        <v>9944</v>
      </c>
      <c r="G7001" t="str">
        <f>HYPERLINK("https://sports.hankooki.com/news/articleView.html?idxno=6889498")</f>
        <v>https://sports.hankooki.com/news/articleView.html?idxno=6889498</v>
      </c>
      <c r="H7001">
        <v>0.52700000000000002</v>
      </c>
    </row>
    <row r="7002" spans="1:8" x14ac:dyDescent="0.3">
      <c r="A7002" t="s">
        <v>14761</v>
      </c>
      <c r="B7002" t="s">
        <v>26951</v>
      </c>
      <c r="C7002" t="s">
        <v>17707</v>
      </c>
      <c r="D7002" t="s">
        <v>17706</v>
      </c>
      <c r="E7002" s="2" t="s">
        <v>74</v>
      </c>
      <c r="F7002" t="s">
        <v>10111</v>
      </c>
      <c r="G7002" t="str">
        <f>HYPERLINK("https://sports.hankooki.com/news/articleView.html?idxno=6902162")</f>
        <v>https://sports.hankooki.com/news/articleView.html?idxno=6902162</v>
      </c>
      <c r="H7002">
        <v>0.70299999999999996</v>
      </c>
    </row>
    <row r="7003" spans="1:8" x14ac:dyDescent="0.3">
      <c r="A7003" t="s">
        <v>14761</v>
      </c>
      <c r="B7003" t="s">
        <v>26951</v>
      </c>
      <c r="C7003" t="s">
        <v>17709</v>
      </c>
      <c r="D7003" t="s">
        <v>17708</v>
      </c>
      <c r="E7003" s="2" t="s">
        <v>74</v>
      </c>
      <c r="F7003" t="s">
        <v>8165</v>
      </c>
      <c r="G7003" t="str">
        <f>HYPERLINK("https://www.dailysportshankook.co.kr/news/articleView.html?idxno=408615")</f>
        <v>https://www.dailysportshankook.co.kr/news/articleView.html?idxno=408615</v>
      </c>
      <c r="H7003">
        <v>0.69099999999999995</v>
      </c>
    </row>
    <row r="7004" spans="1:8" x14ac:dyDescent="0.3">
      <c r="A7004" t="s">
        <v>14761</v>
      </c>
      <c r="B7004" t="s">
        <v>26951</v>
      </c>
      <c r="C7004" t="s">
        <v>17712</v>
      </c>
      <c r="D7004" t="s">
        <v>17711</v>
      </c>
      <c r="E7004" s="2" t="s">
        <v>74</v>
      </c>
      <c r="F7004" t="s">
        <v>17710</v>
      </c>
      <c r="G7004" t="str">
        <f>HYPERLINK("http://ch.yes24.com/Article/View/27321")</f>
        <v>http://ch.yes24.com/Article/View/27321</v>
      </c>
      <c r="H7004">
        <v>0.60299999999999998</v>
      </c>
    </row>
    <row r="7005" spans="1:8" x14ac:dyDescent="0.3">
      <c r="A7005" t="s">
        <v>14761</v>
      </c>
      <c r="B7005" t="s">
        <v>26951</v>
      </c>
      <c r="C7005" t="s">
        <v>17714</v>
      </c>
      <c r="D7005" t="s">
        <v>17713</v>
      </c>
      <c r="E7005" s="2" t="s">
        <v>74</v>
      </c>
      <c r="F7005" t="s">
        <v>12391</v>
      </c>
      <c r="G7005" t="str">
        <f>HYPERLINK("https://www.econovill.com/news/articleView.html?idxno=698243")</f>
        <v>https://www.econovill.com/news/articleView.html?idxno=698243</v>
      </c>
      <c r="H7005">
        <v>0.24399999999999999</v>
      </c>
    </row>
    <row r="7006" spans="1:8" x14ac:dyDescent="0.3">
      <c r="A7006" t="s">
        <v>14761</v>
      </c>
      <c r="B7006" t="s">
        <v>26951</v>
      </c>
      <c r="C7006" t="s">
        <v>17717</v>
      </c>
      <c r="D7006" t="s">
        <v>17716</v>
      </c>
      <c r="E7006" s="2" t="s">
        <v>74</v>
      </c>
      <c r="F7006" t="s">
        <v>17715</v>
      </c>
      <c r="G7006" t="str">
        <f>HYPERLINK("https://www.apnews.kr/news/articleView.html?idxno=3015824")</f>
        <v>https://www.apnews.kr/news/articleView.html?idxno=3015824</v>
      </c>
      <c r="H7006">
        <v>0.503</v>
      </c>
    </row>
    <row r="7007" spans="1:8" x14ac:dyDescent="0.3">
      <c r="A7007" t="s">
        <v>14761</v>
      </c>
      <c r="B7007" t="s">
        <v>26951</v>
      </c>
      <c r="C7007" t="s">
        <v>17719</v>
      </c>
      <c r="D7007" t="s">
        <v>17718</v>
      </c>
      <c r="E7007" s="2" t="s">
        <v>74</v>
      </c>
      <c r="F7007" t="s">
        <v>9025</v>
      </c>
      <c r="G7007" t="str">
        <f>HYPERLINK("https://n.news.naver.com/mnews/article/214/0001433584?sid=102")</f>
        <v>https://n.news.naver.com/mnews/article/214/0001433584?sid=102</v>
      </c>
      <c r="H7007">
        <v>0.29099999999999998</v>
      </c>
    </row>
    <row r="7008" spans="1:8" x14ac:dyDescent="0.3">
      <c r="A7008" t="s">
        <v>14761</v>
      </c>
      <c r="B7008" t="s">
        <v>26951</v>
      </c>
      <c r="C7008" t="s">
        <v>17722</v>
      </c>
      <c r="D7008" t="s">
        <v>17721</v>
      </c>
      <c r="E7008" s="2" t="s">
        <v>74</v>
      </c>
      <c r="F7008" t="s">
        <v>17720</v>
      </c>
      <c r="G7008" t="str">
        <f>HYPERLINK("http://www.ggilbo.com/news/articleView.html?idxno=798904")</f>
        <v>http://www.ggilbo.com/news/articleView.html?idxno=798904</v>
      </c>
      <c r="H7008">
        <v>0.57699999999999996</v>
      </c>
    </row>
    <row r="7009" spans="1:8" x14ac:dyDescent="0.3">
      <c r="A7009" t="s">
        <v>14761</v>
      </c>
      <c r="B7009" t="s">
        <v>26951</v>
      </c>
      <c r="C7009" t="s">
        <v>17724</v>
      </c>
      <c r="D7009" t="s">
        <v>17723</v>
      </c>
      <c r="E7009" s="2" t="s">
        <v>74</v>
      </c>
      <c r="F7009" t="s">
        <v>1579</v>
      </c>
      <c r="G7009" t="str">
        <f>HYPERLINK("https://n.news.naver.com/mnews/article/002/0002394876?sid=100")</f>
        <v>https://n.news.naver.com/mnews/article/002/0002394876?sid=100</v>
      </c>
      <c r="H7009">
        <v>0.25900000000000001</v>
      </c>
    </row>
    <row r="7010" spans="1:8" x14ac:dyDescent="0.3">
      <c r="A7010" t="s">
        <v>14761</v>
      </c>
      <c r="B7010" t="s">
        <v>26951</v>
      </c>
      <c r="C7010" t="s">
        <v>17726</v>
      </c>
      <c r="D7010" t="s">
        <v>17725</v>
      </c>
      <c r="E7010" s="2" t="s">
        <v>74</v>
      </c>
      <c r="F7010" t="s">
        <v>12458</v>
      </c>
      <c r="G7010" t="str">
        <f>HYPERLINK("http://www.obsnews.co.kr/news/articleView.html?idxno=976715")</f>
        <v>http://www.obsnews.co.kr/news/articleView.html?idxno=976715</v>
      </c>
      <c r="H7010">
        <v>0.50800000000000001</v>
      </c>
    </row>
    <row r="7011" spans="1:8" x14ac:dyDescent="0.3">
      <c r="A7011" t="s">
        <v>14761</v>
      </c>
      <c r="B7011" t="s">
        <v>26951</v>
      </c>
      <c r="C7011" t="s">
        <v>17729</v>
      </c>
      <c r="D7011" t="s">
        <v>17728</v>
      </c>
      <c r="E7011" s="2" t="s">
        <v>74</v>
      </c>
      <c r="F7011" t="s">
        <v>17727</v>
      </c>
      <c r="G7011" t="str">
        <f>HYPERLINK("http://www.newspim.com/news/view/20220706000560")</f>
        <v>http://www.newspim.com/news/view/20220706000560</v>
      </c>
      <c r="H7011">
        <v>0.45700000000000002</v>
      </c>
    </row>
    <row r="7012" spans="1:8" x14ac:dyDescent="0.3">
      <c r="A7012" t="s">
        <v>14761</v>
      </c>
      <c r="B7012" t="s">
        <v>26951</v>
      </c>
      <c r="C7012" t="s">
        <v>17732</v>
      </c>
      <c r="D7012" t="s">
        <v>17731</v>
      </c>
      <c r="E7012" s="2" t="s">
        <v>74</v>
      </c>
      <c r="F7012" t="s">
        <v>17730</v>
      </c>
      <c r="G7012" t="str">
        <f>HYPERLINK("https://sports.hankooki.com/news/articleView.html?idxno=6902162")</f>
        <v>https://sports.hankooki.com/news/articleView.html?idxno=6902162</v>
      </c>
      <c r="H7012">
        <v>0.67800000000000005</v>
      </c>
    </row>
    <row r="7013" spans="1:8" x14ac:dyDescent="0.3">
      <c r="A7013" t="s">
        <v>14761</v>
      </c>
      <c r="B7013" t="s">
        <v>26951</v>
      </c>
      <c r="C7013" t="s">
        <v>17734</v>
      </c>
      <c r="D7013" t="s">
        <v>17733</v>
      </c>
      <c r="E7013" s="2" t="s">
        <v>74</v>
      </c>
      <c r="F7013" t="s">
        <v>8086</v>
      </c>
      <c r="G7013" t="str">
        <f>HYPERLINK("https://n.news.naver.com/mnews/article/008/0000813596?sid=101")</f>
        <v>https://n.news.naver.com/mnews/article/008/0000813596?sid=101</v>
      </c>
      <c r="H7013">
        <v>0.34599999999999997</v>
      </c>
    </row>
    <row r="7014" spans="1:8" x14ac:dyDescent="0.3">
      <c r="A7014" t="s">
        <v>14761</v>
      </c>
      <c r="B7014" t="s">
        <v>26951</v>
      </c>
      <c r="C7014" t="s">
        <v>17736</v>
      </c>
      <c r="D7014" t="s">
        <v>17735</v>
      </c>
      <c r="E7014" s="2" t="s">
        <v>74</v>
      </c>
      <c r="F7014" t="s">
        <v>17243</v>
      </c>
      <c r="G7014" t="str">
        <f>HYPERLINK("https://www.geconomy.co.kr/news/article.html?no=286833")</f>
        <v>https://www.geconomy.co.kr/news/article.html?no=286833</v>
      </c>
      <c r="H7014">
        <v>0.45800000000000002</v>
      </c>
    </row>
    <row r="7015" spans="1:8" x14ac:dyDescent="0.3">
      <c r="A7015" t="s">
        <v>14761</v>
      </c>
      <c r="B7015" t="s">
        <v>26951</v>
      </c>
      <c r="C7015" t="s">
        <v>17738</v>
      </c>
      <c r="D7015" t="s">
        <v>17737</v>
      </c>
      <c r="E7015" s="2" t="s">
        <v>74</v>
      </c>
      <c r="F7015" t="s">
        <v>17294</v>
      </c>
      <c r="G7015" t="str">
        <f>HYPERLINK("https://www.newsfreezone.co.kr/news/articleView.html?idxno=634028")</f>
        <v>https://www.newsfreezone.co.kr/news/articleView.html?idxno=634028</v>
      </c>
      <c r="H7015">
        <v>0.33</v>
      </c>
    </row>
    <row r="7016" spans="1:8" x14ac:dyDescent="0.3">
      <c r="A7016" t="s">
        <v>14761</v>
      </c>
      <c r="B7016" t="s">
        <v>26951</v>
      </c>
      <c r="C7016" t="s">
        <v>17741</v>
      </c>
      <c r="D7016" t="s">
        <v>17740</v>
      </c>
      <c r="E7016" s="2" t="s">
        <v>74</v>
      </c>
      <c r="F7016" t="s">
        <v>17739</v>
      </c>
      <c r="G7016" t="str">
        <f>HYPERLINK("https://www.sisamagazine.co.kr/news/articleView.html?idxno=515458")</f>
        <v>https://www.sisamagazine.co.kr/news/articleView.html?idxno=515458</v>
      </c>
      <c r="H7016">
        <v>0.27400000000000002</v>
      </c>
    </row>
    <row r="7017" spans="1:8" x14ac:dyDescent="0.3">
      <c r="A7017" t="s">
        <v>14761</v>
      </c>
      <c r="B7017" t="s">
        <v>26951</v>
      </c>
      <c r="C7017" t="s">
        <v>17743</v>
      </c>
      <c r="D7017" t="s">
        <v>17742</v>
      </c>
      <c r="E7017" s="2" t="s">
        <v>74</v>
      </c>
      <c r="F7017" t="s">
        <v>10533</v>
      </c>
      <c r="G7017" t="str">
        <f>HYPERLINK("https://n.news.naver.com/mnews/article/469/0000873174?sid=102")</f>
        <v>https://n.news.naver.com/mnews/article/469/0000873174?sid=102</v>
      </c>
      <c r="H7017">
        <v>0.21099999999999999</v>
      </c>
    </row>
    <row r="7018" spans="1:8" x14ac:dyDescent="0.3">
      <c r="A7018" t="s">
        <v>14761</v>
      </c>
      <c r="B7018" t="s">
        <v>26951</v>
      </c>
      <c r="C7018" t="s">
        <v>17745</v>
      </c>
      <c r="D7018" t="s">
        <v>17744</v>
      </c>
      <c r="E7018" s="2" t="s">
        <v>74</v>
      </c>
      <c r="F7018" t="s">
        <v>160</v>
      </c>
      <c r="G7018" t="str">
        <f>HYPERLINK("https://sports.hankooki.com/news/articleView.html?idxno=6902273")</f>
        <v>https://sports.hankooki.com/news/articleView.html?idxno=6902273</v>
      </c>
      <c r="H7018">
        <v>0.623</v>
      </c>
    </row>
    <row r="7019" spans="1:8" x14ac:dyDescent="0.3">
      <c r="A7019" t="s">
        <v>14761</v>
      </c>
      <c r="B7019" t="s">
        <v>26951</v>
      </c>
      <c r="C7019" t="s">
        <v>17748</v>
      </c>
      <c r="D7019" t="s">
        <v>17747</v>
      </c>
      <c r="E7019" s="2" t="s">
        <v>74</v>
      </c>
      <c r="F7019" t="s">
        <v>17746</v>
      </c>
      <c r="G7019" t="str">
        <f>HYPERLINK("https://n.news.naver.com/mnews/article/014/0005370944?sid=102")</f>
        <v>https://n.news.naver.com/mnews/article/014/0005370944?sid=102</v>
      </c>
      <c r="H7019">
        <v>0.24199999999999999</v>
      </c>
    </row>
    <row r="7020" spans="1:8" x14ac:dyDescent="0.3">
      <c r="A7020" t="s">
        <v>14761</v>
      </c>
      <c r="B7020" t="s">
        <v>26951</v>
      </c>
      <c r="C7020" t="s">
        <v>17750</v>
      </c>
      <c r="D7020" t="s">
        <v>17749</v>
      </c>
      <c r="E7020" s="2" t="s">
        <v>74</v>
      </c>
      <c r="F7020" t="s">
        <v>14878</v>
      </c>
      <c r="G7020" t="str">
        <f>HYPERLINK("https://sports.hankooki.com/news/articleView.html?idxno=6896093")</f>
        <v>https://sports.hankooki.com/news/articleView.html?idxno=6896093</v>
      </c>
      <c r="H7020">
        <v>0.51900000000000002</v>
      </c>
    </row>
    <row r="7021" spans="1:8" x14ac:dyDescent="0.3">
      <c r="A7021" t="s">
        <v>14761</v>
      </c>
      <c r="B7021" t="s">
        <v>26951</v>
      </c>
      <c r="C7021" t="s">
        <v>17753</v>
      </c>
      <c r="D7021" t="s">
        <v>17752</v>
      </c>
      <c r="E7021" s="2" t="s">
        <v>74</v>
      </c>
      <c r="F7021" t="s">
        <v>10412</v>
      </c>
      <c r="G7021" t="str">
        <f>HYPERLINK("https://sports.hankooki.com/news/articleView.html?idxno=6902462")</f>
        <v>https://sports.hankooki.com/news/articleView.html?idxno=6902462</v>
      </c>
      <c r="H7021">
        <v>0.54</v>
      </c>
    </row>
    <row r="7022" spans="1:8" x14ac:dyDescent="0.3">
      <c r="A7022" t="s">
        <v>14761</v>
      </c>
      <c r="B7022" t="s">
        <v>26951</v>
      </c>
      <c r="C7022" t="s">
        <v>17755</v>
      </c>
      <c r="D7022" t="s">
        <v>17754</v>
      </c>
      <c r="E7022" s="2" t="s">
        <v>74</v>
      </c>
      <c r="F7022" t="s">
        <v>9944</v>
      </c>
      <c r="G7022" t="str">
        <f>HYPERLINK("https://news.bbsi.co.kr/news/articleView.html?idxno=3135624")</f>
        <v>https://news.bbsi.co.kr/news/articleView.html?idxno=3135624</v>
      </c>
      <c r="H7022">
        <v>0.46899999999999997</v>
      </c>
    </row>
    <row r="7023" spans="1:8" x14ac:dyDescent="0.3">
      <c r="A7023" t="s">
        <v>14761</v>
      </c>
      <c r="B7023" t="s">
        <v>26951</v>
      </c>
      <c r="C7023" t="s">
        <v>17758</v>
      </c>
      <c r="D7023" t="s">
        <v>17757</v>
      </c>
      <c r="E7023" s="2" t="s">
        <v>74</v>
      </c>
      <c r="F7023" t="s">
        <v>8165</v>
      </c>
      <c r="G7023" t="str">
        <f>HYPERLINK("https://sports.hankooki.com/news/articleView.html?idxno=6894075")</f>
        <v>https://sports.hankooki.com/news/articleView.html?idxno=6894075</v>
      </c>
      <c r="H7023">
        <v>0.48299999999999998</v>
      </c>
    </row>
    <row r="7024" spans="1:8" x14ac:dyDescent="0.3">
      <c r="A7024" t="s">
        <v>14761</v>
      </c>
      <c r="B7024" t="s">
        <v>26951</v>
      </c>
      <c r="C7024" t="s">
        <v>17760</v>
      </c>
      <c r="D7024" t="s">
        <v>17759</v>
      </c>
      <c r="E7024" s="2" t="s">
        <v>74</v>
      </c>
      <c r="F7024" t="s">
        <v>13462</v>
      </c>
      <c r="G7024" t="str">
        <f>HYPERLINK("http://www.newspim.com/news/view/20220328000706")</f>
        <v>http://www.newspim.com/news/view/20220328000706</v>
      </c>
      <c r="H7024">
        <v>0.373</v>
      </c>
    </row>
    <row r="7025" spans="1:8" x14ac:dyDescent="0.3">
      <c r="A7025" t="s">
        <v>14761</v>
      </c>
      <c r="B7025" t="s">
        <v>26951</v>
      </c>
      <c r="C7025" t="s">
        <v>17763</v>
      </c>
      <c r="D7025" t="s">
        <v>17762</v>
      </c>
      <c r="E7025" s="2" t="s">
        <v>74</v>
      </c>
      <c r="F7025" t="s">
        <v>17761</v>
      </c>
      <c r="G7025" t="str">
        <f>HYPERLINK("https://sports.hankooki.com/news/articleView.html?idxno=6902462")</f>
        <v>https://sports.hankooki.com/news/articleView.html?idxno=6902462</v>
      </c>
      <c r="H7025">
        <v>0.32800000000000001</v>
      </c>
    </row>
    <row r="7026" spans="1:8" x14ac:dyDescent="0.3">
      <c r="A7026" t="s">
        <v>14761</v>
      </c>
      <c r="B7026" t="s">
        <v>26951</v>
      </c>
      <c r="C7026" t="s">
        <v>17766</v>
      </c>
      <c r="D7026" t="s">
        <v>17765</v>
      </c>
      <c r="E7026" s="2" t="s">
        <v>74</v>
      </c>
      <c r="F7026" t="s">
        <v>17764</v>
      </c>
      <c r="G7026" t="str">
        <f>HYPERLINK("https://n.news.naver.com/mnews/article/214/0001432219?sid=100")</f>
        <v>https://n.news.naver.com/mnews/article/214/0001432219?sid=100</v>
      </c>
      <c r="H7026">
        <v>0.372</v>
      </c>
    </row>
    <row r="7027" spans="1:8" x14ac:dyDescent="0.3">
      <c r="A7027" t="s">
        <v>14761</v>
      </c>
      <c r="B7027" t="s">
        <v>26951</v>
      </c>
      <c r="C7027" t="s">
        <v>17769</v>
      </c>
      <c r="D7027" t="s">
        <v>17768</v>
      </c>
      <c r="E7027" s="2" t="s">
        <v>74</v>
      </c>
      <c r="F7027" t="s">
        <v>14157</v>
      </c>
      <c r="G7027" t="str">
        <f>HYPERLINK("https://n.news.naver.com/mnews/article/119/0002971932?sid=103")</f>
        <v>https://n.news.naver.com/mnews/article/119/0002971932?sid=103</v>
      </c>
      <c r="H7027">
        <v>0.20200000000000001</v>
      </c>
    </row>
    <row r="7028" spans="1:8" x14ac:dyDescent="0.3">
      <c r="A7028" t="s">
        <v>14761</v>
      </c>
      <c r="B7028" t="s">
        <v>26951</v>
      </c>
      <c r="C7028" t="s">
        <v>17772</v>
      </c>
      <c r="D7028" t="s">
        <v>17771</v>
      </c>
      <c r="E7028" s="2" t="s">
        <v>74</v>
      </c>
      <c r="F7028" t="s">
        <v>17770</v>
      </c>
      <c r="G7028" t="str">
        <f>HYPERLINK("https://www.ggilbo.com/news/articleView.html?idxno=1097294")</f>
        <v>https://www.ggilbo.com/news/articleView.html?idxno=1097294</v>
      </c>
      <c r="H7028">
        <v>0.59199999999999997</v>
      </c>
    </row>
    <row r="7029" spans="1:8" x14ac:dyDescent="0.3">
      <c r="A7029" t="s">
        <v>14761</v>
      </c>
      <c r="B7029" t="s">
        <v>26951</v>
      </c>
      <c r="C7029" t="s">
        <v>17775</v>
      </c>
      <c r="D7029" t="s">
        <v>17774</v>
      </c>
      <c r="E7029" s="2" t="s">
        <v>74</v>
      </c>
      <c r="F7029" t="s">
        <v>17773</v>
      </c>
      <c r="G7029" t="str">
        <f>HYPERLINK("https://n.news.naver.com/mnews/article/052/0002130053?sid=100")</f>
        <v>https://n.news.naver.com/mnews/article/052/0002130053?sid=100</v>
      </c>
      <c r="H7029">
        <v>0.129</v>
      </c>
    </row>
    <row r="7030" spans="1:8" x14ac:dyDescent="0.3">
      <c r="A7030" t="s">
        <v>14761</v>
      </c>
      <c r="B7030" t="s">
        <v>26951</v>
      </c>
      <c r="C7030" t="s">
        <v>17778</v>
      </c>
      <c r="D7030" t="s">
        <v>17777</v>
      </c>
      <c r="E7030" s="2" t="s">
        <v>74</v>
      </c>
      <c r="F7030" t="s">
        <v>17776</v>
      </c>
      <c r="G7030" t="str">
        <f>HYPERLINK("http://www.dailytw.kr/news/articleView.html?idxno=30355")</f>
        <v>http://www.dailytw.kr/news/articleView.html?idxno=30355</v>
      </c>
      <c r="H7030">
        <v>0.56100000000000005</v>
      </c>
    </row>
    <row r="7031" spans="1:8" x14ac:dyDescent="0.3">
      <c r="A7031" t="s">
        <v>14761</v>
      </c>
      <c r="B7031" t="s">
        <v>26951</v>
      </c>
      <c r="C7031" t="s">
        <v>17781</v>
      </c>
      <c r="D7031" t="s">
        <v>17780</v>
      </c>
      <c r="E7031" s="2" t="s">
        <v>74</v>
      </c>
      <c r="F7031" t="s">
        <v>17779</v>
      </c>
      <c r="G7031" t="str">
        <f>HYPERLINK("https://n.news.naver.com/mnews/article/018/0006052438?sid=102")</f>
        <v>https://n.news.naver.com/mnews/article/018/0006052438?sid=102</v>
      </c>
      <c r="H7031">
        <v>0.252</v>
      </c>
    </row>
    <row r="7032" spans="1:8" x14ac:dyDescent="0.3">
      <c r="A7032" t="s">
        <v>14761</v>
      </c>
      <c r="B7032" t="s">
        <v>26951</v>
      </c>
      <c r="C7032" t="s">
        <v>17783</v>
      </c>
      <c r="D7032" t="s">
        <v>17782</v>
      </c>
      <c r="E7032" s="2" t="s">
        <v>74</v>
      </c>
      <c r="F7032" t="s">
        <v>10101</v>
      </c>
      <c r="G7032" t="str">
        <f>HYPERLINK("http://www.lecturernews.com/news/articleView.html?idxno=109556")</f>
        <v>http://www.lecturernews.com/news/articleView.html?idxno=109556</v>
      </c>
      <c r="H7032">
        <v>0.435</v>
      </c>
    </row>
    <row r="7033" spans="1:8" x14ac:dyDescent="0.3">
      <c r="A7033" t="s">
        <v>14761</v>
      </c>
      <c r="B7033" t="s">
        <v>26951</v>
      </c>
      <c r="C7033" t="s">
        <v>17785</v>
      </c>
      <c r="D7033" t="s">
        <v>17784</v>
      </c>
      <c r="E7033" s="2" t="s">
        <v>74</v>
      </c>
      <c r="F7033" t="s">
        <v>9738</v>
      </c>
      <c r="G7033" t="str">
        <f>HYPERLINK("http://www.lecturernews.com/news/articleView.html?idxno=86379")</f>
        <v>http://www.lecturernews.com/news/articleView.html?idxno=86379</v>
      </c>
      <c r="H7033">
        <v>0.47599999999999998</v>
      </c>
    </row>
    <row r="7034" spans="1:8" x14ac:dyDescent="0.3">
      <c r="A7034" t="s">
        <v>14761</v>
      </c>
      <c r="B7034" t="s">
        <v>26951</v>
      </c>
      <c r="C7034" t="s">
        <v>17787</v>
      </c>
      <c r="D7034" t="s">
        <v>17786</v>
      </c>
      <c r="E7034" s="2" t="s">
        <v>74</v>
      </c>
      <c r="F7034" t="s">
        <v>4122</v>
      </c>
      <c r="G7034" t="str">
        <f>HYPERLINK("https://wemakenews.co.kr/news/view.php?no=22062")</f>
        <v>https://wemakenews.co.kr/news/view.php?no=22062</v>
      </c>
      <c r="H7034">
        <v>0.96399999999999997</v>
      </c>
    </row>
    <row r="7035" spans="1:8" x14ac:dyDescent="0.3">
      <c r="A7035" t="s">
        <v>14761</v>
      </c>
      <c r="B7035" t="s">
        <v>26951</v>
      </c>
      <c r="C7035" t="s">
        <v>17790</v>
      </c>
      <c r="D7035" t="s">
        <v>17789</v>
      </c>
      <c r="E7035" s="2" t="s">
        <v>105</v>
      </c>
      <c r="F7035" t="s">
        <v>17788</v>
      </c>
      <c r="G7035" t="str">
        <f>HYPERLINK("http://www.asiaa.co.kr/news/articleView.html?idxno=165895")</f>
        <v>http://www.asiaa.co.kr/news/articleView.html?idxno=165895</v>
      </c>
      <c r="H7035">
        <v>0.48399999999999999</v>
      </c>
    </row>
    <row r="7036" spans="1:8" x14ac:dyDescent="0.3">
      <c r="A7036" t="s">
        <v>14761</v>
      </c>
      <c r="B7036" t="s">
        <v>26951</v>
      </c>
      <c r="C7036" t="s">
        <v>17792</v>
      </c>
      <c r="D7036" t="s">
        <v>17791</v>
      </c>
      <c r="E7036" s="2" t="s">
        <v>105</v>
      </c>
      <c r="F7036" t="s">
        <v>10021</v>
      </c>
      <c r="G7036" t="str">
        <f>HYPERLINK("https://sports.hankooki.com/news/articleView.html?idxno=6902462")</f>
        <v>https://sports.hankooki.com/news/articleView.html?idxno=6902462</v>
      </c>
      <c r="H7036">
        <v>0.71</v>
      </c>
    </row>
    <row r="7037" spans="1:8" x14ac:dyDescent="0.3">
      <c r="A7037" t="s">
        <v>14761</v>
      </c>
      <c r="B7037" t="s">
        <v>26951</v>
      </c>
      <c r="C7037" t="s">
        <v>17794</v>
      </c>
      <c r="D7037" t="s">
        <v>17793</v>
      </c>
      <c r="E7037" s="2" t="s">
        <v>105</v>
      </c>
      <c r="F7037" t="s">
        <v>10227</v>
      </c>
      <c r="G7037" t="str">
        <f>HYPERLINK("https://n.news.naver.com/mnews/article/055/0001270714?sid=104")</f>
        <v>https://n.news.naver.com/mnews/article/055/0001270714?sid=104</v>
      </c>
      <c r="H7037">
        <v>0.23200000000000001</v>
      </c>
    </row>
    <row r="7038" spans="1:8" x14ac:dyDescent="0.3">
      <c r="A7038" t="s">
        <v>14761</v>
      </c>
      <c r="B7038" t="s">
        <v>26951</v>
      </c>
      <c r="C7038" t="s">
        <v>17797</v>
      </c>
      <c r="D7038" t="s">
        <v>17796</v>
      </c>
      <c r="E7038" s="2" t="s">
        <v>105</v>
      </c>
      <c r="F7038" t="s">
        <v>17795</v>
      </c>
      <c r="G7038" t="str">
        <f>HYPERLINK("http://www.wolyo.co.kr/news/articleView.html?idxno=259548")</f>
        <v>http://www.wolyo.co.kr/news/articleView.html?idxno=259548</v>
      </c>
      <c r="H7038">
        <v>0.33100000000000002</v>
      </c>
    </row>
    <row r="7039" spans="1:8" x14ac:dyDescent="0.3">
      <c r="A7039" t="s">
        <v>14761</v>
      </c>
      <c r="B7039" t="s">
        <v>26951</v>
      </c>
      <c r="C7039" t="s">
        <v>17799</v>
      </c>
      <c r="D7039" t="s">
        <v>17798</v>
      </c>
      <c r="E7039" s="2" t="s">
        <v>105</v>
      </c>
      <c r="F7039" t="s">
        <v>3885</v>
      </c>
      <c r="G7039" t="str">
        <f>HYPERLINK("https://sports.hankooki.com/news/articleView.html?idxno=6902462")</f>
        <v>https://sports.hankooki.com/news/articleView.html?idxno=6902462</v>
      </c>
      <c r="H7039">
        <v>0.75800000000000001</v>
      </c>
    </row>
    <row r="7040" spans="1:8" x14ac:dyDescent="0.3">
      <c r="A7040" t="s">
        <v>14761</v>
      </c>
      <c r="B7040" t="s">
        <v>26951</v>
      </c>
      <c r="C7040" t="s">
        <v>17801</v>
      </c>
      <c r="D7040" t="s">
        <v>17800</v>
      </c>
      <c r="E7040" s="2" t="s">
        <v>105</v>
      </c>
      <c r="F7040" t="s">
        <v>3235</v>
      </c>
      <c r="G7040" t="str">
        <f>HYPERLINK("http://www.koreastocknews.com/news/articleView.html?idxno=103717")</f>
        <v>http://www.koreastocknews.com/news/articleView.html?idxno=103717</v>
      </c>
      <c r="H7040">
        <v>0.50800000000000001</v>
      </c>
    </row>
    <row r="7041" spans="1:8" x14ac:dyDescent="0.3">
      <c r="A7041" t="s">
        <v>14761</v>
      </c>
      <c r="B7041" t="s">
        <v>26951</v>
      </c>
      <c r="C7041" t="s">
        <v>17803</v>
      </c>
      <c r="D7041" t="s">
        <v>17802</v>
      </c>
      <c r="E7041" s="2" t="s">
        <v>105</v>
      </c>
      <c r="F7041" t="s">
        <v>4119</v>
      </c>
      <c r="G7041" t="str">
        <f>HYPERLINK("https://www.lecturernews.com/news/articleView.html?idxno=181418")</f>
        <v>https://www.lecturernews.com/news/articleView.html?idxno=181418</v>
      </c>
      <c r="H7041">
        <v>0.66800000000000004</v>
      </c>
    </row>
    <row r="7042" spans="1:8" x14ac:dyDescent="0.3">
      <c r="A7042" t="s">
        <v>14761</v>
      </c>
      <c r="B7042" t="s">
        <v>26951</v>
      </c>
      <c r="C7042" t="s">
        <v>17805</v>
      </c>
      <c r="D7042" t="s">
        <v>17804</v>
      </c>
      <c r="E7042" s="2" t="s">
        <v>105</v>
      </c>
      <c r="F7042" t="s">
        <v>2887</v>
      </c>
      <c r="G7042" t="str">
        <f>HYPERLINK("https://n.news.naver.com/mnews/article/088/0000792265?sid=004")</f>
        <v>https://n.news.naver.com/mnews/article/088/0000792265?sid=004</v>
      </c>
      <c r="H7042">
        <v>0.26700000000000002</v>
      </c>
    </row>
    <row r="7043" spans="1:8" x14ac:dyDescent="0.3">
      <c r="A7043" t="s">
        <v>14761</v>
      </c>
      <c r="B7043" t="s">
        <v>26951</v>
      </c>
      <c r="C7043" t="s">
        <v>17807</v>
      </c>
      <c r="D7043" t="s">
        <v>17806</v>
      </c>
      <c r="E7043" s="2" t="s">
        <v>105</v>
      </c>
      <c r="F7043" t="s">
        <v>9786</v>
      </c>
      <c r="G7043" t="str">
        <f>HYPERLINK("https://www.lecturernews.com/news/articleView.html?idxno=171362")</f>
        <v>https://www.lecturernews.com/news/articleView.html?idxno=171362</v>
      </c>
      <c r="H7043">
        <v>4.3999999999999997E-2</v>
      </c>
    </row>
    <row r="7044" spans="1:8" x14ac:dyDescent="0.3">
      <c r="A7044" t="s">
        <v>14761</v>
      </c>
      <c r="B7044" t="s">
        <v>26951</v>
      </c>
      <c r="C7044" t="s">
        <v>17809</v>
      </c>
      <c r="D7044" t="s">
        <v>17808</v>
      </c>
      <c r="E7044" s="2" t="s">
        <v>105</v>
      </c>
      <c r="F7044" t="s">
        <v>4119</v>
      </c>
      <c r="G7044" t="str">
        <f>HYPERLINK("https://sports.hankooki.com/news/articleView.html?idxno=6902162")</f>
        <v>https://sports.hankooki.com/news/articleView.html?idxno=6902162</v>
      </c>
      <c r="H7044">
        <v>0.64700000000000002</v>
      </c>
    </row>
    <row r="7045" spans="1:8" x14ac:dyDescent="0.3">
      <c r="A7045" t="s">
        <v>14761</v>
      </c>
      <c r="B7045" t="s">
        <v>26951</v>
      </c>
      <c r="C7045" t="s">
        <v>17812</v>
      </c>
      <c r="D7045" t="s">
        <v>17811</v>
      </c>
      <c r="E7045" s="2" t="s">
        <v>105</v>
      </c>
      <c r="F7045" t="s">
        <v>17810</v>
      </c>
      <c r="G7045" t="str">
        <f>HYPERLINK("https://www.enetnews.co.kr/news/articleView.html?idxno=33559")</f>
        <v>https://www.enetnews.co.kr/news/articleView.html?idxno=33559</v>
      </c>
      <c r="H7045">
        <v>0.47099999999999997</v>
      </c>
    </row>
    <row r="7046" spans="1:8" x14ac:dyDescent="0.3">
      <c r="A7046" t="s">
        <v>14761</v>
      </c>
      <c r="B7046" t="s">
        <v>26951</v>
      </c>
      <c r="C7046" t="s">
        <v>17814</v>
      </c>
      <c r="D7046" t="s">
        <v>17813</v>
      </c>
      <c r="E7046" s="2" t="s">
        <v>105</v>
      </c>
      <c r="F7046" t="s">
        <v>10471</v>
      </c>
      <c r="G7046" t="str">
        <f>HYPERLINK("https://www.etoday.co.kr/news/view/2482857")</f>
        <v>https://www.etoday.co.kr/news/view/2482857</v>
      </c>
      <c r="H7046">
        <v>0.36</v>
      </c>
    </row>
    <row r="7047" spans="1:8" x14ac:dyDescent="0.3">
      <c r="A7047" t="s">
        <v>14761</v>
      </c>
      <c r="B7047" t="s">
        <v>26951</v>
      </c>
      <c r="C7047" t="s">
        <v>17816</v>
      </c>
      <c r="D7047" t="s">
        <v>17815</v>
      </c>
      <c r="E7047" s="2" t="s">
        <v>105</v>
      </c>
      <c r="F7047" t="s">
        <v>119</v>
      </c>
      <c r="G7047" t="str">
        <f>HYPERLINK("http://www.lecturernews.com/news/articleView.html?idxno=87109")</f>
        <v>http://www.lecturernews.com/news/articleView.html?idxno=87109</v>
      </c>
      <c r="H7047">
        <v>0.47</v>
      </c>
    </row>
    <row r="7048" spans="1:8" x14ac:dyDescent="0.3">
      <c r="A7048" t="s">
        <v>14761</v>
      </c>
      <c r="B7048" t="s">
        <v>26951</v>
      </c>
      <c r="C7048" t="s">
        <v>17819</v>
      </c>
      <c r="D7048" t="s">
        <v>17818</v>
      </c>
      <c r="E7048" s="2" t="s">
        <v>105</v>
      </c>
      <c r="F7048" t="s">
        <v>17817</v>
      </c>
      <c r="G7048" t="str">
        <f>HYPERLINK("http://www.themusical.co.kr/Magazine/Detail?num=3897")</f>
        <v>http://www.themusical.co.kr/Magazine/Detail?num=3897</v>
      </c>
      <c r="H7048">
        <v>0.17199999999999999</v>
      </c>
    </row>
    <row r="7049" spans="1:8" x14ac:dyDescent="0.3">
      <c r="A7049" t="s">
        <v>14761</v>
      </c>
      <c r="B7049" t="s">
        <v>26951</v>
      </c>
      <c r="C7049" t="s">
        <v>17822</v>
      </c>
      <c r="D7049" t="s">
        <v>17821</v>
      </c>
      <c r="E7049" s="2" t="s">
        <v>105</v>
      </c>
      <c r="F7049" t="s">
        <v>17820</v>
      </c>
      <c r="G7049" t="str">
        <f>HYPERLINK("http://www.ggilbo.com/news/articleView.html?idxno=701020")</f>
        <v>http://www.ggilbo.com/news/articleView.html?idxno=701020</v>
      </c>
      <c r="H7049">
        <v>0.42099999999999999</v>
      </c>
    </row>
    <row r="7050" spans="1:8" x14ac:dyDescent="0.3">
      <c r="A7050" t="s">
        <v>14761</v>
      </c>
      <c r="B7050" t="s">
        <v>26951</v>
      </c>
      <c r="C7050" t="s">
        <v>17824</v>
      </c>
      <c r="D7050" t="s">
        <v>17823</v>
      </c>
      <c r="E7050" s="2" t="s">
        <v>105</v>
      </c>
      <c r="F7050" t="s">
        <v>12458</v>
      </c>
      <c r="G7050" t="str">
        <f>HYPERLINK("http://www.joongdo.co.kr/jsp/article/article_view.jsp?pq=201605050128")</f>
        <v>http://www.joongdo.co.kr/jsp/article/article_view.jsp?pq=201605050128</v>
      </c>
      <c r="H7050">
        <v>0.29499999999999998</v>
      </c>
    </row>
    <row r="7051" spans="1:8" x14ac:dyDescent="0.3">
      <c r="A7051" t="s">
        <v>14761</v>
      </c>
      <c r="B7051" t="s">
        <v>26951</v>
      </c>
      <c r="C7051" t="s">
        <v>17827</v>
      </c>
      <c r="D7051" t="s">
        <v>17826</v>
      </c>
      <c r="E7051" s="2" t="s">
        <v>105</v>
      </c>
      <c r="F7051" t="s">
        <v>17825</v>
      </c>
      <c r="G7051" t="str">
        <f>HYPERLINK("http://www.incheonin.com/news/articleView.html?idxno=110283")</f>
        <v>http://www.incheonin.com/news/articleView.html?idxno=110283</v>
      </c>
      <c r="H7051">
        <v>0.71499999999999997</v>
      </c>
    </row>
    <row r="7052" spans="1:8" x14ac:dyDescent="0.3">
      <c r="A7052" t="s">
        <v>14761</v>
      </c>
      <c r="B7052" t="s">
        <v>26951</v>
      </c>
      <c r="C7052" t="s">
        <v>17829</v>
      </c>
      <c r="D7052" t="s">
        <v>17828</v>
      </c>
      <c r="E7052" s="2" t="s">
        <v>105</v>
      </c>
      <c r="F7052" t="s">
        <v>10788</v>
      </c>
      <c r="G7052" t="str">
        <f>HYPERLINK("https://daily.hankooki.com/news/articleView.html?idxno=1235579")</f>
        <v>https://daily.hankooki.com/news/articleView.html?idxno=1235579</v>
      </c>
      <c r="H7052">
        <v>0.46300000000000002</v>
      </c>
    </row>
    <row r="7053" spans="1:8" x14ac:dyDescent="0.3">
      <c r="A7053" t="s">
        <v>14761</v>
      </c>
      <c r="B7053" t="s">
        <v>26951</v>
      </c>
      <c r="C7053" t="s">
        <v>17831</v>
      </c>
      <c r="D7053" t="s">
        <v>17830</v>
      </c>
      <c r="E7053" s="2" t="s">
        <v>105</v>
      </c>
      <c r="F7053" t="s">
        <v>10788</v>
      </c>
      <c r="G7053" t="str">
        <f>HYPERLINK("https://www.lecturernews.com/news/articleView.html?idxno=181418")</f>
        <v>https://www.lecturernews.com/news/articleView.html?idxno=181418</v>
      </c>
      <c r="H7053">
        <v>0.623</v>
      </c>
    </row>
    <row r="7054" spans="1:8" x14ac:dyDescent="0.3">
      <c r="A7054" t="s">
        <v>14761</v>
      </c>
      <c r="B7054" t="s">
        <v>26951</v>
      </c>
      <c r="C7054" t="s">
        <v>17834</v>
      </c>
      <c r="D7054" t="s">
        <v>17833</v>
      </c>
      <c r="E7054" s="2" t="s">
        <v>105</v>
      </c>
      <c r="F7054" t="s">
        <v>17832</v>
      </c>
      <c r="G7054" t="str">
        <f>HYPERLINK("https://n.news.naver.com/mnews/article/006/0000130656?sid=103")</f>
        <v>https://n.news.naver.com/mnews/article/006/0000130656?sid=103</v>
      </c>
      <c r="H7054">
        <v>0.214</v>
      </c>
    </row>
    <row r="7055" spans="1:8" x14ac:dyDescent="0.3">
      <c r="A7055" t="s">
        <v>14761</v>
      </c>
      <c r="B7055" t="s">
        <v>26951</v>
      </c>
      <c r="C7055" t="s">
        <v>17836</v>
      </c>
      <c r="D7055" t="s">
        <v>17835</v>
      </c>
      <c r="E7055" s="2" t="s">
        <v>105</v>
      </c>
      <c r="F7055" t="s">
        <v>4387</v>
      </c>
      <c r="G7055" t="str">
        <f>HYPERLINK("https://n.news.naver.com/mnews/article/055/0001193408?sid=102")</f>
        <v>https://n.news.naver.com/mnews/article/055/0001193408?sid=102</v>
      </c>
      <c r="H7055">
        <v>0.22600000000000001</v>
      </c>
    </row>
    <row r="7056" spans="1:8" x14ac:dyDescent="0.3">
      <c r="A7056" t="s">
        <v>14761</v>
      </c>
      <c r="B7056" t="s">
        <v>26951</v>
      </c>
      <c r="C7056" t="s">
        <v>17839</v>
      </c>
      <c r="D7056" t="s">
        <v>17838</v>
      </c>
      <c r="E7056" s="2" t="s">
        <v>105</v>
      </c>
      <c r="F7056" t="s">
        <v>17837</v>
      </c>
      <c r="G7056" t="str">
        <f>HYPERLINK("https://n.news.naver.com/mnews/article/056/0011980411?sid=100")</f>
        <v>https://n.news.naver.com/mnews/article/056/0011980411?sid=100</v>
      </c>
      <c r="H7056">
        <v>0.17799999999999999</v>
      </c>
    </row>
    <row r="7057" spans="1:8" x14ac:dyDescent="0.3">
      <c r="A7057" t="s">
        <v>14761</v>
      </c>
      <c r="B7057" t="s">
        <v>26951</v>
      </c>
      <c r="C7057" t="s">
        <v>17841</v>
      </c>
      <c r="D7057" t="s">
        <v>17840</v>
      </c>
      <c r="E7057" s="2" t="s">
        <v>105</v>
      </c>
      <c r="F7057" t="s">
        <v>11264</v>
      </c>
      <c r="G7057" t="str">
        <f>HYPERLINK("https://www.gameple.co.kr/news/articleView.html?idxno=212854")</f>
        <v>https://www.gameple.co.kr/news/articleView.html?idxno=212854</v>
      </c>
      <c r="H7057">
        <v>0.21099999999999999</v>
      </c>
    </row>
    <row r="7058" spans="1:8" x14ac:dyDescent="0.3">
      <c r="A7058" t="s">
        <v>14761</v>
      </c>
      <c r="B7058" t="s">
        <v>26951</v>
      </c>
      <c r="C7058" t="s">
        <v>17843</v>
      </c>
      <c r="D7058" t="s">
        <v>17842</v>
      </c>
      <c r="E7058" s="2" t="s">
        <v>105</v>
      </c>
      <c r="F7058" t="s">
        <v>9679</v>
      </c>
      <c r="G7058" t="str">
        <f>HYPERLINK("https://n.news.naver.com/mnews/article/008/0005213462?sid=102")</f>
        <v>https://n.news.naver.com/mnews/article/008/0005213462?sid=102</v>
      </c>
      <c r="H7058">
        <v>0.28299999999999997</v>
      </c>
    </row>
    <row r="7059" spans="1:8" x14ac:dyDescent="0.3">
      <c r="A7059" t="s">
        <v>14761</v>
      </c>
      <c r="B7059" t="s">
        <v>26951</v>
      </c>
      <c r="C7059" t="s">
        <v>17845</v>
      </c>
      <c r="D7059" t="s">
        <v>17844</v>
      </c>
      <c r="E7059" s="2" t="s">
        <v>105</v>
      </c>
      <c r="F7059" t="s">
        <v>1378</v>
      </c>
      <c r="G7059" t="str">
        <f>HYPERLINK("https://n.news.naver.com/mnews/article/008/0004004560?sid=103")</f>
        <v>https://n.news.naver.com/mnews/article/008/0004004560?sid=103</v>
      </c>
      <c r="H7059">
        <v>0.253</v>
      </c>
    </row>
    <row r="7060" spans="1:8" x14ac:dyDescent="0.3">
      <c r="A7060" t="s">
        <v>14761</v>
      </c>
      <c r="B7060" t="s">
        <v>26951</v>
      </c>
      <c r="C7060" t="s">
        <v>17847</v>
      </c>
      <c r="D7060" t="s">
        <v>17846</v>
      </c>
      <c r="E7060" s="2" t="s">
        <v>105</v>
      </c>
      <c r="F7060" t="s">
        <v>11557</v>
      </c>
      <c r="G7060" t="str">
        <f>HYPERLINK("https://daily.hankooki.com/news/articleView.html?idxno=1235579")</f>
        <v>https://daily.hankooki.com/news/articleView.html?idxno=1235579</v>
      </c>
      <c r="H7060">
        <v>0.66200000000000003</v>
      </c>
    </row>
    <row r="7061" spans="1:8" x14ac:dyDescent="0.3">
      <c r="A7061" t="s">
        <v>14761</v>
      </c>
      <c r="B7061" t="s">
        <v>26951</v>
      </c>
      <c r="C7061" t="s">
        <v>17849</v>
      </c>
      <c r="D7061" t="s">
        <v>17848</v>
      </c>
      <c r="E7061" s="2" t="s">
        <v>105</v>
      </c>
      <c r="F7061" t="s">
        <v>16817</v>
      </c>
      <c r="G7061" t="str">
        <f>HYPERLINK("http://jmagazine.joins.com/forbes/view/339596")</f>
        <v>http://jmagazine.joins.com/forbes/view/339596</v>
      </c>
      <c r="H7061">
        <v>0.64100000000000001</v>
      </c>
    </row>
    <row r="7062" spans="1:8" x14ac:dyDescent="0.3">
      <c r="A7062" t="s">
        <v>14761</v>
      </c>
      <c r="B7062" t="s">
        <v>26951</v>
      </c>
      <c r="C7062" t="s">
        <v>17851</v>
      </c>
      <c r="D7062" t="s">
        <v>17850</v>
      </c>
      <c r="E7062" s="2" t="s">
        <v>105</v>
      </c>
      <c r="F7062" t="s">
        <v>9932</v>
      </c>
      <c r="G7062" t="str">
        <f>HYPERLINK("https://www.lecturernews.com/news/articleView.html?idxno=181310")</f>
        <v>https://www.lecturernews.com/news/articleView.html?idxno=181310</v>
      </c>
      <c r="H7062">
        <v>0.67700000000000005</v>
      </c>
    </row>
    <row r="7063" spans="1:8" x14ac:dyDescent="0.3">
      <c r="A7063" t="s">
        <v>14761</v>
      </c>
      <c r="B7063" t="s">
        <v>26951</v>
      </c>
      <c r="C7063" t="s">
        <v>17854</v>
      </c>
      <c r="D7063" t="s">
        <v>17853</v>
      </c>
      <c r="E7063" s="2" t="s">
        <v>105</v>
      </c>
      <c r="F7063" t="s">
        <v>17852</v>
      </c>
      <c r="G7063" t="str">
        <f>HYPERLINK("https://www.techm.kr/news/articleView.html?idxno=98346")</f>
        <v>https://www.techm.kr/news/articleView.html?idxno=98346</v>
      </c>
      <c r="H7063">
        <v>0.46800000000000003</v>
      </c>
    </row>
    <row r="7064" spans="1:8" x14ac:dyDescent="0.3">
      <c r="A7064" t="s">
        <v>14761</v>
      </c>
      <c r="B7064" t="s">
        <v>26951</v>
      </c>
      <c r="C7064" t="s">
        <v>17856</v>
      </c>
      <c r="D7064" t="s">
        <v>17855</v>
      </c>
      <c r="E7064" s="2" t="s">
        <v>105</v>
      </c>
      <c r="F7064" t="s">
        <v>16776</v>
      </c>
      <c r="G7064" t="str">
        <f>HYPERLINK("http://www.ilyoseoul.co.kr/news/articleView.html?idxno=472856")</f>
        <v>http://www.ilyoseoul.co.kr/news/articleView.html?idxno=472856</v>
      </c>
      <c r="H7064">
        <v>0.60499999999999998</v>
      </c>
    </row>
    <row r="7065" spans="1:8" x14ac:dyDescent="0.3">
      <c r="A7065" t="s">
        <v>14761</v>
      </c>
      <c r="B7065" t="s">
        <v>26951</v>
      </c>
      <c r="C7065" t="s">
        <v>17858</v>
      </c>
      <c r="D7065" t="s">
        <v>17857</v>
      </c>
      <c r="E7065" s="2" t="s">
        <v>105</v>
      </c>
      <c r="F7065" t="s">
        <v>13462</v>
      </c>
      <c r="G7065" t="str">
        <f>HYPERLINK("http://www.newspim.com/news/view/20220328000706")</f>
        <v>http://www.newspim.com/news/view/20220328000706</v>
      </c>
      <c r="H7065">
        <v>0.37</v>
      </c>
    </row>
    <row r="7066" spans="1:8" x14ac:dyDescent="0.3">
      <c r="A7066" t="s">
        <v>14761</v>
      </c>
      <c r="B7066" t="s">
        <v>26951</v>
      </c>
      <c r="C7066" t="s">
        <v>17860</v>
      </c>
      <c r="D7066" t="s">
        <v>17859</v>
      </c>
      <c r="E7066" s="2" t="s">
        <v>105</v>
      </c>
      <c r="F7066" t="s">
        <v>9152</v>
      </c>
      <c r="G7066" t="str">
        <f>HYPERLINK("https://www.lecturernews.com/news/articleView.html?idxno=181449")</f>
        <v>https://www.lecturernews.com/news/articleView.html?idxno=181449</v>
      </c>
      <c r="H7066">
        <v>0.61299999999999999</v>
      </c>
    </row>
    <row r="7067" spans="1:8" x14ac:dyDescent="0.3">
      <c r="A7067" t="s">
        <v>14761</v>
      </c>
      <c r="B7067" t="s">
        <v>26951</v>
      </c>
      <c r="C7067" t="s">
        <v>17862</v>
      </c>
      <c r="D7067" t="s">
        <v>17861</v>
      </c>
      <c r="E7067" s="2" t="s">
        <v>105</v>
      </c>
      <c r="F7067" t="s">
        <v>10111</v>
      </c>
      <c r="G7067" t="str">
        <f>HYPERLINK("https://www.jemin.com/news/articleView.html?idxno=817682")</f>
        <v>https://www.jemin.com/news/articleView.html?idxno=817682</v>
      </c>
      <c r="H7067">
        <v>0.219</v>
      </c>
    </row>
    <row r="7068" spans="1:8" x14ac:dyDescent="0.3">
      <c r="A7068" t="s">
        <v>14761</v>
      </c>
      <c r="B7068" t="s">
        <v>26951</v>
      </c>
      <c r="C7068" t="s">
        <v>17864</v>
      </c>
      <c r="D7068" t="s">
        <v>17863</v>
      </c>
      <c r="E7068" s="2" t="s">
        <v>105</v>
      </c>
      <c r="F7068" t="s">
        <v>9679</v>
      </c>
      <c r="G7068" t="str">
        <f>HYPERLINK("https://sports.hankooki.com/news/articleView.html?idxno=6902162")</f>
        <v>https://sports.hankooki.com/news/articleView.html?idxno=6902162</v>
      </c>
      <c r="H7068">
        <v>0.72899999999999998</v>
      </c>
    </row>
    <row r="7069" spans="1:8" x14ac:dyDescent="0.3">
      <c r="A7069" t="s">
        <v>14761</v>
      </c>
      <c r="B7069" t="s">
        <v>26951</v>
      </c>
      <c r="C7069" t="s">
        <v>17866</v>
      </c>
      <c r="D7069" t="s">
        <v>17865</v>
      </c>
      <c r="E7069" s="2" t="s">
        <v>105</v>
      </c>
      <c r="F7069" t="s">
        <v>10471</v>
      </c>
      <c r="G7069" t="str">
        <f>HYPERLINK("http://www.kjdaily.com/article.php?aid=1733878239646383227")</f>
        <v>http://www.kjdaily.com/article.php?aid=1733878239646383227</v>
      </c>
      <c r="H7069">
        <v>3.4000000000000002E-2</v>
      </c>
    </row>
    <row r="7070" spans="1:8" x14ac:dyDescent="0.3">
      <c r="A7070" t="s">
        <v>14761</v>
      </c>
      <c r="B7070" t="s">
        <v>26951</v>
      </c>
      <c r="C7070" t="s">
        <v>17868</v>
      </c>
      <c r="D7070" t="s">
        <v>17867</v>
      </c>
      <c r="E7070" s="2" t="s">
        <v>105</v>
      </c>
      <c r="F7070" t="s">
        <v>15893</v>
      </c>
      <c r="G7070" t="str">
        <f>HYPERLINK("http://www.biztribune.co.kr/news/articleView.html?idxno=336369")</f>
        <v>http://www.biztribune.co.kr/news/articleView.html?idxno=336369</v>
      </c>
      <c r="H7070">
        <v>0.44600000000000001</v>
      </c>
    </row>
    <row r="7071" spans="1:8" x14ac:dyDescent="0.3">
      <c r="A7071" t="s">
        <v>14761</v>
      </c>
      <c r="B7071" t="s">
        <v>26951</v>
      </c>
      <c r="C7071" t="s">
        <v>17871</v>
      </c>
      <c r="D7071" t="s">
        <v>17870</v>
      </c>
      <c r="E7071" s="2" t="s">
        <v>105</v>
      </c>
      <c r="F7071" t="s">
        <v>17869</v>
      </c>
      <c r="G7071" t="str">
        <f>HYPERLINK("https://www.tournews21.com/news/articleView.html?idxno=107365")</f>
        <v>https://www.tournews21.com/news/articleView.html?idxno=107365</v>
      </c>
      <c r="H7071">
        <v>0.91300000000000003</v>
      </c>
    </row>
    <row r="7072" spans="1:8" x14ac:dyDescent="0.3">
      <c r="A7072" t="s">
        <v>14761</v>
      </c>
      <c r="B7072" t="s">
        <v>26951</v>
      </c>
      <c r="C7072" t="s">
        <v>17873</v>
      </c>
      <c r="D7072" t="s">
        <v>17872</v>
      </c>
      <c r="E7072" s="2" t="s">
        <v>105</v>
      </c>
      <c r="F7072" t="s">
        <v>9749</v>
      </c>
      <c r="G7072" t="str">
        <f>HYPERLINK("https://sports.hankooki.com/news/articleView.html?idxno=6892920")</f>
        <v>https://sports.hankooki.com/news/articleView.html?idxno=6892920</v>
      </c>
      <c r="H7072">
        <v>0.52400000000000002</v>
      </c>
    </row>
    <row r="7073" spans="1:8" x14ac:dyDescent="0.3">
      <c r="A7073" t="s">
        <v>14761</v>
      </c>
      <c r="B7073" t="s">
        <v>26951</v>
      </c>
      <c r="C7073" t="s">
        <v>17876</v>
      </c>
      <c r="D7073" t="s">
        <v>17875</v>
      </c>
      <c r="E7073" s="2" t="s">
        <v>105</v>
      </c>
      <c r="F7073" t="s">
        <v>17874</v>
      </c>
      <c r="G7073" t="str">
        <f>HYPERLINK("https://www.vogue.co.kr/2025/06/21/%ed%95%9c-%eb%8b%ac-%eb%8f%99%ec%95%88-%ec%a0%80%eb%85%81%ec%9d%84-%eb%8b%a8%eb%b0%b1%ec%a7%88%eb%a1%9c%eb%a7%8c-%eb%a8%b9%ec%96%b4%eb%b4%a4%ec%8a%b5%eb%8b%88%eb%8b%a4/?utm_source=naver&amp;utm_medium=partnership")</f>
        <v>https://www.vogue.co.kr/2025/06/21/%ed%95%9c-%eb%8b%ac-%eb%8f%99%ec%95%88-%ec%a0%80%eb%85%81%ec%9d%84-%eb%8b%a8%eb%b0%b1%ec%a7%88%eb%a1%9c%eb%a7%8c-%eb%a8%b9%ec%96%b4%eb%b4%a4%ec%8a%b5%eb%8b%88%eb%8b%a4/?utm_source=naver&amp;utm_medium=partnership</v>
      </c>
      <c r="H7073">
        <v>0.41699999999999998</v>
      </c>
    </row>
    <row r="7074" spans="1:8" x14ac:dyDescent="0.3">
      <c r="A7074" t="s">
        <v>14761</v>
      </c>
      <c r="B7074" t="s">
        <v>26951</v>
      </c>
      <c r="C7074" t="s">
        <v>17878</v>
      </c>
      <c r="D7074" t="s">
        <v>17877</v>
      </c>
      <c r="E7074" s="2" t="s">
        <v>105</v>
      </c>
      <c r="F7074" t="s">
        <v>10172</v>
      </c>
      <c r="G7074" t="str">
        <f>HYPERLINK("https://www.nc.press/news/articleView.html?idxno=568633")</f>
        <v>https://www.nc.press/news/articleView.html?idxno=568633</v>
      </c>
      <c r="H7074">
        <v>0.44500000000000001</v>
      </c>
    </row>
    <row r="7075" spans="1:8" x14ac:dyDescent="0.3">
      <c r="A7075" t="s">
        <v>14761</v>
      </c>
      <c r="B7075" t="s">
        <v>26951</v>
      </c>
      <c r="C7075" t="s">
        <v>17881</v>
      </c>
      <c r="D7075" t="s">
        <v>17880</v>
      </c>
      <c r="E7075" s="2" t="s">
        <v>105</v>
      </c>
      <c r="F7075" t="s">
        <v>17879</v>
      </c>
      <c r="G7075" t="str">
        <f>HYPERLINK("https://www.greened.kr/news/articleView.html?idxno=325248")</f>
        <v>https://www.greened.kr/news/articleView.html?idxno=325248</v>
      </c>
      <c r="H7075">
        <v>0.58699999999999997</v>
      </c>
    </row>
    <row r="7076" spans="1:8" x14ac:dyDescent="0.3">
      <c r="A7076" t="s">
        <v>14761</v>
      </c>
      <c r="B7076" t="s">
        <v>26951</v>
      </c>
      <c r="C7076" t="s">
        <v>17884</v>
      </c>
      <c r="D7076" t="s">
        <v>17883</v>
      </c>
      <c r="E7076" s="2" t="s">
        <v>105</v>
      </c>
      <c r="F7076" t="s">
        <v>17882</v>
      </c>
      <c r="G7076" t="str">
        <f>HYPERLINK("https://n.news.naver.com/mnews/article/016/0002491169?sid=102")</f>
        <v>https://n.news.naver.com/mnews/article/016/0002491169?sid=102</v>
      </c>
      <c r="H7076">
        <v>0.22500000000000001</v>
      </c>
    </row>
    <row r="7077" spans="1:8" x14ac:dyDescent="0.3">
      <c r="A7077" t="s">
        <v>14761</v>
      </c>
      <c r="B7077" t="s">
        <v>26951</v>
      </c>
      <c r="C7077" t="s">
        <v>17886</v>
      </c>
      <c r="D7077" t="s">
        <v>17885</v>
      </c>
      <c r="E7077" s="2" t="s">
        <v>105</v>
      </c>
      <c r="F7077" t="s">
        <v>7621</v>
      </c>
      <c r="G7077" t="str">
        <f>HYPERLINK("http://www.jbsori.com/news/articleView.html?idxno=14201")</f>
        <v>http://www.jbsori.com/news/articleView.html?idxno=14201</v>
      </c>
      <c r="H7077">
        <v>0.23100000000000001</v>
      </c>
    </row>
    <row r="7078" spans="1:8" x14ac:dyDescent="0.3">
      <c r="A7078" t="s">
        <v>14761</v>
      </c>
      <c r="B7078" t="s">
        <v>26951</v>
      </c>
      <c r="C7078" t="s">
        <v>17888</v>
      </c>
      <c r="D7078" t="s">
        <v>17887</v>
      </c>
      <c r="E7078" s="2" t="s">
        <v>105</v>
      </c>
      <c r="F7078" t="s">
        <v>16870</v>
      </c>
      <c r="G7078" t="str">
        <f>HYPERLINK("https://www.kizmom.com/news/articleView.html?idxno=101673")</f>
        <v>https://www.kizmom.com/news/articleView.html?idxno=101673</v>
      </c>
      <c r="H7078">
        <v>0.50700000000000001</v>
      </c>
    </row>
    <row r="7079" spans="1:8" x14ac:dyDescent="0.3">
      <c r="A7079" t="s">
        <v>14761</v>
      </c>
      <c r="B7079" t="s">
        <v>26951</v>
      </c>
      <c r="C7079" t="s">
        <v>17890</v>
      </c>
      <c r="D7079" t="s">
        <v>17889</v>
      </c>
      <c r="E7079" s="2" t="s">
        <v>105</v>
      </c>
      <c r="F7079" t="s">
        <v>7627</v>
      </c>
      <c r="G7079" t="str">
        <f>HYPERLINK("http://www.intn.co.kr/news/articleView.html?idxno=459096")</f>
        <v>http://www.intn.co.kr/news/articleView.html?idxno=459096</v>
      </c>
      <c r="H7079">
        <v>0.44400000000000001</v>
      </c>
    </row>
    <row r="7080" spans="1:8" x14ac:dyDescent="0.3">
      <c r="A7080" t="s">
        <v>14761</v>
      </c>
      <c r="B7080" t="s">
        <v>26951</v>
      </c>
      <c r="C7080" t="s">
        <v>17892</v>
      </c>
      <c r="D7080" t="s">
        <v>17891</v>
      </c>
      <c r="E7080" s="2" t="s">
        <v>105</v>
      </c>
      <c r="F7080" t="s">
        <v>8165</v>
      </c>
      <c r="G7080" t="str">
        <f>HYPERLINK("https://www.nc.press/news/articleView.html?idxno=568678")</f>
        <v>https://www.nc.press/news/articleView.html?idxno=568678</v>
      </c>
      <c r="H7080">
        <v>0.57199999999999995</v>
      </c>
    </row>
    <row r="7081" spans="1:8" x14ac:dyDescent="0.3">
      <c r="A7081" t="s">
        <v>14761</v>
      </c>
      <c r="B7081" t="s">
        <v>26951</v>
      </c>
      <c r="C7081" t="s">
        <v>17895</v>
      </c>
      <c r="D7081" t="s">
        <v>17894</v>
      </c>
      <c r="E7081" s="2" t="s">
        <v>105</v>
      </c>
      <c r="F7081" t="s">
        <v>17893</v>
      </c>
      <c r="G7081" t="str">
        <f>HYPERLINK("http://www.seoulwire.com/news/articleView.html?idxno=418117")</f>
        <v>http://www.seoulwire.com/news/articleView.html?idxno=418117</v>
      </c>
      <c r="H7081">
        <v>0.54600000000000004</v>
      </c>
    </row>
    <row r="7082" spans="1:8" x14ac:dyDescent="0.3">
      <c r="A7082" t="s">
        <v>14761</v>
      </c>
      <c r="B7082" t="s">
        <v>26951</v>
      </c>
      <c r="C7082" t="s">
        <v>17897</v>
      </c>
      <c r="D7082" t="s">
        <v>17896</v>
      </c>
      <c r="E7082" s="2" t="s">
        <v>105</v>
      </c>
      <c r="F7082" t="s">
        <v>15292</v>
      </c>
      <c r="G7082" t="str">
        <f>HYPERLINK("https://www.apnews.kr/news/articleView.html?idxno=3033923")</f>
        <v>https://www.apnews.kr/news/articleView.html?idxno=3033923</v>
      </c>
      <c r="H7082">
        <v>0.54400000000000004</v>
      </c>
    </row>
    <row r="7083" spans="1:8" x14ac:dyDescent="0.3">
      <c r="A7083" t="s">
        <v>14761</v>
      </c>
      <c r="B7083" t="s">
        <v>26951</v>
      </c>
      <c r="C7083" t="s">
        <v>17900</v>
      </c>
      <c r="D7083" t="s">
        <v>17899</v>
      </c>
      <c r="E7083" s="2" t="s">
        <v>105</v>
      </c>
      <c r="F7083" t="s">
        <v>17898</v>
      </c>
      <c r="G7083" t="str">
        <f>HYPERLINK("https://www.foodneconomy.com/news/articleView.html?idxno=337406")</f>
        <v>https://www.foodneconomy.com/news/articleView.html?idxno=337406</v>
      </c>
      <c r="H7083">
        <v>0.14299999999999999</v>
      </c>
    </row>
    <row r="7084" spans="1:8" x14ac:dyDescent="0.3">
      <c r="A7084" t="s">
        <v>14761</v>
      </c>
      <c r="B7084" t="s">
        <v>26951</v>
      </c>
      <c r="C7084" t="s">
        <v>17902</v>
      </c>
      <c r="D7084" t="s">
        <v>17901</v>
      </c>
      <c r="E7084" s="2" t="s">
        <v>105</v>
      </c>
      <c r="F7084" t="s">
        <v>677</v>
      </c>
      <c r="G7084" t="str">
        <f>HYPERLINK("https://n.news.naver.com/mnews/article/055/0001270176?sid=102")</f>
        <v>https://n.news.naver.com/mnews/article/055/0001270176?sid=102</v>
      </c>
      <c r="H7084">
        <v>0.29799999999999999</v>
      </c>
    </row>
    <row r="7085" spans="1:8" x14ac:dyDescent="0.3">
      <c r="A7085" t="s">
        <v>14761</v>
      </c>
      <c r="B7085" t="s">
        <v>26951</v>
      </c>
      <c r="C7085" t="s">
        <v>17904</v>
      </c>
      <c r="D7085" t="s">
        <v>17903</v>
      </c>
      <c r="E7085" s="2" t="s">
        <v>105</v>
      </c>
      <c r="F7085" t="s">
        <v>13511</v>
      </c>
      <c r="G7085" t="str">
        <f>HYPERLINK("https://sports.hankooki.com/news/articleView.html?idxno=6897307")</f>
        <v>https://sports.hankooki.com/news/articleView.html?idxno=6897307</v>
      </c>
      <c r="H7085">
        <v>0.53500000000000003</v>
      </c>
    </row>
    <row r="7086" spans="1:8" x14ac:dyDescent="0.3">
      <c r="A7086" t="s">
        <v>14761</v>
      </c>
      <c r="B7086" t="s">
        <v>26951</v>
      </c>
      <c r="C7086" t="s">
        <v>17907</v>
      </c>
      <c r="D7086" t="s">
        <v>17906</v>
      </c>
      <c r="E7086" s="2" t="s">
        <v>105</v>
      </c>
      <c r="F7086" t="s">
        <v>17905</v>
      </c>
      <c r="G7086" t="str">
        <f>HYPERLINK("https://www.womaneconomy.co.kr/news/articleView.html?idxno=236753")</f>
        <v>https://www.womaneconomy.co.kr/news/articleView.html?idxno=236753</v>
      </c>
      <c r="H7086">
        <v>0.67800000000000005</v>
      </c>
    </row>
    <row r="7087" spans="1:8" x14ac:dyDescent="0.3">
      <c r="A7087" t="s">
        <v>14761</v>
      </c>
      <c r="B7087" t="s">
        <v>26951</v>
      </c>
      <c r="C7087" t="s">
        <v>17909</v>
      </c>
      <c r="D7087" t="s">
        <v>17908</v>
      </c>
      <c r="E7087" s="2" t="s">
        <v>105</v>
      </c>
      <c r="F7087" t="s">
        <v>1018</v>
      </c>
      <c r="G7087" t="str">
        <f>HYPERLINK("http://www.srtimes.kr/news/articleView.html?idxno=176343")</f>
        <v>http://www.srtimes.kr/news/articleView.html?idxno=176343</v>
      </c>
      <c r="H7087">
        <v>0.30299999999999999</v>
      </c>
    </row>
    <row r="7088" spans="1:8" x14ac:dyDescent="0.3">
      <c r="A7088" t="s">
        <v>14761</v>
      </c>
      <c r="B7088" t="s">
        <v>26951</v>
      </c>
      <c r="C7088" t="s">
        <v>17911</v>
      </c>
      <c r="D7088" t="s">
        <v>17910</v>
      </c>
      <c r="E7088" s="2" t="s">
        <v>105</v>
      </c>
      <c r="F7088" t="s">
        <v>13511</v>
      </c>
      <c r="G7088" t="str">
        <f>HYPERLINK("http://www.koreastocknews.com/news/articleView.html?idxno=104253")</f>
        <v>http://www.koreastocknews.com/news/articleView.html?idxno=104253</v>
      </c>
      <c r="H7088">
        <v>0.45400000000000001</v>
      </c>
    </row>
    <row r="7089" spans="1:8" x14ac:dyDescent="0.3">
      <c r="A7089" t="s">
        <v>14761</v>
      </c>
      <c r="B7089" t="s">
        <v>26951</v>
      </c>
      <c r="C7089" t="s">
        <v>17913</v>
      </c>
      <c r="D7089" t="s">
        <v>17912</v>
      </c>
      <c r="E7089" s="2" t="s">
        <v>105</v>
      </c>
      <c r="F7089" t="s">
        <v>16817</v>
      </c>
      <c r="G7089" t="str">
        <f>HYPERLINK("https://www.yeongnam.com/web/view.php?key=20230317001135288")</f>
        <v>https://www.yeongnam.com/web/view.php?key=20230317001135288</v>
      </c>
      <c r="H7089">
        <v>0.313</v>
      </c>
    </row>
    <row r="7090" spans="1:8" x14ac:dyDescent="0.3">
      <c r="A7090" t="s">
        <v>14761</v>
      </c>
      <c r="B7090" t="s">
        <v>26951</v>
      </c>
      <c r="C7090" t="s">
        <v>17915</v>
      </c>
      <c r="D7090" t="s">
        <v>17914</v>
      </c>
      <c r="E7090" s="2" t="s">
        <v>105</v>
      </c>
      <c r="F7090" t="s">
        <v>12949</v>
      </c>
      <c r="G7090" t="str">
        <f>HYPERLINK("https://www.etoday.co.kr/news/view/2482618")</f>
        <v>https://www.etoday.co.kr/news/view/2482618</v>
      </c>
      <c r="H7090">
        <v>0.48599999999999999</v>
      </c>
    </row>
    <row r="7091" spans="1:8" x14ac:dyDescent="0.3">
      <c r="A7091" t="s">
        <v>14761</v>
      </c>
      <c r="B7091" t="s">
        <v>26951</v>
      </c>
      <c r="C7091" t="s">
        <v>17917</v>
      </c>
      <c r="D7091" t="s">
        <v>17916</v>
      </c>
      <c r="E7091" s="2" t="s">
        <v>105</v>
      </c>
      <c r="F7091" t="s">
        <v>10172</v>
      </c>
      <c r="G7091" t="str">
        <f>HYPERLINK("https://www.jemin.com/news/articleView.html?idxno=818391")</f>
        <v>https://www.jemin.com/news/articleView.html?idxno=818391</v>
      </c>
      <c r="H7091">
        <v>0.38300000000000001</v>
      </c>
    </row>
    <row r="7092" spans="1:8" x14ac:dyDescent="0.3">
      <c r="A7092" t="s">
        <v>14761</v>
      </c>
      <c r="B7092" t="s">
        <v>26951</v>
      </c>
      <c r="C7092" t="s">
        <v>17919</v>
      </c>
      <c r="D7092" t="s">
        <v>17918</v>
      </c>
      <c r="E7092" s="2" t="s">
        <v>133</v>
      </c>
      <c r="F7092" t="s">
        <v>14608</v>
      </c>
      <c r="G7092" t="str">
        <f>HYPERLINK("https://www.ibuan.com/news/articleView.html?idxno=53409")</f>
        <v>https://www.ibuan.com/news/articleView.html?idxno=53409</v>
      </c>
      <c r="H7092">
        <v>0.73299999999999998</v>
      </c>
    </row>
    <row r="7093" spans="1:8" x14ac:dyDescent="0.3">
      <c r="A7093" t="s">
        <v>14761</v>
      </c>
      <c r="B7093" t="s">
        <v>26951</v>
      </c>
      <c r="C7093" t="s">
        <v>17922</v>
      </c>
      <c r="D7093" t="s">
        <v>17921</v>
      </c>
      <c r="E7093" s="2" t="s">
        <v>133</v>
      </c>
      <c r="F7093" t="s">
        <v>17920</v>
      </c>
      <c r="G7093" t="str">
        <f>HYPERLINK("https://www.ablenews.co.kr/news/articleView.html?idxno=221195")</f>
        <v>https://www.ablenews.co.kr/news/articleView.html?idxno=221195</v>
      </c>
      <c r="H7093">
        <v>0.58899999999999997</v>
      </c>
    </row>
    <row r="7094" spans="1:8" x14ac:dyDescent="0.3">
      <c r="A7094" t="s">
        <v>14761</v>
      </c>
      <c r="B7094" t="s">
        <v>26951</v>
      </c>
      <c r="C7094" t="s">
        <v>17925</v>
      </c>
      <c r="D7094" t="s">
        <v>17924</v>
      </c>
      <c r="E7094" s="2" t="s">
        <v>133</v>
      </c>
      <c r="F7094" t="s">
        <v>17923</v>
      </c>
      <c r="G7094" t="str">
        <f>HYPERLINK("https://ilyo.co.kr/?ac=article_view&amp;entry_id=484269")</f>
        <v>https://ilyo.co.kr/?ac=article_view&amp;entry_id=484269</v>
      </c>
      <c r="H7094">
        <v>0.155</v>
      </c>
    </row>
    <row r="7095" spans="1:8" x14ac:dyDescent="0.3">
      <c r="A7095" t="s">
        <v>14761</v>
      </c>
      <c r="B7095" t="s">
        <v>26951</v>
      </c>
      <c r="C7095" t="s">
        <v>17927</v>
      </c>
      <c r="D7095" t="s">
        <v>17926</v>
      </c>
      <c r="E7095" s="2" t="s">
        <v>133</v>
      </c>
      <c r="F7095" t="s">
        <v>11264</v>
      </c>
      <c r="G7095" t="str">
        <f>HYPERLINK("https://n.news.naver.com/mnews/article/055/0001261406?sid=154")</f>
        <v>https://n.news.naver.com/mnews/article/055/0001261406?sid=154</v>
      </c>
      <c r="H7095">
        <v>0.26500000000000001</v>
      </c>
    </row>
    <row r="7096" spans="1:8" x14ac:dyDescent="0.3">
      <c r="A7096" t="s">
        <v>14761</v>
      </c>
      <c r="B7096" t="s">
        <v>26951</v>
      </c>
      <c r="C7096" t="s">
        <v>17930</v>
      </c>
      <c r="D7096" t="s">
        <v>17929</v>
      </c>
      <c r="E7096" s="2" t="s">
        <v>133</v>
      </c>
      <c r="F7096" t="s">
        <v>17928</v>
      </c>
      <c r="G7096" t="str">
        <f>HYPERLINK("https://n.news.naver.com/mnews/article/079/0004040073?sid=102")</f>
        <v>https://n.news.naver.com/mnews/article/079/0004040073?sid=102</v>
      </c>
      <c r="H7096">
        <v>0.23599999999999999</v>
      </c>
    </row>
    <row r="7097" spans="1:8" x14ac:dyDescent="0.3">
      <c r="A7097" t="s">
        <v>14761</v>
      </c>
      <c r="B7097" t="s">
        <v>26951</v>
      </c>
      <c r="C7097" t="s">
        <v>17933</v>
      </c>
      <c r="D7097" t="s">
        <v>17932</v>
      </c>
      <c r="E7097" s="2" t="s">
        <v>133</v>
      </c>
      <c r="F7097" t="s">
        <v>17931</v>
      </c>
      <c r="G7097" t="str">
        <f>HYPERLINK("https://www.greened.kr/news/articleView.html?idxno=324448")</f>
        <v>https://www.greened.kr/news/articleView.html?idxno=324448</v>
      </c>
      <c r="H7097">
        <v>0.5</v>
      </c>
    </row>
    <row r="7098" spans="1:8" x14ac:dyDescent="0.3">
      <c r="A7098" t="s">
        <v>14761</v>
      </c>
      <c r="B7098" t="s">
        <v>26951</v>
      </c>
      <c r="C7098" t="s">
        <v>17935</v>
      </c>
      <c r="D7098" t="s">
        <v>17934</v>
      </c>
      <c r="E7098" s="2" t="s">
        <v>133</v>
      </c>
      <c r="F7098" t="s">
        <v>10058</v>
      </c>
      <c r="G7098" t="str">
        <f>HYPERLINK("https://sports.hankooki.com/news/articleView.html?idxno=6879477")</f>
        <v>https://sports.hankooki.com/news/articleView.html?idxno=6879477</v>
      </c>
      <c r="H7098">
        <v>0.44600000000000001</v>
      </c>
    </row>
    <row r="7099" spans="1:8" x14ac:dyDescent="0.3">
      <c r="A7099" t="s">
        <v>14761</v>
      </c>
      <c r="B7099" t="s">
        <v>26951</v>
      </c>
      <c r="C7099" t="s">
        <v>17937</v>
      </c>
      <c r="D7099" t="s">
        <v>17936</v>
      </c>
      <c r="E7099" s="2" t="s">
        <v>133</v>
      </c>
      <c r="F7099" t="s">
        <v>9860</v>
      </c>
      <c r="G7099" t="str">
        <f>HYPERLINK("http://www.breaknews.com/1101215")</f>
        <v>http://www.breaknews.com/1101215</v>
      </c>
      <c r="H7099">
        <v>8.5000000000000006E-2</v>
      </c>
    </row>
    <row r="7100" spans="1:8" x14ac:dyDescent="0.3">
      <c r="A7100" t="s">
        <v>14761</v>
      </c>
      <c r="B7100" t="s">
        <v>26951</v>
      </c>
      <c r="C7100" t="s">
        <v>17940</v>
      </c>
      <c r="D7100" t="s">
        <v>17939</v>
      </c>
      <c r="E7100" s="2" t="s">
        <v>133</v>
      </c>
      <c r="F7100" t="s">
        <v>17938</v>
      </c>
      <c r="G7100" t="str">
        <f>HYPERLINK("https://www.lecturernews.com/news/articleView.html?idxno=132340")</f>
        <v>https://www.lecturernews.com/news/articleView.html?idxno=132340</v>
      </c>
      <c r="H7100">
        <v>0.23</v>
      </c>
    </row>
    <row r="7101" spans="1:8" x14ac:dyDescent="0.3">
      <c r="A7101" t="s">
        <v>14761</v>
      </c>
      <c r="B7101" t="s">
        <v>26951</v>
      </c>
      <c r="C7101" t="s">
        <v>17942</v>
      </c>
      <c r="D7101" t="s">
        <v>17941</v>
      </c>
      <c r="E7101" s="2" t="s">
        <v>133</v>
      </c>
      <c r="F7101" t="s">
        <v>9944</v>
      </c>
      <c r="G7101" t="str">
        <f>HYPERLINK("https://www.lecturernews.com/news/articleView.html?idxno=174172")</f>
        <v>https://www.lecturernews.com/news/articleView.html?idxno=174172</v>
      </c>
      <c r="H7101">
        <v>0.433</v>
      </c>
    </row>
    <row r="7102" spans="1:8" x14ac:dyDescent="0.3">
      <c r="A7102" t="s">
        <v>14761</v>
      </c>
      <c r="B7102" t="s">
        <v>26951</v>
      </c>
      <c r="C7102" t="s">
        <v>17944</v>
      </c>
      <c r="D7102" t="s">
        <v>17943</v>
      </c>
      <c r="E7102" s="2" t="s">
        <v>133</v>
      </c>
      <c r="F7102" t="s">
        <v>10111</v>
      </c>
      <c r="G7102" t="str">
        <f>HYPERLINK("https://www.ggilbo.com/news/articleView.html?idxno=1097294")</f>
        <v>https://www.ggilbo.com/news/articleView.html?idxno=1097294</v>
      </c>
      <c r="H7102">
        <v>0.504</v>
      </c>
    </row>
    <row r="7103" spans="1:8" x14ac:dyDescent="0.3">
      <c r="A7103" t="s">
        <v>14761</v>
      </c>
      <c r="B7103" t="s">
        <v>26951</v>
      </c>
      <c r="C7103" t="s">
        <v>17946</v>
      </c>
      <c r="D7103" t="s">
        <v>17945</v>
      </c>
      <c r="E7103" s="2" t="s">
        <v>133</v>
      </c>
      <c r="F7103" t="s">
        <v>14865</v>
      </c>
      <c r="G7103" t="str">
        <f>HYPERLINK("https://www.ggilbo.com/news/articleView.html?idxno=1097294")</f>
        <v>https://www.ggilbo.com/news/articleView.html?idxno=1097294</v>
      </c>
      <c r="H7103">
        <v>0.56299999999999994</v>
      </c>
    </row>
    <row r="7104" spans="1:8" x14ac:dyDescent="0.3">
      <c r="A7104" t="s">
        <v>14761</v>
      </c>
      <c r="B7104" t="s">
        <v>26951</v>
      </c>
      <c r="C7104" t="s">
        <v>17948</v>
      </c>
      <c r="D7104" t="s">
        <v>17947</v>
      </c>
      <c r="E7104" s="2" t="s">
        <v>133</v>
      </c>
      <c r="F7104" t="s">
        <v>12458</v>
      </c>
      <c r="G7104" t="str">
        <f>HYPERLINK("http://www.greened.kr/news/articleView.html?idxno=299863")</f>
        <v>http://www.greened.kr/news/articleView.html?idxno=299863</v>
      </c>
      <c r="H7104">
        <v>0.45700000000000002</v>
      </c>
    </row>
    <row r="7105" spans="1:8" x14ac:dyDescent="0.3">
      <c r="A7105" t="s">
        <v>14761</v>
      </c>
      <c r="B7105" t="s">
        <v>26951</v>
      </c>
      <c r="C7105" t="s">
        <v>17950</v>
      </c>
      <c r="D7105" t="s">
        <v>17949</v>
      </c>
      <c r="E7105" s="2" t="s">
        <v>133</v>
      </c>
      <c r="F7105" t="s">
        <v>4119</v>
      </c>
      <c r="G7105" t="str">
        <f>HYPERLINK("http://www.koreastocknews.com/news/articleView.html?idxno=96425")</f>
        <v>http://www.koreastocknews.com/news/articleView.html?idxno=96425</v>
      </c>
      <c r="H7105">
        <v>0.44400000000000001</v>
      </c>
    </row>
    <row r="7106" spans="1:8" x14ac:dyDescent="0.3">
      <c r="A7106" t="s">
        <v>14761</v>
      </c>
      <c r="B7106" t="s">
        <v>26951</v>
      </c>
      <c r="C7106" t="s">
        <v>17952</v>
      </c>
      <c r="D7106" t="s">
        <v>17951</v>
      </c>
      <c r="E7106" s="2" t="s">
        <v>133</v>
      </c>
      <c r="F7106" t="s">
        <v>12458</v>
      </c>
      <c r="G7106" t="str">
        <f>HYPERLINK("https://www.ggilbo.com/news/articleView.html?idxno=1097294")</f>
        <v>https://www.ggilbo.com/news/articleView.html?idxno=1097294</v>
      </c>
      <c r="H7106">
        <v>0.58899999999999997</v>
      </c>
    </row>
    <row r="7107" spans="1:8" x14ac:dyDescent="0.3">
      <c r="A7107" t="s">
        <v>14761</v>
      </c>
      <c r="B7107" t="s">
        <v>26951</v>
      </c>
      <c r="C7107" t="s">
        <v>17954</v>
      </c>
      <c r="D7107" t="s">
        <v>17953</v>
      </c>
      <c r="E7107" s="2" t="s">
        <v>133</v>
      </c>
      <c r="F7107" t="s">
        <v>14469</v>
      </c>
      <c r="G7107" t="str">
        <f>HYPERLINK("https://ilyo.co.kr/?ac=article_view&amp;entry_id=478315")</f>
        <v>https://ilyo.co.kr/?ac=article_view&amp;entry_id=478315</v>
      </c>
      <c r="H7107">
        <v>7.0999999999999994E-2</v>
      </c>
    </row>
    <row r="7108" spans="1:8" x14ac:dyDescent="0.3">
      <c r="A7108" t="s">
        <v>14761</v>
      </c>
      <c r="B7108" t="s">
        <v>26951</v>
      </c>
      <c r="C7108" t="s">
        <v>17957</v>
      </c>
      <c r="D7108" t="s">
        <v>17956</v>
      </c>
      <c r="E7108" s="2" t="s">
        <v>133</v>
      </c>
      <c r="F7108" t="s">
        <v>17955</v>
      </c>
      <c r="G7108" t="str">
        <f>HYPERLINK("https://www.etoday.co.kr/news/view/2480112")</f>
        <v>https://www.etoday.co.kr/news/view/2480112</v>
      </c>
      <c r="H7108">
        <v>0.435</v>
      </c>
    </row>
    <row r="7109" spans="1:8" x14ac:dyDescent="0.3">
      <c r="A7109" t="s">
        <v>14761</v>
      </c>
      <c r="B7109" t="s">
        <v>26951</v>
      </c>
      <c r="C7109" t="s">
        <v>17960</v>
      </c>
      <c r="D7109" t="s">
        <v>17959</v>
      </c>
      <c r="E7109" s="2" t="s">
        <v>133</v>
      </c>
      <c r="F7109" t="s">
        <v>17958</v>
      </c>
      <c r="G7109" t="str">
        <f>HYPERLINK("https://www.etoday.co.kr/news/view/2472954")</f>
        <v>https://www.etoday.co.kr/news/view/2472954</v>
      </c>
      <c r="H7109">
        <v>0.36199999999999999</v>
      </c>
    </row>
    <row r="7110" spans="1:8" x14ac:dyDescent="0.3">
      <c r="A7110" t="s">
        <v>14761</v>
      </c>
      <c r="B7110" t="s">
        <v>26951</v>
      </c>
      <c r="C7110" t="s">
        <v>17962</v>
      </c>
      <c r="D7110" t="s">
        <v>17961</v>
      </c>
      <c r="E7110" s="2" t="s">
        <v>133</v>
      </c>
      <c r="F7110" t="s">
        <v>9944</v>
      </c>
      <c r="G7110" t="str">
        <f>HYPERLINK("https://sports.hankooki.com/news/articleView.html?idxno=6868301")</f>
        <v>https://sports.hankooki.com/news/articleView.html?idxno=6868301</v>
      </c>
      <c r="H7110">
        <v>0.502</v>
      </c>
    </row>
    <row r="7111" spans="1:8" x14ac:dyDescent="0.3">
      <c r="A7111" t="s">
        <v>14761</v>
      </c>
      <c r="B7111" t="s">
        <v>26951</v>
      </c>
      <c r="C7111" t="s">
        <v>17965</v>
      </c>
      <c r="D7111" t="s">
        <v>17964</v>
      </c>
      <c r="E7111" s="2" t="s">
        <v>133</v>
      </c>
      <c r="F7111" t="s">
        <v>17963</v>
      </c>
      <c r="G7111" t="str">
        <f>HYPERLINK("https://www.tokenpost.kr/news/briefing/253328")</f>
        <v>https://www.tokenpost.kr/news/briefing/253328</v>
      </c>
      <c r="H7111">
        <v>0.4</v>
      </c>
    </row>
    <row r="7112" spans="1:8" x14ac:dyDescent="0.3">
      <c r="A7112" t="s">
        <v>14761</v>
      </c>
      <c r="B7112" t="s">
        <v>26951</v>
      </c>
      <c r="C7112" t="s">
        <v>17968</v>
      </c>
      <c r="D7112" t="s">
        <v>17967</v>
      </c>
      <c r="E7112" s="2" t="s">
        <v>133</v>
      </c>
      <c r="F7112" t="s">
        <v>13462</v>
      </c>
      <c r="G7112" t="str">
        <f>HYPERLINK("http://www.newspim.com/news/view/20220328000706")</f>
        <v>http://www.newspim.com/news/view/20220328000706</v>
      </c>
      <c r="H7112">
        <v>0.29099999999999998</v>
      </c>
    </row>
    <row r="7113" spans="1:8" x14ac:dyDescent="0.3">
      <c r="A7113" t="s">
        <v>14761</v>
      </c>
      <c r="B7113" t="s">
        <v>26951</v>
      </c>
      <c r="C7113" t="s">
        <v>17970</v>
      </c>
      <c r="D7113" t="s">
        <v>17969</v>
      </c>
      <c r="E7113" s="2" t="s">
        <v>133</v>
      </c>
      <c r="F7113" t="s">
        <v>9749</v>
      </c>
      <c r="G7113" t="str">
        <f>HYPERLINK("https://www.kizmom.com/news/articleView.html?idxno=101673")</f>
        <v>https://www.kizmom.com/news/articleView.html?idxno=101673</v>
      </c>
      <c r="H7113">
        <v>0.83099999999999996</v>
      </c>
    </row>
    <row r="7114" spans="1:8" x14ac:dyDescent="0.3">
      <c r="A7114" t="s">
        <v>14761</v>
      </c>
      <c r="B7114" t="s">
        <v>26951</v>
      </c>
      <c r="C7114" t="s">
        <v>17972</v>
      </c>
      <c r="D7114" t="s">
        <v>17971</v>
      </c>
      <c r="E7114" s="2" t="s">
        <v>133</v>
      </c>
      <c r="F7114" t="s">
        <v>14865</v>
      </c>
      <c r="G7114" t="str">
        <f>HYPERLINK("https://www.ggilbo.com/news/articleView.html?idxno=1097294")</f>
        <v>https://www.ggilbo.com/news/articleView.html?idxno=1097294</v>
      </c>
      <c r="H7114">
        <v>0.46200000000000002</v>
      </c>
    </row>
    <row r="7115" spans="1:8" x14ac:dyDescent="0.3">
      <c r="A7115" t="s">
        <v>14761</v>
      </c>
      <c r="B7115" t="s">
        <v>26951</v>
      </c>
      <c r="C7115" t="s">
        <v>17974</v>
      </c>
      <c r="D7115" t="s">
        <v>17973</v>
      </c>
      <c r="E7115" s="2" t="s">
        <v>133</v>
      </c>
      <c r="F7115" t="s">
        <v>9944</v>
      </c>
      <c r="G7115" t="str">
        <f>HYPERLINK("https://www.sisaweek.com/news/articleView.html?idxno=226833")</f>
        <v>https://www.sisaweek.com/news/articleView.html?idxno=226833</v>
      </c>
      <c r="H7115">
        <v>0.375</v>
      </c>
    </row>
    <row r="7116" spans="1:8" x14ac:dyDescent="0.3">
      <c r="A7116" t="s">
        <v>14761</v>
      </c>
      <c r="B7116" t="s">
        <v>26951</v>
      </c>
      <c r="C7116" t="s">
        <v>17976</v>
      </c>
      <c r="D7116" t="s">
        <v>17975</v>
      </c>
      <c r="E7116" s="2" t="s">
        <v>133</v>
      </c>
      <c r="F7116" t="s">
        <v>15008</v>
      </c>
      <c r="G7116" t="str">
        <f>HYPERLINK("http://www.kbmaeil.com/news/articleView.html?idxno=857432")</f>
        <v>http://www.kbmaeil.com/news/articleView.html?idxno=857432</v>
      </c>
      <c r="H7116">
        <v>0.10100000000000001</v>
      </c>
    </row>
    <row r="7117" spans="1:8" x14ac:dyDescent="0.3">
      <c r="A7117" t="s">
        <v>14761</v>
      </c>
      <c r="B7117" t="s">
        <v>26951</v>
      </c>
      <c r="C7117" t="s">
        <v>17979</v>
      </c>
      <c r="D7117" t="s">
        <v>17978</v>
      </c>
      <c r="E7117" s="2" t="s">
        <v>133</v>
      </c>
      <c r="F7117" t="s">
        <v>17977</v>
      </c>
      <c r="G7117" t="str">
        <f>HYPERLINK("https://n.news.naver.com/mnews/article/022/0004047762?sid=100")</f>
        <v>https://n.news.naver.com/mnews/article/022/0004047762?sid=100</v>
      </c>
      <c r="H7117">
        <v>0.152</v>
      </c>
    </row>
    <row r="7118" spans="1:8" x14ac:dyDescent="0.3">
      <c r="A7118" t="s">
        <v>14761</v>
      </c>
      <c r="B7118" t="s">
        <v>26951</v>
      </c>
      <c r="C7118" t="s">
        <v>17981</v>
      </c>
      <c r="D7118" t="s">
        <v>17980</v>
      </c>
      <c r="E7118" s="2" t="s">
        <v>133</v>
      </c>
      <c r="F7118" t="s">
        <v>11037</v>
      </c>
      <c r="G7118" t="str">
        <f>HYPERLINK("http://www.dynews.co.kr/news/articleView.html?idxno=808676")</f>
        <v>http://www.dynews.co.kr/news/articleView.html?idxno=808676</v>
      </c>
      <c r="H7118">
        <v>0.81299999999999994</v>
      </c>
    </row>
    <row r="7119" spans="1:8" x14ac:dyDescent="0.3">
      <c r="A7119" t="s">
        <v>14761</v>
      </c>
      <c r="B7119" t="s">
        <v>26951</v>
      </c>
      <c r="C7119" t="s">
        <v>17985</v>
      </c>
      <c r="D7119" t="s">
        <v>17984</v>
      </c>
      <c r="E7119" s="2" t="s">
        <v>133</v>
      </c>
      <c r="F7119" t="s">
        <v>17983</v>
      </c>
      <c r="G7119" t="str">
        <f>HYPERLINK("http://www.pdjournal.com/news/articleView.html?idxno=23240")</f>
        <v>http://www.pdjournal.com/news/articleView.html?idxno=23240</v>
      </c>
      <c r="H7119">
        <v>0.44800000000000001</v>
      </c>
    </row>
    <row r="7120" spans="1:8" x14ac:dyDescent="0.3">
      <c r="A7120" t="s">
        <v>14761</v>
      </c>
      <c r="B7120" t="s">
        <v>26951</v>
      </c>
      <c r="C7120" t="s">
        <v>17988</v>
      </c>
      <c r="D7120" t="s">
        <v>17987</v>
      </c>
      <c r="E7120" s="2" t="s">
        <v>133</v>
      </c>
      <c r="F7120" t="s">
        <v>17986</v>
      </c>
      <c r="G7120" t="str">
        <f>HYPERLINK("https://n.news.naver.com/mnews/article/056/0011980411?sid=100")</f>
        <v>https://n.news.naver.com/mnews/article/056/0011980411?sid=100</v>
      </c>
      <c r="H7120">
        <v>9.0999999999999998E-2</v>
      </c>
    </row>
    <row r="7121" spans="1:8" x14ac:dyDescent="0.3">
      <c r="A7121" t="s">
        <v>14761</v>
      </c>
      <c r="B7121" t="s">
        <v>26951</v>
      </c>
      <c r="C7121" t="s">
        <v>13625</v>
      </c>
      <c r="D7121" t="s">
        <v>13624</v>
      </c>
      <c r="E7121" s="2" t="s">
        <v>133</v>
      </c>
      <c r="F7121" t="s">
        <v>12391</v>
      </c>
      <c r="G7121" t="str">
        <f>HYPERLINK("https://ilyo.co.kr/?ac=article_view&amp;entry_id=487973")</f>
        <v>https://ilyo.co.kr/?ac=article_view&amp;entry_id=487973</v>
      </c>
      <c r="H7121">
        <v>8.7999999999999995E-2</v>
      </c>
    </row>
    <row r="7122" spans="1:8" x14ac:dyDescent="0.3">
      <c r="A7122" t="s">
        <v>14761</v>
      </c>
      <c r="B7122" t="s">
        <v>26951</v>
      </c>
      <c r="C7122" t="s">
        <v>17991</v>
      </c>
      <c r="D7122" t="s">
        <v>17990</v>
      </c>
      <c r="E7122" s="2" t="s">
        <v>133</v>
      </c>
      <c r="F7122" t="s">
        <v>17989</v>
      </c>
      <c r="G7122" t="str">
        <f>HYPERLINK("http://www.kyosu.net/news/articleView.html?idxno=118419")</f>
        <v>http://www.kyosu.net/news/articleView.html?idxno=118419</v>
      </c>
      <c r="H7122">
        <v>0.67800000000000005</v>
      </c>
    </row>
    <row r="7123" spans="1:8" x14ac:dyDescent="0.3">
      <c r="A7123" t="s">
        <v>14761</v>
      </c>
      <c r="B7123" t="s">
        <v>26951</v>
      </c>
      <c r="C7123" t="s">
        <v>17993</v>
      </c>
      <c r="D7123" t="s">
        <v>17992</v>
      </c>
      <c r="E7123" s="2" t="s">
        <v>133</v>
      </c>
      <c r="F7123" t="s">
        <v>12600</v>
      </c>
      <c r="G7123" t="str">
        <f>HYPERLINK("https://sports.hankooki.com/news/articleView.html?idxno=6876740")</f>
        <v>https://sports.hankooki.com/news/articleView.html?idxno=6876740</v>
      </c>
      <c r="H7123">
        <v>0.33300000000000002</v>
      </c>
    </row>
    <row r="7124" spans="1:8" x14ac:dyDescent="0.3">
      <c r="A7124" t="s">
        <v>14761</v>
      </c>
      <c r="B7124" t="s">
        <v>26951</v>
      </c>
      <c r="C7124" t="s">
        <v>17995</v>
      </c>
      <c r="D7124" t="s">
        <v>17994</v>
      </c>
      <c r="E7124" s="2" t="s">
        <v>133</v>
      </c>
      <c r="F7124" t="s">
        <v>4119</v>
      </c>
      <c r="G7124" t="str">
        <f>HYPERLINK("https://www.ggilbo.com/news/articleView.html?idxno=1097294")</f>
        <v>https://www.ggilbo.com/news/articleView.html?idxno=1097294</v>
      </c>
      <c r="H7124">
        <v>0.58799999999999997</v>
      </c>
    </row>
    <row r="7125" spans="1:8" x14ac:dyDescent="0.3">
      <c r="A7125" t="s">
        <v>14761</v>
      </c>
      <c r="B7125" t="s">
        <v>26951</v>
      </c>
      <c r="C7125" t="s">
        <v>17997</v>
      </c>
      <c r="D7125" t="s">
        <v>17996</v>
      </c>
      <c r="E7125" s="2" t="s">
        <v>133</v>
      </c>
      <c r="F7125" t="s">
        <v>732</v>
      </c>
      <c r="G7125" t="str">
        <f>HYPERLINK("https://n.news.naver.com/mnews/article/079/0003960259?sid=100")</f>
        <v>https://n.news.naver.com/mnews/article/079/0003960259?sid=100</v>
      </c>
      <c r="H7125">
        <v>0.255</v>
      </c>
    </row>
    <row r="7126" spans="1:8" x14ac:dyDescent="0.3">
      <c r="A7126" t="s">
        <v>14761</v>
      </c>
      <c r="B7126" t="s">
        <v>26951</v>
      </c>
      <c r="C7126" t="s">
        <v>18000</v>
      </c>
      <c r="D7126" t="s">
        <v>17999</v>
      </c>
      <c r="E7126" s="2" t="s">
        <v>133</v>
      </c>
      <c r="F7126" t="s">
        <v>17998</v>
      </c>
      <c r="G7126" t="str">
        <f>HYPERLINK("http://www.newsfarm.co.kr/news/articleView.html?idxno=24857")</f>
        <v>http://www.newsfarm.co.kr/news/articleView.html?idxno=24857</v>
      </c>
      <c r="H7126">
        <v>0.54</v>
      </c>
    </row>
    <row r="7127" spans="1:8" x14ac:dyDescent="0.3">
      <c r="A7127" t="s">
        <v>14761</v>
      </c>
      <c r="B7127" t="s">
        <v>26951</v>
      </c>
      <c r="C7127" t="s">
        <v>18002</v>
      </c>
      <c r="D7127" t="s">
        <v>18001</v>
      </c>
      <c r="E7127" s="2" t="s">
        <v>133</v>
      </c>
      <c r="F7127" t="s">
        <v>11998</v>
      </c>
      <c r="G7127" t="str">
        <f>HYPERLINK("https://www.ggilbo.com/news/articleView.html?idxno=1097294")</f>
        <v>https://www.ggilbo.com/news/articleView.html?idxno=1097294</v>
      </c>
      <c r="H7127">
        <v>0.60599999999999998</v>
      </c>
    </row>
    <row r="7128" spans="1:8" x14ac:dyDescent="0.3">
      <c r="A7128" t="s">
        <v>14761</v>
      </c>
      <c r="B7128" t="s">
        <v>26951</v>
      </c>
      <c r="C7128" t="s">
        <v>18005</v>
      </c>
      <c r="D7128" t="s">
        <v>18004</v>
      </c>
      <c r="E7128" s="2" t="s">
        <v>133</v>
      </c>
      <c r="F7128" t="s">
        <v>18003</v>
      </c>
      <c r="G7128" t="str">
        <f>HYPERLINK("https://n.news.naver.com/mnews/article/052/0000513115?sid=103")</f>
        <v>https://n.news.naver.com/mnews/article/052/0000513115?sid=103</v>
      </c>
      <c r="H7128">
        <v>0.182</v>
      </c>
    </row>
    <row r="7129" spans="1:8" x14ac:dyDescent="0.3">
      <c r="A7129" t="s">
        <v>14761</v>
      </c>
      <c r="B7129" t="s">
        <v>26951</v>
      </c>
      <c r="C7129" t="s">
        <v>18008</v>
      </c>
      <c r="D7129" t="s">
        <v>18007</v>
      </c>
      <c r="E7129" s="2" t="s">
        <v>133</v>
      </c>
      <c r="F7129" t="s">
        <v>18006</v>
      </c>
      <c r="G7129" t="str">
        <f>HYPERLINK("https://www.forbeskorea.co.kr/news/articleView.html?idxno=400315")</f>
        <v>https://www.forbeskorea.co.kr/news/articleView.html?idxno=400315</v>
      </c>
      <c r="H7129">
        <v>0.41599999999999998</v>
      </c>
    </row>
    <row r="7130" spans="1:8" x14ac:dyDescent="0.3">
      <c r="A7130" t="s">
        <v>14761</v>
      </c>
      <c r="B7130" t="s">
        <v>26951</v>
      </c>
      <c r="C7130" t="s">
        <v>18010</v>
      </c>
      <c r="D7130" t="s">
        <v>18009</v>
      </c>
      <c r="E7130" s="2" t="s">
        <v>133</v>
      </c>
      <c r="F7130" t="s">
        <v>1050</v>
      </c>
      <c r="G7130" t="str">
        <f>HYPERLINK("https://n.news.naver.com/mnews/article/018/0006048777?sid=100")</f>
        <v>https://n.news.naver.com/mnews/article/018/0006048777?sid=100</v>
      </c>
      <c r="H7130">
        <v>0.22600000000000001</v>
      </c>
    </row>
    <row r="7131" spans="1:8" x14ac:dyDescent="0.3">
      <c r="A7131" t="s">
        <v>14761</v>
      </c>
      <c r="B7131" t="s">
        <v>26951</v>
      </c>
      <c r="C7131" t="s">
        <v>18013</v>
      </c>
      <c r="D7131" t="s">
        <v>18012</v>
      </c>
      <c r="E7131" s="2" t="s">
        <v>133</v>
      </c>
      <c r="F7131" t="s">
        <v>18011</v>
      </c>
      <c r="G7131" t="str">
        <f>HYPERLINK("https://www.christiantoday.co.kr/news/361873")</f>
        <v>https://www.christiantoday.co.kr/news/361873</v>
      </c>
      <c r="H7131">
        <v>0.61099999999999999</v>
      </c>
    </row>
    <row r="7132" spans="1:8" x14ac:dyDescent="0.3">
      <c r="A7132" t="s">
        <v>14761</v>
      </c>
      <c r="B7132" t="s">
        <v>26951</v>
      </c>
      <c r="C7132" t="s">
        <v>6724</v>
      </c>
      <c r="D7132" t="s">
        <v>6723</v>
      </c>
      <c r="E7132" s="2" t="s">
        <v>133</v>
      </c>
      <c r="F7132" t="s">
        <v>5724</v>
      </c>
      <c r="G7132" t="str">
        <f>HYPERLINK("https://n.news.naver.com/mnews/article/006/0000112190?sid=110")</f>
        <v>https://n.news.naver.com/mnews/article/006/0000112190?sid=110</v>
      </c>
      <c r="H7132">
        <v>0.26700000000000002</v>
      </c>
    </row>
    <row r="7133" spans="1:8" x14ac:dyDescent="0.3">
      <c r="A7133" t="s">
        <v>14761</v>
      </c>
      <c r="B7133" t="s">
        <v>26951</v>
      </c>
      <c r="C7133" t="s">
        <v>18015</v>
      </c>
      <c r="D7133" t="s">
        <v>18014</v>
      </c>
      <c r="E7133" s="2" t="s">
        <v>133</v>
      </c>
      <c r="F7133" t="s">
        <v>12924</v>
      </c>
      <c r="G7133" t="str">
        <f>HYPERLINK("https://n.news.naver.com/mnews/article/079/0004040073?sid=102")</f>
        <v>https://n.news.naver.com/mnews/article/079/0004040073?sid=102</v>
      </c>
      <c r="H7133">
        <v>0.13300000000000001</v>
      </c>
    </row>
    <row r="7134" spans="1:8" x14ac:dyDescent="0.3">
      <c r="A7134" t="s">
        <v>14761</v>
      </c>
      <c r="B7134" t="s">
        <v>26951</v>
      </c>
      <c r="C7134" t="s">
        <v>18017</v>
      </c>
      <c r="D7134" t="s">
        <v>18016</v>
      </c>
      <c r="E7134" s="2" t="s">
        <v>133</v>
      </c>
      <c r="F7134" t="s">
        <v>17898</v>
      </c>
      <c r="G7134" t="str">
        <f>HYPERLINK("https://www.greened.kr/news/articleView.html?idxno=325248")</f>
        <v>https://www.greened.kr/news/articleView.html?idxno=325248</v>
      </c>
      <c r="H7134">
        <v>0.33700000000000002</v>
      </c>
    </row>
    <row r="7135" spans="1:8" x14ac:dyDescent="0.3">
      <c r="A7135" t="s">
        <v>14761</v>
      </c>
      <c r="B7135" t="s">
        <v>26951</v>
      </c>
      <c r="C7135" t="s">
        <v>18019</v>
      </c>
      <c r="D7135" t="s">
        <v>18018</v>
      </c>
      <c r="E7135" s="2" t="s">
        <v>133</v>
      </c>
      <c r="F7135" t="s">
        <v>10235</v>
      </c>
      <c r="G7135" t="str">
        <f>HYPERLINK("https://www.ggilbo.com/news/articleView.html?idxno=1097294")</f>
        <v>https://www.ggilbo.com/news/articleView.html?idxno=1097294</v>
      </c>
      <c r="H7135">
        <v>0.59799999999999998</v>
      </c>
    </row>
    <row r="7136" spans="1:8" x14ac:dyDescent="0.3">
      <c r="A7136" t="s">
        <v>14761</v>
      </c>
      <c r="B7136" t="s">
        <v>26951</v>
      </c>
      <c r="C7136" t="s">
        <v>18022</v>
      </c>
      <c r="D7136" t="s">
        <v>18021</v>
      </c>
      <c r="E7136" s="2" t="s">
        <v>133</v>
      </c>
      <c r="F7136" t="s">
        <v>18020</v>
      </c>
      <c r="G7136" t="str">
        <f>HYPERLINK("https://n.news.naver.com/mnews/article/028/0002273586?sid=103")</f>
        <v>https://n.news.naver.com/mnews/article/028/0002273586?sid=103</v>
      </c>
      <c r="H7136">
        <v>0.24199999999999999</v>
      </c>
    </row>
    <row r="7137" spans="1:8" x14ac:dyDescent="0.3">
      <c r="A7137" t="s">
        <v>14761</v>
      </c>
      <c r="B7137" t="s">
        <v>26951</v>
      </c>
      <c r="C7137" t="s">
        <v>18024</v>
      </c>
      <c r="D7137" t="s">
        <v>18023</v>
      </c>
      <c r="E7137" s="2" t="s">
        <v>133</v>
      </c>
      <c r="F7137" t="s">
        <v>817</v>
      </c>
      <c r="G7137" t="str">
        <f>HYPERLINK("https://www.jemin.com/news/articleView.html?idxno=813536")</f>
        <v>https://www.jemin.com/news/articleView.html?idxno=813536</v>
      </c>
      <c r="H7137">
        <v>0.70499999999999996</v>
      </c>
    </row>
    <row r="7138" spans="1:8" x14ac:dyDescent="0.3">
      <c r="A7138" t="s">
        <v>14761</v>
      </c>
      <c r="B7138" t="s">
        <v>26951</v>
      </c>
      <c r="C7138" t="s">
        <v>18027</v>
      </c>
      <c r="D7138" t="s">
        <v>18026</v>
      </c>
      <c r="E7138" s="2" t="s">
        <v>133</v>
      </c>
      <c r="F7138" t="s">
        <v>18025</v>
      </c>
      <c r="G7138" t="str">
        <f>HYPERLINK("http://www.opinionnews.co.kr/news/articleView.html?idxno=26093")</f>
        <v>http://www.opinionnews.co.kr/news/articleView.html?idxno=26093</v>
      </c>
      <c r="H7138">
        <v>0.33500000000000002</v>
      </c>
    </row>
    <row r="7139" spans="1:8" x14ac:dyDescent="0.3">
      <c r="A7139" t="s">
        <v>14761</v>
      </c>
      <c r="B7139" t="s">
        <v>26951</v>
      </c>
      <c r="C7139" t="s">
        <v>18029</v>
      </c>
      <c r="D7139" t="s">
        <v>18028</v>
      </c>
      <c r="E7139" s="2" t="s">
        <v>133</v>
      </c>
      <c r="F7139" t="s">
        <v>817</v>
      </c>
      <c r="G7139" t="str">
        <f>HYPERLINK("https://sports.hankooki.com/news/articleView.html?idxno=6902043")</f>
        <v>https://sports.hankooki.com/news/articleView.html?idxno=6902043</v>
      </c>
      <c r="H7139">
        <v>0.66</v>
      </c>
    </row>
    <row r="7140" spans="1:8" x14ac:dyDescent="0.3">
      <c r="A7140" t="s">
        <v>14761</v>
      </c>
      <c r="B7140" t="s">
        <v>26951</v>
      </c>
      <c r="C7140" t="s">
        <v>18031</v>
      </c>
      <c r="D7140" t="s">
        <v>18030</v>
      </c>
      <c r="E7140" s="2" t="s">
        <v>133</v>
      </c>
      <c r="F7140" t="s">
        <v>8165</v>
      </c>
      <c r="G7140" t="str">
        <f>HYPERLINK("http://www.kjdaily.com/article.php?aid=1683763583601841227")</f>
        <v>http://www.kjdaily.com/article.php?aid=1683763583601841227</v>
      </c>
      <c r="H7140">
        <v>4.1000000000000002E-2</v>
      </c>
    </row>
    <row r="7141" spans="1:8" x14ac:dyDescent="0.3">
      <c r="A7141" t="s">
        <v>14761</v>
      </c>
      <c r="B7141" t="s">
        <v>26951</v>
      </c>
      <c r="C7141" t="s">
        <v>18033</v>
      </c>
      <c r="D7141" t="s">
        <v>18032</v>
      </c>
      <c r="E7141" s="2" t="s">
        <v>133</v>
      </c>
      <c r="F7141" t="s">
        <v>4082</v>
      </c>
      <c r="G7141" t="str">
        <f>HYPERLINK("https://n.news.naver.com/mnews/article/011/0002747893?sid=101")</f>
        <v>https://n.news.naver.com/mnews/article/011/0002747893?sid=101</v>
      </c>
      <c r="H7141">
        <v>0.25800000000000001</v>
      </c>
    </row>
    <row r="7142" spans="1:8" x14ac:dyDescent="0.3">
      <c r="A7142" t="s">
        <v>14761</v>
      </c>
      <c r="B7142" t="s">
        <v>26951</v>
      </c>
      <c r="C7142" t="s">
        <v>18035</v>
      </c>
      <c r="D7142" t="s">
        <v>18034</v>
      </c>
      <c r="E7142" s="2" t="s">
        <v>133</v>
      </c>
      <c r="F7142" t="s">
        <v>1318</v>
      </c>
      <c r="G7142" t="str">
        <f>HYPERLINK("https://daily.hankooki.com/news/articleView.html?idxno=1020781")</f>
        <v>https://daily.hankooki.com/news/articleView.html?idxno=1020781</v>
      </c>
      <c r="H7142">
        <v>0.54800000000000004</v>
      </c>
    </row>
    <row r="7143" spans="1:8" x14ac:dyDescent="0.3">
      <c r="A7143" t="s">
        <v>14761</v>
      </c>
      <c r="B7143" t="s">
        <v>26951</v>
      </c>
      <c r="C7143" t="s">
        <v>18037</v>
      </c>
      <c r="D7143" t="s">
        <v>18036</v>
      </c>
      <c r="E7143" s="2" t="s">
        <v>133</v>
      </c>
      <c r="F7143" t="s">
        <v>13511</v>
      </c>
      <c r="G7143" t="str">
        <f>HYPERLINK("https://www.foodneconomy.com/news/articleView.html?idxno=309740")</f>
        <v>https://www.foodneconomy.com/news/articleView.html?idxno=309740</v>
      </c>
      <c r="H7143">
        <v>0.19600000000000001</v>
      </c>
    </row>
    <row r="7144" spans="1:8" x14ac:dyDescent="0.3">
      <c r="A7144" t="s">
        <v>14761</v>
      </c>
      <c r="B7144" t="s">
        <v>26951</v>
      </c>
      <c r="C7144" t="s">
        <v>18040</v>
      </c>
      <c r="D7144" t="s">
        <v>18039</v>
      </c>
      <c r="E7144" s="2" t="s">
        <v>7</v>
      </c>
      <c r="F7144" t="s">
        <v>18038</v>
      </c>
      <c r="G7144" t="str">
        <f>HYPERLINK("https://www.asiatoday.co.kr/view.php?key=20250701000958322")</f>
        <v>https://www.asiatoday.co.kr/view.php?key=20250701000958322</v>
      </c>
      <c r="H7144">
        <v>0.14799999999999999</v>
      </c>
    </row>
    <row r="7145" spans="1:8" x14ac:dyDescent="0.3">
      <c r="A7145" t="s">
        <v>14761</v>
      </c>
      <c r="B7145" t="s">
        <v>26951</v>
      </c>
      <c r="C7145" t="s">
        <v>18042</v>
      </c>
      <c r="D7145" t="s">
        <v>18041</v>
      </c>
      <c r="E7145" s="2" t="s">
        <v>7</v>
      </c>
      <c r="F7145" t="s">
        <v>12744</v>
      </c>
      <c r="G7145" t="str">
        <f>HYPERLINK("https://n.news.naver.com/mnews/article/057/0001892608?sid=102")</f>
        <v>https://n.news.naver.com/mnews/article/057/0001892608?sid=102</v>
      </c>
      <c r="H7145">
        <v>0.128</v>
      </c>
    </row>
    <row r="7146" spans="1:8" x14ac:dyDescent="0.3">
      <c r="A7146" t="s">
        <v>14761</v>
      </c>
      <c r="B7146" t="s">
        <v>26951</v>
      </c>
      <c r="C7146" t="s">
        <v>18045</v>
      </c>
      <c r="D7146" t="s">
        <v>18044</v>
      </c>
      <c r="E7146" s="2" t="s">
        <v>7</v>
      </c>
      <c r="F7146" t="s">
        <v>18043</v>
      </c>
      <c r="G7146" t="str">
        <f>HYPERLINK("https://n.news.naver.com/mnews/article/005/0001786733?sid=101")</f>
        <v>https://n.news.naver.com/mnews/article/005/0001786733?sid=101</v>
      </c>
      <c r="H7146">
        <v>0.17899999999999999</v>
      </c>
    </row>
    <row r="7147" spans="1:8" x14ac:dyDescent="0.3">
      <c r="A7147" t="s">
        <v>14761</v>
      </c>
      <c r="B7147" t="s">
        <v>26951</v>
      </c>
      <c r="C7147" t="s">
        <v>18047</v>
      </c>
      <c r="D7147" t="s">
        <v>18046</v>
      </c>
      <c r="E7147" s="2" t="s">
        <v>7</v>
      </c>
      <c r="F7147" t="s">
        <v>15312</v>
      </c>
      <c r="G7147" t="str">
        <f>HYPERLINK("https://www.cctoday.co.kr/news/articleView.html?idxno=2214570")</f>
        <v>https://www.cctoday.co.kr/news/articleView.html?idxno=2214570</v>
      </c>
      <c r="H7147">
        <v>0.20399999999999999</v>
      </c>
    </row>
    <row r="7148" spans="1:8" x14ac:dyDescent="0.3">
      <c r="A7148" t="s">
        <v>14761</v>
      </c>
      <c r="B7148" t="s">
        <v>26951</v>
      </c>
      <c r="C7148" t="s">
        <v>18049</v>
      </c>
      <c r="D7148" t="s">
        <v>18048</v>
      </c>
      <c r="E7148" s="2" t="s">
        <v>7</v>
      </c>
      <c r="F7148" t="s">
        <v>16486</v>
      </c>
      <c r="G7148" t="str">
        <f>HYPERLINK("http://www.starnewsk.com/news/articleView.html?idxno=46070")</f>
        <v>http://www.starnewsk.com/news/articleView.html?idxno=46070</v>
      </c>
      <c r="H7148">
        <v>0.60399999999999998</v>
      </c>
    </row>
    <row r="7149" spans="1:8" x14ac:dyDescent="0.3">
      <c r="A7149" t="s">
        <v>14761</v>
      </c>
      <c r="B7149" t="s">
        <v>26951</v>
      </c>
      <c r="C7149" t="s">
        <v>18051</v>
      </c>
      <c r="D7149" t="s">
        <v>18050</v>
      </c>
      <c r="E7149" s="2" t="s">
        <v>7</v>
      </c>
      <c r="F7149" t="s">
        <v>1252</v>
      </c>
      <c r="G7149" t="str">
        <f>HYPERLINK("https://www.viva100.com/article/20250619500034")</f>
        <v>https://www.viva100.com/article/20250619500034</v>
      </c>
      <c r="H7149">
        <v>0.442</v>
      </c>
    </row>
    <row r="7150" spans="1:8" x14ac:dyDescent="0.3">
      <c r="A7150" t="s">
        <v>14761</v>
      </c>
      <c r="B7150" t="s">
        <v>26951</v>
      </c>
      <c r="C7150" t="s">
        <v>14145</v>
      </c>
      <c r="D7150" t="s">
        <v>14144</v>
      </c>
      <c r="E7150" s="2" t="s">
        <v>7</v>
      </c>
      <c r="F7150" t="s">
        <v>14143</v>
      </c>
      <c r="G7150" t="str">
        <f>HYPERLINK("https://n.news.naver.com/mnews/article/055/0001271236?sid=100")</f>
        <v>https://n.news.naver.com/mnews/article/055/0001271236?sid=100</v>
      </c>
      <c r="H7150">
        <v>0.24099999999999999</v>
      </c>
    </row>
    <row r="7151" spans="1:8" x14ac:dyDescent="0.3">
      <c r="A7151" t="s">
        <v>14761</v>
      </c>
      <c r="B7151" t="s">
        <v>26951</v>
      </c>
      <c r="C7151" t="s">
        <v>18053</v>
      </c>
      <c r="D7151" t="s">
        <v>18052</v>
      </c>
      <c r="E7151" s="2" t="s">
        <v>7</v>
      </c>
      <c r="F7151" t="s">
        <v>1252</v>
      </c>
      <c r="G7151" t="str">
        <f>HYPERLINK("https://n.news.naver.com/mnews/article/008/0005214139?sid=102")</f>
        <v>https://n.news.naver.com/mnews/article/008/0005214139?sid=102</v>
      </c>
      <c r="H7151">
        <v>0.30099999999999999</v>
      </c>
    </row>
    <row r="7152" spans="1:8" x14ac:dyDescent="0.3">
      <c r="A7152" t="s">
        <v>14761</v>
      </c>
      <c r="B7152" t="s">
        <v>26951</v>
      </c>
      <c r="C7152" t="s">
        <v>18055</v>
      </c>
      <c r="D7152" t="s">
        <v>18054</v>
      </c>
      <c r="E7152" s="2" t="s">
        <v>7</v>
      </c>
      <c r="F7152" t="s">
        <v>119</v>
      </c>
      <c r="G7152" t="str">
        <f>HYPERLINK("https://www.joongangenews.com/news/articleView.html?idxno=430815")</f>
        <v>https://www.joongangenews.com/news/articleView.html?idxno=430815</v>
      </c>
      <c r="H7152">
        <v>0.59199999999999997</v>
      </c>
    </row>
    <row r="7153" spans="1:8" x14ac:dyDescent="0.3">
      <c r="A7153" t="s">
        <v>14761</v>
      </c>
      <c r="B7153" t="s">
        <v>26951</v>
      </c>
      <c r="C7153" t="s">
        <v>18057</v>
      </c>
      <c r="D7153" t="s">
        <v>18056</v>
      </c>
      <c r="E7153" s="2" t="s">
        <v>7</v>
      </c>
      <c r="F7153" t="s">
        <v>9738</v>
      </c>
      <c r="G7153" t="str">
        <f>HYPERLINK("http://www.asiatoday.co.kr/view.php?key=20171231001009501")</f>
        <v>http://www.asiatoday.co.kr/view.php?key=20171231001009501</v>
      </c>
      <c r="H7153">
        <v>0.44400000000000001</v>
      </c>
    </row>
    <row r="7154" spans="1:8" x14ac:dyDescent="0.3">
      <c r="A7154" t="s">
        <v>14761</v>
      </c>
      <c r="B7154" t="s">
        <v>26951</v>
      </c>
      <c r="C7154" t="s">
        <v>18059</v>
      </c>
      <c r="D7154" t="s">
        <v>18058</v>
      </c>
      <c r="E7154" s="2" t="s">
        <v>7</v>
      </c>
      <c r="F7154" t="s">
        <v>15725</v>
      </c>
      <c r="G7154" t="str">
        <f>HYPERLINK("http://www.newsian.co.kr/news/articleView.html?idxno=74964")</f>
        <v>http://www.newsian.co.kr/news/articleView.html?idxno=74964</v>
      </c>
      <c r="H7154">
        <v>0.21</v>
      </c>
    </row>
    <row r="7155" spans="1:8" x14ac:dyDescent="0.3">
      <c r="A7155" t="s">
        <v>14761</v>
      </c>
      <c r="B7155" t="s">
        <v>26951</v>
      </c>
      <c r="C7155" t="s">
        <v>18061</v>
      </c>
      <c r="D7155" t="s">
        <v>18060</v>
      </c>
      <c r="E7155" s="2" t="s">
        <v>7</v>
      </c>
      <c r="F7155" t="s">
        <v>5548</v>
      </c>
      <c r="G7155" t="str">
        <f>HYPERLINK("https://sports.hankooki.com/news/articleView.html?idxno=6886427")</f>
        <v>https://sports.hankooki.com/news/articleView.html?idxno=6886427</v>
      </c>
      <c r="H7155">
        <v>0.495</v>
      </c>
    </row>
    <row r="7156" spans="1:8" x14ac:dyDescent="0.3">
      <c r="A7156" t="s">
        <v>14761</v>
      </c>
      <c r="B7156" t="s">
        <v>26951</v>
      </c>
      <c r="C7156" t="s">
        <v>18063</v>
      </c>
      <c r="D7156" t="s">
        <v>18062</v>
      </c>
      <c r="E7156" s="2" t="s">
        <v>7</v>
      </c>
      <c r="F7156" t="s">
        <v>5548</v>
      </c>
      <c r="G7156" t="str">
        <f>HYPERLINK("https://www.jemin.com/news/articleView.html?idxno=799040")</f>
        <v>https://www.jemin.com/news/articleView.html?idxno=799040</v>
      </c>
      <c r="H7156">
        <v>0.371</v>
      </c>
    </row>
    <row r="7157" spans="1:8" x14ac:dyDescent="0.3">
      <c r="A7157" t="s">
        <v>14761</v>
      </c>
      <c r="B7157" t="s">
        <v>26951</v>
      </c>
      <c r="C7157" t="s">
        <v>18065</v>
      </c>
      <c r="D7157" t="s">
        <v>18064</v>
      </c>
      <c r="E7157" s="2" t="s">
        <v>7</v>
      </c>
      <c r="F7157" t="s">
        <v>10135</v>
      </c>
      <c r="G7157" t="str">
        <f>HYPERLINK("http://kdfnews.com/news/view.php?idx=31346")</f>
        <v>http://kdfnews.com/news/view.php?idx=31346</v>
      </c>
      <c r="H7157">
        <v>0.67900000000000005</v>
      </c>
    </row>
    <row r="7158" spans="1:8" x14ac:dyDescent="0.3">
      <c r="A7158" t="s">
        <v>14761</v>
      </c>
      <c r="B7158" t="s">
        <v>26951</v>
      </c>
      <c r="C7158" t="s">
        <v>18067</v>
      </c>
      <c r="D7158" t="s">
        <v>18066</v>
      </c>
      <c r="E7158" s="2" t="s">
        <v>7</v>
      </c>
      <c r="F7158" t="s">
        <v>10135</v>
      </c>
      <c r="G7158" t="str">
        <f>HYPERLINK("https://sports.hankooki.com/news/articleView.html?idxno=6899554")</f>
        <v>https://sports.hankooki.com/news/articleView.html?idxno=6899554</v>
      </c>
      <c r="H7158">
        <v>0.55500000000000005</v>
      </c>
    </row>
    <row r="7159" spans="1:8" x14ac:dyDescent="0.3">
      <c r="A7159" t="s">
        <v>14761</v>
      </c>
      <c r="B7159" t="s">
        <v>26951</v>
      </c>
      <c r="C7159" t="s">
        <v>18069</v>
      </c>
      <c r="D7159" t="s">
        <v>18068</v>
      </c>
      <c r="E7159" s="2" t="s">
        <v>7</v>
      </c>
      <c r="F7159" t="s">
        <v>10471</v>
      </c>
      <c r="G7159" t="str">
        <f>HYPERLINK("https://www.ggilbo.com/news/articleView.html?idxno=1097294")</f>
        <v>https://www.ggilbo.com/news/articleView.html?idxno=1097294</v>
      </c>
      <c r="H7159">
        <v>0.58199999999999996</v>
      </c>
    </row>
    <row r="7160" spans="1:8" x14ac:dyDescent="0.3">
      <c r="A7160" t="s">
        <v>14761</v>
      </c>
      <c r="B7160" t="s">
        <v>26951</v>
      </c>
      <c r="C7160" t="s">
        <v>18072</v>
      </c>
      <c r="D7160" t="s">
        <v>18071</v>
      </c>
      <c r="E7160" s="2" t="s">
        <v>7</v>
      </c>
      <c r="F7160" t="s">
        <v>18070</v>
      </c>
      <c r="G7160" t="str">
        <f>HYPERLINK("http://www.ggilbo.com/news/articleView.html?idxno=980343")</f>
        <v>http://www.ggilbo.com/news/articleView.html?idxno=980343</v>
      </c>
      <c r="H7160">
        <v>0.56899999999999995</v>
      </c>
    </row>
    <row r="7161" spans="1:8" x14ac:dyDescent="0.3">
      <c r="A7161" t="s">
        <v>14761</v>
      </c>
      <c r="B7161" t="s">
        <v>26951</v>
      </c>
      <c r="C7161" t="s">
        <v>18075</v>
      </c>
      <c r="D7161" t="s">
        <v>18074</v>
      </c>
      <c r="E7161" s="2" t="s">
        <v>7</v>
      </c>
      <c r="F7161" t="s">
        <v>18073</v>
      </c>
      <c r="G7161" t="str">
        <f>HYPERLINK("https://www.tournews21.com/news/articleView.html?idxno=107303")</f>
        <v>https://www.tournews21.com/news/articleView.html?idxno=107303</v>
      </c>
      <c r="H7161">
        <v>0.72699999999999998</v>
      </c>
    </row>
    <row r="7162" spans="1:8" x14ac:dyDescent="0.3">
      <c r="A7162" t="s">
        <v>14761</v>
      </c>
      <c r="B7162" t="s">
        <v>26951</v>
      </c>
      <c r="C7162" t="s">
        <v>18078</v>
      </c>
      <c r="D7162" t="s">
        <v>18077</v>
      </c>
      <c r="E7162" s="2" t="s">
        <v>7</v>
      </c>
      <c r="F7162" t="s">
        <v>18076</v>
      </c>
      <c r="G7162" t="str">
        <f>HYPERLINK("https://www.ggilbo.com/news/articleView.html?idxno=1066491")</f>
        <v>https://www.ggilbo.com/news/articleView.html?idxno=1066491</v>
      </c>
      <c r="H7162">
        <v>0.52100000000000002</v>
      </c>
    </row>
    <row r="7163" spans="1:8" x14ac:dyDescent="0.3">
      <c r="A7163" t="s">
        <v>14761</v>
      </c>
      <c r="B7163" t="s">
        <v>26951</v>
      </c>
      <c r="C7163" t="s">
        <v>18082</v>
      </c>
      <c r="D7163" t="s">
        <v>18081</v>
      </c>
      <c r="E7163" s="2" t="s">
        <v>7</v>
      </c>
      <c r="F7163" t="s">
        <v>10471</v>
      </c>
      <c r="G7163" t="str">
        <f>HYPERLINK("https://www.huffingtonpost.kr/entry/story_kr_5bb96c93e4b01470d051e77d?utm_id=naver")</f>
        <v>https://www.huffingtonpost.kr/entry/story_kr_5bb96c93e4b01470d051e77d?utm_id=naver</v>
      </c>
      <c r="H7163">
        <v>0.57499999999999996</v>
      </c>
    </row>
    <row r="7164" spans="1:8" x14ac:dyDescent="0.3">
      <c r="A7164" t="s">
        <v>14761</v>
      </c>
      <c r="B7164" t="s">
        <v>26951</v>
      </c>
      <c r="C7164" t="s">
        <v>18085</v>
      </c>
      <c r="D7164" t="s">
        <v>18084</v>
      </c>
      <c r="E7164" s="2" t="s">
        <v>7</v>
      </c>
      <c r="F7164" t="s">
        <v>18083</v>
      </c>
      <c r="G7164" t="str">
        <f>HYPERLINK("https://sports.hankooki.com/news/articleView.html?idxno=6902192")</f>
        <v>https://sports.hankooki.com/news/articleView.html?idxno=6902192</v>
      </c>
      <c r="H7164">
        <v>0.65600000000000003</v>
      </c>
    </row>
    <row r="7165" spans="1:8" x14ac:dyDescent="0.3">
      <c r="A7165" t="s">
        <v>14761</v>
      </c>
      <c r="B7165" t="s">
        <v>26951</v>
      </c>
      <c r="C7165" t="s">
        <v>18087</v>
      </c>
      <c r="D7165" t="s">
        <v>18086</v>
      </c>
      <c r="E7165" s="2" t="s">
        <v>7</v>
      </c>
      <c r="F7165" t="s">
        <v>7886</v>
      </c>
      <c r="G7165" t="str">
        <f>HYPERLINK("https://n.news.naver.com/mnews/article/055/0000314722?sid=102")</f>
        <v>https://n.news.naver.com/mnews/article/055/0000314722?sid=102</v>
      </c>
      <c r="H7165">
        <v>0.186</v>
      </c>
    </row>
    <row r="7166" spans="1:8" x14ac:dyDescent="0.3">
      <c r="A7166" t="s">
        <v>14761</v>
      </c>
      <c r="B7166" t="s">
        <v>26951</v>
      </c>
      <c r="C7166" t="s">
        <v>18089</v>
      </c>
      <c r="D7166" t="s">
        <v>18088</v>
      </c>
      <c r="E7166" s="2" t="s">
        <v>7</v>
      </c>
      <c r="F7166" t="s">
        <v>10471</v>
      </c>
      <c r="G7166" t="str">
        <f>HYPERLINK("https://www.lecturernews.com/news/articleView.html?idxno=181517")</f>
        <v>https://www.lecturernews.com/news/articleView.html?idxno=181517</v>
      </c>
      <c r="H7166">
        <v>0.70299999999999996</v>
      </c>
    </row>
    <row r="7167" spans="1:8" x14ac:dyDescent="0.3">
      <c r="A7167" t="s">
        <v>14761</v>
      </c>
      <c r="B7167" t="s">
        <v>26951</v>
      </c>
      <c r="C7167" t="s">
        <v>18093</v>
      </c>
      <c r="D7167" t="s">
        <v>18092</v>
      </c>
      <c r="E7167" s="2" t="s">
        <v>7</v>
      </c>
      <c r="F7167" t="s">
        <v>18091</v>
      </c>
      <c r="G7167" t="str">
        <f>HYPERLINK("https://byline.network/?p=9004111222569274")</f>
        <v>https://byline.network/?p=9004111222569274</v>
      </c>
      <c r="H7167">
        <v>0.59399999999999997</v>
      </c>
    </row>
    <row r="7168" spans="1:8" x14ac:dyDescent="0.3">
      <c r="A7168" t="s">
        <v>14761</v>
      </c>
      <c r="B7168" t="s">
        <v>26951</v>
      </c>
      <c r="C7168" t="s">
        <v>18095</v>
      </c>
      <c r="D7168" t="s">
        <v>18094</v>
      </c>
      <c r="E7168" s="2" t="s">
        <v>7</v>
      </c>
      <c r="F7168" t="s">
        <v>10341</v>
      </c>
      <c r="G7168" t="str">
        <f>HYPERLINK("https://www.huffingtonpost.kr/news/articleView.html?idxno=218708")</f>
        <v>https://www.huffingtonpost.kr/news/articleView.html?idxno=218708</v>
      </c>
      <c r="H7168">
        <v>0.39400000000000002</v>
      </c>
    </row>
    <row r="7169" spans="1:8" x14ac:dyDescent="0.3">
      <c r="A7169" t="s">
        <v>14761</v>
      </c>
      <c r="B7169" t="s">
        <v>26951</v>
      </c>
      <c r="C7169" t="s">
        <v>18101</v>
      </c>
      <c r="D7169" t="s">
        <v>18100</v>
      </c>
      <c r="E7169" s="2" t="s">
        <v>7</v>
      </c>
      <c r="F7169" t="s">
        <v>18099</v>
      </c>
      <c r="G7169" t="str">
        <f>HYPERLINK("https://www.vogue.co.kr/2025/05/21/%ea%b9%8c%eb%a5%b4%eb%9d%a0%ec%97%90-%ec%a3%bc%ec%96%bc%eb%a6%ac%ec%99%80-%ec%9b%8c%ec%b9%98-350%ec%97%ac-%ec%a0%90%ec%9d%b4-%ed%95%9c%ec%9e%90%eb%a6%ac%ec%97%90/?utm_source=naver&amp;utm_medium=partnership")</f>
        <v>https://www.vogue.co.kr/2025/05/21/%ea%b9%8c%eb%a5%b4%eb%9d%a0%ec%97%90-%ec%a3%bc%ec%96%bc%eb%a6%ac%ec%99%80-%ec%9b%8c%ec%b9%98-350%ec%97%ac-%ec%a0%90%ec%9d%b4-%ed%95%9c%ec%9e%90%eb%a6%ac%ec%97%90/?utm_source=naver&amp;utm_medium=partnership</v>
      </c>
      <c r="H7169">
        <v>0.51300000000000001</v>
      </c>
    </row>
    <row r="7170" spans="1:8" x14ac:dyDescent="0.3">
      <c r="A7170" t="s">
        <v>14761</v>
      </c>
      <c r="B7170" t="s">
        <v>26951</v>
      </c>
      <c r="C7170" t="s">
        <v>18104</v>
      </c>
      <c r="D7170" t="s">
        <v>18103</v>
      </c>
      <c r="E7170" s="2" t="s">
        <v>7</v>
      </c>
      <c r="F7170" t="s">
        <v>18102</v>
      </c>
      <c r="G7170" t="str">
        <f>HYPERLINK("https://news.dealsitetv.com/articles/155273")</f>
        <v>https://news.dealsitetv.com/articles/155273</v>
      </c>
      <c r="H7170">
        <v>0.38</v>
      </c>
    </row>
    <row r="7171" spans="1:8" x14ac:dyDescent="0.3">
      <c r="A7171" t="s">
        <v>14761</v>
      </c>
      <c r="B7171" t="s">
        <v>26951</v>
      </c>
      <c r="C7171" t="s">
        <v>18107</v>
      </c>
      <c r="D7171" t="s">
        <v>18106</v>
      </c>
      <c r="E7171" s="2" t="s">
        <v>7</v>
      </c>
      <c r="F7171" t="s">
        <v>18105</v>
      </c>
      <c r="G7171" t="str">
        <f>HYPERLINK("https://www.greened.kr/news/articleView.html?idxno=324791")</f>
        <v>https://www.greened.kr/news/articleView.html?idxno=324791</v>
      </c>
      <c r="H7171">
        <v>0.72899999999999998</v>
      </c>
    </row>
    <row r="7172" spans="1:8" x14ac:dyDescent="0.3">
      <c r="A7172" t="s">
        <v>14761</v>
      </c>
      <c r="B7172" t="s">
        <v>26951</v>
      </c>
      <c r="C7172" t="s">
        <v>18109</v>
      </c>
      <c r="D7172" t="s">
        <v>18108</v>
      </c>
      <c r="E7172" s="2" t="s">
        <v>7</v>
      </c>
      <c r="F7172" t="s">
        <v>14377</v>
      </c>
      <c r="G7172" t="str">
        <f>HYPERLINK("http://www.iminju.net/news/articleView.html?idxno=131299")</f>
        <v>http://www.iminju.net/news/articleView.html?idxno=131299</v>
      </c>
      <c r="H7172">
        <v>0.16700000000000001</v>
      </c>
    </row>
    <row r="7173" spans="1:8" x14ac:dyDescent="0.3">
      <c r="A7173" t="s">
        <v>14761</v>
      </c>
      <c r="B7173" t="s">
        <v>26951</v>
      </c>
      <c r="C7173" t="s">
        <v>14242</v>
      </c>
      <c r="D7173" t="s">
        <v>14241</v>
      </c>
      <c r="E7173" s="2" t="s">
        <v>7</v>
      </c>
      <c r="F7173" t="s">
        <v>14240</v>
      </c>
      <c r="G7173" t="str">
        <f>HYPERLINK("https://n.news.naver.com/mnews/article/056/0011980411?sid=100")</f>
        <v>https://n.news.naver.com/mnews/article/056/0011980411?sid=100</v>
      </c>
      <c r="H7173">
        <v>0.218</v>
      </c>
    </row>
    <row r="7174" spans="1:8" x14ac:dyDescent="0.3">
      <c r="A7174" t="s">
        <v>14761</v>
      </c>
      <c r="B7174" t="s">
        <v>26951</v>
      </c>
      <c r="C7174" t="s">
        <v>18111</v>
      </c>
      <c r="D7174" t="s">
        <v>18110</v>
      </c>
      <c r="E7174" s="2" t="s">
        <v>7</v>
      </c>
      <c r="F7174" t="s">
        <v>10301</v>
      </c>
      <c r="G7174" t="str">
        <f>HYPERLINK("https://sports.hankooki.com/news/articleView.html?idxno=6902273")</f>
        <v>https://sports.hankooki.com/news/articleView.html?idxno=6902273</v>
      </c>
      <c r="H7174">
        <v>0.47499999999999998</v>
      </c>
    </row>
    <row r="7175" spans="1:8" x14ac:dyDescent="0.3">
      <c r="A7175" t="s">
        <v>14761</v>
      </c>
      <c r="B7175" t="s">
        <v>26951</v>
      </c>
      <c r="C7175" t="s">
        <v>18113</v>
      </c>
      <c r="D7175" t="s">
        <v>18112</v>
      </c>
      <c r="E7175" s="2" t="s">
        <v>7</v>
      </c>
      <c r="F7175" t="s">
        <v>10301</v>
      </c>
      <c r="G7175" t="str">
        <f>HYPERLINK("https://n.news.naver.com/mnews/article/016/0002405848?sid=103")</f>
        <v>https://n.news.naver.com/mnews/article/016/0002405848?sid=103</v>
      </c>
      <c r="H7175">
        <v>0.12</v>
      </c>
    </row>
    <row r="7176" spans="1:8" x14ac:dyDescent="0.3">
      <c r="A7176" t="s">
        <v>14761</v>
      </c>
      <c r="B7176" t="s">
        <v>26951</v>
      </c>
      <c r="C7176" t="s">
        <v>18115</v>
      </c>
      <c r="D7176" t="s">
        <v>18114</v>
      </c>
      <c r="E7176" s="2" t="s">
        <v>7</v>
      </c>
      <c r="F7176" t="s">
        <v>13462</v>
      </c>
      <c r="G7176" t="str">
        <f>HYPERLINK("http://www.topdaily.kr/news/articleView.html?idxno=116063")</f>
        <v>http://www.topdaily.kr/news/articleView.html?idxno=116063</v>
      </c>
      <c r="H7176">
        <v>0.43099999999999999</v>
      </c>
    </row>
    <row r="7177" spans="1:8" x14ac:dyDescent="0.3">
      <c r="A7177" t="s">
        <v>14761</v>
      </c>
      <c r="B7177" t="s">
        <v>26951</v>
      </c>
      <c r="C7177" t="s">
        <v>18118</v>
      </c>
      <c r="D7177" t="s">
        <v>18117</v>
      </c>
      <c r="E7177" s="2" t="s">
        <v>7</v>
      </c>
      <c r="F7177" t="s">
        <v>18116</v>
      </c>
      <c r="G7177" t="str">
        <f>HYPERLINK("https://n.news.naver.com/mnews/article/008/0005154496?sid=102")</f>
        <v>https://n.news.naver.com/mnews/article/008/0005154496?sid=102</v>
      </c>
      <c r="H7177">
        <v>0.33800000000000002</v>
      </c>
    </row>
    <row r="7178" spans="1:8" x14ac:dyDescent="0.3">
      <c r="A7178" t="s">
        <v>14761</v>
      </c>
      <c r="B7178" t="s">
        <v>26951</v>
      </c>
      <c r="C7178" t="s">
        <v>18120</v>
      </c>
      <c r="D7178" t="s">
        <v>18119</v>
      </c>
      <c r="E7178" s="2" t="s">
        <v>7</v>
      </c>
      <c r="F7178" t="s">
        <v>14865</v>
      </c>
      <c r="G7178" t="str">
        <f>HYPERLINK("https://www.ggilbo.com/news/articleView.html?idxno=1097294")</f>
        <v>https://www.ggilbo.com/news/articleView.html?idxno=1097294</v>
      </c>
      <c r="H7178">
        <v>0.54800000000000004</v>
      </c>
    </row>
    <row r="7179" spans="1:8" x14ac:dyDescent="0.3">
      <c r="A7179" t="s">
        <v>14761</v>
      </c>
      <c r="B7179" t="s">
        <v>26951</v>
      </c>
      <c r="C7179" t="s">
        <v>18122</v>
      </c>
      <c r="D7179" t="s">
        <v>18121</v>
      </c>
      <c r="E7179" s="2" t="s">
        <v>7</v>
      </c>
      <c r="F7179" t="s">
        <v>1822</v>
      </c>
      <c r="G7179" t="str">
        <f>HYPERLINK("http://www.startuptoday.co.kr/news/articleView.html?idxno=26450")</f>
        <v>http://www.startuptoday.co.kr/news/articleView.html?idxno=26450</v>
      </c>
      <c r="H7179">
        <v>0.38600000000000001</v>
      </c>
    </row>
    <row r="7180" spans="1:8" x14ac:dyDescent="0.3">
      <c r="A7180" t="s">
        <v>14761</v>
      </c>
      <c r="B7180" t="s">
        <v>26951</v>
      </c>
      <c r="C7180" t="s">
        <v>18124</v>
      </c>
      <c r="D7180" t="s">
        <v>18123</v>
      </c>
      <c r="E7180" s="2" t="s">
        <v>7</v>
      </c>
      <c r="F7180" t="s">
        <v>10044</v>
      </c>
      <c r="G7180" t="str">
        <f>HYPERLINK("http://www.ggilbo.com/news/articleView.html?idxno=701020")</f>
        <v>http://www.ggilbo.com/news/articleView.html?idxno=701020</v>
      </c>
      <c r="H7180">
        <v>0.53600000000000003</v>
      </c>
    </row>
    <row r="7181" spans="1:8" x14ac:dyDescent="0.3">
      <c r="A7181" t="s">
        <v>14761</v>
      </c>
      <c r="B7181" t="s">
        <v>26951</v>
      </c>
      <c r="C7181" t="s">
        <v>18127</v>
      </c>
      <c r="D7181" t="s">
        <v>18126</v>
      </c>
      <c r="E7181" s="2" t="s">
        <v>7</v>
      </c>
      <c r="F7181" t="s">
        <v>18125</v>
      </c>
      <c r="G7181" t="str">
        <f>HYPERLINK("http://dream.kotra.or.kr/kotranews/cms/news/actionKotraBoardDetail.do?SITE_NO=3&amp;MENU_ID=80&amp;CONTENTS_NO=2&amp;bbsGbn=242&amp;bbsSn=242&amp;pNttSn=221393")</f>
        <v>http://dream.kotra.or.kr/kotranews/cms/news/actionKotraBoardDetail.do?SITE_NO=3&amp;MENU_ID=80&amp;CONTENTS_NO=2&amp;bbsGbn=242&amp;bbsSn=242&amp;pNttSn=221393</v>
      </c>
      <c r="H7181">
        <v>0.16700000000000001</v>
      </c>
    </row>
    <row r="7182" spans="1:8" x14ac:dyDescent="0.3">
      <c r="A7182" t="s">
        <v>14761</v>
      </c>
      <c r="B7182" t="s">
        <v>26951</v>
      </c>
      <c r="C7182" t="s">
        <v>18129</v>
      </c>
      <c r="D7182" t="s">
        <v>18128</v>
      </c>
      <c r="E7182" s="2" t="s">
        <v>7</v>
      </c>
      <c r="F7182" t="s">
        <v>8848</v>
      </c>
      <c r="G7182" t="str">
        <f>HYPERLINK("http://www.ggilbo.com/news/articleView.html?idxno=785223")</f>
        <v>http://www.ggilbo.com/news/articleView.html?idxno=785223</v>
      </c>
      <c r="H7182">
        <v>0.59399999999999997</v>
      </c>
    </row>
    <row r="7183" spans="1:8" x14ac:dyDescent="0.3">
      <c r="A7183" t="s">
        <v>14761</v>
      </c>
      <c r="B7183" t="s">
        <v>26951</v>
      </c>
      <c r="C7183" t="s">
        <v>18132</v>
      </c>
      <c r="D7183" t="s">
        <v>18131</v>
      </c>
      <c r="E7183" s="2" t="s">
        <v>7</v>
      </c>
      <c r="F7183" t="s">
        <v>18130</v>
      </c>
      <c r="G7183" t="str">
        <f>HYPERLINK("http://www.srtimes.kr/news/articleView.html?idxno=178667")</f>
        <v>http://www.srtimes.kr/news/articleView.html?idxno=178667</v>
      </c>
      <c r="H7183">
        <v>0.33300000000000002</v>
      </c>
    </row>
    <row r="7184" spans="1:8" x14ac:dyDescent="0.3">
      <c r="A7184" t="s">
        <v>14761</v>
      </c>
      <c r="B7184" t="s">
        <v>26951</v>
      </c>
      <c r="C7184" t="s">
        <v>18133</v>
      </c>
      <c r="D7184" t="s">
        <v>7628</v>
      </c>
      <c r="E7184" s="2" t="s">
        <v>7</v>
      </c>
      <c r="F7184" t="s">
        <v>7627</v>
      </c>
      <c r="G7184" t="str">
        <f>HYPERLINK("https://www.apnews.kr/news/articleView.html?idxno=3028169")</f>
        <v>https://www.apnews.kr/news/articleView.html?idxno=3028169</v>
      </c>
      <c r="H7184">
        <v>0.34799999999999998</v>
      </c>
    </row>
    <row r="7185" spans="1:8" x14ac:dyDescent="0.3">
      <c r="A7185" t="s">
        <v>14761</v>
      </c>
      <c r="B7185" t="s">
        <v>26951</v>
      </c>
      <c r="C7185" t="s">
        <v>18136</v>
      </c>
      <c r="D7185" t="s">
        <v>18135</v>
      </c>
      <c r="E7185" s="2" t="s">
        <v>7</v>
      </c>
      <c r="F7185" t="s">
        <v>18134</v>
      </c>
      <c r="G7185" t="str">
        <f>HYPERLINK("https://www.safetimes.co.kr/news/articleView.html?idxno=231889")</f>
        <v>https://www.safetimes.co.kr/news/articleView.html?idxno=231889</v>
      </c>
      <c r="H7185">
        <v>0.14099999999999999</v>
      </c>
    </row>
    <row r="7186" spans="1:8" x14ac:dyDescent="0.3">
      <c r="A7186" t="s">
        <v>14761</v>
      </c>
      <c r="B7186" t="s">
        <v>26951</v>
      </c>
      <c r="C7186" t="s">
        <v>18138</v>
      </c>
      <c r="D7186" t="s">
        <v>18137</v>
      </c>
      <c r="E7186" s="2" t="s">
        <v>7</v>
      </c>
      <c r="F7186" t="s">
        <v>89</v>
      </c>
      <c r="G7186" t="str">
        <f>HYPERLINK("http://www.cnews.co.kr/uhtml/read.jsp?idxno=201212281543590730332")</f>
        <v>http://www.cnews.co.kr/uhtml/read.jsp?idxno=201212281543590730332</v>
      </c>
      <c r="H7186">
        <v>0.42399999999999999</v>
      </c>
    </row>
    <row r="7187" spans="1:8" x14ac:dyDescent="0.3">
      <c r="A7187" t="s">
        <v>14761</v>
      </c>
      <c r="B7187" t="s">
        <v>26951</v>
      </c>
      <c r="C7187" t="s">
        <v>18141</v>
      </c>
      <c r="D7187" t="s">
        <v>18140</v>
      </c>
      <c r="E7187" s="2" t="s">
        <v>7</v>
      </c>
      <c r="F7187" t="s">
        <v>18139</v>
      </c>
      <c r="G7187" t="str">
        <f>HYPERLINK("https://www.joongangenews.com/news/articleView.html?idxno=416297")</f>
        <v>https://www.joongangenews.com/news/articleView.html?idxno=416297</v>
      </c>
      <c r="H7187">
        <v>0.37</v>
      </c>
    </row>
    <row r="7188" spans="1:8" x14ac:dyDescent="0.3">
      <c r="A7188" t="s">
        <v>14761</v>
      </c>
      <c r="B7188" t="s">
        <v>26951</v>
      </c>
      <c r="C7188" t="s">
        <v>18143</v>
      </c>
      <c r="D7188" t="s">
        <v>18142</v>
      </c>
      <c r="E7188" s="2" t="s">
        <v>7</v>
      </c>
      <c r="F7188" t="s">
        <v>817</v>
      </c>
      <c r="G7188" t="str">
        <f>HYPERLINK("https://www.dailysportshankook.co.kr/news/articleView.html?idxno=408615")</f>
        <v>https://www.dailysportshankook.co.kr/news/articleView.html?idxno=408615</v>
      </c>
      <c r="H7188">
        <v>0.69799999999999995</v>
      </c>
    </row>
    <row r="7189" spans="1:8" x14ac:dyDescent="0.3">
      <c r="A7189" t="s">
        <v>14761</v>
      </c>
      <c r="B7189" t="s">
        <v>26951</v>
      </c>
      <c r="C7189" t="s">
        <v>18146</v>
      </c>
      <c r="D7189" t="s">
        <v>18145</v>
      </c>
      <c r="E7189" s="2" t="s">
        <v>7</v>
      </c>
      <c r="F7189" t="s">
        <v>18144</v>
      </c>
      <c r="G7189" t="str">
        <f>HYPERLINK("https://www.apnews.kr/news/articleView.html?idxno=3033923")</f>
        <v>https://www.apnews.kr/news/articleView.html?idxno=3033923</v>
      </c>
      <c r="H7189">
        <v>0.24399999999999999</v>
      </c>
    </row>
    <row r="7190" spans="1:8" x14ac:dyDescent="0.3">
      <c r="A7190" t="s">
        <v>14761</v>
      </c>
      <c r="B7190" t="s">
        <v>26951</v>
      </c>
      <c r="C7190" t="s">
        <v>18148</v>
      </c>
      <c r="D7190" t="s">
        <v>18147</v>
      </c>
      <c r="E7190" s="2" t="s">
        <v>7</v>
      </c>
      <c r="F7190" t="s">
        <v>7621</v>
      </c>
      <c r="G7190" t="str">
        <f>HYPERLINK("https://www.apnews.kr/news/articleView.html?idxno=3029960")</f>
        <v>https://www.apnews.kr/news/articleView.html?idxno=3029960</v>
      </c>
      <c r="H7190">
        <v>0.251</v>
      </c>
    </row>
    <row r="7191" spans="1:8" x14ac:dyDescent="0.3">
      <c r="A7191" t="s">
        <v>14761</v>
      </c>
      <c r="B7191" t="s">
        <v>26951</v>
      </c>
      <c r="C7191" t="s">
        <v>18150</v>
      </c>
      <c r="D7191" t="s">
        <v>18149</v>
      </c>
      <c r="E7191" s="2" t="s">
        <v>7</v>
      </c>
      <c r="F7191" t="s">
        <v>10037</v>
      </c>
      <c r="G7191" t="str">
        <f>HYPERLINK("https://n.news.naver.com/mnews/article/243/0000080429?sid=101")</f>
        <v>https://n.news.naver.com/mnews/article/243/0000080429?sid=101</v>
      </c>
      <c r="H7191">
        <v>0.186</v>
      </c>
    </row>
    <row r="7192" spans="1:8" x14ac:dyDescent="0.3">
      <c r="A7192" t="s">
        <v>14761</v>
      </c>
      <c r="B7192" t="s">
        <v>26951</v>
      </c>
      <c r="C7192" t="s">
        <v>18152</v>
      </c>
      <c r="D7192" t="s">
        <v>18151</v>
      </c>
      <c r="E7192" s="2" t="s">
        <v>7</v>
      </c>
      <c r="F7192" t="s">
        <v>14157</v>
      </c>
      <c r="G7192" t="str">
        <f>HYPERLINK("https://sports.hankooki.com/news/articleView.html?idxno=6902311")</f>
        <v>https://sports.hankooki.com/news/articleView.html?idxno=6902311</v>
      </c>
      <c r="H7192">
        <v>0.78900000000000003</v>
      </c>
    </row>
    <row r="7193" spans="1:8" x14ac:dyDescent="0.3">
      <c r="A7193" t="s">
        <v>14761</v>
      </c>
      <c r="B7193" t="s">
        <v>26951</v>
      </c>
      <c r="C7193" t="s">
        <v>18154</v>
      </c>
      <c r="D7193" t="s">
        <v>18153</v>
      </c>
      <c r="E7193" s="2" t="s">
        <v>7</v>
      </c>
      <c r="F7193" t="s">
        <v>13511</v>
      </c>
      <c r="G7193" t="str">
        <f>HYPERLINK("https://sports.hankooki.com/news/articleView.html?idxno=6902503")</f>
        <v>https://sports.hankooki.com/news/articleView.html?idxno=6902503</v>
      </c>
      <c r="H7193">
        <v>0.39300000000000002</v>
      </c>
    </row>
    <row r="7194" spans="1:8" x14ac:dyDescent="0.3">
      <c r="A7194" t="s">
        <v>14761</v>
      </c>
      <c r="B7194" t="s">
        <v>26951</v>
      </c>
      <c r="C7194" t="s">
        <v>18156</v>
      </c>
      <c r="D7194" t="s">
        <v>18155</v>
      </c>
      <c r="E7194" s="2" t="s">
        <v>7</v>
      </c>
      <c r="F7194" t="s">
        <v>16593</v>
      </c>
      <c r="G7194" t="str">
        <f>HYPERLINK("https://www.etoday.co.kr/news/view/2425026")</f>
        <v>https://www.etoday.co.kr/news/view/2425026</v>
      </c>
      <c r="H7194">
        <v>0.44500000000000001</v>
      </c>
    </row>
    <row r="7195" spans="1:8" x14ac:dyDescent="0.3">
      <c r="A7195" t="s">
        <v>14761</v>
      </c>
      <c r="B7195" t="s">
        <v>26951</v>
      </c>
      <c r="C7195" t="s">
        <v>18158</v>
      </c>
      <c r="D7195" t="s">
        <v>18157</v>
      </c>
      <c r="E7195" s="2" t="s">
        <v>7</v>
      </c>
      <c r="F7195" t="s">
        <v>7465</v>
      </c>
      <c r="G7195" t="str">
        <f>HYPERLINK("https://n.news.naver.com/mnews/article/022/0002779167")</f>
        <v>https://n.news.naver.com/mnews/article/022/0002779167</v>
      </c>
      <c r="H7195">
        <v>0.33200000000000002</v>
      </c>
    </row>
    <row r="7196" spans="1:8" x14ac:dyDescent="0.3">
      <c r="A7196" t="s">
        <v>14761</v>
      </c>
      <c r="B7196" t="s">
        <v>26951</v>
      </c>
      <c r="C7196" t="s">
        <v>18161</v>
      </c>
      <c r="D7196" t="s">
        <v>18160</v>
      </c>
      <c r="E7196" s="2" t="s">
        <v>7</v>
      </c>
      <c r="F7196" t="s">
        <v>18159</v>
      </c>
      <c r="G7196" t="str">
        <f>HYPERLINK("https://n.news.naver.com/mnews/article/056/0011980411?sid=100")</f>
        <v>https://n.news.naver.com/mnews/article/056/0011980411?sid=100</v>
      </c>
      <c r="H7196">
        <v>0.17</v>
      </c>
    </row>
    <row r="7197" spans="1:8" x14ac:dyDescent="0.3">
      <c r="A7197" t="s">
        <v>14761</v>
      </c>
      <c r="B7197" t="s">
        <v>26951</v>
      </c>
      <c r="C7197" t="s">
        <v>18163</v>
      </c>
      <c r="D7197" t="s">
        <v>18162</v>
      </c>
      <c r="E7197" s="2" t="s">
        <v>7</v>
      </c>
      <c r="F7197" t="s">
        <v>17243</v>
      </c>
      <c r="G7197" t="str">
        <f>HYPERLINK("https://www.viva100.com/article/20250629500672")</f>
        <v>https://www.viva100.com/article/20250629500672</v>
      </c>
      <c r="H7197">
        <v>0.55900000000000005</v>
      </c>
    </row>
    <row r="7198" spans="1:8" x14ac:dyDescent="0.3">
      <c r="A7198" t="s">
        <v>14761</v>
      </c>
      <c r="B7198" t="s">
        <v>26951</v>
      </c>
      <c r="C7198" t="s">
        <v>18165</v>
      </c>
      <c r="D7198" t="s">
        <v>18164</v>
      </c>
      <c r="E7198" s="2" t="s">
        <v>7</v>
      </c>
      <c r="F7198" t="s">
        <v>10135</v>
      </c>
      <c r="G7198" t="str">
        <f>HYPERLINK("https://sports.hankooki.com/news/articleView.html?idxno=6902162")</f>
        <v>https://sports.hankooki.com/news/articleView.html?idxno=6902162</v>
      </c>
      <c r="H7198">
        <v>0.63900000000000001</v>
      </c>
    </row>
    <row r="7199" spans="1:8" x14ac:dyDescent="0.3">
      <c r="A7199" t="s">
        <v>14761</v>
      </c>
      <c r="B7199" t="s">
        <v>26951</v>
      </c>
      <c r="C7199" t="s">
        <v>18168</v>
      </c>
      <c r="D7199" t="s">
        <v>18167</v>
      </c>
      <c r="E7199" s="2" t="s">
        <v>7</v>
      </c>
      <c r="F7199" t="s">
        <v>18166</v>
      </c>
      <c r="G7199" t="str">
        <f>HYPERLINK("https://sports.hankooki.com/news/articleView.html?idxno=6902162")</f>
        <v>https://sports.hankooki.com/news/articleView.html?idxno=6902162</v>
      </c>
      <c r="H7199">
        <v>0.47199999999999998</v>
      </c>
    </row>
    <row r="7200" spans="1:8" x14ac:dyDescent="0.3">
      <c r="A7200" t="s">
        <v>14761</v>
      </c>
      <c r="B7200" t="s">
        <v>26951</v>
      </c>
      <c r="C7200" t="s">
        <v>18170</v>
      </c>
      <c r="D7200" t="s">
        <v>18169</v>
      </c>
      <c r="E7200" s="2" t="s">
        <v>7</v>
      </c>
      <c r="F7200" t="s">
        <v>7341</v>
      </c>
      <c r="G7200" t="str">
        <f>HYPERLINK("http://www.lecturernews.com/news/articleView.html?idxno=86611")</f>
        <v>http://www.lecturernews.com/news/articleView.html?idxno=86611</v>
      </c>
      <c r="H7200">
        <v>0.31</v>
      </c>
    </row>
    <row r="7201" spans="1:8" x14ac:dyDescent="0.3">
      <c r="A7201" t="s">
        <v>14761</v>
      </c>
      <c r="B7201" t="s">
        <v>26951</v>
      </c>
      <c r="C7201" t="s">
        <v>18172</v>
      </c>
      <c r="D7201" t="s">
        <v>18171</v>
      </c>
      <c r="E7201" s="2" t="s">
        <v>7</v>
      </c>
      <c r="F7201" t="s">
        <v>1336</v>
      </c>
      <c r="G7201" t="str">
        <f>HYPERLINK("http://www.breaknews.com/941233")</f>
        <v>http://www.breaknews.com/941233</v>
      </c>
      <c r="H7201">
        <v>0.60099999999999998</v>
      </c>
    </row>
    <row r="7202" spans="1:8" x14ac:dyDescent="0.3">
      <c r="A7202" t="s">
        <v>14761</v>
      </c>
      <c r="B7202" t="s">
        <v>26951</v>
      </c>
      <c r="C7202" t="s">
        <v>18175</v>
      </c>
      <c r="D7202" t="s">
        <v>18174</v>
      </c>
      <c r="E7202" s="2" t="s">
        <v>7</v>
      </c>
      <c r="F7202" t="s">
        <v>18173</v>
      </c>
      <c r="G7202" t="str">
        <f>HYPERLINK("https://n.news.naver.com/mnews/article/662/0000072094?sid=101")</f>
        <v>https://n.news.naver.com/mnews/article/662/0000072094?sid=101</v>
      </c>
      <c r="H7202">
        <v>0.41799999999999998</v>
      </c>
    </row>
    <row r="7203" spans="1:8" x14ac:dyDescent="0.3">
      <c r="A7203" t="s">
        <v>18176</v>
      </c>
      <c r="B7203" t="s">
        <v>26951</v>
      </c>
      <c r="C7203" t="s">
        <v>18178</v>
      </c>
      <c r="D7203" t="s">
        <v>18177</v>
      </c>
      <c r="E7203" s="2" t="s">
        <v>840</v>
      </c>
      <c r="F7203" t="s">
        <v>11760</v>
      </c>
      <c r="G7203" t="str">
        <f>HYPERLINK("http://www.namdonews.com/news/articleView.html?idxno=824557")</f>
        <v>http://www.namdonews.com/news/articleView.html?idxno=824557</v>
      </c>
      <c r="H7203">
        <v>0.30399999999999999</v>
      </c>
    </row>
    <row r="7204" spans="1:8" x14ac:dyDescent="0.3">
      <c r="A7204" t="s">
        <v>18176</v>
      </c>
      <c r="B7204" t="s">
        <v>26951</v>
      </c>
      <c r="C7204" t="s">
        <v>18181</v>
      </c>
      <c r="D7204" t="s">
        <v>18180</v>
      </c>
      <c r="E7204" s="2" t="s">
        <v>840</v>
      </c>
      <c r="F7204" t="s">
        <v>18179</v>
      </c>
      <c r="G7204" t="str">
        <f>HYPERLINK("https://www.tokenpost.kr/news/insights/262263")</f>
        <v>https://www.tokenpost.kr/news/insights/262263</v>
      </c>
      <c r="H7204">
        <v>0.33400000000000002</v>
      </c>
    </row>
    <row r="7205" spans="1:8" x14ac:dyDescent="0.3">
      <c r="A7205" t="s">
        <v>18176</v>
      </c>
      <c r="B7205" t="s">
        <v>26951</v>
      </c>
      <c r="C7205" t="s">
        <v>18184</v>
      </c>
      <c r="D7205" t="s">
        <v>18183</v>
      </c>
      <c r="E7205" s="2" t="s">
        <v>840</v>
      </c>
      <c r="F7205" t="s">
        <v>18182</v>
      </c>
      <c r="G7205" t="str">
        <f>HYPERLINK("https://www.huffingtonpost.kr/news/articleView.html?idxno=218504")</f>
        <v>https://www.huffingtonpost.kr/news/articleView.html?idxno=218504</v>
      </c>
      <c r="H7205">
        <v>0.46200000000000002</v>
      </c>
    </row>
    <row r="7206" spans="1:8" x14ac:dyDescent="0.3">
      <c r="A7206" t="s">
        <v>18176</v>
      </c>
      <c r="B7206" t="s">
        <v>26951</v>
      </c>
      <c r="C7206" t="s">
        <v>18187</v>
      </c>
      <c r="D7206" t="s">
        <v>18186</v>
      </c>
      <c r="E7206" s="2" t="s">
        <v>840</v>
      </c>
      <c r="F7206" t="s">
        <v>18185</v>
      </c>
      <c r="G7206" t="str">
        <f>HYPERLINK("https://www.ekn.kr/web/view.php?key=20250527026040731")</f>
        <v>https://www.ekn.kr/web/view.php?key=20250527026040731</v>
      </c>
      <c r="H7206">
        <v>0.32800000000000001</v>
      </c>
    </row>
    <row r="7207" spans="1:8" x14ac:dyDescent="0.3">
      <c r="A7207" t="s">
        <v>18176</v>
      </c>
      <c r="B7207" t="s">
        <v>26951</v>
      </c>
      <c r="C7207" t="s">
        <v>18190</v>
      </c>
      <c r="D7207" t="s">
        <v>18189</v>
      </c>
      <c r="E7207" s="2" t="s">
        <v>840</v>
      </c>
      <c r="F7207" t="s">
        <v>18188</v>
      </c>
      <c r="G7207" t="str">
        <f>HYPERLINK("http://www.dynews.co.kr/news/articleView.html?idxno=795930")</f>
        <v>http://www.dynews.co.kr/news/articleView.html?idxno=795930</v>
      </c>
      <c r="H7207">
        <v>0.48099999999999998</v>
      </c>
    </row>
    <row r="7208" spans="1:8" x14ac:dyDescent="0.3">
      <c r="A7208" t="s">
        <v>18176</v>
      </c>
      <c r="B7208" t="s">
        <v>26951</v>
      </c>
      <c r="C7208" t="s">
        <v>18193</v>
      </c>
      <c r="D7208" t="s">
        <v>18192</v>
      </c>
      <c r="E7208" s="2" t="s">
        <v>840</v>
      </c>
      <c r="F7208" t="s">
        <v>18191</v>
      </c>
      <c r="G7208" t="str">
        <f>HYPERLINK("https://n.news.naver.com/mnews/article/056/0011034712?sid=102")</f>
        <v>https://n.news.naver.com/mnews/article/056/0011034712?sid=102</v>
      </c>
      <c r="H7208">
        <v>0.14799999999999999</v>
      </c>
    </row>
    <row r="7209" spans="1:8" x14ac:dyDescent="0.3">
      <c r="A7209" t="s">
        <v>18176</v>
      </c>
      <c r="B7209" t="s">
        <v>26951</v>
      </c>
      <c r="C7209" t="s">
        <v>18196</v>
      </c>
      <c r="D7209" t="s">
        <v>18195</v>
      </c>
      <c r="E7209" s="2" t="s">
        <v>840</v>
      </c>
      <c r="F7209" t="s">
        <v>18194</v>
      </c>
      <c r="G7209" t="str">
        <f>HYPERLINK("https://n.news.naver.com/mnews/article/081/0000026820?sid=103")</f>
        <v>https://n.news.naver.com/mnews/article/081/0000026820?sid=103</v>
      </c>
      <c r="H7209">
        <v>0.23400000000000001</v>
      </c>
    </row>
    <row r="7210" spans="1:8" x14ac:dyDescent="0.3">
      <c r="A7210" t="s">
        <v>18176</v>
      </c>
      <c r="B7210" t="s">
        <v>26951</v>
      </c>
      <c r="C7210" t="s">
        <v>18199</v>
      </c>
      <c r="D7210" t="s">
        <v>18198</v>
      </c>
      <c r="E7210" s="2" t="s">
        <v>840</v>
      </c>
      <c r="F7210" t="s">
        <v>18197</v>
      </c>
      <c r="G7210" t="str">
        <f>HYPERLINK("http://bravo.etoday.co.kr/view/atc_view.php?varAtcId=12668")</f>
        <v>http://bravo.etoday.co.kr/view/atc_view.php?varAtcId=12668</v>
      </c>
      <c r="H7210">
        <v>0.315</v>
      </c>
    </row>
    <row r="7211" spans="1:8" x14ac:dyDescent="0.3">
      <c r="A7211" t="s">
        <v>18176</v>
      </c>
      <c r="B7211" t="s">
        <v>26951</v>
      </c>
      <c r="C7211" t="s">
        <v>18202</v>
      </c>
      <c r="D7211" t="s">
        <v>18201</v>
      </c>
      <c r="E7211" s="2" t="s">
        <v>840</v>
      </c>
      <c r="F7211" t="s">
        <v>18200</v>
      </c>
      <c r="G7211" t="str">
        <f>HYPERLINK("https://n.news.naver.com/mnews/article/057/0001892608?sid=102")</f>
        <v>https://n.news.naver.com/mnews/article/057/0001892608?sid=102</v>
      </c>
      <c r="H7211">
        <v>0.128</v>
      </c>
    </row>
    <row r="7212" spans="1:8" x14ac:dyDescent="0.3">
      <c r="A7212" t="s">
        <v>18176</v>
      </c>
      <c r="B7212" t="s">
        <v>26951</v>
      </c>
      <c r="C7212" t="s">
        <v>18205</v>
      </c>
      <c r="D7212" t="s">
        <v>18204</v>
      </c>
      <c r="E7212" s="2" t="s">
        <v>840</v>
      </c>
      <c r="F7212" t="s">
        <v>18203</v>
      </c>
      <c r="G7212" t="str">
        <f>HYPERLINK("https://www.newsnjoy.or.kr/news/articleView.html?idxno=307314")</f>
        <v>https://www.newsnjoy.or.kr/news/articleView.html?idxno=307314</v>
      </c>
      <c r="H7212">
        <v>0.17499999999999999</v>
      </c>
    </row>
    <row r="7213" spans="1:8" x14ac:dyDescent="0.3">
      <c r="A7213" t="s">
        <v>18176</v>
      </c>
      <c r="B7213" t="s">
        <v>26951</v>
      </c>
      <c r="C7213" t="s">
        <v>18207</v>
      </c>
      <c r="D7213" t="s">
        <v>18206</v>
      </c>
      <c r="E7213" s="2" t="s">
        <v>840</v>
      </c>
      <c r="F7213" t="s">
        <v>2259</v>
      </c>
      <c r="G7213" t="str">
        <f>HYPERLINK("http://www.newsmp.com/news/articleView.html?idxno=226095")</f>
        <v>http://www.newsmp.com/news/articleView.html?idxno=226095</v>
      </c>
      <c r="H7213">
        <v>0.106</v>
      </c>
    </row>
    <row r="7214" spans="1:8" x14ac:dyDescent="0.3">
      <c r="A7214" t="s">
        <v>18176</v>
      </c>
      <c r="B7214" t="s">
        <v>26951</v>
      </c>
      <c r="C7214" t="s">
        <v>18210</v>
      </c>
      <c r="D7214" t="s">
        <v>18209</v>
      </c>
      <c r="E7214" s="2" t="s">
        <v>840</v>
      </c>
      <c r="F7214" t="s">
        <v>18208</v>
      </c>
      <c r="G7214" t="str">
        <f>HYPERLINK("http://www.newsfreezone.co.kr/news/articleView.html?idxno=295901")</f>
        <v>http://www.newsfreezone.co.kr/news/articleView.html?idxno=295901</v>
      </c>
      <c r="H7214">
        <v>0.36699999999999999</v>
      </c>
    </row>
    <row r="7215" spans="1:8" x14ac:dyDescent="0.3">
      <c r="A7215" t="s">
        <v>18176</v>
      </c>
      <c r="B7215" t="s">
        <v>26951</v>
      </c>
      <c r="C7215" t="s">
        <v>18213</v>
      </c>
      <c r="D7215" t="s">
        <v>18212</v>
      </c>
      <c r="E7215" s="2" t="s">
        <v>840</v>
      </c>
      <c r="F7215" t="s">
        <v>18211</v>
      </c>
      <c r="G7215" t="str">
        <f>HYPERLINK("http://www.segyebiz.com/newsView/20250603513712?OutUrl=naver")</f>
        <v>http://www.segyebiz.com/newsView/20250603513712?OutUrl=naver</v>
      </c>
      <c r="H7215">
        <v>0.22500000000000001</v>
      </c>
    </row>
    <row r="7216" spans="1:8" x14ac:dyDescent="0.3">
      <c r="A7216" t="s">
        <v>18176</v>
      </c>
      <c r="B7216" t="s">
        <v>26951</v>
      </c>
      <c r="C7216" t="s">
        <v>18216</v>
      </c>
      <c r="D7216" t="s">
        <v>18215</v>
      </c>
      <c r="E7216" s="2" t="s">
        <v>840</v>
      </c>
      <c r="F7216" t="s">
        <v>18214</v>
      </c>
      <c r="G7216" t="str">
        <f>HYPERLINK("https://n.news.naver.com/mnews/article/214/0001433713?sid=100")</f>
        <v>https://n.news.naver.com/mnews/article/214/0001433713?sid=100</v>
      </c>
      <c r="H7216">
        <v>0.22900000000000001</v>
      </c>
    </row>
    <row r="7217" spans="1:8" x14ac:dyDescent="0.3">
      <c r="A7217" t="s">
        <v>18176</v>
      </c>
      <c r="B7217" t="s">
        <v>26951</v>
      </c>
      <c r="C7217" t="s">
        <v>4429</v>
      </c>
      <c r="D7217" t="s">
        <v>4428</v>
      </c>
      <c r="E7217" s="2" t="s">
        <v>840</v>
      </c>
      <c r="F7217" t="s">
        <v>2073</v>
      </c>
      <c r="G7217" t="str">
        <f>HYPERLINK("https://www.kukinews.com/article/view/kuk202506030110")</f>
        <v>https://www.kukinews.com/article/view/kuk202506030110</v>
      </c>
      <c r="H7217">
        <v>0.23799999999999999</v>
      </c>
    </row>
    <row r="7218" spans="1:8" x14ac:dyDescent="0.3">
      <c r="A7218" t="s">
        <v>18176</v>
      </c>
      <c r="B7218" t="s">
        <v>26951</v>
      </c>
      <c r="C7218" t="s">
        <v>18218</v>
      </c>
      <c r="D7218" t="s">
        <v>18217</v>
      </c>
      <c r="E7218" s="2" t="s">
        <v>840</v>
      </c>
      <c r="F7218" t="s">
        <v>10317</v>
      </c>
      <c r="G7218" t="str">
        <f>HYPERLINK("http://jmagazine.joins.com/monthly/view/312455")</f>
        <v>http://jmagazine.joins.com/monthly/view/312455</v>
      </c>
      <c r="H7218">
        <v>0.56799999999999995</v>
      </c>
    </row>
    <row r="7219" spans="1:8" x14ac:dyDescent="0.3">
      <c r="A7219" t="s">
        <v>18176</v>
      </c>
      <c r="B7219" t="s">
        <v>26951</v>
      </c>
      <c r="C7219" t="s">
        <v>18221</v>
      </c>
      <c r="D7219" t="s">
        <v>18220</v>
      </c>
      <c r="E7219" s="2" t="s">
        <v>840</v>
      </c>
      <c r="F7219" t="s">
        <v>18219</v>
      </c>
      <c r="G7219" t="str">
        <f>HYPERLINK("http://www.dailytw.kr/news/articleView.html?idxno=22766")</f>
        <v>http://www.dailytw.kr/news/articleView.html?idxno=22766</v>
      </c>
      <c r="H7219">
        <v>0.41599999999999998</v>
      </c>
    </row>
    <row r="7220" spans="1:8" x14ac:dyDescent="0.3">
      <c r="A7220" t="s">
        <v>18176</v>
      </c>
      <c r="B7220" t="s">
        <v>26951</v>
      </c>
      <c r="C7220" t="s">
        <v>9866</v>
      </c>
      <c r="D7220" t="s">
        <v>9865</v>
      </c>
      <c r="E7220" s="2" t="s">
        <v>840</v>
      </c>
      <c r="F7220" t="s">
        <v>9864</v>
      </c>
      <c r="G7220" t="str">
        <f>HYPERLINK("https://www.foodneconomy.com/news/articleView.html?idxno=332884")</f>
        <v>https://www.foodneconomy.com/news/articleView.html?idxno=332884</v>
      </c>
      <c r="H7220">
        <v>0.26</v>
      </c>
    </row>
    <row r="7221" spans="1:8" x14ac:dyDescent="0.3">
      <c r="A7221" t="s">
        <v>18176</v>
      </c>
      <c r="B7221" t="s">
        <v>26951</v>
      </c>
      <c r="C7221" t="s">
        <v>18224</v>
      </c>
      <c r="D7221" t="s">
        <v>18223</v>
      </c>
      <c r="E7221" s="2" t="s">
        <v>840</v>
      </c>
      <c r="F7221" t="s">
        <v>18222</v>
      </c>
      <c r="G7221" t="str">
        <f>HYPERLINK("https://www.ebn.co.kr/news/articleView.html?idxno=1668077")</f>
        <v>https://www.ebn.co.kr/news/articleView.html?idxno=1668077</v>
      </c>
      <c r="H7221">
        <v>0.47</v>
      </c>
    </row>
    <row r="7222" spans="1:8" x14ac:dyDescent="0.3">
      <c r="A7222" t="s">
        <v>18176</v>
      </c>
      <c r="B7222" t="s">
        <v>26951</v>
      </c>
      <c r="C7222" t="s">
        <v>18226</v>
      </c>
      <c r="D7222" t="s">
        <v>18225</v>
      </c>
      <c r="E7222" s="2" t="s">
        <v>840</v>
      </c>
      <c r="F7222" t="s">
        <v>1377</v>
      </c>
      <c r="G7222" t="str">
        <f>HYPERLINK("http://www.kyeonggi.com/news/articleView.html?idxno=685944")</f>
        <v>http://www.kyeonggi.com/news/articleView.html?idxno=685944</v>
      </c>
      <c r="H7222">
        <v>0.35099999999999998</v>
      </c>
    </row>
    <row r="7223" spans="1:8" x14ac:dyDescent="0.3">
      <c r="A7223" t="s">
        <v>18176</v>
      </c>
      <c r="B7223" t="s">
        <v>26951</v>
      </c>
      <c r="C7223" t="s">
        <v>18228</v>
      </c>
      <c r="D7223" t="s">
        <v>18227</v>
      </c>
      <c r="E7223" s="2" t="s">
        <v>840</v>
      </c>
      <c r="F7223" t="s">
        <v>14756</v>
      </c>
      <c r="G7223" t="str">
        <f>HYPERLINK("http://www.gokorea.kr/news/articleView.html?idxno=5461")</f>
        <v>http://www.gokorea.kr/news/articleView.html?idxno=5461</v>
      </c>
      <c r="H7223">
        <v>0.14199999999999999</v>
      </c>
    </row>
    <row r="7224" spans="1:8" x14ac:dyDescent="0.3">
      <c r="A7224" t="s">
        <v>18176</v>
      </c>
      <c r="B7224" t="s">
        <v>26951</v>
      </c>
      <c r="C7224" t="s">
        <v>18230</v>
      </c>
      <c r="D7224" t="s">
        <v>18229</v>
      </c>
      <c r="E7224" s="2" t="s">
        <v>840</v>
      </c>
      <c r="F7224" t="s">
        <v>9679</v>
      </c>
      <c r="G7224" t="str">
        <f>HYPERLINK("https://n.news.naver.com/mnews/article/057/0001836542?sid=102")</f>
        <v>https://n.news.naver.com/mnews/article/057/0001836542?sid=102</v>
      </c>
      <c r="H7224">
        <v>0.27600000000000002</v>
      </c>
    </row>
    <row r="7225" spans="1:8" x14ac:dyDescent="0.3">
      <c r="A7225" t="s">
        <v>18176</v>
      </c>
      <c r="B7225" t="s">
        <v>26951</v>
      </c>
      <c r="C7225" t="s">
        <v>18232</v>
      </c>
      <c r="D7225" t="s">
        <v>18231</v>
      </c>
      <c r="E7225" s="2" t="s">
        <v>840</v>
      </c>
      <c r="F7225" t="s">
        <v>2166</v>
      </c>
      <c r="G7225" t="str">
        <f>HYPERLINK("http://www.readersnews.com/news/articleView.html?idxno=115483")</f>
        <v>http://www.readersnews.com/news/articleView.html?idxno=115483</v>
      </c>
      <c r="H7225">
        <v>0.627</v>
      </c>
    </row>
    <row r="7226" spans="1:8" x14ac:dyDescent="0.3">
      <c r="A7226" t="s">
        <v>18176</v>
      </c>
      <c r="B7226" t="s">
        <v>26951</v>
      </c>
      <c r="C7226" t="s">
        <v>18235</v>
      </c>
      <c r="D7226" t="s">
        <v>18234</v>
      </c>
      <c r="E7226" s="2" t="s">
        <v>840</v>
      </c>
      <c r="F7226" t="s">
        <v>18233</v>
      </c>
      <c r="G7226" t="str">
        <f>HYPERLINK("http://www.thelec.kr/news/articleView.html?idxno=37527")</f>
        <v>http://www.thelec.kr/news/articleView.html?idxno=37527</v>
      </c>
      <c r="H7226">
        <v>0.36499999999999999</v>
      </c>
    </row>
    <row r="7227" spans="1:8" x14ac:dyDescent="0.3">
      <c r="A7227" t="s">
        <v>18176</v>
      </c>
      <c r="B7227" t="s">
        <v>26951</v>
      </c>
      <c r="C7227" t="s">
        <v>18238</v>
      </c>
      <c r="D7227" t="s">
        <v>18237</v>
      </c>
      <c r="E7227" s="2" t="s">
        <v>840</v>
      </c>
      <c r="F7227" t="s">
        <v>18236</v>
      </c>
      <c r="G7227" t="str">
        <f>HYPERLINK("https://www.gosiweek.com/article/1065589325838335")</f>
        <v>https://www.gosiweek.com/article/1065589325838335</v>
      </c>
      <c r="H7227">
        <v>0.34399999999999997</v>
      </c>
    </row>
    <row r="7228" spans="1:8" x14ac:dyDescent="0.3">
      <c r="A7228" t="s">
        <v>18176</v>
      </c>
      <c r="B7228" t="s">
        <v>26951</v>
      </c>
      <c r="C7228" t="s">
        <v>18241</v>
      </c>
      <c r="D7228" t="s">
        <v>18240</v>
      </c>
      <c r="E7228" s="2" t="s">
        <v>840</v>
      </c>
      <c r="F7228" t="s">
        <v>18239</v>
      </c>
      <c r="G7228" t="str">
        <f>HYPERLINK("https://n.news.naver.com/mnews/article/056/0011978987?sid=103")</f>
        <v>https://n.news.naver.com/mnews/article/056/0011978987?sid=103</v>
      </c>
      <c r="H7228">
        <v>0.21099999999999999</v>
      </c>
    </row>
    <row r="7229" spans="1:8" x14ac:dyDescent="0.3">
      <c r="A7229" t="s">
        <v>18176</v>
      </c>
      <c r="B7229" t="s">
        <v>26951</v>
      </c>
      <c r="C7229" t="s">
        <v>18244</v>
      </c>
      <c r="D7229" t="s">
        <v>18243</v>
      </c>
      <c r="E7229" s="2" t="s">
        <v>840</v>
      </c>
      <c r="F7229" t="s">
        <v>18242</v>
      </c>
      <c r="G7229" t="str">
        <f>HYPERLINK("https://news.bbsi.co.kr/news/articleView.html?idxno=4034363")</f>
        <v>https://news.bbsi.co.kr/news/articleView.html?idxno=4034363</v>
      </c>
      <c r="H7229">
        <v>0.47499999999999998</v>
      </c>
    </row>
    <row r="7230" spans="1:8" x14ac:dyDescent="0.3">
      <c r="A7230" t="s">
        <v>18176</v>
      </c>
      <c r="B7230" t="s">
        <v>26951</v>
      </c>
      <c r="C7230" t="s">
        <v>18246</v>
      </c>
      <c r="D7230" t="s">
        <v>18245</v>
      </c>
      <c r="E7230" s="2" t="s">
        <v>840</v>
      </c>
      <c r="F7230" t="s">
        <v>171</v>
      </c>
      <c r="G7230" t="str">
        <f>HYPERLINK("https://www.greened.kr/news/articleView.html?idxno=326206")</f>
        <v>https://www.greened.kr/news/articleView.html?idxno=326206</v>
      </c>
      <c r="H7230">
        <v>0.46100000000000002</v>
      </c>
    </row>
    <row r="7231" spans="1:8" x14ac:dyDescent="0.3">
      <c r="A7231" t="s">
        <v>18176</v>
      </c>
      <c r="B7231" t="s">
        <v>26951</v>
      </c>
      <c r="C7231" t="s">
        <v>18249</v>
      </c>
      <c r="D7231" t="s">
        <v>18248</v>
      </c>
      <c r="E7231" s="2" t="s">
        <v>840</v>
      </c>
      <c r="F7231" t="s">
        <v>18247</v>
      </c>
      <c r="G7231" t="str">
        <f>HYPERLINK("https://sports.hankooki.com/news/articleView.html?idxno=6899826")</f>
        <v>https://sports.hankooki.com/news/articleView.html?idxno=6899826</v>
      </c>
      <c r="H7231">
        <v>0.51600000000000001</v>
      </c>
    </row>
    <row r="7232" spans="1:8" x14ac:dyDescent="0.3">
      <c r="A7232" t="s">
        <v>18176</v>
      </c>
      <c r="B7232" t="s">
        <v>26951</v>
      </c>
      <c r="C7232" t="s">
        <v>18251</v>
      </c>
      <c r="D7232" t="s">
        <v>18250</v>
      </c>
      <c r="E7232" s="2" t="s">
        <v>840</v>
      </c>
      <c r="F7232" t="s">
        <v>9878</v>
      </c>
      <c r="G7232" t="str">
        <f>HYPERLINK("https://m.entertain.naver.com/article/076/0002006927")</f>
        <v>https://m.entertain.naver.com/article/076/0002006927</v>
      </c>
      <c r="H7232">
        <v>0.31</v>
      </c>
    </row>
    <row r="7233" spans="1:8" x14ac:dyDescent="0.3">
      <c r="A7233" t="s">
        <v>18176</v>
      </c>
      <c r="B7233" t="s">
        <v>26951</v>
      </c>
      <c r="C7233" t="s">
        <v>18254</v>
      </c>
      <c r="D7233" t="s">
        <v>18253</v>
      </c>
      <c r="E7233" s="2" t="s">
        <v>840</v>
      </c>
      <c r="F7233" t="s">
        <v>18252</v>
      </c>
      <c r="G7233" t="str">
        <f>HYPERLINK("https://n.news.naver.com/mnews/article/055/0001246347?sid=102")</f>
        <v>https://n.news.naver.com/mnews/article/055/0001246347?sid=102</v>
      </c>
      <c r="H7233">
        <v>0.20200000000000001</v>
      </c>
    </row>
    <row r="7234" spans="1:8" x14ac:dyDescent="0.3">
      <c r="A7234" t="s">
        <v>18176</v>
      </c>
      <c r="B7234" t="s">
        <v>26951</v>
      </c>
      <c r="C7234" t="s">
        <v>18257</v>
      </c>
      <c r="D7234" t="s">
        <v>18256</v>
      </c>
      <c r="E7234" s="2" t="s">
        <v>840</v>
      </c>
      <c r="F7234" t="s">
        <v>18255</v>
      </c>
      <c r="G7234" t="str">
        <f>HYPERLINK("https://n.news.naver.com/mnews/article/052/0002200996?sid=154")</f>
        <v>https://n.news.naver.com/mnews/article/052/0002200996?sid=154</v>
      </c>
      <c r="H7234">
        <v>0.159</v>
      </c>
    </row>
    <row r="7235" spans="1:8" x14ac:dyDescent="0.3">
      <c r="A7235" t="s">
        <v>18176</v>
      </c>
      <c r="B7235" t="s">
        <v>26951</v>
      </c>
      <c r="C7235" t="s">
        <v>18259</v>
      </c>
      <c r="D7235" t="s">
        <v>18258</v>
      </c>
      <c r="E7235" s="2" t="s">
        <v>840</v>
      </c>
      <c r="F7235" t="s">
        <v>171</v>
      </c>
      <c r="G7235" t="str">
        <f>HYPERLINK("http://www.breaknews.com/944047")</f>
        <v>http://www.breaknews.com/944047</v>
      </c>
      <c r="H7235">
        <v>0.35199999999999998</v>
      </c>
    </row>
    <row r="7236" spans="1:8" x14ac:dyDescent="0.3">
      <c r="A7236" t="s">
        <v>18176</v>
      </c>
      <c r="B7236" t="s">
        <v>26951</v>
      </c>
      <c r="C7236" t="s">
        <v>18262</v>
      </c>
      <c r="D7236" t="s">
        <v>18261</v>
      </c>
      <c r="E7236" s="2" t="s">
        <v>840</v>
      </c>
      <c r="F7236" t="s">
        <v>18260</v>
      </c>
      <c r="G7236" t="str">
        <f>HYPERLINK("https://www.ekn.kr/web/view.php?key=20250608029543906")</f>
        <v>https://www.ekn.kr/web/view.php?key=20250608029543906</v>
      </c>
      <c r="H7236">
        <v>0.58699999999999997</v>
      </c>
    </row>
    <row r="7237" spans="1:8" x14ac:dyDescent="0.3">
      <c r="A7237" t="s">
        <v>18176</v>
      </c>
      <c r="B7237" t="s">
        <v>26951</v>
      </c>
      <c r="C7237" t="s">
        <v>18265</v>
      </c>
      <c r="D7237" t="s">
        <v>18264</v>
      </c>
      <c r="E7237" s="2" t="s">
        <v>840</v>
      </c>
      <c r="F7237" t="s">
        <v>18263</v>
      </c>
      <c r="G7237" t="str">
        <f>HYPERLINK("https://www.ccreview.co.kr/news/articleView.html?idxno=332169")</f>
        <v>https://www.ccreview.co.kr/news/articleView.html?idxno=332169</v>
      </c>
      <c r="H7237">
        <v>0.32600000000000001</v>
      </c>
    </row>
    <row r="7238" spans="1:8" x14ac:dyDescent="0.3">
      <c r="A7238" t="s">
        <v>18176</v>
      </c>
      <c r="B7238" t="s">
        <v>26951</v>
      </c>
      <c r="C7238" t="s">
        <v>9961</v>
      </c>
      <c r="D7238" t="s">
        <v>9960</v>
      </c>
      <c r="E7238" s="2" t="s">
        <v>840</v>
      </c>
      <c r="F7238" t="s">
        <v>817</v>
      </c>
      <c r="G7238" t="str">
        <f>HYPERLINK("http://www.sisaon.co.kr/news/articleView.html?idxno=160652")</f>
        <v>http://www.sisaon.co.kr/news/articleView.html?idxno=160652</v>
      </c>
      <c r="H7238">
        <v>0.40300000000000002</v>
      </c>
    </row>
    <row r="7239" spans="1:8" x14ac:dyDescent="0.3">
      <c r="A7239" t="s">
        <v>18176</v>
      </c>
      <c r="B7239" t="s">
        <v>26951</v>
      </c>
      <c r="C7239" t="s">
        <v>18268</v>
      </c>
      <c r="D7239" t="s">
        <v>18267</v>
      </c>
      <c r="E7239" s="2" t="s">
        <v>840</v>
      </c>
      <c r="F7239" t="s">
        <v>18266</v>
      </c>
      <c r="G7239" t="str">
        <f>HYPERLINK("http://www.updownnews.co.kr/news/articleView.html?idxno=104082")</f>
        <v>http://www.updownnews.co.kr/news/articleView.html?idxno=104082</v>
      </c>
      <c r="H7239">
        <v>0.39800000000000002</v>
      </c>
    </row>
    <row r="7240" spans="1:8" x14ac:dyDescent="0.3">
      <c r="A7240" t="s">
        <v>18176</v>
      </c>
      <c r="B7240" t="s">
        <v>26951</v>
      </c>
      <c r="C7240" t="s">
        <v>18271</v>
      </c>
      <c r="D7240" t="s">
        <v>18270</v>
      </c>
      <c r="E7240" s="2" t="s">
        <v>840</v>
      </c>
      <c r="F7240" t="s">
        <v>18269</v>
      </c>
      <c r="G7240" t="str">
        <f>HYPERLINK("https://n.news.naver.com/mnews/article/081/0003547942?sid=103")</f>
        <v>https://n.news.naver.com/mnews/article/081/0003547942?sid=103</v>
      </c>
      <c r="H7240">
        <v>0.28000000000000003</v>
      </c>
    </row>
    <row r="7241" spans="1:8" x14ac:dyDescent="0.3">
      <c r="A7241" t="s">
        <v>18176</v>
      </c>
      <c r="B7241" t="s">
        <v>26951</v>
      </c>
      <c r="C7241" t="s">
        <v>18273</v>
      </c>
      <c r="D7241" t="s">
        <v>18272</v>
      </c>
      <c r="E7241" s="2" t="s">
        <v>840</v>
      </c>
      <c r="F7241" t="s">
        <v>817</v>
      </c>
      <c r="G7241" t="str">
        <f>HYPERLINK("http://www.asiatoday.co.kr/view.php?key=20170101001532468")</f>
        <v>http://www.asiatoday.co.kr/view.php?key=20170101001532468</v>
      </c>
      <c r="H7241">
        <v>0.309</v>
      </c>
    </row>
    <row r="7242" spans="1:8" x14ac:dyDescent="0.3">
      <c r="A7242" t="s">
        <v>18176</v>
      </c>
      <c r="B7242" t="s">
        <v>26951</v>
      </c>
      <c r="C7242" t="s">
        <v>18276</v>
      </c>
      <c r="D7242" t="s">
        <v>18275</v>
      </c>
      <c r="E7242" s="2" t="s">
        <v>840</v>
      </c>
      <c r="F7242" t="s">
        <v>18274</v>
      </c>
      <c r="G7242" t="str">
        <f>HYPERLINK("https://n.news.naver.com/mnews/article/081/0002051953?sid=102")</f>
        <v>https://n.news.naver.com/mnews/article/081/0002051953?sid=102</v>
      </c>
      <c r="H7242">
        <v>0.16900000000000001</v>
      </c>
    </row>
    <row r="7243" spans="1:8" x14ac:dyDescent="0.3">
      <c r="A7243" t="s">
        <v>18176</v>
      </c>
      <c r="B7243" t="s">
        <v>26951</v>
      </c>
      <c r="C7243" t="s">
        <v>18279</v>
      </c>
      <c r="D7243" t="s">
        <v>18278</v>
      </c>
      <c r="E7243" s="2" t="s">
        <v>840</v>
      </c>
      <c r="F7243" t="s">
        <v>18277</v>
      </c>
      <c r="G7243" t="str">
        <f>HYPERLINK("http://www.lecturernews.com/news/articleView.html?idxno=65576")</f>
        <v>http://www.lecturernews.com/news/articleView.html?idxno=65576</v>
      </c>
      <c r="H7243">
        <v>0.753</v>
      </c>
    </row>
    <row r="7244" spans="1:8" x14ac:dyDescent="0.3">
      <c r="A7244" t="s">
        <v>18176</v>
      </c>
      <c r="B7244" t="s">
        <v>26951</v>
      </c>
      <c r="C7244" t="s">
        <v>18282</v>
      </c>
      <c r="D7244" t="s">
        <v>18281</v>
      </c>
      <c r="E7244" s="2" t="s">
        <v>840</v>
      </c>
      <c r="F7244" t="s">
        <v>18280</v>
      </c>
      <c r="G7244" t="str">
        <f>HYPERLINK("http://www.biztribune.co.kr/news/articleView.html?idxno=335475")</f>
        <v>http://www.biztribune.co.kr/news/articleView.html?idxno=335475</v>
      </c>
      <c r="H7244">
        <v>0.16</v>
      </c>
    </row>
    <row r="7245" spans="1:8" x14ac:dyDescent="0.3">
      <c r="A7245" t="s">
        <v>18176</v>
      </c>
      <c r="B7245" t="s">
        <v>26951</v>
      </c>
      <c r="C7245" t="s">
        <v>18285</v>
      </c>
      <c r="D7245" t="s">
        <v>18284</v>
      </c>
      <c r="E7245" s="2" t="s">
        <v>840</v>
      </c>
      <c r="F7245" t="s">
        <v>18283</v>
      </c>
      <c r="G7245" t="str">
        <f>HYPERLINK("https://n.news.naver.com/mnews/article/056/0011628169?sid=101")</f>
        <v>https://n.news.naver.com/mnews/article/056/0011628169?sid=101</v>
      </c>
      <c r="H7245">
        <v>0.308</v>
      </c>
    </row>
    <row r="7246" spans="1:8" x14ac:dyDescent="0.3">
      <c r="A7246" t="s">
        <v>18176</v>
      </c>
      <c r="B7246" t="s">
        <v>26951</v>
      </c>
      <c r="C7246" t="s">
        <v>18287</v>
      </c>
      <c r="D7246" t="s">
        <v>18286</v>
      </c>
      <c r="E7246" s="2" t="s">
        <v>840</v>
      </c>
      <c r="F7246" t="s">
        <v>18280</v>
      </c>
      <c r="G7246" t="str">
        <f>HYPERLINK("http://ilyo.co.kr/?ac=article_view&amp;entry_id=180336")</f>
        <v>http://ilyo.co.kr/?ac=article_view&amp;entry_id=180336</v>
      </c>
      <c r="H7246">
        <v>0.11</v>
      </c>
    </row>
    <row r="7247" spans="1:8" x14ac:dyDescent="0.3">
      <c r="A7247" t="s">
        <v>18176</v>
      </c>
      <c r="B7247" t="s">
        <v>26951</v>
      </c>
      <c r="C7247" t="s">
        <v>18290</v>
      </c>
      <c r="D7247" t="s">
        <v>18289</v>
      </c>
      <c r="E7247" s="2" t="s">
        <v>840</v>
      </c>
      <c r="F7247" t="s">
        <v>18288</v>
      </c>
      <c r="G7247" t="str">
        <f>HYPERLINK("https://n.news.naver.com/mnews/article/022/0003813300?sid=103")</f>
        <v>https://n.news.naver.com/mnews/article/022/0003813300?sid=103</v>
      </c>
      <c r="H7247">
        <v>0.28199999999999997</v>
      </c>
    </row>
    <row r="7248" spans="1:8" x14ac:dyDescent="0.3">
      <c r="A7248" t="s">
        <v>18176</v>
      </c>
      <c r="B7248" t="s">
        <v>26951</v>
      </c>
      <c r="C7248" t="s">
        <v>18292</v>
      </c>
      <c r="D7248" t="s">
        <v>18291</v>
      </c>
      <c r="E7248" s="2" t="s">
        <v>840</v>
      </c>
      <c r="F7248" t="s">
        <v>205</v>
      </c>
      <c r="G7248" t="str">
        <f>HYPERLINK("https://www.jemin.com/news/articleView.html?idxno=808131")</f>
        <v>https://www.jemin.com/news/articleView.html?idxno=808131</v>
      </c>
      <c r="H7248">
        <v>0.76800000000000002</v>
      </c>
    </row>
    <row r="7249" spans="1:8" x14ac:dyDescent="0.3">
      <c r="A7249" t="s">
        <v>18176</v>
      </c>
      <c r="B7249" t="s">
        <v>26951</v>
      </c>
      <c r="C7249" t="s">
        <v>18294</v>
      </c>
      <c r="D7249" t="s">
        <v>18293</v>
      </c>
      <c r="E7249" s="2" t="s">
        <v>840</v>
      </c>
      <c r="F7249" t="s">
        <v>11382</v>
      </c>
      <c r="G7249" t="str">
        <f>HYPERLINK("http://www.newsfreezone.co.kr/news/articleView.html?idxno=332097")</f>
        <v>http://www.newsfreezone.co.kr/news/articleView.html?idxno=332097</v>
      </c>
      <c r="H7249">
        <v>0.6</v>
      </c>
    </row>
    <row r="7250" spans="1:8" x14ac:dyDescent="0.3">
      <c r="A7250" t="s">
        <v>18176</v>
      </c>
      <c r="B7250" t="s">
        <v>26951</v>
      </c>
      <c r="C7250" t="s">
        <v>18296</v>
      </c>
      <c r="D7250" t="s">
        <v>18295</v>
      </c>
      <c r="E7250" s="2" t="s">
        <v>840</v>
      </c>
      <c r="F7250" t="s">
        <v>119</v>
      </c>
      <c r="G7250" t="str">
        <f>HYPERLINK("https://n.news.naver.com/mnews/article/016/0002479931?sid=103")</f>
        <v>https://n.news.naver.com/mnews/article/016/0002479931?sid=103</v>
      </c>
      <c r="H7250">
        <v>0.23</v>
      </c>
    </row>
    <row r="7251" spans="1:8" x14ac:dyDescent="0.3">
      <c r="A7251" t="s">
        <v>18176</v>
      </c>
      <c r="B7251" t="s">
        <v>26951</v>
      </c>
      <c r="C7251" t="s">
        <v>18298</v>
      </c>
      <c r="D7251" t="s">
        <v>18297</v>
      </c>
      <c r="E7251" s="2" t="s">
        <v>840</v>
      </c>
      <c r="F7251" t="s">
        <v>2074</v>
      </c>
      <c r="G7251" t="str">
        <f>HYPERLINK("https://n.news.naver.com/mnews/article/056/0011979510?sid=103")</f>
        <v>https://n.news.naver.com/mnews/article/056/0011979510?sid=103</v>
      </c>
      <c r="H7251">
        <v>0.26100000000000001</v>
      </c>
    </row>
    <row r="7252" spans="1:8" x14ac:dyDescent="0.3">
      <c r="A7252" t="s">
        <v>18176</v>
      </c>
      <c r="B7252" t="s">
        <v>26951</v>
      </c>
      <c r="C7252" t="s">
        <v>18300</v>
      </c>
      <c r="D7252" t="s">
        <v>18299</v>
      </c>
      <c r="E7252" s="2" t="s">
        <v>840</v>
      </c>
      <c r="F7252" t="s">
        <v>10506</v>
      </c>
      <c r="G7252" t="str">
        <f>HYPERLINK("http://www.banronbodo.com/news/articleView.html?idxno=23585")</f>
        <v>http://www.banronbodo.com/news/articleView.html?idxno=23585</v>
      </c>
      <c r="H7252">
        <v>0.13400000000000001</v>
      </c>
    </row>
    <row r="7253" spans="1:8" x14ac:dyDescent="0.3">
      <c r="A7253" t="s">
        <v>18176</v>
      </c>
      <c r="B7253" t="s">
        <v>26951</v>
      </c>
      <c r="C7253" t="s">
        <v>18304</v>
      </c>
      <c r="D7253" t="s">
        <v>18303</v>
      </c>
      <c r="E7253" s="2" t="s">
        <v>840</v>
      </c>
      <c r="F7253" t="s">
        <v>18302</v>
      </c>
      <c r="G7253" t="str">
        <f>HYPERLINK("http://www.newsfarm.co.kr/news/articleView.html?idxno=75210")</f>
        <v>http://www.newsfarm.co.kr/news/articleView.html?idxno=75210</v>
      </c>
      <c r="H7253">
        <v>0.65900000000000003</v>
      </c>
    </row>
    <row r="7254" spans="1:8" x14ac:dyDescent="0.3">
      <c r="A7254" t="s">
        <v>18176</v>
      </c>
      <c r="B7254" t="s">
        <v>26951</v>
      </c>
      <c r="C7254" t="s">
        <v>18306</v>
      </c>
      <c r="D7254" t="s">
        <v>18305</v>
      </c>
      <c r="E7254" s="2" t="s">
        <v>840</v>
      </c>
      <c r="F7254" t="s">
        <v>14926</v>
      </c>
      <c r="G7254" t="str">
        <f>HYPERLINK("http://www.viewsnnews.com/article?q=222326")</f>
        <v>http://www.viewsnnews.com/article?q=222326</v>
      </c>
      <c r="H7254">
        <v>0.105</v>
      </c>
    </row>
    <row r="7255" spans="1:8" x14ac:dyDescent="0.3">
      <c r="A7255" t="s">
        <v>18176</v>
      </c>
      <c r="B7255" t="s">
        <v>26951</v>
      </c>
      <c r="C7255" t="s">
        <v>18309</v>
      </c>
      <c r="D7255" t="s">
        <v>18308</v>
      </c>
      <c r="E7255" s="2" t="s">
        <v>840</v>
      </c>
      <c r="F7255" t="s">
        <v>18307</v>
      </c>
      <c r="G7255" t="str">
        <f>HYPERLINK("https://n.news.naver.com/mnews/article/119/0002974148?sid=100")</f>
        <v>https://n.news.naver.com/mnews/article/119/0002974148?sid=100</v>
      </c>
      <c r="H7255">
        <v>0.36799999999999999</v>
      </c>
    </row>
    <row r="7256" spans="1:8" x14ac:dyDescent="0.3">
      <c r="A7256" t="s">
        <v>18176</v>
      </c>
      <c r="B7256" t="s">
        <v>26951</v>
      </c>
      <c r="C7256" t="s">
        <v>18312</v>
      </c>
      <c r="D7256" t="s">
        <v>18311</v>
      </c>
      <c r="E7256" s="2" t="s">
        <v>840</v>
      </c>
      <c r="F7256" t="s">
        <v>18310</v>
      </c>
      <c r="G7256" t="str">
        <f>HYPERLINK("http://www.joongdo.co.kr/main/view.php?key=20180328001148197")</f>
        <v>http://www.joongdo.co.kr/main/view.php?key=20180328001148197</v>
      </c>
      <c r="H7256">
        <v>0.39500000000000002</v>
      </c>
    </row>
    <row r="7257" spans="1:8" x14ac:dyDescent="0.3">
      <c r="A7257" t="s">
        <v>18176</v>
      </c>
      <c r="B7257" t="s">
        <v>26951</v>
      </c>
      <c r="C7257" t="s">
        <v>18315</v>
      </c>
      <c r="D7257" t="s">
        <v>18314</v>
      </c>
      <c r="E7257" s="2" t="s">
        <v>840</v>
      </c>
      <c r="F7257" t="s">
        <v>18313</v>
      </c>
      <c r="G7257" t="str">
        <f>HYPERLINK("https://n.news.naver.com/mnews/article/056/0010464415?sid=102")</f>
        <v>https://n.news.naver.com/mnews/article/056/0010464415?sid=102</v>
      </c>
      <c r="H7257">
        <v>0.32200000000000001</v>
      </c>
    </row>
    <row r="7258" spans="1:8" x14ac:dyDescent="0.3">
      <c r="A7258" t="s">
        <v>18176</v>
      </c>
      <c r="B7258" t="s">
        <v>26951</v>
      </c>
      <c r="C7258" t="s">
        <v>18317</v>
      </c>
      <c r="D7258" t="s">
        <v>18316</v>
      </c>
      <c r="E7258" s="2" t="s">
        <v>840</v>
      </c>
      <c r="F7258" t="s">
        <v>9738</v>
      </c>
      <c r="G7258" t="str">
        <f>HYPERLINK("https://weekly.cnbnews.com/news/article.html?no=140409")</f>
        <v>https://weekly.cnbnews.com/news/article.html?no=140409</v>
      </c>
      <c r="H7258">
        <v>0.40699999999999997</v>
      </c>
    </row>
    <row r="7259" spans="1:8" x14ac:dyDescent="0.3">
      <c r="A7259" t="s">
        <v>18176</v>
      </c>
      <c r="B7259" t="s">
        <v>26951</v>
      </c>
      <c r="C7259" t="s">
        <v>18320</v>
      </c>
      <c r="D7259" t="s">
        <v>18319</v>
      </c>
      <c r="E7259" s="2" t="s">
        <v>840</v>
      </c>
      <c r="F7259" t="s">
        <v>18318</v>
      </c>
      <c r="G7259" t="str">
        <f>HYPERLINK("http://apnews.kr/View.aspx?No=2012375")</f>
        <v>http://apnews.kr/View.aspx?No=2012375</v>
      </c>
      <c r="H7259">
        <v>0.55100000000000005</v>
      </c>
    </row>
    <row r="7260" spans="1:8" x14ac:dyDescent="0.3">
      <c r="A7260" t="s">
        <v>18176</v>
      </c>
      <c r="B7260" t="s">
        <v>26951</v>
      </c>
      <c r="C7260" t="s">
        <v>18323</v>
      </c>
      <c r="D7260" t="s">
        <v>18322</v>
      </c>
      <c r="E7260" s="2" t="s">
        <v>840</v>
      </c>
      <c r="F7260" t="s">
        <v>18321</v>
      </c>
      <c r="G7260" t="str">
        <f>HYPERLINK("https://n.news.naver.com/mnews/article/119/0002896347?sid=100")</f>
        <v>https://n.news.naver.com/mnews/article/119/0002896347?sid=100</v>
      </c>
      <c r="H7260">
        <v>0.36499999999999999</v>
      </c>
    </row>
    <row r="7261" spans="1:8" x14ac:dyDescent="0.3">
      <c r="A7261" t="s">
        <v>18176</v>
      </c>
      <c r="B7261" t="s">
        <v>26951</v>
      </c>
      <c r="C7261" t="s">
        <v>18326</v>
      </c>
      <c r="D7261" t="s">
        <v>18325</v>
      </c>
      <c r="E7261" s="2" t="s">
        <v>860</v>
      </c>
      <c r="F7261" t="s">
        <v>18324</v>
      </c>
      <c r="G7261" t="str">
        <f>HYPERLINK("http://www.dailypop.kr/news/articleView.html?idxno=84771")</f>
        <v>http://www.dailypop.kr/news/articleView.html?idxno=84771</v>
      </c>
      <c r="H7261">
        <v>0.72699999999999998</v>
      </c>
    </row>
    <row r="7262" spans="1:8" x14ac:dyDescent="0.3">
      <c r="A7262" t="s">
        <v>18176</v>
      </c>
      <c r="B7262" t="s">
        <v>26951</v>
      </c>
      <c r="C7262" t="s">
        <v>18328</v>
      </c>
      <c r="D7262" t="s">
        <v>18327</v>
      </c>
      <c r="E7262" s="2" t="s">
        <v>860</v>
      </c>
      <c r="F7262" t="s">
        <v>1908</v>
      </c>
      <c r="G7262" t="str">
        <f>HYPERLINK("https://www.ngonews.kr/news/articleView.html?idxno=204297")</f>
        <v>https://www.ngonews.kr/news/articleView.html?idxno=204297</v>
      </c>
      <c r="H7262">
        <v>0.64</v>
      </c>
    </row>
    <row r="7263" spans="1:8" x14ac:dyDescent="0.3">
      <c r="A7263" t="s">
        <v>18176</v>
      </c>
      <c r="B7263" t="s">
        <v>26951</v>
      </c>
      <c r="C7263" t="s">
        <v>18330</v>
      </c>
      <c r="D7263" t="s">
        <v>18329</v>
      </c>
      <c r="E7263" s="2" t="s">
        <v>860</v>
      </c>
      <c r="F7263" t="s">
        <v>10577</v>
      </c>
      <c r="G7263" t="str">
        <f>HYPERLINK("http://www.headlinejeju.co.kr/news/articleView.html?idxno=570431")</f>
        <v>http://www.headlinejeju.co.kr/news/articleView.html?idxno=570431</v>
      </c>
      <c r="H7263">
        <v>0.64600000000000002</v>
      </c>
    </row>
    <row r="7264" spans="1:8" x14ac:dyDescent="0.3">
      <c r="A7264" t="s">
        <v>18176</v>
      </c>
      <c r="B7264" t="s">
        <v>26951</v>
      </c>
      <c r="C7264" t="s">
        <v>18332</v>
      </c>
      <c r="D7264" t="s">
        <v>6448</v>
      </c>
      <c r="E7264" s="2" t="s">
        <v>860</v>
      </c>
      <c r="F7264" t="s">
        <v>18331</v>
      </c>
      <c r="G7264" t="str">
        <f>HYPERLINK("https://n.news.naver.com/mnews/article/081/0003554107?sid=100")</f>
        <v>https://n.news.naver.com/mnews/article/081/0003554107?sid=100</v>
      </c>
      <c r="H7264">
        <v>0.249</v>
      </c>
    </row>
    <row r="7265" spans="1:8" x14ac:dyDescent="0.3">
      <c r="A7265" t="s">
        <v>18176</v>
      </c>
      <c r="B7265" t="s">
        <v>26951</v>
      </c>
      <c r="C7265" t="s">
        <v>18335</v>
      </c>
      <c r="D7265" t="s">
        <v>18334</v>
      </c>
      <c r="E7265" s="2" t="s">
        <v>860</v>
      </c>
      <c r="F7265" t="s">
        <v>18333</v>
      </c>
      <c r="G7265" t="str">
        <f>HYPERLINK("https://www.newspim.com/news/view/20250507000965")</f>
        <v>https://www.newspim.com/news/view/20250507000965</v>
      </c>
      <c r="H7265">
        <v>0.33400000000000002</v>
      </c>
    </row>
    <row r="7266" spans="1:8" x14ac:dyDescent="0.3">
      <c r="A7266" t="s">
        <v>18176</v>
      </c>
      <c r="B7266" t="s">
        <v>26951</v>
      </c>
      <c r="C7266" t="s">
        <v>18337</v>
      </c>
      <c r="D7266" t="s">
        <v>18336</v>
      </c>
      <c r="E7266" s="2" t="s">
        <v>860</v>
      </c>
      <c r="F7266" t="s">
        <v>171</v>
      </c>
      <c r="G7266" t="str">
        <f>HYPERLINK("https://www.joongangenews.com/news/articleView.html?idxno=430076")</f>
        <v>https://www.joongangenews.com/news/articleView.html?idxno=430076</v>
      </c>
      <c r="H7266">
        <v>0.441</v>
      </c>
    </row>
    <row r="7267" spans="1:8" x14ac:dyDescent="0.3">
      <c r="A7267" t="s">
        <v>18176</v>
      </c>
      <c r="B7267" t="s">
        <v>26951</v>
      </c>
      <c r="C7267" t="s">
        <v>18339</v>
      </c>
      <c r="D7267" t="s">
        <v>18338</v>
      </c>
      <c r="E7267" s="2" t="s">
        <v>860</v>
      </c>
      <c r="F7267" t="s">
        <v>6032</v>
      </c>
      <c r="G7267" t="str">
        <f>HYPERLINK("https://www.newsfreezone.co.kr/news/articleView.html?idxno=615315")</f>
        <v>https://www.newsfreezone.co.kr/news/articleView.html?idxno=615315</v>
      </c>
      <c r="H7267">
        <v>0.20699999999999999</v>
      </c>
    </row>
    <row r="7268" spans="1:8" x14ac:dyDescent="0.3">
      <c r="A7268" t="s">
        <v>18176</v>
      </c>
      <c r="B7268" t="s">
        <v>26951</v>
      </c>
      <c r="C7268" t="s">
        <v>18342</v>
      </c>
      <c r="D7268" t="s">
        <v>18341</v>
      </c>
      <c r="E7268" s="2" t="s">
        <v>860</v>
      </c>
      <c r="F7268" t="s">
        <v>18340</v>
      </c>
      <c r="G7268" t="str">
        <f>HYPERLINK("http://www.ilyoseoul.co.kr/news/articleView.html?idxno=432070")</f>
        <v>http://www.ilyoseoul.co.kr/news/articleView.html?idxno=432070</v>
      </c>
      <c r="H7268">
        <v>0.629</v>
      </c>
    </row>
    <row r="7269" spans="1:8" x14ac:dyDescent="0.3">
      <c r="A7269" t="s">
        <v>18176</v>
      </c>
      <c r="B7269" t="s">
        <v>26951</v>
      </c>
      <c r="C7269" t="s">
        <v>18345</v>
      </c>
      <c r="D7269" t="s">
        <v>18344</v>
      </c>
      <c r="E7269" s="2" t="s">
        <v>860</v>
      </c>
      <c r="F7269" t="s">
        <v>18343</v>
      </c>
      <c r="G7269" t="str">
        <f>HYPERLINK("https://www.pdjournal.com/news/articleView.html?idxno=80819")</f>
        <v>https://www.pdjournal.com/news/articleView.html?idxno=80819</v>
      </c>
      <c r="H7269">
        <v>0.5</v>
      </c>
    </row>
    <row r="7270" spans="1:8" x14ac:dyDescent="0.3">
      <c r="A7270" t="s">
        <v>18176</v>
      </c>
      <c r="B7270" t="s">
        <v>26951</v>
      </c>
      <c r="C7270" t="s">
        <v>18348</v>
      </c>
      <c r="D7270" t="s">
        <v>18347</v>
      </c>
      <c r="E7270" s="2" t="s">
        <v>860</v>
      </c>
      <c r="F7270" t="s">
        <v>18346</v>
      </c>
      <c r="G7270" t="str">
        <f>HYPERLINK("http://ch.yes24.com/Article/View/27155")</f>
        <v>http://ch.yes24.com/Article/View/27155</v>
      </c>
      <c r="H7270">
        <v>0.63</v>
      </c>
    </row>
    <row r="7271" spans="1:8" x14ac:dyDescent="0.3">
      <c r="A7271" t="s">
        <v>18176</v>
      </c>
      <c r="B7271" t="s">
        <v>26951</v>
      </c>
      <c r="C7271" t="s">
        <v>18350</v>
      </c>
      <c r="D7271" t="s">
        <v>18349</v>
      </c>
      <c r="E7271" s="2" t="s">
        <v>860</v>
      </c>
      <c r="F7271" t="s">
        <v>2349</v>
      </c>
      <c r="G7271" t="str">
        <f>HYPERLINK("https://www.lecturernews.com/news/articleView.html?idxno=177199")</f>
        <v>https://www.lecturernews.com/news/articleView.html?idxno=177199</v>
      </c>
      <c r="H7271">
        <v>0.38900000000000001</v>
      </c>
    </row>
    <row r="7272" spans="1:8" x14ac:dyDescent="0.3">
      <c r="A7272" t="s">
        <v>18176</v>
      </c>
      <c r="B7272" t="s">
        <v>26951</v>
      </c>
      <c r="C7272" t="s">
        <v>18353</v>
      </c>
      <c r="D7272" t="s">
        <v>18352</v>
      </c>
      <c r="E7272" s="2" t="s">
        <v>860</v>
      </c>
      <c r="F7272" t="s">
        <v>18351</v>
      </c>
      <c r="G7272" t="str">
        <f>HYPERLINK("https://www.youthdaily.co.kr/news/article.html?no=188642")</f>
        <v>https://www.youthdaily.co.kr/news/article.html?no=188642</v>
      </c>
      <c r="H7272">
        <v>0.44</v>
      </c>
    </row>
    <row r="7273" spans="1:8" x14ac:dyDescent="0.3">
      <c r="A7273" t="s">
        <v>18176</v>
      </c>
      <c r="B7273" t="s">
        <v>26951</v>
      </c>
      <c r="C7273" t="s">
        <v>18355</v>
      </c>
      <c r="D7273" t="s">
        <v>18354</v>
      </c>
      <c r="E7273" s="2" t="s">
        <v>860</v>
      </c>
      <c r="F7273" t="s">
        <v>10487</v>
      </c>
      <c r="G7273" t="str">
        <f>HYPERLINK("https://n.news.naver.com/mnews/article/006/0000130677?sid=100")</f>
        <v>https://n.news.naver.com/mnews/article/006/0000130677?sid=100</v>
      </c>
      <c r="H7273">
        <v>9.0999999999999998E-2</v>
      </c>
    </row>
    <row r="7274" spans="1:8" x14ac:dyDescent="0.3">
      <c r="A7274" t="s">
        <v>18176</v>
      </c>
      <c r="B7274" t="s">
        <v>26951</v>
      </c>
      <c r="C7274" t="s">
        <v>18358</v>
      </c>
      <c r="D7274" t="s">
        <v>18357</v>
      </c>
      <c r="E7274" s="2" t="s">
        <v>860</v>
      </c>
      <c r="F7274" t="s">
        <v>18356</v>
      </c>
      <c r="G7274" t="str">
        <f>HYPERLINK("https://n.news.naver.com/mnews/article/002/0002088254?sid=102")</f>
        <v>https://n.news.naver.com/mnews/article/002/0002088254?sid=102</v>
      </c>
      <c r="H7274">
        <v>7.4999999999999997E-2</v>
      </c>
    </row>
    <row r="7275" spans="1:8" x14ac:dyDescent="0.3">
      <c r="A7275" t="s">
        <v>18176</v>
      </c>
      <c r="B7275" t="s">
        <v>26951</v>
      </c>
      <c r="C7275" t="s">
        <v>18361</v>
      </c>
      <c r="D7275" t="s">
        <v>18360</v>
      </c>
      <c r="E7275" s="2" t="s">
        <v>860</v>
      </c>
      <c r="F7275" t="s">
        <v>18359</v>
      </c>
      <c r="G7275" t="str">
        <f>HYPERLINK("https://n.news.naver.com/mnews/article/008/0002673028?sid=100")</f>
        <v>https://n.news.naver.com/mnews/article/008/0002673028?sid=100</v>
      </c>
      <c r="H7275">
        <v>0.38300000000000001</v>
      </c>
    </row>
    <row r="7276" spans="1:8" x14ac:dyDescent="0.3">
      <c r="A7276" t="s">
        <v>18176</v>
      </c>
      <c r="B7276" t="s">
        <v>26951</v>
      </c>
      <c r="C7276" t="s">
        <v>18364</v>
      </c>
      <c r="D7276" t="s">
        <v>18363</v>
      </c>
      <c r="E7276" s="2" t="s">
        <v>860</v>
      </c>
      <c r="F7276" t="s">
        <v>18362</v>
      </c>
      <c r="G7276" t="str">
        <f>HYPERLINK("https://cwn.kr/article/1065573302794769")</f>
        <v>https://cwn.kr/article/1065573302794769</v>
      </c>
      <c r="H7276">
        <v>0.15</v>
      </c>
    </row>
    <row r="7277" spans="1:8" x14ac:dyDescent="0.3">
      <c r="A7277" t="s">
        <v>18176</v>
      </c>
      <c r="B7277" t="s">
        <v>26951</v>
      </c>
      <c r="C7277" t="s">
        <v>18367</v>
      </c>
      <c r="D7277" t="s">
        <v>18366</v>
      </c>
      <c r="E7277" s="2" t="s">
        <v>860</v>
      </c>
      <c r="F7277" t="s">
        <v>18365</v>
      </c>
      <c r="G7277" t="str">
        <f>HYPERLINK("https://www.kmaeil.com/news/articleView.html?idxno=498259")</f>
        <v>https://www.kmaeil.com/news/articleView.html?idxno=498259</v>
      </c>
      <c r="H7277">
        <v>0.436</v>
      </c>
    </row>
    <row r="7278" spans="1:8" x14ac:dyDescent="0.3">
      <c r="A7278" t="s">
        <v>18176</v>
      </c>
      <c r="B7278" t="s">
        <v>26951</v>
      </c>
      <c r="C7278" t="s">
        <v>18370</v>
      </c>
      <c r="D7278" t="s">
        <v>18369</v>
      </c>
      <c r="E7278" s="2" t="s">
        <v>860</v>
      </c>
      <c r="F7278" t="s">
        <v>18368</v>
      </c>
      <c r="G7278" t="str">
        <f>HYPERLINK("https://www.sisajournal-e.com/news/articleView.html?idxno=401566")</f>
        <v>https://www.sisajournal-e.com/news/articleView.html?idxno=401566</v>
      </c>
      <c r="H7278">
        <v>0.35099999999999998</v>
      </c>
    </row>
    <row r="7279" spans="1:8" x14ac:dyDescent="0.3">
      <c r="A7279" t="s">
        <v>18176</v>
      </c>
      <c r="B7279" t="s">
        <v>26951</v>
      </c>
      <c r="C7279" t="s">
        <v>18374</v>
      </c>
      <c r="D7279" t="s">
        <v>18373</v>
      </c>
      <c r="E7279" s="2" t="s">
        <v>860</v>
      </c>
      <c r="F7279" t="s">
        <v>18372</v>
      </c>
      <c r="G7279" t="str">
        <f>HYPERLINK("http://www.jeonmin.co.kr/news/articleView.html?idxno=419060")</f>
        <v>http://www.jeonmin.co.kr/news/articleView.html?idxno=419060</v>
      </c>
      <c r="H7279">
        <v>0.871</v>
      </c>
    </row>
    <row r="7280" spans="1:8" x14ac:dyDescent="0.3">
      <c r="A7280" t="s">
        <v>18176</v>
      </c>
      <c r="B7280" t="s">
        <v>26951</v>
      </c>
      <c r="C7280" t="s">
        <v>18377</v>
      </c>
      <c r="D7280" t="s">
        <v>18376</v>
      </c>
      <c r="E7280" s="2" t="s">
        <v>860</v>
      </c>
      <c r="F7280" t="s">
        <v>18375</v>
      </c>
      <c r="G7280" t="str">
        <f>HYPERLINK("https://www.gameple.co.kr/news/articleView.html?idxno=210259")</f>
        <v>https://www.gameple.co.kr/news/articleView.html?idxno=210259</v>
      </c>
      <c r="H7280">
        <v>0.25700000000000001</v>
      </c>
    </row>
    <row r="7281" spans="1:8" x14ac:dyDescent="0.3">
      <c r="A7281" t="s">
        <v>18176</v>
      </c>
      <c r="B7281" t="s">
        <v>26951</v>
      </c>
      <c r="C7281" t="s">
        <v>18379</v>
      </c>
      <c r="D7281" t="s">
        <v>18378</v>
      </c>
      <c r="E7281" s="2" t="s">
        <v>860</v>
      </c>
      <c r="F7281" t="s">
        <v>171</v>
      </c>
      <c r="G7281" t="str">
        <f>HYPERLINK("https://www.m-economynews.com/news/article.html?no=55793")</f>
        <v>https://www.m-economynews.com/news/article.html?no=55793</v>
      </c>
      <c r="H7281">
        <v>0.59199999999999997</v>
      </c>
    </row>
    <row r="7282" spans="1:8" x14ac:dyDescent="0.3">
      <c r="A7282" t="s">
        <v>18176</v>
      </c>
      <c r="B7282" t="s">
        <v>26951</v>
      </c>
      <c r="C7282" t="s">
        <v>18382</v>
      </c>
      <c r="D7282" t="s">
        <v>18381</v>
      </c>
      <c r="E7282" s="2" t="s">
        <v>860</v>
      </c>
      <c r="F7282" t="s">
        <v>18380</v>
      </c>
      <c r="G7282" t="str">
        <f>HYPERLINK("https://www.sisamagazine.co.kr/news/articleView.html?idxno=514780")</f>
        <v>https://www.sisamagazine.co.kr/news/articleView.html?idxno=514780</v>
      </c>
      <c r="H7282">
        <v>0.96199999999999997</v>
      </c>
    </row>
    <row r="7283" spans="1:8" x14ac:dyDescent="0.3">
      <c r="A7283" t="s">
        <v>18176</v>
      </c>
      <c r="B7283" t="s">
        <v>26951</v>
      </c>
      <c r="C7283" t="s">
        <v>18385</v>
      </c>
      <c r="D7283" t="s">
        <v>18384</v>
      </c>
      <c r="E7283" s="2" t="s">
        <v>860</v>
      </c>
      <c r="F7283" t="s">
        <v>18383</v>
      </c>
      <c r="G7283" t="str">
        <f>HYPERLINK("http://www.whitepaper.co.kr/news/articleView.html?idxno=248381")</f>
        <v>http://www.whitepaper.co.kr/news/articleView.html?idxno=248381</v>
      </c>
      <c r="H7283">
        <v>0.82499999999999996</v>
      </c>
    </row>
    <row r="7284" spans="1:8" x14ac:dyDescent="0.3">
      <c r="A7284" t="s">
        <v>18176</v>
      </c>
      <c r="B7284" t="s">
        <v>26951</v>
      </c>
      <c r="C7284" t="s">
        <v>18387</v>
      </c>
      <c r="D7284" t="s">
        <v>18386</v>
      </c>
      <c r="E7284" s="2" t="s">
        <v>860</v>
      </c>
      <c r="F7284" t="s">
        <v>1277</v>
      </c>
      <c r="G7284" t="str">
        <f>HYPERLINK("https://n.news.naver.com/mnews/article/052/0002201581?sid=102")</f>
        <v>https://n.news.naver.com/mnews/article/052/0002201581?sid=102</v>
      </c>
      <c r="H7284">
        <v>0.23300000000000001</v>
      </c>
    </row>
    <row r="7285" spans="1:8" x14ac:dyDescent="0.3">
      <c r="A7285" t="s">
        <v>18176</v>
      </c>
      <c r="B7285" t="s">
        <v>26951</v>
      </c>
      <c r="C7285" t="s">
        <v>18389</v>
      </c>
      <c r="D7285" t="s">
        <v>18388</v>
      </c>
      <c r="E7285" s="2" t="s">
        <v>860</v>
      </c>
      <c r="F7285" t="s">
        <v>7846</v>
      </c>
      <c r="G7285" t="str">
        <f>HYPERLINK("https://www.marieclairekorea.com/fashion/2025/07/2026ss-paris-fashion-week-2/?utm_source=naver&amp;utm_medium=partnership")</f>
        <v>https://www.marieclairekorea.com/fashion/2025/07/2026ss-paris-fashion-week-2/?utm_source=naver&amp;utm_medium=partnership</v>
      </c>
      <c r="H7285">
        <v>0.19600000000000001</v>
      </c>
    </row>
    <row r="7286" spans="1:8" x14ac:dyDescent="0.3">
      <c r="A7286" t="s">
        <v>18176</v>
      </c>
      <c r="B7286" t="s">
        <v>26951</v>
      </c>
      <c r="C7286" t="s">
        <v>18391</v>
      </c>
      <c r="D7286" t="s">
        <v>18390</v>
      </c>
      <c r="E7286" s="2" t="s">
        <v>860</v>
      </c>
      <c r="F7286" t="s">
        <v>12082</v>
      </c>
      <c r="G7286" t="str">
        <f>HYPERLINK("https://www.lecturernews.com/news/articleView.html?idxno=155396")</f>
        <v>https://www.lecturernews.com/news/articleView.html?idxno=155396</v>
      </c>
      <c r="H7286">
        <v>0.46200000000000002</v>
      </c>
    </row>
    <row r="7287" spans="1:8" x14ac:dyDescent="0.3">
      <c r="A7287" t="s">
        <v>18176</v>
      </c>
      <c r="B7287" t="s">
        <v>26951</v>
      </c>
      <c r="C7287" t="s">
        <v>18393</v>
      </c>
      <c r="D7287" t="s">
        <v>18392</v>
      </c>
      <c r="E7287" s="2" t="s">
        <v>860</v>
      </c>
      <c r="F7287" t="s">
        <v>3829</v>
      </c>
      <c r="G7287" t="str">
        <f>HYPERLINK("https://www.aitimes.kr/news/articleView.html?idxno=35140")</f>
        <v>https://www.aitimes.kr/news/articleView.html?idxno=35140</v>
      </c>
      <c r="H7287">
        <v>0.88900000000000001</v>
      </c>
    </row>
    <row r="7288" spans="1:8" x14ac:dyDescent="0.3">
      <c r="A7288" t="s">
        <v>18176</v>
      </c>
      <c r="B7288" t="s">
        <v>26951</v>
      </c>
      <c r="C7288" t="s">
        <v>18396</v>
      </c>
      <c r="D7288" t="s">
        <v>18395</v>
      </c>
      <c r="E7288" s="2" t="s">
        <v>860</v>
      </c>
      <c r="F7288" t="s">
        <v>18394</v>
      </c>
      <c r="G7288" t="str">
        <f>HYPERLINK("https://n.news.naver.com/mnews/article/028/0002748800?sid=102")</f>
        <v>https://n.news.naver.com/mnews/article/028/0002748800?sid=102</v>
      </c>
      <c r="H7288">
        <v>0.151</v>
      </c>
    </row>
    <row r="7289" spans="1:8" x14ac:dyDescent="0.3">
      <c r="A7289" t="s">
        <v>18176</v>
      </c>
      <c r="B7289" t="s">
        <v>26951</v>
      </c>
      <c r="C7289" t="s">
        <v>18399</v>
      </c>
      <c r="D7289" t="s">
        <v>18398</v>
      </c>
      <c r="E7289" s="2" t="s">
        <v>860</v>
      </c>
      <c r="F7289" t="s">
        <v>18397</v>
      </c>
      <c r="G7289" t="str">
        <f>HYPERLINK("http://jmagazine.joins.com/monthly/view/312556")</f>
        <v>http://jmagazine.joins.com/monthly/view/312556</v>
      </c>
      <c r="H7289">
        <v>0.69599999999999995</v>
      </c>
    </row>
    <row r="7290" spans="1:8" x14ac:dyDescent="0.3">
      <c r="A7290" t="s">
        <v>18176</v>
      </c>
      <c r="B7290" t="s">
        <v>26951</v>
      </c>
      <c r="C7290" t="s">
        <v>18403</v>
      </c>
      <c r="D7290" t="s">
        <v>18402</v>
      </c>
      <c r="E7290" s="2" t="s">
        <v>860</v>
      </c>
      <c r="F7290" t="s">
        <v>18401</v>
      </c>
      <c r="G7290" t="str">
        <f>HYPERLINK("https://n.news.naver.com/mnews/article/056/0010742625?sid=104")</f>
        <v>https://n.news.naver.com/mnews/article/056/0010742625?sid=104</v>
      </c>
      <c r="H7290">
        <v>0.26100000000000001</v>
      </c>
    </row>
    <row r="7291" spans="1:8" x14ac:dyDescent="0.3">
      <c r="A7291" t="s">
        <v>18176</v>
      </c>
      <c r="B7291" t="s">
        <v>26951</v>
      </c>
      <c r="C7291" t="s">
        <v>18405</v>
      </c>
      <c r="D7291" t="s">
        <v>18404</v>
      </c>
      <c r="E7291" s="2" t="s">
        <v>860</v>
      </c>
      <c r="F7291" t="s">
        <v>7005</v>
      </c>
      <c r="G7291" t="str">
        <f>HYPERLINK("http://daily.hankooki.com/news/articleView.html?idxno=835521")</f>
        <v>http://daily.hankooki.com/news/articleView.html?idxno=835521</v>
      </c>
      <c r="H7291">
        <v>0.23400000000000001</v>
      </c>
    </row>
    <row r="7292" spans="1:8" x14ac:dyDescent="0.3">
      <c r="A7292" t="s">
        <v>18176</v>
      </c>
      <c r="B7292" t="s">
        <v>26951</v>
      </c>
      <c r="C7292" t="s">
        <v>18407</v>
      </c>
      <c r="D7292" t="s">
        <v>18406</v>
      </c>
      <c r="E7292" s="2" t="s">
        <v>860</v>
      </c>
      <c r="F7292" t="s">
        <v>89</v>
      </c>
      <c r="G7292" t="str">
        <f>HYPERLINK("http://www.nongaek.com/news/articleView.html?idxno=88127")</f>
        <v>http://www.nongaek.com/news/articleView.html?idxno=88127</v>
      </c>
      <c r="H7292">
        <v>0.68799999999999994</v>
      </c>
    </row>
    <row r="7293" spans="1:8" x14ac:dyDescent="0.3">
      <c r="A7293" t="s">
        <v>18176</v>
      </c>
      <c r="B7293" t="s">
        <v>26951</v>
      </c>
      <c r="C7293" t="s">
        <v>18410</v>
      </c>
      <c r="D7293" t="s">
        <v>18409</v>
      </c>
      <c r="E7293" s="2" t="s">
        <v>860</v>
      </c>
      <c r="F7293" t="s">
        <v>18408</v>
      </c>
      <c r="G7293" t="str">
        <f>HYPERLINK("https://www.lecturernews.com/news/articleView.html?idxno=165011")</f>
        <v>https://www.lecturernews.com/news/articleView.html?idxno=165011</v>
      </c>
      <c r="H7293">
        <v>0.60699999999999998</v>
      </c>
    </row>
    <row r="7294" spans="1:8" x14ac:dyDescent="0.3">
      <c r="A7294" t="s">
        <v>18176</v>
      </c>
      <c r="B7294" t="s">
        <v>26951</v>
      </c>
      <c r="C7294" t="s">
        <v>18412</v>
      </c>
      <c r="D7294" t="s">
        <v>18411</v>
      </c>
      <c r="E7294" s="2" t="s">
        <v>860</v>
      </c>
      <c r="F7294" t="s">
        <v>2269</v>
      </c>
      <c r="G7294" t="str">
        <f>HYPERLINK("https://n.news.naver.com/mnews/article/079/0004030744?sid=102")</f>
        <v>https://n.news.naver.com/mnews/article/079/0004030744?sid=102</v>
      </c>
      <c r="H7294">
        <v>0.23899999999999999</v>
      </c>
    </row>
    <row r="7295" spans="1:8" x14ac:dyDescent="0.3">
      <c r="A7295" t="s">
        <v>18176</v>
      </c>
      <c r="B7295" t="s">
        <v>26951</v>
      </c>
      <c r="C7295" t="s">
        <v>18414</v>
      </c>
      <c r="D7295" t="s">
        <v>18413</v>
      </c>
      <c r="E7295" s="2" t="s">
        <v>860</v>
      </c>
      <c r="F7295" t="s">
        <v>9984</v>
      </c>
      <c r="G7295" t="str">
        <f>HYPERLINK("https://www.ltn.kr/news/articleView.html?idxno=48891")</f>
        <v>https://www.ltn.kr/news/articleView.html?idxno=48891</v>
      </c>
      <c r="H7295">
        <v>0.53</v>
      </c>
    </row>
    <row r="7296" spans="1:8" x14ac:dyDescent="0.3">
      <c r="A7296" t="s">
        <v>18176</v>
      </c>
      <c r="B7296" t="s">
        <v>26951</v>
      </c>
      <c r="C7296" t="s">
        <v>18417</v>
      </c>
      <c r="D7296" t="s">
        <v>18416</v>
      </c>
      <c r="E7296" s="2" t="s">
        <v>860</v>
      </c>
      <c r="F7296" t="s">
        <v>18415</v>
      </c>
      <c r="G7296" t="str">
        <f>HYPERLINK("https://www.lecturernews.com/news/articleView.html?idxno=174955")</f>
        <v>https://www.lecturernews.com/news/articleView.html?idxno=174955</v>
      </c>
      <c r="H7296">
        <v>0.27</v>
      </c>
    </row>
    <row r="7297" spans="1:8" x14ac:dyDescent="0.3">
      <c r="A7297" t="s">
        <v>18176</v>
      </c>
      <c r="B7297" t="s">
        <v>26951</v>
      </c>
      <c r="C7297" t="s">
        <v>18420</v>
      </c>
      <c r="D7297" t="s">
        <v>18419</v>
      </c>
      <c r="E7297" s="2" t="s">
        <v>860</v>
      </c>
      <c r="F7297" t="s">
        <v>18418</v>
      </c>
      <c r="G7297" t="str">
        <f>HYPERLINK("https://www.newspim.com/news/view/20250524000055")</f>
        <v>https://www.newspim.com/news/view/20250524000055</v>
      </c>
      <c r="H7297">
        <v>0.192</v>
      </c>
    </row>
    <row r="7298" spans="1:8" x14ac:dyDescent="0.3">
      <c r="A7298" t="s">
        <v>18176</v>
      </c>
      <c r="B7298" t="s">
        <v>26951</v>
      </c>
      <c r="C7298" t="s">
        <v>18422</v>
      </c>
      <c r="D7298" t="s">
        <v>18421</v>
      </c>
      <c r="E7298" s="2" t="s">
        <v>860</v>
      </c>
      <c r="F7298" t="s">
        <v>10140</v>
      </c>
      <c r="G7298" t="str">
        <f>HYPERLINK("https://n.news.naver.com/mnews/article/214/0001433615?sid=100")</f>
        <v>https://n.news.naver.com/mnews/article/214/0001433615?sid=100</v>
      </c>
      <c r="H7298">
        <v>0.27800000000000002</v>
      </c>
    </row>
    <row r="7299" spans="1:8" x14ac:dyDescent="0.3">
      <c r="A7299" t="s">
        <v>18176</v>
      </c>
      <c r="B7299" t="s">
        <v>26951</v>
      </c>
      <c r="C7299" t="s">
        <v>18424</v>
      </c>
      <c r="D7299" t="s">
        <v>18423</v>
      </c>
      <c r="E7299" s="2" t="s">
        <v>860</v>
      </c>
      <c r="F7299" t="s">
        <v>9863</v>
      </c>
      <c r="G7299" t="str">
        <f>HYPERLINK("https://n.news.naver.com/mnews/article/014/0005357730?sid=103")</f>
        <v>https://n.news.naver.com/mnews/article/014/0005357730?sid=103</v>
      </c>
      <c r="H7299">
        <v>0.2</v>
      </c>
    </row>
    <row r="7300" spans="1:8" x14ac:dyDescent="0.3">
      <c r="A7300" t="s">
        <v>18176</v>
      </c>
      <c r="B7300" t="s">
        <v>26951</v>
      </c>
      <c r="C7300" t="s">
        <v>18426</v>
      </c>
      <c r="D7300" t="s">
        <v>18425</v>
      </c>
      <c r="E7300" s="2" t="s">
        <v>860</v>
      </c>
      <c r="F7300" t="s">
        <v>1822</v>
      </c>
      <c r="G7300" t="str">
        <f>HYPERLINK("https://n.news.naver.com/mnews/article/032/0003378184?sid=102")</f>
        <v>https://n.news.naver.com/mnews/article/032/0003378184?sid=102</v>
      </c>
      <c r="H7300">
        <v>0.248</v>
      </c>
    </row>
    <row r="7301" spans="1:8" x14ac:dyDescent="0.3">
      <c r="A7301" t="s">
        <v>18176</v>
      </c>
      <c r="B7301" t="s">
        <v>26951</v>
      </c>
      <c r="C7301" t="s">
        <v>18428</v>
      </c>
      <c r="D7301" t="s">
        <v>18427</v>
      </c>
      <c r="E7301" s="2" t="s">
        <v>860</v>
      </c>
      <c r="F7301" t="s">
        <v>14189</v>
      </c>
      <c r="G7301" t="str">
        <f>HYPERLINK("http://www.marketnews.co.kr/news/articleView.html?idxno=72028")</f>
        <v>http://www.marketnews.co.kr/news/articleView.html?idxno=72028</v>
      </c>
      <c r="H7301">
        <v>0.76600000000000001</v>
      </c>
    </row>
    <row r="7302" spans="1:8" x14ac:dyDescent="0.3">
      <c r="A7302" t="s">
        <v>18176</v>
      </c>
      <c r="B7302" t="s">
        <v>26951</v>
      </c>
      <c r="C7302" t="s">
        <v>18431</v>
      </c>
      <c r="D7302" t="s">
        <v>18430</v>
      </c>
      <c r="E7302" s="2" t="s">
        <v>860</v>
      </c>
      <c r="F7302" t="s">
        <v>18429</v>
      </c>
      <c r="G7302" t="str">
        <f>HYPERLINK("https://www.foodneconomy.com/news/articleView.html?idxno=337548")</f>
        <v>https://www.foodneconomy.com/news/articleView.html?idxno=337548</v>
      </c>
      <c r="H7302">
        <v>0.17799999999999999</v>
      </c>
    </row>
    <row r="7303" spans="1:8" x14ac:dyDescent="0.3">
      <c r="A7303" t="s">
        <v>18176</v>
      </c>
      <c r="B7303" t="s">
        <v>26951</v>
      </c>
      <c r="C7303" t="s">
        <v>18433</v>
      </c>
      <c r="D7303" t="s">
        <v>18432</v>
      </c>
      <c r="E7303" s="2" t="s">
        <v>860</v>
      </c>
      <c r="F7303" t="s">
        <v>1277</v>
      </c>
      <c r="G7303" t="str">
        <f>HYPERLINK("http://www.youthdaily.co.kr/news/article.html?no=90595")</f>
        <v>http://www.youthdaily.co.kr/news/article.html?no=90595</v>
      </c>
      <c r="H7303">
        <v>0.45300000000000001</v>
      </c>
    </row>
    <row r="7304" spans="1:8" x14ac:dyDescent="0.3">
      <c r="A7304" t="s">
        <v>18176</v>
      </c>
      <c r="B7304" t="s">
        <v>26951</v>
      </c>
      <c r="C7304" t="s">
        <v>18436</v>
      </c>
      <c r="D7304" t="s">
        <v>18435</v>
      </c>
      <c r="E7304" s="2" t="s">
        <v>860</v>
      </c>
      <c r="F7304" t="s">
        <v>18434</v>
      </c>
      <c r="G7304" t="str">
        <f>HYPERLINK("https://www.etoday.co.kr/news/view/2438687")</f>
        <v>https://www.etoday.co.kr/news/view/2438687</v>
      </c>
      <c r="H7304">
        <v>0.217</v>
      </c>
    </row>
    <row r="7305" spans="1:8" x14ac:dyDescent="0.3">
      <c r="A7305" t="s">
        <v>18176</v>
      </c>
      <c r="B7305" t="s">
        <v>26951</v>
      </c>
      <c r="C7305" t="s">
        <v>18438</v>
      </c>
      <c r="D7305" t="s">
        <v>18437</v>
      </c>
      <c r="E7305" s="2" t="s">
        <v>860</v>
      </c>
      <c r="F7305" t="s">
        <v>10898</v>
      </c>
      <c r="G7305" t="str">
        <f>HYPERLINK("https://n.news.naver.com/mnews/article/308/0000031186?sid=103")</f>
        <v>https://n.news.naver.com/mnews/article/308/0000031186?sid=103</v>
      </c>
      <c r="H7305">
        <v>0.107</v>
      </c>
    </row>
    <row r="7306" spans="1:8" x14ac:dyDescent="0.3">
      <c r="A7306" t="s">
        <v>18176</v>
      </c>
      <c r="B7306" t="s">
        <v>26951</v>
      </c>
      <c r="C7306" t="s">
        <v>18440</v>
      </c>
      <c r="D7306" t="s">
        <v>18439</v>
      </c>
      <c r="E7306" s="2" t="s">
        <v>860</v>
      </c>
      <c r="F7306" t="s">
        <v>10845</v>
      </c>
      <c r="G7306" t="str">
        <f>HYPERLINK("https://www.jeonmae.co.kr/news/articleView.html?idxno=890550")</f>
        <v>https://www.jeonmae.co.kr/news/articleView.html?idxno=890550</v>
      </c>
      <c r="H7306">
        <v>0.49</v>
      </c>
    </row>
    <row r="7307" spans="1:8" x14ac:dyDescent="0.3">
      <c r="A7307" t="s">
        <v>18176</v>
      </c>
      <c r="B7307" t="s">
        <v>26951</v>
      </c>
      <c r="C7307" t="s">
        <v>18442</v>
      </c>
      <c r="D7307" t="s">
        <v>18441</v>
      </c>
      <c r="E7307" s="2" t="s">
        <v>860</v>
      </c>
      <c r="F7307" t="s">
        <v>817</v>
      </c>
      <c r="G7307" t="str">
        <f>HYPERLINK("https://n.news.naver.com/mnews/article/014/0005357730?sid=103")</f>
        <v>https://n.news.naver.com/mnews/article/014/0005357730?sid=103</v>
      </c>
      <c r="H7307">
        <v>0.23599999999999999</v>
      </c>
    </row>
    <row r="7308" spans="1:8" x14ac:dyDescent="0.3">
      <c r="A7308" t="s">
        <v>18176</v>
      </c>
      <c r="B7308" t="s">
        <v>26951</v>
      </c>
      <c r="C7308" t="s">
        <v>18444</v>
      </c>
      <c r="D7308" t="s">
        <v>18443</v>
      </c>
      <c r="E7308" s="2" t="s">
        <v>860</v>
      </c>
      <c r="F7308" t="s">
        <v>588</v>
      </c>
      <c r="G7308" t="str">
        <f>HYPERLINK("https://www.pennmike.com/news/articleView.html?idxno=102387")</f>
        <v>https://www.pennmike.com/news/articleView.html?idxno=102387</v>
      </c>
      <c r="H7308">
        <v>0.748</v>
      </c>
    </row>
    <row r="7309" spans="1:8" x14ac:dyDescent="0.3">
      <c r="A7309" t="s">
        <v>18176</v>
      </c>
      <c r="B7309" t="s">
        <v>26951</v>
      </c>
      <c r="C7309" t="s">
        <v>18447</v>
      </c>
      <c r="D7309" t="s">
        <v>18446</v>
      </c>
      <c r="E7309" s="2" t="s">
        <v>860</v>
      </c>
      <c r="F7309" t="s">
        <v>18445</v>
      </c>
      <c r="G7309" t="str">
        <f>HYPERLINK("https://n.news.naver.com/mnews/article/056/0010415725?sid=102")</f>
        <v>https://n.news.naver.com/mnews/article/056/0010415725?sid=102</v>
      </c>
      <c r="H7309">
        <v>0.19600000000000001</v>
      </c>
    </row>
    <row r="7310" spans="1:8" x14ac:dyDescent="0.3">
      <c r="A7310" t="s">
        <v>18176</v>
      </c>
      <c r="B7310" t="s">
        <v>26951</v>
      </c>
      <c r="C7310" t="s">
        <v>18449</v>
      </c>
      <c r="D7310" t="s">
        <v>18448</v>
      </c>
      <c r="E7310" s="2" t="s">
        <v>860</v>
      </c>
      <c r="F7310" t="s">
        <v>10506</v>
      </c>
      <c r="G7310" t="str">
        <f>HYPERLINK("http://www.aptn.co.kr/news/articleView.html?idxno=109594")</f>
        <v>http://www.aptn.co.kr/news/articleView.html?idxno=109594</v>
      </c>
      <c r="H7310">
        <v>0.14799999999999999</v>
      </c>
    </row>
    <row r="7311" spans="1:8" x14ac:dyDescent="0.3">
      <c r="A7311" t="s">
        <v>18176</v>
      </c>
      <c r="B7311" t="s">
        <v>26951</v>
      </c>
      <c r="C7311" t="s">
        <v>18451</v>
      </c>
      <c r="D7311" t="s">
        <v>18450</v>
      </c>
      <c r="E7311" s="2" t="s">
        <v>860</v>
      </c>
      <c r="F7311" t="s">
        <v>5773</v>
      </c>
      <c r="G7311" t="str">
        <f>HYPERLINK("https://www.m-economynews.com/news/article.html?no=55508")</f>
        <v>https://www.m-economynews.com/news/article.html?no=55508</v>
      </c>
      <c r="H7311">
        <v>0.39900000000000002</v>
      </c>
    </row>
    <row r="7312" spans="1:8" x14ac:dyDescent="0.3">
      <c r="A7312" t="s">
        <v>18176</v>
      </c>
      <c r="B7312" t="s">
        <v>26951</v>
      </c>
      <c r="C7312" t="s">
        <v>18453</v>
      </c>
      <c r="D7312" t="s">
        <v>18452</v>
      </c>
      <c r="E7312" s="2" t="s">
        <v>860</v>
      </c>
      <c r="F7312" t="s">
        <v>11184</v>
      </c>
      <c r="G7312" t="str">
        <f>HYPERLINK("https://n.news.naver.com/mnews/article/056/0011972265?sid=100")</f>
        <v>https://n.news.naver.com/mnews/article/056/0011972265?sid=100</v>
      </c>
      <c r="H7312">
        <v>0.22600000000000001</v>
      </c>
    </row>
    <row r="7313" spans="1:8" x14ac:dyDescent="0.3">
      <c r="A7313" t="s">
        <v>18176</v>
      </c>
      <c r="B7313" t="s">
        <v>26951</v>
      </c>
      <c r="C7313" t="s">
        <v>18456</v>
      </c>
      <c r="D7313" t="s">
        <v>18455</v>
      </c>
      <c r="E7313" s="2" t="s">
        <v>860</v>
      </c>
      <c r="F7313" t="s">
        <v>18454</v>
      </c>
      <c r="G7313" t="str">
        <f>HYPERLINK("https://sports.hankooki.com/news/articleView.html?idxno=6892981")</f>
        <v>https://sports.hankooki.com/news/articleView.html?idxno=6892981</v>
      </c>
      <c r="H7313">
        <v>0.39500000000000002</v>
      </c>
    </row>
    <row r="7314" spans="1:8" x14ac:dyDescent="0.3">
      <c r="A7314" t="s">
        <v>18176</v>
      </c>
      <c r="B7314" t="s">
        <v>26951</v>
      </c>
      <c r="C7314" t="s">
        <v>18459</v>
      </c>
      <c r="D7314" t="s">
        <v>18458</v>
      </c>
      <c r="E7314" s="2" t="s">
        <v>860</v>
      </c>
      <c r="F7314" t="s">
        <v>18457</v>
      </c>
      <c r="G7314" t="str">
        <f>HYPERLINK("https://www.pdjournal.com/news/articleView.html?idxno=80819")</f>
        <v>https://www.pdjournal.com/news/articleView.html?idxno=80819</v>
      </c>
      <c r="H7314">
        <v>0.29399999999999998</v>
      </c>
    </row>
    <row r="7315" spans="1:8" x14ac:dyDescent="0.3">
      <c r="A7315" t="s">
        <v>18176</v>
      </c>
      <c r="B7315" t="s">
        <v>26951</v>
      </c>
      <c r="C7315" t="s">
        <v>18461</v>
      </c>
      <c r="D7315" t="s">
        <v>18460</v>
      </c>
      <c r="E7315" s="2" t="s">
        <v>860</v>
      </c>
      <c r="F7315" t="s">
        <v>10198</v>
      </c>
      <c r="G7315" t="str">
        <f>HYPERLINK("http://www.naeil.com/news_view/?id_art=148745")</f>
        <v>http://www.naeil.com/news_view/?id_art=148745</v>
      </c>
      <c r="H7315">
        <v>0.35</v>
      </c>
    </row>
    <row r="7316" spans="1:8" x14ac:dyDescent="0.3">
      <c r="A7316" t="s">
        <v>18176</v>
      </c>
      <c r="B7316" t="s">
        <v>26951</v>
      </c>
      <c r="C7316" t="s">
        <v>18464</v>
      </c>
      <c r="D7316" t="s">
        <v>18463</v>
      </c>
      <c r="E7316" s="2" t="s">
        <v>860</v>
      </c>
      <c r="F7316" t="s">
        <v>18462</v>
      </c>
      <c r="G7316" t="str">
        <f>HYPERLINK("https://n.news.naver.com/mnews/article/056/0011059587?sid=102")</f>
        <v>https://n.news.naver.com/mnews/article/056/0011059587?sid=102</v>
      </c>
      <c r="H7316">
        <v>8.5999999999999993E-2</v>
      </c>
    </row>
    <row r="7317" spans="1:8" x14ac:dyDescent="0.3">
      <c r="A7317" t="s">
        <v>18176</v>
      </c>
      <c r="B7317" t="s">
        <v>26951</v>
      </c>
      <c r="C7317" t="s">
        <v>18467</v>
      </c>
      <c r="D7317" t="s">
        <v>18466</v>
      </c>
      <c r="E7317" s="2" t="s">
        <v>860</v>
      </c>
      <c r="F7317" t="s">
        <v>18465</v>
      </c>
      <c r="G7317" t="str">
        <f>HYPERLINK("http://www.ktsketch.co.kr/news/articleView.html?idxno=3384")</f>
        <v>http://www.ktsketch.co.kr/news/articleView.html?idxno=3384</v>
      </c>
      <c r="H7317">
        <v>0.36099999999999999</v>
      </c>
    </row>
    <row r="7318" spans="1:8" x14ac:dyDescent="0.3">
      <c r="A7318" t="s">
        <v>18176</v>
      </c>
      <c r="B7318" t="s">
        <v>26951</v>
      </c>
      <c r="C7318" t="s">
        <v>18471</v>
      </c>
      <c r="D7318" t="s">
        <v>18470</v>
      </c>
      <c r="E7318" s="2" t="s">
        <v>860</v>
      </c>
      <c r="F7318" t="s">
        <v>18469</v>
      </c>
      <c r="G7318" t="str">
        <f>HYPERLINK("https://n.news.naver.com/mnews/article/056/0011980282?sid=103")</f>
        <v>https://n.news.naver.com/mnews/article/056/0011980282?sid=103</v>
      </c>
      <c r="H7318">
        <v>0.30499999999999999</v>
      </c>
    </row>
    <row r="7319" spans="1:8" x14ac:dyDescent="0.3">
      <c r="A7319" t="s">
        <v>18176</v>
      </c>
      <c r="B7319" t="s">
        <v>26951</v>
      </c>
      <c r="C7319" t="s">
        <v>18473</v>
      </c>
      <c r="D7319" t="s">
        <v>11950</v>
      </c>
      <c r="E7319" s="2" t="s">
        <v>860</v>
      </c>
      <c r="F7319" t="s">
        <v>18472</v>
      </c>
      <c r="G7319" t="str">
        <f>HYPERLINK("https://n.news.naver.com/mnews/article/011/0004503385?sid=101")</f>
        <v>https://n.news.naver.com/mnews/article/011/0004503385?sid=101</v>
      </c>
      <c r="H7319">
        <v>0.23</v>
      </c>
    </row>
    <row r="7320" spans="1:8" x14ac:dyDescent="0.3">
      <c r="A7320" t="s">
        <v>18176</v>
      </c>
      <c r="B7320" t="s">
        <v>26951</v>
      </c>
      <c r="C7320" t="s">
        <v>18476</v>
      </c>
      <c r="D7320" t="s">
        <v>18475</v>
      </c>
      <c r="E7320" s="2" t="s">
        <v>860</v>
      </c>
      <c r="F7320" t="s">
        <v>18474</v>
      </c>
      <c r="G7320" t="str">
        <f>HYPERLINK("https://www.idaegu.co.kr/news/articleView.html?idxno=461766")</f>
        <v>https://www.idaegu.co.kr/news/articleView.html?idxno=461766</v>
      </c>
      <c r="H7320">
        <v>0.60799999999999998</v>
      </c>
    </row>
    <row r="7321" spans="1:8" x14ac:dyDescent="0.3">
      <c r="A7321" t="s">
        <v>18176</v>
      </c>
      <c r="B7321" t="s">
        <v>26951</v>
      </c>
      <c r="C7321" t="s">
        <v>18479</v>
      </c>
      <c r="D7321" t="s">
        <v>18478</v>
      </c>
      <c r="E7321" s="2" t="s">
        <v>860</v>
      </c>
      <c r="F7321" t="s">
        <v>18477</v>
      </c>
      <c r="G7321" t="str">
        <f>HYPERLINK("http://www.joongdo.co.kr/web/view.php?key=20200705010000418")</f>
        <v>http://www.joongdo.co.kr/web/view.php?key=20200705010000418</v>
      </c>
      <c r="H7321">
        <v>0.373</v>
      </c>
    </row>
    <row r="7322" spans="1:8" x14ac:dyDescent="0.3">
      <c r="A7322" t="s">
        <v>18176</v>
      </c>
      <c r="B7322" t="s">
        <v>26951</v>
      </c>
      <c r="C7322" t="s">
        <v>18481</v>
      </c>
      <c r="D7322" t="s">
        <v>18480</v>
      </c>
      <c r="E7322" s="2" t="s">
        <v>860</v>
      </c>
      <c r="F7322" t="s">
        <v>2686</v>
      </c>
      <c r="G7322" t="str">
        <f>HYPERLINK("https://n.news.naver.com/mnews/article/214/0001433615?sid=100")</f>
        <v>https://n.news.naver.com/mnews/article/214/0001433615?sid=100</v>
      </c>
      <c r="H7322">
        <v>0.214</v>
      </c>
    </row>
    <row r="7323" spans="1:8" x14ac:dyDescent="0.3">
      <c r="A7323" t="s">
        <v>18176</v>
      </c>
      <c r="B7323" t="s">
        <v>26951</v>
      </c>
      <c r="C7323" t="s">
        <v>18484</v>
      </c>
      <c r="D7323" t="s">
        <v>18483</v>
      </c>
      <c r="E7323" s="2" t="s">
        <v>860</v>
      </c>
      <c r="F7323" t="s">
        <v>18482</v>
      </c>
      <c r="G7323" t="str">
        <f>HYPERLINK("https://www.apnews.kr/news/articleView.html?idxno=3028169")</f>
        <v>https://www.apnews.kr/news/articleView.html?idxno=3028169</v>
      </c>
      <c r="H7323">
        <v>0.29499999999999998</v>
      </c>
    </row>
    <row r="7324" spans="1:8" x14ac:dyDescent="0.3">
      <c r="A7324" t="s">
        <v>18176</v>
      </c>
      <c r="B7324" t="s">
        <v>26951</v>
      </c>
      <c r="C7324" t="s">
        <v>18487</v>
      </c>
      <c r="D7324" t="s">
        <v>18486</v>
      </c>
      <c r="E7324" s="2" t="s">
        <v>903</v>
      </c>
      <c r="F7324" t="s">
        <v>18485</v>
      </c>
      <c r="G7324" t="str">
        <f>HYPERLINK("http://www.gimhaenews.co.kr/news/articleView.html?idxno=16723")</f>
        <v>http://www.gimhaenews.co.kr/news/articleView.html?idxno=16723</v>
      </c>
      <c r="H7324">
        <v>0.32</v>
      </c>
    </row>
    <row r="7325" spans="1:8" x14ac:dyDescent="0.3">
      <c r="A7325" t="s">
        <v>18176</v>
      </c>
      <c r="B7325" t="s">
        <v>26951</v>
      </c>
      <c r="C7325" t="s">
        <v>18490</v>
      </c>
      <c r="D7325" t="s">
        <v>18489</v>
      </c>
      <c r="E7325" s="2" t="s">
        <v>903</v>
      </c>
      <c r="F7325" t="s">
        <v>18488</v>
      </c>
      <c r="G7325" t="str">
        <f>HYPERLINK("https://n.news.naver.com/mnews/article/119/0002964197?sid=103")</f>
        <v>https://n.news.naver.com/mnews/article/119/0002964197?sid=103</v>
      </c>
      <c r="H7325">
        <v>0.186</v>
      </c>
    </row>
    <row r="7326" spans="1:8" x14ac:dyDescent="0.3">
      <c r="A7326" t="s">
        <v>18176</v>
      </c>
      <c r="B7326" t="s">
        <v>26951</v>
      </c>
      <c r="C7326" t="s">
        <v>18493</v>
      </c>
      <c r="D7326" t="s">
        <v>18492</v>
      </c>
      <c r="E7326" s="2" t="s">
        <v>903</v>
      </c>
      <c r="F7326" t="s">
        <v>18491</v>
      </c>
      <c r="G7326" t="str">
        <f>HYPERLINK("https://n.news.naver.com/mnews/article/277/0003169234?sid=102")</f>
        <v>https://n.news.naver.com/mnews/article/277/0003169234?sid=102</v>
      </c>
      <c r="H7326">
        <v>0.19</v>
      </c>
    </row>
    <row r="7327" spans="1:8" x14ac:dyDescent="0.3">
      <c r="A7327" t="s">
        <v>18176</v>
      </c>
      <c r="B7327" t="s">
        <v>26951</v>
      </c>
      <c r="C7327" t="s">
        <v>18495</v>
      </c>
      <c r="D7327" t="s">
        <v>18494</v>
      </c>
      <c r="E7327" s="2" t="s">
        <v>903</v>
      </c>
      <c r="F7327" t="s">
        <v>14608</v>
      </c>
      <c r="G7327" t="str">
        <f>HYPERLINK("http://www.newsfreezone.co.kr/news/articleView.html?idxno=457829")</f>
        <v>http://www.newsfreezone.co.kr/news/articleView.html?idxno=457829</v>
      </c>
      <c r="H7327">
        <v>0.252</v>
      </c>
    </row>
    <row r="7328" spans="1:8" x14ac:dyDescent="0.3">
      <c r="A7328" t="s">
        <v>18176</v>
      </c>
      <c r="B7328" t="s">
        <v>26951</v>
      </c>
      <c r="C7328" t="s">
        <v>18498</v>
      </c>
      <c r="D7328" t="s">
        <v>18497</v>
      </c>
      <c r="E7328" s="2" t="s">
        <v>903</v>
      </c>
      <c r="F7328" t="s">
        <v>18496</v>
      </c>
      <c r="G7328" t="str">
        <f>HYPERLINK("http://www.fntoday.co.kr/news/articleView.html?idxno=353813")</f>
        <v>http://www.fntoday.co.kr/news/articleView.html?idxno=353813</v>
      </c>
      <c r="H7328">
        <v>0.504</v>
      </c>
    </row>
    <row r="7329" spans="1:8" x14ac:dyDescent="0.3">
      <c r="A7329" t="s">
        <v>18176</v>
      </c>
      <c r="B7329" t="s">
        <v>26951</v>
      </c>
      <c r="C7329" t="s">
        <v>18501</v>
      </c>
      <c r="D7329" t="s">
        <v>18500</v>
      </c>
      <c r="E7329" s="2" t="s">
        <v>903</v>
      </c>
      <c r="F7329" t="s">
        <v>18499</v>
      </c>
      <c r="G7329" t="str">
        <f>HYPERLINK("http://www.hyunbulnews.com/news/articleView.html?idxno=411995")</f>
        <v>http://www.hyunbulnews.com/news/articleView.html?idxno=411995</v>
      </c>
      <c r="H7329">
        <v>0.14499999999999999</v>
      </c>
    </row>
    <row r="7330" spans="1:8" x14ac:dyDescent="0.3">
      <c r="A7330" t="s">
        <v>18176</v>
      </c>
      <c r="B7330" t="s">
        <v>26951</v>
      </c>
      <c r="C7330" t="s">
        <v>18504</v>
      </c>
      <c r="D7330" t="s">
        <v>18503</v>
      </c>
      <c r="E7330" s="2" t="s">
        <v>903</v>
      </c>
      <c r="F7330" t="s">
        <v>18502</v>
      </c>
      <c r="G7330" t="str">
        <f>HYPERLINK("https://daily.hankooki.com/news/articleView.html?idxno=1210795")</f>
        <v>https://daily.hankooki.com/news/articleView.html?idxno=1210795</v>
      </c>
      <c r="H7330">
        <v>0.30099999999999999</v>
      </c>
    </row>
    <row r="7331" spans="1:8" x14ac:dyDescent="0.3">
      <c r="A7331" t="s">
        <v>18176</v>
      </c>
      <c r="B7331" t="s">
        <v>26951</v>
      </c>
      <c r="C7331" t="s">
        <v>18507</v>
      </c>
      <c r="D7331" t="s">
        <v>18506</v>
      </c>
      <c r="E7331" s="2" t="s">
        <v>903</v>
      </c>
      <c r="F7331" t="s">
        <v>18505</v>
      </c>
      <c r="G7331" t="str">
        <f>HYPERLINK("https://dealsite.co.kr/articles/117757")</f>
        <v>https://dealsite.co.kr/articles/117757</v>
      </c>
      <c r="H7331">
        <v>0.30299999999999999</v>
      </c>
    </row>
    <row r="7332" spans="1:8" x14ac:dyDescent="0.3">
      <c r="A7332" t="s">
        <v>18176</v>
      </c>
      <c r="B7332" t="s">
        <v>26951</v>
      </c>
      <c r="C7332" t="s">
        <v>18510</v>
      </c>
      <c r="D7332" t="s">
        <v>18509</v>
      </c>
      <c r="E7332" s="2" t="s">
        <v>903</v>
      </c>
      <c r="F7332" t="s">
        <v>18508</v>
      </c>
      <c r="G7332" t="str">
        <f>HYPERLINK("https://n.news.naver.com/mnews/article/056/0011409528?sid=100")</f>
        <v>https://n.news.naver.com/mnews/article/056/0011409528?sid=100</v>
      </c>
      <c r="H7332">
        <v>0.28299999999999997</v>
      </c>
    </row>
    <row r="7333" spans="1:8" x14ac:dyDescent="0.3">
      <c r="A7333" t="s">
        <v>18176</v>
      </c>
      <c r="B7333" t="s">
        <v>26951</v>
      </c>
      <c r="C7333" t="s">
        <v>18513</v>
      </c>
      <c r="D7333" t="s">
        <v>18512</v>
      </c>
      <c r="E7333" s="2" t="s">
        <v>903</v>
      </c>
      <c r="F7333" t="s">
        <v>18511</v>
      </c>
      <c r="G7333" t="str">
        <f>HYPERLINK("http://www.kdfnews.com/news/articleView.html?idxno=160078")</f>
        <v>http://www.kdfnews.com/news/articleView.html?idxno=160078</v>
      </c>
      <c r="H7333">
        <v>0.313</v>
      </c>
    </row>
    <row r="7334" spans="1:8" x14ac:dyDescent="0.3">
      <c r="A7334" t="s">
        <v>18176</v>
      </c>
      <c r="B7334" t="s">
        <v>26951</v>
      </c>
      <c r="C7334" t="s">
        <v>18514</v>
      </c>
      <c r="D7334" t="s">
        <v>15581</v>
      </c>
      <c r="E7334" s="2" t="s">
        <v>903</v>
      </c>
      <c r="F7334" t="s">
        <v>9786</v>
      </c>
      <c r="G7334" t="str">
        <f>HYPERLINK("https://n.news.naver.com/mnews/article/082/0000282565?sid=102")</f>
        <v>https://n.news.naver.com/mnews/article/082/0000282565?sid=102</v>
      </c>
      <c r="H7334">
        <v>0.17399999999999999</v>
      </c>
    </row>
    <row r="7335" spans="1:8" x14ac:dyDescent="0.3">
      <c r="A7335" t="s">
        <v>18176</v>
      </c>
      <c r="B7335" t="s">
        <v>26951</v>
      </c>
      <c r="C7335" t="s">
        <v>18517</v>
      </c>
      <c r="D7335" t="s">
        <v>18516</v>
      </c>
      <c r="E7335" s="2" t="s">
        <v>903</v>
      </c>
      <c r="F7335" t="s">
        <v>18515</v>
      </c>
      <c r="G7335" t="str">
        <f>HYPERLINK("http://www.socialvalue.kr/news/articleView.html?idxno=600271")</f>
        <v>http://www.socialvalue.kr/news/articleView.html?idxno=600271</v>
      </c>
      <c r="H7335">
        <v>0.39300000000000002</v>
      </c>
    </row>
    <row r="7336" spans="1:8" x14ac:dyDescent="0.3">
      <c r="A7336" t="s">
        <v>18176</v>
      </c>
      <c r="B7336" t="s">
        <v>26951</v>
      </c>
      <c r="C7336" t="s">
        <v>18519</v>
      </c>
      <c r="D7336" t="s">
        <v>18518</v>
      </c>
      <c r="E7336" s="2" t="s">
        <v>903</v>
      </c>
      <c r="F7336" t="s">
        <v>4130</v>
      </c>
      <c r="G7336" t="str">
        <f>HYPERLINK("https://n.news.naver.com/mnews/article/214/0001220268?sid=100")</f>
        <v>https://n.news.naver.com/mnews/article/214/0001220268?sid=100</v>
      </c>
      <c r="H7336">
        <v>0.36399999999999999</v>
      </c>
    </row>
    <row r="7337" spans="1:8" x14ac:dyDescent="0.3">
      <c r="A7337" t="s">
        <v>18176</v>
      </c>
      <c r="B7337" t="s">
        <v>26951</v>
      </c>
      <c r="C7337" t="s">
        <v>18522</v>
      </c>
      <c r="D7337" t="s">
        <v>18521</v>
      </c>
      <c r="E7337" s="2" t="s">
        <v>903</v>
      </c>
      <c r="F7337" t="s">
        <v>18520</v>
      </c>
      <c r="G7337" t="str">
        <f>HYPERLINK("http://www.kyosu.net/news/articleView.html?idxno=125949")</f>
        <v>http://www.kyosu.net/news/articleView.html?idxno=125949</v>
      </c>
      <c r="H7337">
        <v>0.36899999999999999</v>
      </c>
    </row>
    <row r="7338" spans="1:8" x14ac:dyDescent="0.3">
      <c r="A7338" t="s">
        <v>18176</v>
      </c>
      <c r="B7338" t="s">
        <v>26951</v>
      </c>
      <c r="C7338" t="s">
        <v>18523</v>
      </c>
      <c r="D7338" t="s">
        <v>13237</v>
      </c>
      <c r="E7338" s="2" t="s">
        <v>903</v>
      </c>
      <c r="F7338" t="s">
        <v>9786</v>
      </c>
      <c r="G7338" t="str">
        <f>HYPERLINK("https://sports.hankooki.com/news/articleView.html?idxno=6900595")</f>
        <v>https://sports.hankooki.com/news/articleView.html?idxno=6900595</v>
      </c>
      <c r="H7338">
        <v>0.17699999999999999</v>
      </c>
    </row>
    <row r="7339" spans="1:8" x14ac:dyDescent="0.3">
      <c r="A7339" t="s">
        <v>18176</v>
      </c>
      <c r="B7339" t="s">
        <v>26951</v>
      </c>
      <c r="C7339" t="s">
        <v>18526</v>
      </c>
      <c r="D7339" t="s">
        <v>18525</v>
      </c>
      <c r="E7339" s="2" t="s">
        <v>903</v>
      </c>
      <c r="F7339" t="s">
        <v>18524</v>
      </c>
      <c r="G7339" t="str">
        <f>HYPERLINK("https://n.news.naver.com/mnews/article/011/0004503831?sid=103")</f>
        <v>https://n.news.naver.com/mnews/article/011/0004503831?sid=103</v>
      </c>
      <c r="H7339">
        <v>0.32900000000000001</v>
      </c>
    </row>
    <row r="7340" spans="1:8" x14ac:dyDescent="0.3">
      <c r="A7340" t="s">
        <v>18176</v>
      </c>
      <c r="B7340" t="s">
        <v>26951</v>
      </c>
      <c r="C7340" t="s">
        <v>18528</v>
      </c>
      <c r="D7340" t="s">
        <v>18527</v>
      </c>
      <c r="E7340" s="2" t="s">
        <v>903</v>
      </c>
      <c r="F7340" t="s">
        <v>13862</v>
      </c>
      <c r="G7340" t="str">
        <f>HYPERLINK("http://www.gvalley.co.kr/519809")</f>
        <v>http://www.gvalley.co.kr/519809</v>
      </c>
      <c r="H7340">
        <v>0.50700000000000001</v>
      </c>
    </row>
    <row r="7341" spans="1:8" x14ac:dyDescent="0.3">
      <c r="A7341" t="s">
        <v>18176</v>
      </c>
      <c r="B7341" t="s">
        <v>26951</v>
      </c>
      <c r="C7341" t="s">
        <v>18530</v>
      </c>
      <c r="D7341" t="s">
        <v>12660</v>
      </c>
      <c r="E7341" s="2" t="s">
        <v>903</v>
      </c>
      <c r="F7341" t="s">
        <v>18529</v>
      </c>
      <c r="G7341" t="str">
        <f>HYPERLINK("https://www.pdjournal.com/news/articleView.html?idxno=80819")</f>
        <v>https://www.pdjournal.com/news/articleView.html?idxno=80819</v>
      </c>
      <c r="H7341">
        <v>0.315</v>
      </c>
    </row>
    <row r="7342" spans="1:8" x14ac:dyDescent="0.3">
      <c r="A7342" t="s">
        <v>18176</v>
      </c>
      <c r="B7342" t="s">
        <v>26951</v>
      </c>
      <c r="C7342" t="s">
        <v>18532</v>
      </c>
      <c r="D7342" t="s">
        <v>18531</v>
      </c>
      <c r="E7342" s="2" t="s">
        <v>903</v>
      </c>
      <c r="F7342" t="s">
        <v>18302</v>
      </c>
      <c r="G7342" t="str">
        <f>HYPERLINK("https://www.m-joongang.com/news/articleView.html?idxno=401019")</f>
        <v>https://www.m-joongang.com/news/articleView.html?idxno=401019</v>
      </c>
      <c r="H7342">
        <v>0.65400000000000003</v>
      </c>
    </row>
    <row r="7343" spans="1:8" x14ac:dyDescent="0.3">
      <c r="A7343" t="s">
        <v>18176</v>
      </c>
      <c r="B7343" t="s">
        <v>26951</v>
      </c>
      <c r="C7343" t="s">
        <v>18535</v>
      </c>
      <c r="D7343" t="s">
        <v>18534</v>
      </c>
      <c r="E7343" s="2" t="s">
        <v>903</v>
      </c>
      <c r="F7343" t="s">
        <v>18533</v>
      </c>
      <c r="G7343" t="str">
        <f>HYPERLINK("http://www.bulkyo21.com/news/articleView.html?idxno=58816")</f>
        <v>http://www.bulkyo21.com/news/articleView.html?idxno=58816</v>
      </c>
      <c r="H7343">
        <v>0.59399999999999997</v>
      </c>
    </row>
    <row r="7344" spans="1:8" x14ac:dyDescent="0.3">
      <c r="A7344" t="s">
        <v>18176</v>
      </c>
      <c r="B7344" t="s">
        <v>26951</v>
      </c>
      <c r="C7344" t="s">
        <v>18538</v>
      </c>
      <c r="D7344" t="s">
        <v>18537</v>
      </c>
      <c r="E7344" s="2" t="s">
        <v>903</v>
      </c>
      <c r="F7344" t="s">
        <v>18536</v>
      </c>
      <c r="G7344" t="str">
        <f>HYPERLINK("https://www.incheontoday.com/news/articleView.html?idxno=304629")</f>
        <v>https://www.incheontoday.com/news/articleView.html?idxno=304629</v>
      </c>
      <c r="H7344">
        <v>0.34799999999999998</v>
      </c>
    </row>
    <row r="7345" spans="1:8" x14ac:dyDescent="0.3">
      <c r="A7345" t="s">
        <v>18176</v>
      </c>
      <c r="B7345" t="s">
        <v>26951</v>
      </c>
      <c r="C7345" t="s">
        <v>18540</v>
      </c>
      <c r="D7345" t="s">
        <v>18539</v>
      </c>
      <c r="E7345" s="2" t="s">
        <v>903</v>
      </c>
      <c r="F7345" t="s">
        <v>9944</v>
      </c>
      <c r="G7345" t="str">
        <f>HYPERLINK("https://www.jemin.com/news/articleView.html?idxno=807220")</f>
        <v>https://www.jemin.com/news/articleView.html?idxno=807220</v>
      </c>
      <c r="H7345">
        <v>0.41299999999999998</v>
      </c>
    </row>
    <row r="7346" spans="1:8" x14ac:dyDescent="0.3">
      <c r="A7346" t="s">
        <v>18176</v>
      </c>
      <c r="B7346" t="s">
        <v>26951</v>
      </c>
      <c r="C7346" t="s">
        <v>18543</v>
      </c>
      <c r="D7346" t="s">
        <v>18542</v>
      </c>
      <c r="E7346" s="2" t="s">
        <v>903</v>
      </c>
      <c r="F7346" t="s">
        <v>18541</v>
      </c>
      <c r="G7346" t="str">
        <f>HYPERLINK("https://www.pennmike.com/news/articleView.html?idxno=102522")</f>
        <v>https://www.pennmike.com/news/articleView.html?idxno=102522</v>
      </c>
      <c r="H7346">
        <v>0.377</v>
      </c>
    </row>
    <row r="7347" spans="1:8" x14ac:dyDescent="0.3">
      <c r="A7347" t="s">
        <v>18176</v>
      </c>
      <c r="B7347" t="s">
        <v>26951</v>
      </c>
      <c r="C7347" t="s">
        <v>18546</v>
      </c>
      <c r="D7347" t="s">
        <v>18545</v>
      </c>
      <c r="E7347" s="2" t="s">
        <v>903</v>
      </c>
      <c r="F7347" t="s">
        <v>18544</v>
      </c>
      <c r="G7347" t="str">
        <f>HYPERLINK("https://n.news.naver.com/mnews/article/006/0000130677?sid=100")</f>
        <v>https://n.news.naver.com/mnews/article/006/0000130677?sid=100</v>
      </c>
      <c r="H7347">
        <v>0.19</v>
      </c>
    </row>
    <row r="7348" spans="1:8" x14ac:dyDescent="0.3">
      <c r="A7348" t="s">
        <v>18176</v>
      </c>
      <c r="B7348" t="s">
        <v>26951</v>
      </c>
      <c r="C7348" t="s">
        <v>18548</v>
      </c>
      <c r="D7348" t="s">
        <v>18547</v>
      </c>
      <c r="E7348" s="2" t="s">
        <v>903</v>
      </c>
      <c r="F7348" t="s">
        <v>1377</v>
      </c>
      <c r="G7348" t="str">
        <f>HYPERLINK("https://sports.hankooki.com/news/articleView.html?idxno=6899164")</f>
        <v>https://sports.hankooki.com/news/articleView.html?idxno=6899164</v>
      </c>
      <c r="H7348">
        <v>0.41299999999999998</v>
      </c>
    </row>
    <row r="7349" spans="1:8" x14ac:dyDescent="0.3">
      <c r="A7349" t="s">
        <v>18176</v>
      </c>
      <c r="B7349" t="s">
        <v>26951</v>
      </c>
      <c r="C7349" t="s">
        <v>18551</v>
      </c>
      <c r="D7349" t="s">
        <v>18550</v>
      </c>
      <c r="E7349" s="2" t="s">
        <v>903</v>
      </c>
      <c r="F7349" t="s">
        <v>18549</v>
      </c>
      <c r="G7349" t="str">
        <f>HYPERLINK("http://www.m-economynews.com/news/article.html?no=32410")</f>
        <v>http://www.m-economynews.com/news/article.html?no=32410</v>
      </c>
      <c r="H7349">
        <v>0.60399999999999998</v>
      </c>
    </row>
    <row r="7350" spans="1:8" x14ac:dyDescent="0.3">
      <c r="A7350" t="s">
        <v>18176</v>
      </c>
      <c r="B7350" t="s">
        <v>26951</v>
      </c>
      <c r="C7350" t="s">
        <v>18554</v>
      </c>
      <c r="D7350" t="s">
        <v>18553</v>
      </c>
      <c r="E7350" s="2" t="s">
        <v>903</v>
      </c>
      <c r="F7350" t="s">
        <v>18552</v>
      </c>
      <c r="G7350" t="str">
        <f>HYPERLINK("http://www.thefirstmedia.net/news/articleView.html?idxno=174339")</f>
        <v>http://www.thefirstmedia.net/news/articleView.html?idxno=174339</v>
      </c>
      <c r="H7350">
        <v>0.18</v>
      </c>
    </row>
    <row r="7351" spans="1:8" x14ac:dyDescent="0.3">
      <c r="A7351" t="s">
        <v>18176</v>
      </c>
      <c r="B7351" t="s">
        <v>26951</v>
      </c>
      <c r="C7351" t="s">
        <v>18556</v>
      </c>
      <c r="D7351" t="s">
        <v>18555</v>
      </c>
      <c r="E7351" s="2" t="s">
        <v>903</v>
      </c>
      <c r="F7351" t="s">
        <v>10987</v>
      </c>
      <c r="G7351" t="str">
        <f>HYPERLINK("https://www.lecturernews.com/news/articleView.html?idxno=173729")</f>
        <v>https://www.lecturernews.com/news/articleView.html?idxno=173729</v>
      </c>
      <c r="H7351">
        <v>0.38900000000000001</v>
      </c>
    </row>
    <row r="7352" spans="1:8" x14ac:dyDescent="0.3">
      <c r="A7352" t="s">
        <v>18176</v>
      </c>
      <c r="B7352" t="s">
        <v>26951</v>
      </c>
      <c r="C7352" t="s">
        <v>18559</v>
      </c>
      <c r="D7352" t="s">
        <v>18558</v>
      </c>
      <c r="E7352" s="2" t="s">
        <v>903</v>
      </c>
      <c r="F7352" t="s">
        <v>18557</v>
      </c>
      <c r="G7352" t="str">
        <f>HYPERLINK("http://www.kyongbuk.co.kr/news/articleView.html?idxno=2150632")</f>
        <v>http://www.kyongbuk.co.kr/news/articleView.html?idxno=2150632</v>
      </c>
      <c r="H7352">
        <v>0.69899999999999995</v>
      </c>
    </row>
    <row r="7353" spans="1:8" x14ac:dyDescent="0.3">
      <c r="A7353" t="s">
        <v>18176</v>
      </c>
      <c r="B7353" t="s">
        <v>26951</v>
      </c>
      <c r="C7353" t="s">
        <v>18562</v>
      </c>
      <c r="D7353" t="s">
        <v>18561</v>
      </c>
      <c r="E7353" s="2" t="s">
        <v>903</v>
      </c>
      <c r="F7353" t="s">
        <v>18560</v>
      </c>
      <c r="G7353" t="str">
        <f>HYPERLINK("https://www.ccreview.co.kr/news/articleView.html?idxno=332166")</f>
        <v>https://www.ccreview.co.kr/news/articleView.html?idxno=332166</v>
      </c>
      <c r="H7353">
        <v>0.64800000000000002</v>
      </c>
    </row>
    <row r="7354" spans="1:8" x14ac:dyDescent="0.3">
      <c r="A7354" t="s">
        <v>18176</v>
      </c>
      <c r="B7354" t="s">
        <v>26951</v>
      </c>
      <c r="C7354" t="s">
        <v>18565</v>
      </c>
      <c r="D7354" t="s">
        <v>18564</v>
      </c>
      <c r="E7354" s="2" t="s">
        <v>903</v>
      </c>
      <c r="F7354" t="s">
        <v>18563</v>
      </c>
      <c r="G7354" t="str">
        <f>HYPERLINK("http://www.pdjournal.com/news/articleView.html?idxno=26351")</f>
        <v>http://www.pdjournal.com/news/articleView.html?idxno=26351</v>
      </c>
      <c r="H7354">
        <v>0.23400000000000001</v>
      </c>
    </row>
    <row r="7355" spans="1:8" x14ac:dyDescent="0.3">
      <c r="A7355" t="s">
        <v>18176</v>
      </c>
      <c r="B7355" t="s">
        <v>26951</v>
      </c>
      <c r="C7355" t="s">
        <v>18568</v>
      </c>
      <c r="D7355" t="s">
        <v>18567</v>
      </c>
      <c r="E7355" s="2" t="s">
        <v>903</v>
      </c>
      <c r="F7355" t="s">
        <v>18566</v>
      </c>
      <c r="G7355" t="str">
        <f>HYPERLINK("https://n.news.naver.com/mnews/article/056/0010951813?sid=102")</f>
        <v>https://n.news.naver.com/mnews/article/056/0010951813?sid=102</v>
      </c>
      <c r="H7355">
        <v>0.29899999999999999</v>
      </c>
    </row>
    <row r="7356" spans="1:8" x14ac:dyDescent="0.3">
      <c r="A7356" t="s">
        <v>18176</v>
      </c>
      <c r="B7356" t="s">
        <v>26951</v>
      </c>
      <c r="C7356" t="s">
        <v>18570</v>
      </c>
      <c r="D7356" t="s">
        <v>18569</v>
      </c>
      <c r="E7356" s="2" t="s">
        <v>903</v>
      </c>
      <c r="F7356" t="s">
        <v>7955</v>
      </c>
      <c r="G7356" t="str">
        <f>HYPERLINK("https://www.aitimes.kr/news/articleView.html?idxno=31134")</f>
        <v>https://www.aitimes.kr/news/articleView.html?idxno=31134</v>
      </c>
      <c r="H7356">
        <v>0.378</v>
      </c>
    </row>
    <row r="7357" spans="1:8" x14ac:dyDescent="0.3">
      <c r="A7357" t="s">
        <v>18176</v>
      </c>
      <c r="B7357" t="s">
        <v>26951</v>
      </c>
      <c r="C7357" t="s">
        <v>18572</v>
      </c>
      <c r="D7357" t="s">
        <v>18571</v>
      </c>
      <c r="E7357" s="2" t="s">
        <v>903</v>
      </c>
      <c r="F7357" t="s">
        <v>7955</v>
      </c>
      <c r="G7357" t="str">
        <f>HYPERLINK("http://www.kyosu.net/news/articleView.html?idxno=120890")</f>
        <v>http://www.kyosu.net/news/articleView.html?idxno=120890</v>
      </c>
      <c r="H7357">
        <v>0.27500000000000002</v>
      </c>
    </row>
    <row r="7358" spans="1:8" x14ac:dyDescent="0.3">
      <c r="A7358" t="s">
        <v>18176</v>
      </c>
      <c r="B7358" t="s">
        <v>26951</v>
      </c>
      <c r="C7358" t="s">
        <v>18575</v>
      </c>
      <c r="D7358" t="s">
        <v>18574</v>
      </c>
      <c r="E7358" s="2" t="s">
        <v>903</v>
      </c>
      <c r="F7358" t="s">
        <v>18573</v>
      </c>
      <c r="G7358" t="str">
        <f>HYPERLINK("https://www.newscj.com/news/articleView.html?idxno=3233034")</f>
        <v>https://www.newscj.com/news/articleView.html?idxno=3233034</v>
      </c>
      <c r="H7358">
        <v>0.35199999999999998</v>
      </c>
    </row>
    <row r="7359" spans="1:8" x14ac:dyDescent="0.3">
      <c r="A7359" t="s">
        <v>18176</v>
      </c>
      <c r="B7359" t="s">
        <v>26951</v>
      </c>
      <c r="C7359" t="s">
        <v>18578</v>
      </c>
      <c r="D7359" t="s">
        <v>18577</v>
      </c>
      <c r="E7359" s="2" t="s">
        <v>903</v>
      </c>
      <c r="F7359" t="s">
        <v>18576</v>
      </c>
      <c r="G7359" t="str">
        <f>HYPERLINK("http://ch.yes24.com/Article/View/29869")</f>
        <v>http://ch.yes24.com/Article/View/29869</v>
      </c>
      <c r="H7359">
        <v>0.48</v>
      </c>
    </row>
    <row r="7360" spans="1:8" x14ac:dyDescent="0.3">
      <c r="A7360" t="s">
        <v>18176</v>
      </c>
      <c r="B7360" t="s">
        <v>26951</v>
      </c>
      <c r="C7360" t="s">
        <v>18581</v>
      </c>
      <c r="D7360" t="s">
        <v>18580</v>
      </c>
      <c r="E7360" s="2" t="s">
        <v>903</v>
      </c>
      <c r="F7360" t="s">
        <v>18579</v>
      </c>
      <c r="G7360" t="str">
        <f>HYPERLINK("http://www.notepet.co.kr/news/article/article_view/?idx=33464&amp;groupCode=AB800AD810")</f>
        <v>http://www.notepet.co.kr/news/article/article_view/?idx=33464&amp;groupCode=AB800AD810</v>
      </c>
      <c r="H7360">
        <v>0.221</v>
      </c>
    </row>
    <row r="7361" spans="1:8" x14ac:dyDescent="0.3">
      <c r="A7361" t="s">
        <v>18176</v>
      </c>
      <c r="B7361" t="s">
        <v>26951</v>
      </c>
      <c r="C7361" t="s">
        <v>18584</v>
      </c>
      <c r="D7361" t="s">
        <v>18583</v>
      </c>
      <c r="E7361" s="2" t="s">
        <v>903</v>
      </c>
      <c r="F7361" t="s">
        <v>18582</v>
      </c>
      <c r="G7361" t="str">
        <f>HYPERLINK("http://jmagazine.joins.com/monthly/view/318290")</f>
        <v>http://jmagazine.joins.com/monthly/view/318290</v>
      </c>
      <c r="H7361">
        <v>0.54900000000000004</v>
      </c>
    </row>
    <row r="7362" spans="1:8" x14ac:dyDescent="0.3">
      <c r="A7362" t="s">
        <v>18176</v>
      </c>
      <c r="B7362" t="s">
        <v>26951</v>
      </c>
      <c r="C7362" t="s">
        <v>18586</v>
      </c>
      <c r="D7362" t="s">
        <v>18585</v>
      </c>
      <c r="E7362" s="2" t="s">
        <v>903</v>
      </c>
      <c r="F7362" t="s">
        <v>9922</v>
      </c>
      <c r="G7362" t="str">
        <f>HYPERLINK("http://sports.hankooki.com/lpage/entv/201605/sp20160509111946136670.htm")</f>
        <v>http://sports.hankooki.com/lpage/entv/201605/sp20160509111946136670.htm</v>
      </c>
      <c r="H7362">
        <v>0.49199999999999999</v>
      </c>
    </row>
    <row r="7363" spans="1:8" x14ac:dyDescent="0.3">
      <c r="A7363" t="s">
        <v>18176</v>
      </c>
      <c r="B7363" t="s">
        <v>26951</v>
      </c>
      <c r="C7363" t="s">
        <v>18589</v>
      </c>
      <c r="D7363" t="s">
        <v>18588</v>
      </c>
      <c r="E7363" s="2" t="s">
        <v>903</v>
      </c>
      <c r="F7363" t="s">
        <v>18587</v>
      </c>
      <c r="G7363" t="str">
        <f>HYPERLINK("https://www.greened.kr/news/articleView.html?idxno=327973")</f>
        <v>https://www.greened.kr/news/articleView.html?idxno=327973</v>
      </c>
      <c r="H7363">
        <v>0.42299999999999999</v>
      </c>
    </row>
    <row r="7364" spans="1:8" x14ac:dyDescent="0.3">
      <c r="A7364" t="s">
        <v>18176</v>
      </c>
      <c r="B7364" t="s">
        <v>26951</v>
      </c>
      <c r="C7364" t="s">
        <v>18591</v>
      </c>
      <c r="D7364" t="s">
        <v>18590</v>
      </c>
      <c r="E7364" s="2" t="s">
        <v>903</v>
      </c>
      <c r="F7364" t="s">
        <v>10026</v>
      </c>
      <c r="G7364" t="str">
        <f>HYPERLINK("https://www.vogue.co.kr/2025/06/12/%ec%9c%a0%ec%be%8c%ed%95%9c-%ea%b3%84%eb%aa%bd-%eb%85%b8%eb%ac%b4%ec%82%ac-%eb%85%b8%eb%ac%b4%ec%a7%84/?utm_source=naver&amp;utm_medium=partnership")</f>
        <v>https://www.vogue.co.kr/2025/06/12/%ec%9c%a0%ec%be%8c%ed%95%9c-%ea%b3%84%eb%aa%bd-%eb%85%b8%eb%ac%b4%ec%82%ac-%eb%85%b8%eb%ac%b4%ec%a7%84/?utm_source=naver&amp;utm_medium=partnership</v>
      </c>
      <c r="H7364">
        <v>0.31</v>
      </c>
    </row>
    <row r="7365" spans="1:8" x14ac:dyDescent="0.3">
      <c r="A7365" t="s">
        <v>18176</v>
      </c>
      <c r="B7365" t="s">
        <v>26951</v>
      </c>
      <c r="C7365" t="s">
        <v>18593</v>
      </c>
      <c r="D7365" t="s">
        <v>18592</v>
      </c>
      <c r="E7365" s="2" t="s">
        <v>903</v>
      </c>
      <c r="F7365" t="s">
        <v>6043</v>
      </c>
      <c r="G7365" t="str">
        <f>HYPERLINK("https://n.news.naver.com/mnews/article/056/0010693657?sid=102")</f>
        <v>https://n.news.naver.com/mnews/article/056/0010693657?sid=102</v>
      </c>
      <c r="H7365">
        <v>0.23599999999999999</v>
      </c>
    </row>
    <row r="7366" spans="1:8" x14ac:dyDescent="0.3">
      <c r="A7366" t="s">
        <v>18176</v>
      </c>
      <c r="B7366" t="s">
        <v>26951</v>
      </c>
      <c r="C7366" t="s">
        <v>10385</v>
      </c>
      <c r="D7366" t="s">
        <v>10384</v>
      </c>
      <c r="E7366" s="2" t="s">
        <v>903</v>
      </c>
      <c r="F7366" t="s">
        <v>9962</v>
      </c>
      <c r="G7366" t="str">
        <f>HYPERLINK("http://www.00news.co.kr/news/articleView.html?idxno=84554")</f>
        <v>http://www.00news.co.kr/news/articleView.html?idxno=84554</v>
      </c>
      <c r="H7366">
        <v>0.755</v>
      </c>
    </row>
    <row r="7367" spans="1:8" x14ac:dyDescent="0.3">
      <c r="A7367" t="s">
        <v>18176</v>
      </c>
      <c r="B7367" t="s">
        <v>26951</v>
      </c>
      <c r="C7367" t="s">
        <v>18596</v>
      </c>
      <c r="D7367" t="s">
        <v>18595</v>
      </c>
      <c r="E7367" s="2" t="s">
        <v>903</v>
      </c>
      <c r="F7367" t="s">
        <v>18594</v>
      </c>
      <c r="G7367" t="str">
        <f>HYPERLINK("https://ch.yes24.com/Article/View/80793")</f>
        <v>https://ch.yes24.com/Article/View/80793</v>
      </c>
      <c r="H7367">
        <v>0.503</v>
      </c>
    </row>
    <row r="7368" spans="1:8" x14ac:dyDescent="0.3">
      <c r="A7368" t="s">
        <v>18176</v>
      </c>
      <c r="B7368" t="s">
        <v>26951</v>
      </c>
      <c r="C7368" t="s">
        <v>18599</v>
      </c>
      <c r="D7368" t="s">
        <v>18598</v>
      </c>
      <c r="E7368" s="2" t="s">
        <v>903</v>
      </c>
      <c r="F7368" t="s">
        <v>18597</v>
      </c>
      <c r="G7368" t="str">
        <f>HYPERLINK("http://bravo.etoday.co.kr/view/atc_view.php?varAtcId=9749")</f>
        <v>http://bravo.etoday.co.kr/view/atc_view.php?varAtcId=9749</v>
      </c>
      <c r="H7368">
        <v>0.436</v>
      </c>
    </row>
    <row r="7369" spans="1:8" x14ac:dyDescent="0.3">
      <c r="A7369" t="s">
        <v>18176</v>
      </c>
      <c r="B7369" t="s">
        <v>26951</v>
      </c>
      <c r="C7369" t="s">
        <v>18602</v>
      </c>
      <c r="D7369" t="s">
        <v>18601</v>
      </c>
      <c r="E7369" s="2" t="s">
        <v>903</v>
      </c>
      <c r="F7369" t="s">
        <v>18600</v>
      </c>
      <c r="G7369" t="str">
        <f>HYPERLINK("http://www.srtimes.kr/news/articleView.html?idxno=119905")</f>
        <v>http://www.srtimes.kr/news/articleView.html?idxno=119905</v>
      </c>
      <c r="H7369">
        <v>0.125</v>
      </c>
    </row>
    <row r="7370" spans="1:8" x14ac:dyDescent="0.3">
      <c r="A7370" t="s">
        <v>18176</v>
      </c>
      <c r="B7370" t="s">
        <v>26951</v>
      </c>
      <c r="C7370" t="s">
        <v>18605</v>
      </c>
      <c r="D7370" t="s">
        <v>18604</v>
      </c>
      <c r="E7370" s="2" t="s">
        <v>903</v>
      </c>
      <c r="F7370" t="s">
        <v>18603</v>
      </c>
      <c r="G7370" t="str">
        <f>HYPERLINK("http://news.unn.net/news/articleView.html?idxno=209763")</f>
        <v>http://news.unn.net/news/articleView.html?idxno=209763</v>
      </c>
      <c r="H7370">
        <v>0.627</v>
      </c>
    </row>
    <row r="7371" spans="1:8" x14ac:dyDescent="0.3">
      <c r="A7371" t="s">
        <v>18176</v>
      </c>
      <c r="B7371" t="s">
        <v>26951</v>
      </c>
      <c r="C7371" t="s">
        <v>18608</v>
      </c>
      <c r="D7371" t="s">
        <v>18607</v>
      </c>
      <c r="E7371" s="2" t="s">
        <v>903</v>
      </c>
      <c r="F7371" t="s">
        <v>18606</v>
      </c>
      <c r="G7371" t="str">
        <f>HYPERLINK("http://www.industrynews.co.kr/news/articleView.html?idxno=65605")</f>
        <v>http://www.industrynews.co.kr/news/articleView.html?idxno=65605</v>
      </c>
      <c r="H7371">
        <v>0.14499999999999999</v>
      </c>
    </row>
    <row r="7372" spans="1:8" x14ac:dyDescent="0.3">
      <c r="A7372" t="s">
        <v>18176</v>
      </c>
      <c r="B7372" t="s">
        <v>26951</v>
      </c>
      <c r="C7372" t="s">
        <v>18611</v>
      </c>
      <c r="D7372" t="s">
        <v>18610</v>
      </c>
      <c r="E7372" s="2" t="s">
        <v>903</v>
      </c>
      <c r="F7372" t="s">
        <v>18609</v>
      </c>
      <c r="G7372" t="str">
        <f>HYPERLINK("https://n.news.naver.com/mnews/article/056/0011805389?sid=102")</f>
        <v>https://n.news.naver.com/mnews/article/056/0011805389?sid=102</v>
      </c>
      <c r="H7372">
        <v>0.112</v>
      </c>
    </row>
    <row r="7373" spans="1:8" x14ac:dyDescent="0.3">
      <c r="A7373" t="s">
        <v>18176</v>
      </c>
      <c r="B7373" t="s">
        <v>26951</v>
      </c>
      <c r="C7373" t="s">
        <v>18613</v>
      </c>
      <c r="D7373" t="s">
        <v>18612</v>
      </c>
      <c r="E7373" s="2" t="s">
        <v>903</v>
      </c>
      <c r="F7373" t="s">
        <v>11376</v>
      </c>
      <c r="G7373" t="str">
        <f>HYPERLINK("http://www.finomy.com/news/articleView.html?idxno=230262")</f>
        <v>http://www.finomy.com/news/articleView.html?idxno=230262</v>
      </c>
      <c r="H7373">
        <v>0.223</v>
      </c>
    </row>
    <row r="7374" spans="1:8" x14ac:dyDescent="0.3">
      <c r="A7374" t="s">
        <v>18176</v>
      </c>
      <c r="B7374" t="s">
        <v>26951</v>
      </c>
      <c r="C7374" t="s">
        <v>18616</v>
      </c>
      <c r="D7374" t="s">
        <v>18615</v>
      </c>
      <c r="E7374" s="2" t="s">
        <v>903</v>
      </c>
      <c r="F7374" t="s">
        <v>18614</v>
      </c>
      <c r="G7374" t="str">
        <f>HYPERLINK("https://www.ccdailynews.com/news/articleView.html?idxno=2342779")</f>
        <v>https://www.ccdailynews.com/news/articleView.html?idxno=2342779</v>
      </c>
      <c r="H7374">
        <v>0.41899999999999998</v>
      </c>
    </row>
    <row r="7375" spans="1:8" x14ac:dyDescent="0.3">
      <c r="A7375" t="s">
        <v>18176</v>
      </c>
      <c r="B7375" t="s">
        <v>26951</v>
      </c>
      <c r="C7375" t="s">
        <v>18618</v>
      </c>
      <c r="D7375" t="s">
        <v>18617</v>
      </c>
      <c r="E7375" s="2" t="s">
        <v>903</v>
      </c>
      <c r="F7375" t="s">
        <v>2046</v>
      </c>
      <c r="G7375" t="str">
        <f>HYPERLINK("http://www.joongdo.co.kr/web/view.php?key=20211008010001342")</f>
        <v>http://www.joongdo.co.kr/web/view.php?key=20211008010001342</v>
      </c>
      <c r="H7375">
        <v>0.45800000000000002</v>
      </c>
    </row>
    <row r="7376" spans="1:8" x14ac:dyDescent="0.3">
      <c r="A7376" t="s">
        <v>18176</v>
      </c>
      <c r="B7376" t="s">
        <v>26951</v>
      </c>
      <c r="C7376" t="s">
        <v>5589</v>
      </c>
      <c r="D7376" t="s">
        <v>5588</v>
      </c>
      <c r="E7376" s="2" t="s">
        <v>903</v>
      </c>
      <c r="F7376" t="s">
        <v>89</v>
      </c>
      <c r="G7376" t="str">
        <f>HYPERLINK("https://n.news.naver.com/mnews/article/056/0011255422?sid=101")</f>
        <v>https://n.news.naver.com/mnews/article/056/0011255422?sid=101</v>
      </c>
      <c r="H7376">
        <v>0.29199999999999998</v>
      </c>
    </row>
    <row r="7377" spans="1:8" x14ac:dyDescent="0.3">
      <c r="A7377" t="s">
        <v>18176</v>
      </c>
      <c r="B7377" t="s">
        <v>26951</v>
      </c>
      <c r="C7377" t="s">
        <v>18621</v>
      </c>
      <c r="D7377" t="s">
        <v>18620</v>
      </c>
      <c r="E7377" s="2" t="s">
        <v>903</v>
      </c>
      <c r="F7377" t="s">
        <v>18619</v>
      </c>
      <c r="G7377" t="str">
        <f>HYPERLINK("https://www.etoday.co.kr/news/view/2478805")</f>
        <v>https://www.etoday.co.kr/news/view/2478805</v>
      </c>
      <c r="H7377">
        <v>0.31900000000000001</v>
      </c>
    </row>
    <row r="7378" spans="1:8" x14ac:dyDescent="0.3">
      <c r="A7378" t="s">
        <v>18176</v>
      </c>
      <c r="B7378" t="s">
        <v>26951</v>
      </c>
      <c r="C7378" t="s">
        <v>18623</v>
      </c>
      <c r="D7378" t="s">
        <v>18622</v>
      </c>
      <c r="E7378" s="2" t="s">
        <v>903</v>
      </c>
      <c r="F7378" t="s">
        <v>2074</v>
      </c>
      <c r="G7378" t="str">
        <f>HYPERLINK("https://n.news.naver.com/mnews/article/082/0001333113?sid=103")</f>
        <v>https://n.news.naver.com/mnews/article/082/0001333113?sid=103</v>
      </c>
      <c r="H7378">
        <v>0.33400000000000002</v>
      </c>
    </row>
    <row r="7379" spans="1:8" x14ac:dyDescent="0.3">
      <c r="A7379" t="s">
        <v>18176</v>
      </c>
      <c r="B7379" t="s">
        <v>26951</v>
      </c>
      <c r="C7379" t="s">
        <v>18625</v>
      </c>
      <c r="D7379" t="s">
        <v>18624</v>
      </c>
      <c r="E7379" s="2" t="s">
        <v>903</v>
      </c>
      <c r="F7379" t="s">
        <v>10037</v>
      </c>
      <c r="G7379" t="str">
        <f>HYPERLINK("https://www.jemin.com/news/articleView.html?idxno=807247")</f>
        <v>https://www.jemin.com/news/articleView.html?idxno=807247</v>
      </c>
      <c r="H7379">
        <v>0.66500000000000004</v>
      </c>
    </row>
    <row r="7380" spans="1:8" x14ac:dyDescent="0.3">
      <c r="A7380" t="s">
        <v>18176</v>
      </c>
      <c r="B7380" t="s">
        <v>26951</v>
      </c>
      <c r="C7380" t="s">
        <v>18627</v>
      </c>
      <c r="D7380" t="s">
        <v>18626</v>
      </c>
      <c r="E7380" s="2" t="s">
        <v>903</v>
      </c>
      <c r="F7380" t="s">
        <v>10869</v>
      </c>
      <c r="G7380" t="str">
        <f>HYPERLINK("https://www.dkilbo.com/news/articleView.html?idxno=501041")</f>
        <v>https://www.dkilbo.com/news/articleView.html?idxno=501041</v>
      </c>
      <c r="H7380">
        <v>0.32100000000000001</v>
      </c>
    </row>
    <row r="7381" spans="1:8" x14ac:dyDescent="0.3">
      <c r="A7381" t="s">
        <v>18176</v>
      </c>
      <c r="B7381" t="s">
        <v>26951</v>
      </c>
      <c r="C7381" t="s">
        <v>18630</v>
      </c>
      <c r="D7381" t="s">
        <v>18629</v>
      </c>
      <c r="E7381" s="2" t="s">
        <v>903</v>
      </c>
      <c r="F7381" t="s">
        <v>18628</v>
      </c>
      <c r="G7381" t="str">
        <f>HYPERLINK("http://www.lecturernews.com/news/articleView.html?idxno=63738")</f>
        <v>http://www.lecturernews.com/news/articleView.html?idxno=63738</v>
      </c>
      <c r="H7381">
        <v>0.45100000000000001</v>
      </c>
    </row>
    <row r="7382" spans="1:8" x14ac:dyDescent="0.3">
      <c r="A7382" t="s">
        <v>18176</v>
      </c>
      <c r="B7382" t="s">
        <v>26951</v>
      </c>
      <c r="C7382" t="s">
        <v>18632</v>
      </c>
      <c r="D7382" t="s">
        <v>18631</v>
      </c>
      <c r="E7382" s="2" t="s">
        <v>903</v>
      </c>
      <c r="F7382" t="s">
        <v>10506</v>
      </c>
      <c r="G7382" t="str">
        <f>HYPERLINK("http://www.newsfreezone.co.kr/news/articleView.html?idxno=38538")</f>
        <v>http://www.newsfreezone.co.kr/news/articleView.html?idxno=38538</v>
      </c>
      <c r="H7382">
        <v>4.8000000000000001E-2</v>
      </c>
    </row>
    <row r="7383" spans="1:8" x14ac:dyDescent="0.3">
      <c r="A7383" t="s">
        <v>18176</v>
      </c>
      <c r="B7383" t="s">
        <v>26951</v>
      </c>
      <c r="C7383" t="s">
        <v>18636</v>
      </c>
      <c r="D7383" t="s">
        <v>18635</v>
      </c>
      <c r="E7383" s="2" t="s">
        <v>903</v>
      </c>
      <c r="F7383" t="s">
        <v>18634</v>
      </c>
      <c r="G7383" t="str">
        <f>HYPERLINK("https://n.news.naver.com/mnews/article/081/0000088475?sid=103")</f>
        <v>https://n.news.naver.com/mnews/article/081/0000088475?sid=103</v>
      </c>
      <c r="H7383">
        <v>0.318</v>
      </c>
    </row>
    <row r="7384" spans="1:8" x14ac:dyDescent="0.3">
      <c r="A7384" t="s">
        <v>18176</v>
      </c>
      <c r="B7384" t="s">
        <v>26951</v>
      </c>
      <c r="C7384" t="s">
        <v>18639</v>
      </c>
      <c r="D7384" t="s">
        <v>18638</v>
      </c>
      <c r="E7384" s="2" t="s">
        <v>903</v>
      </c>
      <c r="F7384" t="s">
        <v>18637</v>
      </c>
      <c r="G7384" t="str">
        <f>HYPERLINK("http://www.hidomin.com/news/articleView.html?idxno=369169")</f>
        <v>http://www.hidomin.com/news/articleView.html?idxno=369169</v>
      </c>
      <c r="H7384">
        <v>0.745</v>
      </c>
    </row>
    <row r="7385" spans="1:8" x14ac:dyDescent="0.3">
      <c r="A7385" t="s">
        <v>18176</v>
      </c>
      <c r="B7385" t="s">
        <v>26951</v>
      </c>
      <c r="C7385" t="s">
        <v>18642</v>
      </c>
      <c r="D7385" t="s">
        <v>18641</v>
      </c>
      <c r="E7385" s="2" t="s">
        <v>903</v>
      </c>
      <c r="F7385" t="s">
        <v>18640</v>
      </c>
      <c r="G7385" t="str">
        <f>HYPERLINK("https://n.news.naver.com/mnews/article/277/0002733247?sid=103")</f>
        <v>https://n.news.naver.com/mnews/article/277/0002733247?sid=103</v>
      </c>
      <c r="H7385">
        <v>0.26500000000000001</v>
      </c>
    </row>
    <row r="7386" spans="1:8" x14ac:dyDescent="0.3">
      <c r="A7386" t="s">
        <v>18176</v>
      </c>
      <c r="B7386" t="s">
        <v>26951</v>
      </c>
      <c r="C7386" t="s">
        <v>18644</v>
      </c>
      <c r="D7386" t="s">
        <v>18643</v>
      </c>
      <c r="E7386" s="2" t="s">
        <v>903</v>
      </c>
      <c r="F7386" t="s">
        <v>10421</v>
      </c>
      <c r="G7386" t="str">
        <f>HYPERLINK("https://www.jemin.com/news/articleView.html?idxno=807247")</f>
        <v>https://www.jemin.com/news/articleView.html?idxno=807247</v>
      </c>
      <c r="H7386">
        <v>0.70199999999999996</v>
      </c>
    </row>
    <row r="7387" spans="1:8" x14ac:dyDescent="0.3">
      <c r="A7387" t="s">
        <v>18176</v>
      </c>
      <c r="B7387" t="s">
        <v>26951</v>
      </c>
      <c r="C7387" t="s">
        <v>18646</v>
      </c>
      <c r="D7387" t="s">
        <v>18645</v>
      </c>
      <c r="E7387" s="2" t="s">
        <v>903</v>
      </c>
      <c r="F7387" t="s">
        <v>9912</v>
      </c>
      <c r="G7387" t="str">
        <f>HYPERLINK("https://n.news.naver.com/mnews/article/088/0000261850")</f>
        <v>https://n.news.naver.com/mnews/article/088/0000261850</v>
      </c>
      <c r="H7387">
        <v>0.29499999999999998</v>
      </c>
    </row>
    <row r="7388" spans="1:8" x14ac:dyDescent="0.3">
      <c r="A7388" t="s">
        <v>18176</v>
      </c>
      <c r="B7388" t="s">
        <v>26951</v>
      </c>
      <c r="C7388" t="s">
        <v>18649</v>
      </c>
      <c r="D7388" t="s">
        <v>18648</v>
      </c>
      <c r="E7388" s="2" t="s">
        <v>903</v>
      </c>
      <c r="F7388" t="s">
        <v>18647</v>
      </c>
      <c r="G7388" t="str">
        <f>HYPERLINK("http://ch.yes24.com/Article/View/27713")</f>
        <v>http://ch.yes24.com/Article/View/27713</v>
      </c>
      <c r="H7388">
        <v>0.40899999999999997</v>
      </c>
    </row>
    <row r="7389" spans="1:8" x14ac:dyDescent="0.3">
      <c r="A7389" t="s">
        <v>18176</v>
      </c>
      <c r="B7389" t="s">
        <v>26951</v>
      </c>
      <c r="C7389" t="s">
        <v>18652</v>
      </c>
      <c r="D7389" t="s">
        <v>18651</v>
      </c>
      <c r="E7389" s="2" t="s">
        <v>903</v>
      </c>
      <c r="F7389" t="s">
        <v>18650</v>
      </c>
      <c r="G7389" t="str">
        <f>HYPERLINK("https://www.pdjournal.com/news/articleView.html?idxno=80819")</f>
        <v>https://www.pdjournal.com/news/articleView.html?idxno=80819</v>
      </c>
      <c r="H7389">
        <v>0.49299999999999999</v>
      </c>
    </row>
    <row r="7390" spans="1:8" x14ac:dyDescent="0.3">
      <c r="A7390" t="s">
        <v>18176</v>
      </c>
      <c r="B7390" t="s">
        <v>26951</v>
      </c>
      <c r="C7390" t="s">
        <v>18654</v>
      </c>
      <c r="D7390" t="s">
        <v>18653</v>
      </c>
      <c r="E7390" s="2" t="s">
        <v>903</v>
      </c>
      <c r="F7390" t="s">
        <v>11202</v>
      </c>
      <c r="G7390" t="str">
        <f>HYPERLINK("https://www.huffingtonpost.kr/news/articleView.html?idxno=236363")</f>
        <v>https://www.huffingtonpost.kr/news/articleView.html?idxno=236363</v>
      </c>
      <c r="H7390">
        <v>0.64</v>
      </c>
    </row>
    <row r="7391" spans="1:8" x14ac:dyDescent="0.3">
      <c r="A7391" t="s">
        <v>18176</v>
      </c>
      <c r="B7391" t="s">
        <v>26951</v>
      </c>
      <c r="C7391" t="s">
        <v>18659</v>
      </c>
      <c r="D7391" t="s">
        <v>18658</v>
      </c>
      <c r="E7391" s="2" t="s">
        <v>711</v>
      </c>
      <c r="F7391" t="s">
        <v>18657</v>
      </c>
      <c r="G7391" t="str">
        <f>HYPERLINK("https://www.econovill.com/news/articleView.html?idxno=698999")</f>
        <v>https://www.econovill.com/news/articleView.html?idxno=698999</v>
      </c>
      <c r="H7391">
        <v>0.48</v>
      </c>
    </row>
    <row r="7392" spans="1:8" x14ac:dyDescent="0.3">
      <c r="A7392" t="s">
        <v>18176</v>
      </c>
      <c r="B7392" t="s">
        <v>26951</v>
      </c>
      <c r="C7392" t="s">
        <v>18662</v>
      </c>
      <c r="D7392" t="s">
        <v>18661</v>
      </c>
      <c r="E7392" s="2" t="s">
        <v>711</v>
      </c>
      <c r="F7392" t="s">
        <v>18660</v>
      </c>
      <c r="G7392" t="str">
        <f>HYPERLINK("http://www.kihoilbo.co.kr/news/articleView.html?idxno=883480")</f>
        <v>http://www.kihoilbo.co.kr/news/articleView.html?idxno=883480</v>
      </c>
      <c r="H7392">
        <v>0.435</v>
      </c>
    </row>
    <row r="7393" spans="1:8" x14ac:dyDescent="0.3">
      <c r="A7393" t="s">
        <v>18176</v>
      </c>
      <c r="B7393" t="s">
        <v>26951</v>
      </c>
      <c r="C7393" t="s">
        <v>18665</v>
      </c>
      <c r="D7393" t="s">
        <v>18664</v>
      </c>
      <c r="E7393" s="2" t="s">
        <v>711</v>
      </c>
      <c r="F7393" t="s">
        <v>18663</v>
      </c>
      <c r="G7393" t="str">
        <f>HYPERLINK("http://www.breaknews.com/sub_read.html?uid=480069&amp;section=sc11")</f>
        <v>http://www.breaknews.com/sub_read.html?uid=480069&amp;section=sc11</v>
      </c>
      <c r="H7393">
        <v>0.38200000000000001</v>
      </c>
    </row>
    <row r="7394" spans="1:8" x14ac:dyDescent="0.3">
      <c r="A7394" t="s">
        <v>18176</v>
      </c>
      <c r="B7394" t="s">
        <v>26951</v>
      </c>
      <c r="C7394" t="s">
        <v>18670</v>
      </c>
      <c r="D7394" t="s">
        <v>18669</v>
      </c>
      <c r="E7394" s="2" t="s">
        <v>711</v>
      </c>
      <c r="F7394" t="s">
        <v>18668</v>
      </c>
      <c r="G7394" t="str">
        <f>HYPERLINK("http://www.worldkorean.net/news/articleView.html?idxno=37903")</f>
        <v>http://www.worldkorean.net/news/articleView.html?idxno=37903</v>
      </c>
      <c r="H7394">
        <v>0.34</v>
      </c>
    </row>
    <row r="7395" spans="1:8" x14ac:dyDescent="0.3">
      <c r="A7395" t="s">
        <v>18176</v>
      </c>
      <c r="B7395" t="s">
        <v>26951</v>
      </c>
      <c r="C7395" t="s">
        <v>18673</v>
      </c>
      <c r="D7395" t="s">
        <v>18672</v>
      </c>
      <c r="E7395" s="2" t="s">
        <v>711</v>
      </c>
      <c r="F7395" t="s">
        <v>18671</v>
      </c>
      <c r="G7395" t="str">
        <f>HYPERLINK("http://www.pennmike.com/news/articleView.html?idxno=74340")</f>
        <v>http://www.pennmike.com/news/articleView.html?idxno=74340</v>
      </c>
      <c r="H7395">
        <v>0.32700000000000001</v>
      </c>
    </row>
    <row r="7396" spans="1:8" x14ac:dyDescent="0.3">
      <c r="A7396" t="s">
        <v>18176</v>
      </c>
      <c r="B7396" t="s">
        <v>26951</v>
      </c>
      <c r="C7396" t="s">
        <v>18676</v>
      </c>
      <c r="D7396" t="s">
        <v>18675</v>
      </c>
      <c r="E7396" s="2" t="s">
        <v>711</v>
      </c>
      <c r="F7396" t="s">
        <v>18674</v>
      </c>
      <c r="G7396" t="str">
        <f>HYPERLINK("https://www.ablenews.co.kr/news/articleView.html?idxno=222333")</f>
        <v>https://www.ablenews.co.kr/news/articleView.html?idxno=222333</v>
      </c>
      <c r="H7396">
        <v>0.161</v>
      </c>
    </row>
    <row r="7397" spans="1:8" x14ac:dyDescent="0.3">
      <c r="A7397" t="s">
        <v>18176</v>
      </c>
      <c r="B7397" t="s">
        <v>26951</v>
      </c>
      <c r="C7397" t="s">
        <v>18678</v>
      </c>
      <c r="D7397" t="s">
        <v>18677</v>
      </c>
      <c r="E7397" s="2" t="s">
        <v>711</v>
      </c>
      <c r="F7397" t="s">
        <v>8998</v>
      </c>
      <c r="G7397" t="str">
        <f>HYPERLINK("https://www.kukinews.com/article/view/kuk202506210029")</f>
        <v>https://www.kukinews.com/article/view/kuk202506210029</v>
      </c>
      <c r="H7397">
        <v>0.41599999999999998</v>
      </c>
    </row>
    <row r="7398" spans="1:8" x14ac:dyDescent="0.3">
      <c r="A7398" t="s">
        <v>18176</v>
      </c>
      <c r="B7398" t="s">
        <v>26951</v>
      </c>
      <c r="C7398" t="s">
        <v>18680</v>
      </c>
      <c r="D7398" t="s">
        <v>18679</v>
      </c>
      <c r="E7398" s="2" t="s">
        <v>711</v>
      </c>
      <c r="F7398" t="s">
        <v>1908</v>
      </c>
      <c r="G7398" t="str">
        <f>HYPERLINK("http://www.bzeronews.com/news/articleView.html?idxno=164078")</f>
        <v>http://www.bzeronews.com/news/articleView.html?idxno=164078</v>
      </c>
      <c r="H7398">
        <v>0.54300000000000004</v>
      </c>
    </row>
    <row r="7399" spans="1:8" x14ac:dyDescent="0.3">
      <c r="A7399" t="s">
        <v>18176</v>
      </c>
      <c r="B7399" t="s">
        <v>26951</v>
      </c>
      <c r="C7399" t="s">
        <v>18683</v>
      </c>
      <c r="D7399" t="s">
        <v>18682</v>
      </c>
      <c r="E7399" s="2" t="s">
        <v>711</v>
      </c>
      <c r="F7399" t="s">
        <v>18681</v>
      </c>
      <c r="G7399" t="str">
        <f>HYPERLINK("http://www.jbnews.com/news/articleView.html?idxno=1233024")</f>
        <v>http://www.jbnews.com/news/articleView.html?idxno=1233024</v>
      </c>
      <c r="H7399">
        <v>0.23100000000000001</v>
      </c>
    </row>
    <row r="7400" spans="1:8" x14ac:dyDescent="0.3">
      <c r="A7400" t="s">
        <v>18176</v>
      </c>
      <c r="B7400" t="s">
        <v>26951</v>
      </c>
      <c r="C7400" t="s">
        <v>18686</v>
      </c>
      <c r="D7400" t="s">
        <v>18685</v>
      </c>
      <c r="E7400" s="2" t="s">
        <v>711</v>
      </c>
      <c r="F7400" t="s">
        <v>18684</v>
      </c>
      <c r="G7400" t="str">
        <f>HYPERLINK("http://kor.theasian.asia/archives/382588")</f>
        <v>http://kor.theasian.asia/archives/382588</v>
      </c>
      <c r="H7400">
        <v>0.49</v>
      </c>
    </row>
    <row r="7401" spans="1:8" x14ac:dyDescent="0.3">
      <c r="A7401" t="s">
        <v>18176</v>
      </c>
      <c r="B7401" t="s">
        <v>26951</v>
      </c>
      <c r="C7401" t="s">
        <v>18688</v>
      </c>
      <c r="D7401" t="s">
        <v>18687</v>
      </c>
      <c r="E7401" s="2" t="s">
        <v>711</v>
      </c>
      <c r="F7401" t="s">
        <v>10841</v>
      </c>
      <c r="G7401" t="str">
        <f>HYPERLINK("https://www.lecturernews.com/news/articleView.html?idxno=179916")</f>
        <v>https://www.lecturernews.com/news/articleView.html?idxno=179916</v>
      </c>
      <c r="H7401">
        <v>0.623</v>
      </c>
    </row>
    <row r="7402" spans="1:8" x14ac:dyDescent="0.3">
      <c r="A7402" t="s">
        <v>18176</v>
      </c>
      <c r="B7402" t="s">
        <v>26951</v>
      </c>
      <c r="C7402" t="s">
        <v>18691</v>
      </c>
      <c r="D7402" t="s">
        <v>18690</v>
      </c>
      <c r="E7402" s="2" t="s">
        <v>711</v>
      </c>
      <c r="F7402" t="s">
        <v>18689</v>
      </c>
      <c r="G7402" t="str">
        <f>HYPERLINK("https://www.lecturernews.com/news/articleView.html?idxno=179916")</f>
        <v>https://www.lecturernews.com/news/articleView.html?idxno=179916</v>
      </c>
      <c r="H7402">
        <v>0.93500000000000005</v>
      </c>
    </row>
    <row r="7403" spans="1:8" x14ac:dyDescent="0.3">
      <c r="A7403" t="s">
        <v>18176</v>
      </c>
      <c r="B7403" t="s">
        <v>26951</v>
      </c>
      <c r="C7403" t="s">
        <v>18693</v>
      </c>
      <c r="D7403" t="s">
        <v>18692</v>
      </c>
      <c r="E7403" s="2" t="s">
        <v>711</v>
      </c>
      <c r="F7403" t="s">
        <v>9944</v>
      </c>
      <c r="G7403" t="str">
        <f>HYPERLINK("https://n.news.naver.com/mnews/article/056/0011979441?sid=103")</f>
        <v>https://n.news.naver.com/mnews/article/056/0011979441?sid=103</v>
      </c>
      <c r="H7403">
        <v>0.21</v>
      </c>
    </row>
    <row r="7404" spans="1:8" x14ac:dyDescent="0.3">
      <c r="A7404" t="s">
        <v>18176</v>
      </c>
      <c r="B7404" t="s">
        <v>26951</v>
      </c>
      <c r="C7404" t="s">
        <v>18696</v>
      </c>
      <c r="D7404" t="s">
        <v>18695</v>
      </c>
      <c r="E7404" s="2" t="s">
        <v>711</v>
      </c>
      <c r="F7404" t="s">
        <v>18694</v>
      </c>
      <c r="G7404" t="str">
        <f>HYPERLINK("https://n.news.naver.com/mnews/article/011/0004493708?sid=103")</f>
        <v>https://n.news.naver.com/mnews/article/011/0004493708?sid=103</v>
      </c>
      <c r="H7404">
        <v>0.31</v>
      </c>
    </row>
    <row r="7405" spans="1:8" x14ac:dyDescent="0.3">
      <c r="A7405" t="s">
        <v>18176</v>
      </c>
      <c r="B7405" t="s">
        <v>26951</v>
      </c>
      <c r="C7405" t="s">
        <v>18699</v>
      </c>
      <c r="D7405" t="s">
        <v>18698</v>
      </c>
      <c r="E7405" s="2" t="s">
        <v>711</v>
      </c>
      <c r="F7405" t="s">
        <v>18697</v>
      </c>
      <c r="G7405" t="str">
        <f>HYPERLINK("https://www.pdjournal.com/news/articleView.html?idxno=80819")</f>
        <v>https://www.pdjournal.com/news/articleView.html?idxno=80819</v>
      </c>
      <c r="H7405">
        <v>0.42799999999999999</v>
      </c>
    </row>
    <row r="7406" spans="1:8" x14ac:dyDescent="0.3">
      <c r="A7406" t="s">
        <v>18176</v>
      </c>
      <c r="B7406" t="s">
        <v>26951</v>
      </c>
      <c r="C7406" t="s">
        <v>18702</v>
      </c>
      <c r="D7406" t="s">
        <v>18701</v>
      </c>
      <c r="E7406" s="2" t="s">
        <v>711</v>
      </c>
      <c r="F7406" t="s">
        <v>18700</v>
      </c>
      <c r="G7406" t="str">
        <f>HYPERLINK("https://news.bbsi.co.kr/news/articleView.html?idxno=3136705")</f>
        <v>https://news.bbsi.co.kr/news/articleView.html?idxno=3136705</v>
      </c>
      <c r="H7406">
        <v>0.45500000000000002</v>
      </c>
    </row>
    <row r="7407" spans="1:8" x14ac:dyDescent="0.3">
      <c r="A7407" t="s">
        <v>18176</v>
      </c>
      <c r="B7407" t="s">
        <v>26951</v>
      </c>
      <c r="C7407" t="s">
        <v>18704</v>
      </c>
      <c r="D7407" t="s">
        <v>18703</v>
      </c>
      <c r="E7407" s="2" t="s">
        <v>711</v>
      </c>
      <c r="F7407" t="s">
        <v>10317</v>
      </c>
      <c r="G7407" t="str">
        <f>HYPERLINK("https://sports.hankooki.com/news/articleView.html?idxno=6900122")</f>
        <v>https://sports.hankooki.com/news/articleView.html?idxno=6900122</v>
      </c>
      <c r="H7407">
        <v>0.35299999999999998</v>
      </c>
    </row>
    <row r="7408" spans="1:8" x14ac:dyDescent="0.3">
      <c r="A7408" t="s">
        <v>18176</v>
      </c>
      <c r="B7408" t="s">
        <v>26951</v>
      </c>
      <c r="C7408" t="s">
        <v>18706</v>
      </c>
      <c r="D7408" t="s">
        <v>18705</v>
      </c>
      <c r="E7408" s="2" t="s">
        <v>711</v>
      </c>
      <c r="F7408" t="s">
        <v>5548</v>
      </c>
      <c r="G7408" t="str">
        <f>HYPERLINK("https://sports.hankooki.com/news/articleView.html?idxno=6882805")</f>
        <v>https://sports.hankooki.com/news/articleView.html?idxno=6882805</v>
      </c>
      <c r="H7408">
        <v>0.36599999999999999</v>
      </c>
    </row>
    <row r="7409" spans="1:8" x14ac:dyDescent="0.3">
      <c r="A7409" t="s">
        <v>18176</v>
      </c>
      <c r="B7409" t="s">
        <v>26951</v>
      </c>
      <c r="C7409" t="s">
        <v>18708</v>
      </c>
      <c r="D7409" t="s">
        <v>18707</v>
      </c>
      <c r="E7409" s="2" t="s">
        <v>711</v>
      </c>
      <c r="F7409" t="s">
        <v>18667</v>
      </c>
      <c r="G7409" t="str">
        <f>HYPERLINK("https://sports.hankooki.com/news/articleView.html?idxno=6850893")</f>
        <v>https://sports.hankooki.com/news/articleView.html?idxno=6850893</v>
      </c>
      <c r="H7409">
        <v>0.32</v>
      </c>
    </row>
    <row r="7410" spans="1:8" x14ac:dyDescent="0.3">
      <c r="A7410" t="s">
        <v>18176</v>
      </c>
      <c r="B7410" t="s">
        <v>26951</v>
      </c>
      <c r="C7410" t="s">
        <v>18711</v>
      </c>
      <c r="D7410" t="s">
        <v>18710</v>
      </c>
      <c r="E7410" s="2" t="s">
        <v>711</v>
      </c>
      <c r="F7410" t="s">
        <v>18709</v>
      </c>
      <c r="G7410" t="str">
        <f>HYPERLINK("https://www.jemin.com/news/articleView.html?idxno=819484")</f>
        <v>https://www.jemin.com/news/articleView.html?idxno=819484</v>
      </c>
      <c r="H7410">
        <v>0.14299999999999999</v>
      </c>
    </row>
    <row r="7411" spans="1:8" x14ac:dyDescent="0.3">
      <c r="A7411" t="s">
        <v>18176</v>
      </c>
      <c r="B7411" t="s">
        <v>26951</v>
      </c>
      <c r="C7411" t="s">
        <v>18714</v>
      </c>
      <c r="D7411" t="s">
        <v>18713</v>
      </c>
      <c r="E7411" s="2" t="s">
        <v>711</v>
      </c>
      <c r="F7411" t="s">
        <v>18712</v>
      </c>
      <c r="G7411" t="str">
        <f>HYPERLINK("https://n.news.naver.com/mnews/article/011/0004497786?sid=102")</f>
        <v>https://n.news.naver.com/mnews/article/011/0004497786?sid=102</v>
      </c>
      <c r="H7411">
        <v>0.25</v>
      </c>
    </row>
    <row r="7412" spans="1:8" x14ac:dyDescent="0.3">
      <c r="A7412" t="s">
        <v>18176</v>
      </c>
      <c r="B7412" t="s">
        <v>26951</v>
      </c>
      <c r="C7412" t="s">
        <v>18717</v>
      </c>
      <c r="D7412" t="s">
        <v>18716</v>
      </c>
      <c r="E7412" s="2" t="s">
        <v>711</v>
      </c>
      <c r="F7412" t="s">
        <v>18715</v>
      </c>
      <c r="G7412" t="str">
        <f>HYPERLINK("http://www.mhj21.com/141133")</f>
        <v>http://www.mhj21.com/141133</v>
      </c>
      <c r="H7412">
        <v>0.52600000000000002</v>
      </c>
    </row>
    <row r="7413" spans="1:8" x14ac:dyDescent="0.3">
      <c r="A7413" t="s">
        <v>18176</v>
      </c>
      <c r="B7413" t="s">
        <v>26951</v>
      </c>
      <c r="C7413" t="s">
        <v>18719</v>
      </c>
      <c r="D7413" t="s">
        <v>18718</v>
      </c>
      <c r="E7413" s="2" t="s">
        <v>711</v>
      </c>
      <c r="F7413" t="s">
        <v>14873</v>
      </c>
      <c r="G7413" t="str">
        <f>HYPERLINK("https://n.news.naver.com/mnews/article/022/0004047762?sid=100")</f>
        <v>https://n.news.naver.com/mnews/article/022/0004047762?sid=100</v>
      </c>
      <c r="H7413">
        <v>0.28100000000000003</v>
      </c>
    </row>
    <row r="7414" spans="1:8" x14ac:dyDescent="0.3">
      <c r="A7414" t="s">
        <v>18176</v>
      </c>
      <c r="B7414" t="s">
        <v>26951</v>
      </c>
      <c r="C7414" t="s">
        <v>18721</v>
      </c>
      <c r="D7414" t="s">
        <v>18720</v>
      </c>
      <c r="E7414" s="2" t="s">
        <v>711</v>
      </c>
      <c r="F7414" t="s">
        <v>5548</v>
      </c>
      <c r="G7414" t="str">
        <f>HYPERLINK("https://sports.hankooki.com/news/articleView.html?idxno=6890933")</f>
        <v>https://sports.hankooki.com/news/articleView.html?idxno=6890933</v>
      </c>
      <c r="H7414">
        <v>0.52800000000000002</v>
      </c>
    </row>
    <row r="7415" spans="1:8" x14ac:dyDescent="0.3">
      <c r="A7415" t="s">
        <v>18176</v>
      </c>
      <c r="B7415" t="s">
        <v>26951</v>
      </c>
      <c r="C7415" t="s">
        <v>18724</v>
      </c>
      <c r="D7415" t="s">
        <v>18723</v>
      </c>
      <c r="E7415" s="2" t="s">
        <v>711</v>
      </c>
      <c r="F7415" t="s">
        <v>18722</v>
      </c>
      <c r="G7415" t="str">
        <f>HYPERLINK("http://www.dtnews24.com/news/articleView.html?idxno=600578")</f>
        <v>http://www.dtnews24.com/news/articleView.html?idxno=600578</v>
      </c>
      <c r="H7415">
        <v>0.16700000000000001</v>
      </c>
    </row>
    <row r="7416" spans="1:8" x14ac:dyDescent="0.3">
      <c r="A7416" t="s">
        <v>18176</v>
      </c>
      <c r="B7416" t="s">
        <v>26951</v>
      </c>
      <c r="C7416" t="s">
        <v>18727</v>
      </c>
      <c r="D7416" t="s">
        <v>18726</v>
      </c>
      <c r="E7416" s="2" t="s">
        <v>711</v>
      </c>
      <c r="F7416" t="s">
        <v>18725</v>
      </c>
      <c r="G7416" t="str">
        <f>HYPERLINK("http://www.lak.co.kr/news/boardview.php?id=20532")</f>
        <v>http://www.lak.co.kr/news/boardview.php?id=20532</v>
      </c>
      <c r="H7416">
        <v>0.71199999999999997</v>
      </c>
    </row>
    <row r="7417" spans="1:8" x14ac:dyDescent="0.3">
      <c r="A7417" t="s">
        <v>18176</v>
      </c>
      <c r="B7417" t="s">
        <v>26951</v>
      </c>
      <c r="C7417" t="s">
        <v>18729</v>
      </c>
      <c r="D7417" t="s">
        <v>18728</v>
      </c>
      <c r="E7417" s="2" t="s">
        <v>711</v>
      </c>
      <c r="F7417" t="s">
        <v>10527</v>
      </c>
      <c r="G7417" t="str">
        <f>HYPERLINK("https://www.pdjournal.com/news/articleView.html?idxno=80809")</f>
        <v>https://www.pdjournal.com/news/articleView.html?idxno=80809</v>
      </c>
      <c r="H7417">
        <v>0.40799999999999997</v>
      </c>
    </row>
    <row r="7418" spans="1:8" x14ac:dyDescent="0.3">
      <c r="A7418" t="s">
        <v>18176</v>
      </c>
      <c r="B7418" t="s">
        <v>26951</v>
      </c>
      <c r="C7418" t="s">
        <v>18732</v>
      </c>
      <c r="D7418" t="s">
        <v>18731</v>
      </c>
      <c r="E7418" s="2" t="s">
        <v>711</v>
      </c>
      <c r="F7418" t="s">
        <v>18730</v>
      </c>
      <c r="G7418" t="str">
        <f>HYPERLINK("https://n.news.naver.com/mnews/article/055/0001156057?sid=103")</f>
        <v>https://n.news.naver.com/mnews/article/055/0001156057?sid=103</v>
      </c>
      <c r="H7418">
        <v>0.25700000000000001</v>
      </c>
    </row>
    <row r="7419" spans="1:8" x14ac:dyDescent="0.3">
      <c r="A7419" t="s">
        <v>18176</v>
      </c>
      <c r="B7419" t="s">
        <v>26951</v>
      </c>
      <c r="C7419" t="s">
        <v>18734</v>
      </c>
      <c r="D7419" t="s">
        <v>18733</v>
      </c>
      <c r="E7419" s="2" t="s">
        <v>711</v>
      </c>
      <c r="F7419" t="s">
        <v>10527</v>
      </c>
      <c r="G7419" t="str">
        <f>HYPERLINK("http://www.namdonews.com/news/articleView.html?idxno=813384")</f>
        <v>http://www.namdonews.com/news/articleView.html?idxno=813384</v>
      </c>
      <c r="H7419">
        <v>0.44500000000000001</v>
      </c>
    </row>
    <row r="7420" spans="1:8" x14ac:dyDescent="0.3">
      <c r="A7420" t="s">
        <v>18176</v>
      </c>
      <c r="B7420" t="s">
        <v>26951</v>
      </c>
      <c r="C7420" t="s">
        <v>18737</v>
      </c>
      <c r="D7420" t="s">
        <v>18736</v>
      </c>
      <c r="E7420" s="2" t="s">
        <v>711</v>
      </c>
      <c r="F7420" t="s">
        <v>10506</v>
      </c>
      <c r="G7420" t="str">
        <f>HYPERLINK("https://www.viva100.com/article/20250630500564")</f>
        <v>https://www.viva100.com/article/20250630500564</v>
      </c>
      <c r="H7420">
        <v>0.16500000000000001</v>
      </c>
    </row>
    <row r="7421" spans="1:8" x14ac:dyDescent="0.3">
      <c r="A7421" t="s">
        <v>18176</v>
      </c>
      <c r="B7421" t="s">
        <v>26951</v>
      </c>
      <c r="C7421" t="s">
        <v>18740</v>
      </c>
      <c r="D7421" t="s">
        <v>18739</v>
      </c>
      <c r="E7421" s="2" t="s">
        <v>711</v>
      </c>
      <c r="F7421" t="s">
        <v>18738</v>
      </c>
      <c r="G7421" t="str">
        <f>HYPERLINK("https://n.news.naver.com/mnews/article/016/0002481728?sid=103")</f>
        <v>https://n.news.naver.com/mnews/article/016/0002481728?sid=103</v>
      </c>
      <c r="H7421">
        <v>0.315</v>
      </c>
    </row>
    <row r="7422" spans="1:8" x14ac:dyDescent="0.3">
      <c r="A7422" t="s">
        <v>18176</v>
      </c>
      <c r="B7422" t="s">
        <v>26951</v>
      </c>
      <c r="C7422" t="s">
        <v>18743</v>
      </c>
      <c r="D7422" t="s">
        <v>18742</v>
      </c>
      <c r="E7422" s="2" t="s">
        <v>711</v>
      </c>
      <c r="F7422" t="s">
        <v>18741</v>
      </c>
      <c r="G7422" t="str">
        <f>HYPERLINK("https://n.news.naver.com/mnews/article/044/0000063590?sid=108")</f>
        <v>https://n.news.naver.com/mnews/article/044/0000063590?sid=108</v>
      </c>
      <c r="H7422">
        <v>0.245</v>
      </c>
    </row>
    <row r="7423" spans="1:8" x14ac:dyDescent="0.3">
      <c r="A7423" t="s">
        <v>18176</v>
      </c>
      <c r="B7423" t="s">
        <v>26951</v>
      </c>
      <c r="C7423" t="s">
        <v>18746</v>
      </c>
      <c r="D7423" t="s">
        <v>18745</v>
      </c>
      <c r="E7423" s="2" t="s">
        <v>711</v>
      </c>
      <c r="F7423" t="s">
        <v>18744</v>
      </c>
      <c r="G7423" t="str">
        <f>HYPERLINK("https://www.jemin.com/news/articleView.html?idxno=799374")</f>
        <v>https://www.jemin.com/news/articleView.html?idxno=799374</v>
      </c>
      <c r="H7423">
        <v>0.23200000000000001</v>
      </c>
    </row>
    <row r="7424" spans="1:8" x14ac:dyDescent="0.3">
      <c r="A7424" t="s">
        <v>18176</v>
      </c>
      <c r="B7424" t="s">
        <v>26951</v>
      </c>
      <c r="C7424" t="s">
        <v>18749</v>
      </c>
      <c r="D7424" t="s">
        <v>18748</v>
      </c>
      <c r="E7424" s="2" t="s">
        <v>711</v>
      </c>
      <c r="F7424" t="s">
        <v>18747</v>
      </c>
      <c r="G7424" t="str">
        <f>HYPERLINK("http://jmagazine.joins.com/monthly/view/337757")</f>
        <v>http://jmagazine.joins.com/monthly/view/337757</v>
      </c>
      <c r="H7424">
        <v>8.4000000000000005E-2</v>
      </c>
    </row>
    <row r="7425" spans="1:8" x14ac:dyDescent="0.3">
      <c r="A7425" t="s">
        <v>18176</v>
      </c>
      <c r="B7425" t="s">
        <v>26951</v>
      </c>
      <c r="C7425" t="s">
        <v>18752</v>
      </c>
      <c r="D7425" t="s">
        <v>18751</v>
      </c>
      <c r="E7425" s="2" t="s">
        <v>711</v>
      </c>
      <c r="F7425" t="s">
        <v>18750</v>
      </c>
      <c r="G7425" t="str">
        <f>HYPERLINK("https://n.news.naver.com/mnews/article/079/0004026214?sid=100")</f>
        <v>https://n.news.naver.com/mnews/article/079/0004026214?sid=100</v>
      </c>
      <c r="H7425">
        <v>0.223</v>
      </c>
    </row>
    <row r="7426" spans="1:8" x14ac:dyDescent="0.3">
      <c r="A7426" t="s">
        <v>18176</v>
      </c>
      <c r="B7426" t="s">
        <v>26951</v>
      </c>
      <c r="C7426" t="s">
        <v>18755</v>
      </c>
      <c r="D7426" t="s">
        <v>18754</v>
      </c>
      <c r="E7426" s="2" t="s">
        <v>711</v>
      </c>
      <c r="F7426" t="s">
        <v>18753</v>
      </c>
      <c r="G7426" t="str">
        <f>HYPERLINK("http://www.munhwanews.com/news/articleView.html?idxno=31350")</f>
        <v>http://www.munhwanews.com/news/articleView.html?idxno=31350</v>
      </c>
      <c r="H7426">
        <v>0.45500000000000002</v>
      </c>
    </row>
    <row r="7427" spans="1:8" x14ac:dyDescent="0.3">
      <c r="A7427" t="s">
        <v>18176</v>
      </c>
      <c r="B7427" t="s">
        <v>26951</v>
      </c>
      <c r="C7427" t="s">
        <v>18758</v>
      </c>
      <c r="D7427" t="s">
        <v>18757</v>
      </c>
      <c r="E7427" s="2" t="s">
        <v>711</v>
      </c>
      <c r="F7427" t="s">
        <v>18756</v>
      </c>
      <c r="G7427" t="str">
        <f>HYPERLINK("http://www.pdjournal.com/news/articleView.html?idxno=52292")</f>
        <v>http://www.pdjournal.com/news/articleView.html?idxno=52292</v>
      </c>
      <c r="H7427">
        <v>0.38600000000000001</v>
      </c>
    </row>
    <row r="7428" spans="1:8" x14ac:dyDescent="0.3">
      <c r="A7428" t="s">
        <v>18176</v>
      </c>
      <c r="B7428" t="s">
        <v>26951</v>
      </c>
      <c r="C7428" t="s">
        <v>18760</v>
      </c>
      <c r="D7428" t="s">
        <v>18759</v>
      </c>
      <c r="E7428" s="2" t="s">
        <v>711</v>
      </c>
      <c r="F7428" t="s">
        <v>5398</v>
      </c>
      <c r="G7428" t="str">
        <f>HYPERLINK("http://www.lecturernews.com/news/articleView.html?idxno=69051")</f>
        <v>http://www.lecturernews.com/news/articleView.html?idxno=69051</v>
      </c>
      <c r="H7428">
        <v>0.38400000000000001</v>
      </c>
    </row>
    <row r="7429" spans="1:8" x14ac:dyDescent="0.3">
      <c r="A7429" t="s">
        <v>18176</v>
      </c>
      <c r="B7429" t="s">
        <v>26951</v>
      </c>
      <c r="C7429" t="s">
        <v>18763</v>
      </c>
      <c r="D7429" t="s">
        <v>18762</v>
      </c>
      <c r="E7429" s="2" t="s">
        <v>711</v>
      </c>
      <c r="F7429" t="s">
        <v>18761</v>
      </c>
      <c r="G7429" t="str">
        <f>HYPERLINK("https://www.goodnews1.com/news/articleView.html?idxno=449122")</f>
        <v>https://www.goodnews1.com/news/articleView.html?idxno=449122</v>
      </c>
      <c r="H7429">
        <v>0.36399999999999999</v>
      </c>
    </row>
    <row r="7430" spans="1:8" x14ac:dyDescent="0.3">
      <c r="A7430" t="s">
        <v>18176</v>
      </c>
      <c r="B7430" t="s">
        <v>26951</v>
      </c>
      <c r="C7430" t="s">
        <v>18766</v>
      </c>
      <c r="D7430" t="s">
        <v>18765</v>
      </c>
      <c r="E7430" s="2" t="s">
        <v>711</v>
      </c>
      <c r="F7430" t="s">
        <v>18764</v>
      </c>
      <c r="G7430" t="str">
        <f>HYPERLINK("http://www.jjn.co.kr/news/articleView.html?idxno=846089")</f>
        <v>http://www.jjn.co.kr/news/articleView.html?idxno=846089</v>
      </c>
      <c r="H7430">
        <v>0.749</v>
      </c>
    </row>
    <row r="7431" spans="1:8" x14ac:dyDescent="0.3">
      <c r="A7431" t="s">
        <v>18176</v>
      </c>
      <c r="B7431" t="s">
        <v>26951</v>
      </c>
      <c r="C7431" t="s">
        <v>18768</v>
      </c>
      <c r="D7431" t="s">
        <v>18767</v>
      </c>
      <c r="E7431" s="2" t="s">
        <v>711</v>
      </c>
      <c r="F7431" t="s">
        <v>12083</v>
      </c>
      <c r="G7431" t="str">
        <f>HYPERLINK("https://sports.hankooki.com/news/articleView.html?idxno=6854424")</f>
        <v>https://sports.hankooki.com/news/articleView.html?idxno=6854424</v>
      </c>
      <c r="H7431">
        <v>0.36799999999999999</v>
      </c>
    </row>
    <row r="7432" spans="1:8" x14ac:dyDescent="0.3">
      <c r="A7432" t="s">
        <v>18176</v>
      </c>
      <c r="B7432" t="s">
        <v>26951</v>
      </c>
      <c r="C7432" t="s">
        <v>18771</v>
      </c>
      <c r="D7432" t="s">
        <v>18770</v>
      </c>
      <c r="E7432" s="2" t="s">
        <v>711</v>
      </c>
      <c r="F7432" t="s">
        <v>18769</v>
      </c>
      <c r="G7432" t="str">
        <f>HYPERLINK("http://www.ujeil.com/news/articleView.html?idxno=297965")</f>
        <v>http://www.ujeil.com/news/articleView.html?idxno=297965</v>
      </c>
      <c r="H7432">
        <v>0.50600000000000001</v>
      </c>
    </row>
    <row r="7433" spans="1:8" x14ac:dyDescent="0.3">
      <c r="A7433" t="s">
        <v>18176</v>
      </c>
      <c r="B7433" t="s">
        <v>26951</v>
      </c>
      <c r="C7433" t="s">
        <v>18774</v>
      </c>
      <c r="D7433" t="s">
        <v>18773</v>
      </c>
      <c r="E7433" s="2" t="s">
        <v>711</v>
      </c>
      <c r="F7433" t="s">
        <v>18772</v>
      </c>
      <c r="G7433" t="str">
        <f>HYPERLINK("https://news.ifm.kr/news/articleView.html?idxno=444237")</f>
        <v>https://news.ifm.kr/news/articleView.html?idxno=444237</v>
      </c>
      <c r="H7433">
        <v>0.41899999999999998</v>
      </c>
    </row>
    <row r="7434" spans="1:8" x14ac:dyDescent="0.3">
      <c r="A7434" t="s">
        <v>18176</v>
      </c>
      <c r="B7434" t="s">
        <v>26951</v>
      </c>
      <c r="C7434" t="s">
        <v>18776</v>
      </c>
      <c r="D7434" t="s">
        <v>18775</v>
      </c>
      <c r="E7434" s="2" t="s">
        <v>711</v>
      </c>
      <c r="F7434" t="s">
        <v>10135</v>
      </c>
      <c r="G7434" t="str">
        <f>HYPERLINK("https://www.viva100.com/article/20250702500173")</f>
        <v>https://www.viva100.com/article/20250702500173</v>
      </c>
      <c r="H7434">
        <v>0.254</v>
      </c>
    </row>
    <row r="7435" spans="1:8" x14ac:dyDescent="0.3">
      <c r="A7435" t="s">
        <v>18176</v>
      </c>
      <c r="B7435" t="s">
        <v>26951</v>
      </c>
      <c r="C7435" t="s">
        <v>18779</v>
      </c>
      <c r="D7435" t="s">
        <v>18778</v>
      </c>
      <c r="E7435" s="2" t="s">
        <v>711</v>
      </c>
      <c r="F7435" t="s">
        <v>18777</v>
      </c>
      <c r="G7435" t="str">
        <f>HYPERLINK("https://n.news.naver.com/mnews/article/014/0000261421?sid=103")</f>
        <v>https://n.news.naver.com/mnews/article/014/0000261421?sid=103</v>
      </c>
      <c r="H7435">
        <v>0.27100000000000002</v>
      </c>
    </row>
    <row r="7436" spans="1:8" x14ac:dyDescent="0.3">
      <c r="A7436" t="s">
        <v>18176</v>
      </c>
      <c r="B7436" t="s">
        <v>26951</v>
      </c>
      <c r="C7436" t="s">
        <v>18782</v>
      </c>
      <c r="D7436" t="s">
        <v>18781</v>
      </c>
      <c r="E7436" s="2" t="s">
        <v>711</v>
      </c>
      <c r="F7436" t="s">
        <v>18780</v>
      </c>
      <c r="G7436" t="str">
        <f>HYPERLINK("http://www.lcnews.co.kr/news/articleView.html?idxno=48080")</f>
        <v>http://www.lcnews.co.kr/news/articleView.html?idxno=48080</v>
      </c>
      <c r="H7436">
        <v>0.39300000000000002</v>
      </c>
    </row>
    <row r="7437" spans="1:8" x14ac:dyDescent="0.3">
      <c r="A7437" t="s">
        <v>18176</v>
      </c>
      <c r="B7437" t="s">
        <v>26951</v>
      </c>
      <c r="C7437" t="s">
        <v>18785</v>
      </c>
      <c r="D7437" t="s">
        <v>18784</v>
      </c>
      <c r="E7437" s="2" t="s">
        <v>711</v>
      </c>
      <c r="F7437" t="s">
        <v>18783</v>
      </c>
      <c r="G7437" t="str">
        <f>HYPERLINK("http://www.biztribune.co.kr/news/articleView.html?idxno=336163")</f>
        <v>http://www.biztribune.co.kr/news/articleView.html?idxno=336163</v>
      </c>
      <c r="H7437">
        <v>0.27700000000000002</v>
      </c>
    </row>
    <row r="7438" spans="1:8" x14ac:dyDescent="0.3">
      <c r="A7438" t="s">
        <v>18176</v>
      </c>
      <c r="B7438" t="s">
        <v>26951</v>
      </c>
      <c r="C7438" t="s">
        <v>18787</v>
      </c>
      <c r="D7438" t="s">
        <v>18786</v>
      </c>
      <c r="E7438" s="2" t="s">
        <v>725</v>
      </c>
      <c r="F7438" t="s">
        <v>1377</v>
      </c>
      <c r="G7438" t="str">
        <f>HYPERLINK("https://www.jemin.com/news/articleView.html?idxno=810113")</f>
        <v>https://www.jemin.com/news/articleView.html?idxno=810113</v>
      </c>
      <c r="H7438">
        <v>0.45700000000000002</v>
      </c>
    </row>
    <row r="7439" spans="1:8" x14ac:dyDescent="0.3">
      <c r="A7439" t="s">
        <v>18176</v>
      </c>
      <c r="B7439" t="s">
        <v>26951</v>
      </c>
      <c r="C7439" t="s">
        <v>18789</v>
      </c>
      <c r="D7439" t="s">
        <v>18788</v>
      </c>
      <c r="E7439" s="2" t="s">
        <v>725</v>
      </c>
      <c r="F7439" t="s">
        <v>18371</v>
      </c>
      <c r="G7439" t="str">
        <f>HYPERLINK("http://withinnews.co.kr/news/view.html?section=148&amp;category=149&amp;item=&amp;no=16298")</f>
        <v>http://withinnews.co.kr/news/view.html?section=148&amp;category=149&amp;item=&amp;no=16298</v>
      </c>
      <c r="H7439">
        <v>0.58899999999999997</v>
      </c>
    </row>
    <row r="7440" spans="1:8" x14ac:dyDescent="0.3">
      <c r="A7440" t="s">
        <v>18176</v>
      </c>
      <c r="B7440" t="s">
        <v>26951</v>
      </c>
      <c r="C7440" t="s">
        <v>18791</v>
      </c>
      <c r="D7440" t="s">
        <v>18790</v>
      </c>
      <c r="E7440" s="2" t="s">
        <v>725</v>
      </c>
      <c r="F7440" t="s">
        <v>18666</v>
      </c>
      <c r="G7440" t="str">
        <f>HYPERLINK("http://www.thedrive.co.kr/news/newsview.php?ncode=1065574902998904")</f>
        <v>http://www.thedrive.co.kr/news/newsview.php?ncode=1065574902998904</v>
      </c>
      <c r="H7440">
        <v>0.27500000000000002</v>
      </c>
    </row>
    <row r="7441" spans="1:8" x14ac:dyDescent="0.3">
      <c r="A7441" t="s">
        <v>18176</v>
      </c>
      <c r="B7441" t="s">
        <v>26951</v>
      </c>
      <c r="C7441" t="s">
        <v>18794</v>
      </c>
      <c r="D7441" t="s">
        <v>18793</v>
      </c>
      <c r="E7441" s="2" t="s">
        <v>725</v>
      </c>
      <c r="F7441" t="s">
        <v>18792</v>
      </c>
      <c r="G7441" t="str">
        <f>HYPERLINK("https://www.kgnews.co.kr/news/article.html?no=841296")</f>
        <v>https://www.kgnews.co.kr/news/article.html?no=841296</v>
      </c>
      <c r="H7441">
        <v>0.215</v>
      </c>
    </row>
    <row r="7442" spans="1:8" x14ac:dyDescent="0.3">
      <c r="A7442" t="s">
        <v>18176</v>
      </c>
      <c r="B7442" t="s">
        <v>26951</v>
      </c>
      <c r="C7442" t="s">
        <v>18796</v>
      </c>
      <c r="D7442" t="s">
        <v>18795</v>
      </c>
      <c r="E7442" s="2" t="s">
        <v>725</v>
      </c>
      <c r="F7442" t="s">
        <v>6212</v>
      </c>
      <c r="G7442" t="str">
        <f>HYPERLINK("https://n.news.naver.com/mnews/article/055/0001264384?sid=100")</f>
        <v>https://n.news.naver.com/mnews/article/055/0001264384?sid=100</v>
      </c>
      <c r="H7442">
        <v>0.22900000000000001</v>
      </c>
    </row>
    <row r="7443" spans="1:8" x14ac:dyDescent="0.3">
      <c r="A7443" t="s">
        <v>18176</v>
      </c>
      <c r="B7443" t="s">
        <v>26951</v>
      </c>
      <c r="C7443" t="s">
        <v>18798</v>
      </c>
      <c r="D7443" t="s">
        <v>18797</v>
      </c>
      <c r="E7443" s="2" t="s">
        <v>725</v>
      </c>
      <c r="F7443" t="s">
        <v>14929</v>
      </c>
      <c r="G7443" t="str">
        <f>HYPERLINK("https://n.news.naver.com/mnews/article/079/0004040518?sid=100")</f>
        <v>https://n.news.naver.com/mnews/article/079/0004040518?sid=100</v>
      </c>
      <c r="H7443">
        <v>0.27200000000000002</v>
      </c>
    </row>
    <row r="7444" spans="1:8" x14ac:dyDescent="0.3">
      <c r="A7444" t="s">
        <v>18176</v>
      </c>
      <c r="B7444" t="s">
        <v>26951</v>
      </c>
      <c r="C7444" t="s">
        <v>18800</v>
      </c>
      <c r="D7444" t="s">
        <v>18799</v>
      </c>
      <c r="E7444" s="2" t="s">
        <v>725</v>
      </c>
      <c r="F7444" t="s">
        <v>11313</v>
      </c>
      <c r="G7444" t="str">
        <f>HYPERLINK("https://www.lecturernews.com/news/articleView.html?idxno=177116")</f>
        <v>https://www.lecturernews.com/news/articleView.html?idxno=177116</v>
      </c>
      <c r="H7444">
        <v>0.46100000000000002</v>
      </c>
    </row>
    <row r="7445" spans="1:8" x14ac:dyDescent="0.3">
      <c r="A7445" t="s">
        <v>18176</v>
      </c>
      <c r="B7445" t="s">
        <v>26951</v>
      </c>
      <c r="C7445" t="s">
        <v>18803</v>
      </c>
      <c r="D7445" t="s">
        <v>18802</v>
      </c>
      <c r="E7445" s="2" t="s">
        <v>725</v>
      </c>
      <c r="F7445" t="s">
        <v>18801</v>
      </c>
      <c r="G7445" t="str">
        <f>HYPERLINK("http://www.hapt.co.kr/news/articleView.html?idxno=163714")</f>
        <v>http://www.hapt.co.kr/news/articleView.html?idxno=163714</v>
      </c>
      <c r="H7445">
        <v>0.35899999999999999</v>
      </c>
    </row>
    <row r="7446" spans="1:8" x14ac:dyDescent="0.3">
      <c r="A7446" t="s">
        <v>18176</v>
      </c>
      <c r="B7446" t="s">
        <v>26951</v>
      </c>
      <c r="C7446" t="s">
        <v>18806</v>
      </c>
      <c r="D7446" t="s">
        <v>18805</v>
      </c>
      <c r="E7446" s="2" t="s">
        <v>725</v>
      </c>
      <c r="F7446" t="s">
        <v>18804</v>
      </c>
      <c r="G7446" t="str">
        <f>HYPERLINK("https://n.news.naver.com/mnews/article/028/0002694876?sid=102")</f>
        <v>https://n.news.naver.com/mnews/article/028/0002694876?sid=102</v>
      </c>
      <c r="H7446">
        <v>0.19800000000000001</v>
      </c>
    </row>
    <row r="7447" spans="1:8" x14ac:dyDescent="0.3">
      <c r="A7447" t="s">
        <v>18176</v>
      </c>
      <c r="B7447" t="s">
        <v>26951</v>
      </c>
      <c r="C7447" t="s">
        <v>18809</v>
      </c>
      <c r="D7447" t="s">
        <v>18808</v>
      </c>
      <c r="E7447" s="2" t="s">
        <v>725</v>
      </c>
      <c r="F7447" t="s">
        <v>18807</v>
      </c>
      <c r="G7447" t="str">
        <f>HYPERLINK("https://n.news.naver.com/mnews/article/082/0000947666?sid=103")</f>
        <v>https://n.news.naver.com/mnews/article/082/0000947666?sid=103</v>
      </c>
      <c r="H7447">
        <v>0.154</v>
      </c>
    </row>
    <row r="7448" spans="1:8" x14ac:dyDescent="0.3">
      <c r="A7448" t="s">
        <v>18176</v>
      </c>
      <c r="B7448" t="s">
        <v>26951</v>
      </c>
      <c r="C7448" t="s">
        <v>18812</v>
      </c>
      <c r="D7448" t="s">
        <v>18811</v>
      </c>
      <c r="E7448" s="2" t="s">
        <v>725</v>
      </c>
      <c r="F7448" t="s">
        <v>18810</v>
      </c>
      <c r="G7448" t="str">
        <f>HYPERLINK("https://www.foodneconomy.com/news/articleView.html?idxno=221643")</f>
        <v>https://www.foodneconomy.com/news/articleView.html?idxno=221643</v>
      </c>
      <c r="H7448">
        <v>0.23300000000000001</v>
      </c>
    </row>
    <row r="7449" spans="1:8" x14ac:dyDescent="0.3">
      <c r="A7449" t="s">
        <v>18176</v>
      </c>
      <c r="B7449" t="s">
        <v>26951</v>
      </c>
      <c r="C7449" t="s">
        <v>18814</v>
      </c>
      <c r="D7449" t="s">
        <v>18813</v>
      </c>
      <c r="E7449" s="2" t="s">
        <v>725</v>
      </c>
      <c r="F7449" t="s">
        <v>18777</v>
      </c>
      <c r="G7449" t="str">
        <f>HYPERLINK("https://www.newspim.com/news/view/20250605000483")</f>
        <v>https://www.newspim.com/news/view/20250605000483</v>
      </c>
      <c r="H7449">
        <v>0.48099999999999998</v>
      </c>
    </row>
    <row r="7450" spans="1:8" x14ac:dyDescent="0.3">
      <c r="A7450" t="s">
        <v>18176</v>
      </c>
      <c r="B7450" t="s">
        <v>26951</v>
      </c>
      <c r="C7450" t="s">
        <v>18817</v>
      </c>
      <c r="D7450" t="s">
        <v>18816</v>
      </c>
      <c r="E7450" s="2" t="s">
        <v>725</v>
      </c>
      <c r="F7450" t="s">
        <v>18815</v>
      </c>
      <c r="G7450" t="str">
        <f>HYPERLINK("https://www.womaneconomy.co.kr/news/articleView.html?idxno=237468")</f>
        <v>https://www.womaneconomy.co.kr/news/articleView.html?idxno=237468</v>
      </c>
      <c r="H7450">
        <v>0.30499999999999999</v>
      </c>
    </row>
    <row r="7451" spans="1:8" x14ac:dyDescent="0.3">
      <c r="A7451" t="s">
        <v>18176</v>
      </c>
      <c r="B7451" t="s">
        <v>26951</v>
      </c>
      <c r="C7451" t="s">
        <v>18820</v>
      </c>
      <c r="D7451" t="s">
        <v>18819</v>
      </c>
      <c r="E7451" s="2" t="s">
        <v>725</v>
      </c>
      <c r="F7451" t="s">
        <v>18818</v>
      </c>
      <c r="G7451" t="str">
        <f>HYPERLINK("https://daily.hankooki.com/news/articleView.html?idxno=1155834")</f>
        <v>https://daily.hankooki.com/news/articleView.html?idxno=1155834</v>
      </c>
      <c r="H7451">
        <v>0.54700000000000004</v>
      </c>
    </row>
    <row r="7452" spans="1:8" x14ac:dyDescent="0.3">
      <c r="A7452" t="s">
        <v>18176</v>
      </c>
      <c r="B7452" t="s">
        <v>26951</v>
      </c>
      <c r="C7452" t="s">
        <v>18823</v>
      </c>
      <c r="D7452" t="s">
        <v>18822</v>
      </c>
      <c r="E7452" s="2" t="s">
        <v>725</v>
      </c>
      <c r="F7452" t="s">
        <v>18821</v>
      </c>
      <c r="G7452" t="str">
        <f>HYPERLINK("https://www.christiantoday.co.kr/news/368657")</f>
        <v>https://www.christiantoday.co.kr/news/368657</v>
      </c>
      <c r="H7452">
        <v>0.34599999999999997</v>
      </c>
    </row>
    <row r="7453" spans="1:8" x14ac:dyDescent="0.3">
      <c r="A7453" t="s">
        <v>18176</v>
      </c>
      <c r="B7453" t="s">
        <v>26951</v>
      </c>
      <c r="C7453" t="s">
        <v>18825</v>
      </c>
      <c r="D7453" t="s">
        <v>18824</v>
      </c>
      <c r="E7453" s="2" t="s">
        <v>725</v>
      </c>
      <c r="F7453" t="s">
        <v>7066</v>
      </c>
      <c r="G7453" t="str">
        <f>HYPERLINK("https://daily.hankooki.com/news/articleView.html?idxno=1155834")</f>
        <v>https://daily.hankooki.com/news/articleView.html?idxno=1155834</v>
      </c>
      <c r="H7453">
        <v>0.26300000000000001</v>
      </c>
    </row>
    <row r="7454" spans="1:8" x14ac:dyDescent="0.3">
      <c r="A7454" t="s">
        <v>18176</v>
      </c>
      <c r="B7454" t="s">
        <v>26951</v>
      </c>
      <c r="C7454" t="s">
        <v>18828</v>
      </c>
      <c r="D7454" t="s">
        <v>18827</v>
      </c>
      <c r="E7454" s="2" t="s">
        <v>725</v>
      </c>
      <c r="F7454" t="s">
        <v>18826</v>
      </c>
      <c r="G7454" t="str">
        <f>HYPERLINK("https://n.news.naver.com/mnews/article/056/0011937602?sid=103")</f>
        <v>https://n.news.naver.com/mnews/article/056/0011937602?sid=103</v>
      </c>
      <c r="H7454">
        <v>0.27200000000000002</v>
      </c>
    </row>
    <row r="7455" spans="1:8" x14ac:dyDescent="0.3">
      <c r="A7455" t="s">
        <v>18176</v>
      </c>
      <c r="B7455" t="s">
        <v>26951</v>
      </c>
      <c r="C7455" t="s">
        <v>18831</v>
      </c>
      <c r="D7455" t="s">
        <v>18830</v>
      </c>
      <c r="E7455" s="2" t="s">
        <v>725</v>
      </c>
      <c r="F7455" t="s">
        <v>18829</v>
      </c>
      <c r="G7455" t="str">
        <f>HYPERLINK("http://www.christiantoday.co.kr/view.htm?id=242210")</f>
        <v>http://www.christiantoday.co.kr/view.htm?id=242210</v>
      </c>
      <c r="H7455">
        <v>0.38500000000000001</v>
      </c>
    </row>
    <row r="7456" spans="1:8" x14ac:dyDescent="0.3">
      <c r="A7456" t="s">
        <v>18176</v>
      </c>
      <c r="B7456" t="s">
        <v>26951</v>
      </c>
      <c r="C7456" t="s">
        <v>18834</v>
      </c>
      <c r="D7456" t="s">
        <v>18833</v>
      </c>
      <c r="E7456" s="2" t="s">
        <v>725</v>
      </c>
      <c r="F7456" t="s">
        <v>18832</v>
      </c>
      <c r="G7456" t="str">
        <f>HYPERLINK("https://n.news.naver.com/mnews/article/032/0003379120?sid=103")</f>
        <v>https://n.news.naver.com/mnews/article/032/0003379120?sid=103</v>
      </c>
      <c r="H7456">
        <v>0.19600000000000001</v>
      </c>
    </row>
    <row r="7457" spans="1:8" x14ac:dyDescent="0.3">
      <c r="A7457" t="s">
        <v>18176</v>
      </c>
      <c r="B7457" t="s">
        <v>26951</v>
      </c>
      <c r="C7457" t="s">
        <v>18836</v>
      </c>
      <c r="D7457" t="s">
        <v>18835</v>
      </c>
      <c r="E7457" s="2" t="s">
        <v>725</v>
      </c>
      <c r="F7457" t="s">
        <v>16522</v>
      </c>
      <c r="G7457" t="str">
        <f>HYPERLINK("https://sports.hankooki.com/news/articleView.html?idxno=6902432")</f>
        <v>https://sports.hankooki.com/news/articleView.html?idxno=6902432</v>
      </c>
      <c r="H7457">
        <v>0.42099999999999999</v>
      </c>
    </row>
    <row r="7458" spans="1:8" x14ac:dyDescent="0.3">
      <c r="A7458" t="s">
        <v>18176</v>
      </c>
      <c r="B7458" t="s">
        <v>26951</v>
      </c>
      <c r="C7458" t="s">
        <v>18839</v>
      </c>
      <c r="D7458" t="s">
        <v>18838</v>
      </c>
      <c r="E7458" s="2" t="s">
        <v>725</v>
      </c>
      <c r="F7458" t="s">
        <v>18837</v>
      </c>
      <c r="G7458" t="str">
        <f>HYPERLINK("http://www.greenpostkorea.co.kr/news/articleView.html?idxno=201323")</f>
        <v>http://www.greenpostkorea.co.kr/news/articleView.html?idxno=201323</v>
      </c>
      <c r="H7458">
        <v>0.45300000000000001</v>
      </c>
    </row>
    <row r="7459" spans="1:8" x14ac:dyDescent="0.3">
      <c r="A7459" t="s">
        <v>18176</v>
      </c>
      <c r="B7459" t="s">
        <v>26951</v>
      </c>
      <c r="C7459" t="s">
        <v>18842</v>
      </c>
      <c r="D7459" t="s">
        <v>18841</v>
      </c>
      <c r="E7459" s="2" t="s">
        <v>725</v>
      </c>
      <c r="F7459" t="s">
        <v>18840</v>
      </c>
      <c r="G7459" t="str">
        <f>HYPERLINK("https://www.lecturernews.com/news/articleView.html?idxno=179765")</f>
        <v>https://www.lecturernews.com/news/articleView.html?idxno=179765</v>
      </c>
      <c r="H7459">
        <v>0.115</v>
      </c>
    </row>
    <row r="7460" spans="1:8" x14ac:dyDescent="0.3">
      <c r="A7460" t="s">
        <v>18176</v>
      </c>
      <c r="B7460" t="s">
        <v>26951</v>
      </c>
      <c r="C7460" t="s">
        <v>18845</v>
      </c>
      <c r="D7460" t="s">
        <v>18844</v>
      </c>
      <c r="E7460" s="2" t="s">
        <v>725</v>
      </c>
      <c r="F7460" t="s">
        <v>18843</v>
      </c>
      <c r="G7460" t="str">
        <f>HYPERLINK("http://www.biztribune.co.kr/news/articleView.html?idxno=230053")</f>
        <v>http://www.biztribune.co.kr/news/articleView.html?idxno=230053</v>
      </c>
      <c r="H7460">
        <v>0.32</v>
      </c>
    </row>
    <row r="7461" spans="1:8" x14ac:dyDescent="0.3">
      <c r="A7461" t="s">
        <v>18176</v>
      </c>
      <c r="B7461" t="s">
        <v>26951</v>
      </c>
      <c r="C7461" t="s">
        <v>18848</v>
      </c>
      <c r="D7461" t="s">
        <v>18847</v>
      </c>
      <c r="E7461" s="2" t="s">
        <v>725</v>
      </c>
      <c r="F7461" t="s">
        <v>18846</v>
      </c>
      <c r="G7461" t="str">
        <f>HYPERLINK("https://n.news.naver.com/mnews/article/056/0011038044?sid=102")</f>
        <v>https://n.news.naver.com/mnews/article/056/0011038044?sid=102</v>
      </c>
      <c r="H7461">
        <v>3.3000000000000002E-2</v>
      </c>
    </row>
    <row r="7462" spans="1:8" x14ac:dyDescent="0.3">
      <c r="A7462" t="s">
        <v>18176</v>
      </c>
      <c r="B7462" t="s">
        <v>26951</v>
      </c>
      <c r="C7462" t="s">
        <v>18850</v>
      </c>
      <c r="D7462" t="s">
        <v>18849</v>
      </c>
      <c r="E7462" s="2" t="s">
        <v>725</v>
      </c>
      <c r="F7462" t="s">
        <v>85</v>
      </c>
      <c r="G7462" t="str">
        <f>HYPERLINK("https://www.jejusori.net/news/articleView.html?idxno=436843")</f>
        <v>https://www.jejusori.net/news/articleView.html?idxno=436843</v>
      </c>
      <c r="H7462">
        <v>0.48199999999999998</v>
      </c>
    </row>
    <row r="7463" spans="1:8" x14ac:dyDescent="0.3">
      <c r="A7463" t="s">
        <v>18176</v>
      </c>
      <c r="B7463" t="s">
        <v>26951</v>
      </c>
      <c r="C7463" t="s">
        <v>18853</v>
      </c>
      <c r="D7463" t="s">
        <v>18852</v>
      </c>
      <c r="E7463" s="2" t="s">
        <v>725</v>
      </c>
      <c r="F7463" t="s">
        <v>18851</v>
      </c>
      <c r="G7463" t="str">
        <f>HYPERLINK("https://www.christiantoday.co.kr/news/337380")</f>
        <v>https://www.christiantoday.co.kr/news/337380</v>
      </c>
      <c r="H7463">
        <v>0.622</v>
      </c>
    </row>
    <row r="7464" spans="1:8" x14ac:dyDescent="0.3">
      <c r="A7464" t="s">
        <v>18176</v>
      </c>
      <c r="B7464" t="s">
        <v>26951</v>
      </c>
      <c r="C7464" t="s">
        <v>18855</v>
      </c>
      <c r="D7464" t="s">
        <v>18854</v>
      </c>
      <c r="E7464" s="2" t="s">
        <v>725</v>
      </c>
      <c r="F7464" t="s">
        <v>11763</v>
      </c>
      <c r="G7464" t="str">
        <f>HYPERLINK("https://n.news.naver.com/mnews/article/022/0003781388?sid=103")</f>
        <v>https://n.news.naver.com/mnews/article/022/0003781388?sid=103</v>
      </c>
      <c r="H7464">
        <v>0.28999999999999998</v>
      </c>
    </row>
    <row r="7465" spans="1:8" x14ac:dyDescent="0.3">
      <c r="A7465" t="s">
        <v>18176</v>
      </c>
      <c r="B7465" t="s">
        <v>26951</v>
      </c>
      <c r="C7465" t="s">
        <v>18858</v>
      </c>
      <c r="D7465" t="s">
        <v>18857</v>
      </c>
      <c r="E7465" s="2" t="s">
        <v>725</v>
      </c>
      <c r="F7465" t="s">
        <v>18856</v>
      </c>
      <c r="G7465" t="str">
        <f>HYPERLINK("https://www.newsgn.com/news/articleView.html?idxno=479848")</f>
        <v>https://www.newsgn.com/news/articleView.html?idxno=479848</v>
      </c>
      <c r="H7465">
        <v>0.17899999999999999</v>
      </c>
    </row>
    <row r="7466" spans="1:8" x14ac:dyDescent="0.3">
      <c r="A7466" t="s">
        <v>18176</v>
      </c>
      <c r="B7466" t="s">
        <v>26951</v>
      </c>
      <c r="C7466" t="s">
        <v>18861</v>
      </c>
      <c r="D7466" t="s">
        <v>18860</v>
      </c>
      <c r="E7466" s="2" t="s">
        <v>725</v>
      </c>
      <c r="F7466" t="s">
        <v>18859</v>
      </c>
      <c r="G7466" t="str">
        <f>HYPERLINK("http://www.naeil.com/news_view/?id_art=325051")</f>
        <v>http://www.naeil.com/news_view/?id_art=325051</v>
      </c>
      <c r="H7466">
        <v>0.52800000000000002</v>
      </c>
    </row>
    <row r="7467" spans="1:8" x14ac:dyDescent="0.3">
      <c r="A7467" t="s">
        <v>18176</v>
      </c>
      <c r="B7467" t="s">
        <v>26951</v>
      </c>
      <c r="C7467" t="s">
        <v>18864</v>
      </c>
      <c r="D7467" t="s">
        <v>18863</v>
      </c>
      <c r="E7467" s="2" t="s">
        <v>725</v>
      </c>
      <c r="F7467" t="s">
        <v>18862</v>
      </c>
      <c r="G7467" t="str">
        <f>HYPERLINK("https://www.etoday.co.kr/news/view/2473217")</f>
        <v>https://www.etoday.co.kr/news/view/2473217</v>
      </c>
      <c r="H7467">
        <v>0.40200000000000002</v>
      </c>
    </row>
    <row r="7468" spans="1:8" x14ac:dyDescent="0.3">
      <c r="A7468" t="s">
        <v>18176</v>
      </c>
      <c r="B7468" t="s">
        <v>26951</v>
      </c>
      <c r="C7468" t="s">
        <v>18867</v>
      </c>
      <c r="D7468" t="s">
        <v>18866</v>
      </c>
      <c r="E7468" s="2" t="s">
        <v>725</v>
      </c>
      <c r="F7468" t="s">
        <v>18865</v>
      </c>
      <c r="G7468" t="str">
        <f>HYPERLINK("https://www.newsgn.com/news/articleView.html?idxno=490772")</f>
        <v>https://www.newsgn.com/news/articleView.html?idxno=490772</v>
      </c>
      <c r="H7468">
        <v>0.23599999999999999</v>
      </c>
    </row>
    <row r="7469" spans="1:8" x14ac:dyDescent="0.3">
      <c r="A7469" t="s">
        <v>18176</v>
      </c>
      <c r="B7469" t="s">
        <v>26951</v>
      </c>
      <c r="C7469" t="s">
        <v>18870</v>
      </c>
      <c r="D7469" t="s">
        <v>18869</v>
      </c>
      <c r="E7469" s="2" t="s">
        <v>725</v>
      </c>
      <c r="F7469" t="s">
        <v>18868</v>
      </c>
      <c r="G7469" t="str">
        <f>HYPERLINK("http://www.sctoday.co.kr/news/articleView.html?idxno=39675")</f>
        <v>http://www.sctoday.co.kr/news/articleView.html?idxno=39675</v>
      </c>
      <c r="H7469">
        <v>0.33300000000000002</v>
      </c>
    </row>
    <row r="7470" spans="1:8" x14ac:dyDescent="0.3">
      <c r="A7470" t="s">
        <v>18176</v>
      </c>
      <c r="B7470" t="s">
        <v>26951</v>
      </c>
      <c r="C7470" t="s">
        <v>18872</v>
      </c>
      <c r="D7470" t="s">
        <v>18871</v>
      </c>
      <c r="E7470" s="2" t="s">
        <v>725</v>
      </c>
      <c r="F7470" t="s">
        <v>15821</v>
      </c>
      <c r="G7470" t="str">
        <f>HYPERLINK("http://www.dtnews24.com/news/article.html?no=415747")</f>
        <v>http://www.dtnews24.com/news/article.html?no=415747</v>
      </c>
      <c r="H7470">
        <v>0.25800000000000001</v>
      </c>
    </row>
    <row r="7471" spans="1:8" x14ac:dyDescent="0.3">
      <c r="A7471" t="s">
        <v>18176</v>
      </c>
      <c r="B7471" t="s">
        <v>26951</v>
      </c>
      <c r="C7471" t="s">
        <v>18874</v>
      </c>
      <c r="D7471" t="s">
        <v>18873</v>
      </c>
      <c r="E7471" s="2" t="s">
        <v>725</v>
      </c>
      <c r="F7471" t="s">
        <v>9897</v>
      </c>
      <c r="G7471" t="str">
        <f>HYPERLINK("https://www.dailysportshankook.co.kr/news/articleView.html?idxno=406234")</f>
        <v>https://www.dailysportshankook.co.kr/news/articleView.html?idxno=406234</v>
      </c>
      <c r="H7471">
        <v>0.63500000000000001</v>
      </c>
    </row>
    <row r="7472" spans="1:8" x14ac:dyDescent="0.3">
      <c r="A7472" t="s">
        <v>18176</v>
      </c>
      <c r="B7472" t="s">
        <v>26951</v>
      </c>
      <c r="C7472" t="s">
        <v>18877</v>
      </c>
      <c r="D7472" t="s">
        <v>18876</v>
      </c>
      <c r="E7472" s="2" t="s">
        <v>725</v>
      </c>
      <c r="F7472" t="s">
        <v>18875</v>
      </c>
      <c r="G7472" t="str">
        <f>HYPERLINK("https://n.news.naver.com/mnews/article/056/0010300853?sid=102")</f>
        <v>https://n.news.naver.com/mnews/article/056/0010300853?sid=102</v>
      </c>
      <c r="H7472">
        <v>0.23100000000000001</v>
      </c>
    </row>
    <row r="7473" spans="1:8" x14ac:dyDescent="0.3">
      <c r="A7473" t="s">
        <v>18176</v>
      </c>
      <c r="B7473" t="s">
        <v>26951</v>
      </c>
      <c r="C7473" t="s">
        <v>18880</v>
      </c>
      <c r="D7473" t="s">
        <v>18879</v>
      </c>
      <c r="E7473" s="2" t="s">
        <v>725</v>
      </c>
      <c r="F7473" t="s">
        <v>18878</v>
      </c>
      <c r="G7473" t="str">
        <f>HYPERLINK("https://www.newspim.com/news/view/20250625000933")</f>
        <v>https://www.newspim.com/news/view/20250625000933</v>
      </c>
      <c r="H7473">
        <v>0.79</v>
      </c>
    </row>
    <row r="7474" spans="1:8" x14ac:dyDescent="0.3">
      <c r="A7474" t="s">
        <v>18176</v>
      </c>
      <c r="B7474" t="s">
        <v>26951</v>
      </c>
      <c r="C7474" t="s">
        <v>18883</v>
      </c>
      <c r="D7474" t="s">
        <v>18882</v>
      </c>
      <c r="E7474" s="2" t="s">
        <v>725</v>
      </c>
      <c r="F7474" t="s">
        <v>18881</v>
      </c>
      <c r="G7474" t="str">
        <f>HYPERLINK("https://www.vogue.co.kr/2022/08/16/%eb%b0%b4%eb%93%9c-%ec%84%9c%eb%b0%94%ec%9d%b4%eb%b2%8c-%ea%b7%b8%eb%a0%88%ec%9d%b4%ed%8a%b8-%ec%84%9c%ec%9a%b8-%ec%9d%b8%eb%b2%a0%ec%9d%b4%ec%a0%84/?utm_source=naver&amp;utm_medium=partnership")</f>
        <v>https://www.vogue.co.kr/2022/08/16/%eb%b0%b4%eb%93%9c-%ec%84%9c%eb%b0%94%ec%9d%b4%eb%b2%8c-%ea%b7%b8%eb%a0%88%ec%9d%b4%ed%8a%b8-%ec%84%9c%ec%9a%b8-%ec%9d%b8%eb%b2%a0%ec%9d%b4%ec%a0%84/?utm_source=naver&amp;utm_medium=partnership</v>
      </c>
      <c r="H7474">
        <v>0.186</v>
      </c>
    </row>
    <row r="7475" spans="1:8" x14ac:dyDescent="0.3">
      <c r="A7475" t="s">
        <v>18176</v>
      </c>
      <c r="B7475" t="s">
        <v>26951</v>
      </c>
      <c r="C7475" t="s">
        <v>18885</v>
      </c>
      <c r="D7475" t="s">
        <v>18884</v>
      </c>
      <c r="E7475" s="2" t="s">
        <v>725</v>
      </c>
      <c r="F7475" t="s">
        <v>10302</v>
      </c>
      <c r="G7475" t="str">
        <f>HYPERLINK("http://www.viewsnnews.com/article?q=169613")</f>
        <v>http://www.viewsnnews.com/article?q=169613</v>
      </c>
      <c r="H7475">
        <v>0.39</v>
      </c>
    </row>
    <row r="7476" spans="1:8" x14ac:dyDescent="0.3">
      <c r="A7476" t="s">
        <v>18176</v>
      </c>
      <c r="B7476" t="s">
        <v>26951</v>
      </c>
      <c r="C7476" t="s">
        <v>18888</v>
      </c>
      <c r="D7476" t="s">
        <v>18887</v>
      </c>
      <c r="E7476" s="2" t="s">
        <v>725</v>
      </c>
      <c r="F7476" t="s">
        <v>18886</v>
      </c>
      <c r="G7476" t="str">
        <f>HYPERLINK("http://www.kyongbuk.co.kr/main/news/news_content.php?id=657227&amp;news_area=130&amp;news_divide=13001&amp;news_local=&amp;effect=4")</f>
        <v>http://www.kyongbuk.co.kr/main/news/news_content.php?id=657227&amp;news_area=130&amp;news_divide=13001&amp;news_local=&amp;effect=4</v>
      </c>
      <c r="H7476">
        <v>0.40899999999999997</v>
      </c>
    </row>
    <row r="7477" spans="1:8" x14ac:dyDescent="0.3">
      <c r="A7477" t="s">
        <v>18176</v>
      </c>
      <c r="B7477" t="s">
        <v>26951</v>
      </c>
      <c r="C7477" t="s">
        <v>18891</v>
      </c>
      <c r="D7477" t="s">
        <v>18890</v>
      </c>
      <c r="E7477" s="2" t="s">
        <v>725</v>
      </c>
      <c r="F7477" t="s">
        <v>18889</v>
      </c>
      <c r="G7477" t="str">
        <f>HYPERLINK("http://www.kyongbuk.co.kr/news/articleView.html?idxno=2087524")</f>
        <v>http://www.kyongbuk.co.kr/news/articleView.html?idxno=2087524</v>
      </c>
      <c r="H7477">
        <v>0.1</v>
      </c>
    </row>
    <row r="7478" spans="1:8" x14ac:dyDescent="0.3">
      <c r="A7478" t="s">
        <v>18176</v>
      </c>
      <c r="B7478" t="s">
        <v>26951</v>
      </c>
      <c r="C7478" t="s">
        <v>18893</v>
      </c>
      <c r="D7478" t="s">
        <v>18892</v>
      </c>
      <c r="E7478" s="2" t="s">
        <v>725</v>
      </c>
      <c r="F7478" t="s">
        <v>10506</v>
      </c>
      <c r="G7478" t="str">
        <f>HYPERLINK("http://www.k-health.com/news/articleView.html?idxno=82503")</f>
        <v>http://www.k-health.com/news/articleView.html?idxno=82503</v>
      </c>
      <c r="H7478">
        <v>0.114</v>
      </c>
    </row>
    <row r="7479" spans="1:8" x14ac:dyDescent="0.3">
      <c r="A7479" t="s">
        <v>18176</v>
      </c>
      <c r="B7479" t="s">
        <v>26951</v>
      </c>
      <c r="C7479" t="s">
        <v>18895</v>
      </c>
      <c r="D7479" t="s">
        <v>18894</v>
      </c>
      <c r="E7479" s="2" t="s">
        <v>725</v>
      </c>
      <c r="F7479" t="s">
        <v>9912</v>
      </c>
      <c r="G7479" t="str">
        <f>HYPERLINK("https://n.news.naver.com/mnews/article/088/0000256851")</f>
        <v>https://n.news.naver.com/mnews/article/088/0000256851</v>
      </c>
      <c r="H7479">
        <v>0.24099999999999999</v>
      </c>
    </row>
    <row r="7480" spans="1:8" x14ac:dyDescent="0.3">
      <c r="A7480" t="s">
        <v>18176</v>
      </c>
      <c r="B7480" t="s">
        <v>26951</v>
      </c>
      <c r="C7480" t="s">
        <v>18897</v>
      </c>
      <c r="D7480" t="s">
        <v>18896</v>
      </c>
      <c r="E7480" s="2" t="s">
        <v>725</v>
      </c>
      <c r="F7480" t="s">
        <v>2106</v>
      </c>
      <c r="G7480" t="str">
        <f>HYPERLINK("https://ditoday.com/%eb%94%94%ec%9e%90%ec%9d%b8%ec%9d%b4%eb%9e%80-%eb%94%94%ec%9e%90%ec%9d%b4%eb%84%88%ec%9d%98-%ec%83%89%ea%b9%94%eb%a1%9c-%eb%8b%88%ec%a6%88%eb%a5%bc-%ed%92%80%ec%96%b4%ea%b0%80%eb%8a%94/")</f>
        <v>https://ditoday.com/%eb%94%94%ec%9e%90%ec%9d%b8%ec%9d%b4%eb%9e%80-%eb%94%94%ec%9e%90%ec%9d%b4%eb%84%88%ec%9d%98-%ec%83%89%ea%b9%94%eb%a1%9c-%eb%8b%88%ec%a6%88%eb%a5%bc-%ed%92%80%ec%96%b4%ea%b0%80%eb%8a%94/</v>
      </c>
      <c r="H7480">
        <v>0.372</v>
      </c>
    </row>
    <row r="7481" spans="1:8" x14ac:dyDescent="0.3">
      <c r="A7481" t="s">
        <v>18176</v>
      </c>
      <c r="B7481" t="s">
        <v>26951</v>
      </c>
      <c r="C7481" t="s">
        <v>18900</v>
      </c>
      <c r="D7481" t="s">
        <v>18899</v>
      </c>
      <c r="E7481" s="2" t="s">
        <v>725</v>
      </c>
      <c r="F7481" t="s">
        <v>18898</v>
      </c>
      <c r="G7481" t="str">
        <f>HYPERLINK("http://www.bzeronews.com/news/articleView.html?idxno=166072")</f>
        <v>http://www.bzeronews.com/news/articleView.html?idxno=166072</v>
      </c>
      <c r="H7481">
        <v>0.53900000000000003</v>
      </c>
    </row>
    <row r="7482" spans="1:8" x14ac:dyDescent="0.3">
      <c r="A7482" t="s">
        <v>18176</v>
      </c>
      <c r="B7482" t="s">
        <v>26951</v>
      </c>
      <c r="C7482" t="s">
        <v>18903</v>
      </c>
      <c r="D7482" t="s">
        <v>18902</v>
      </c>
      <c r="E7482" s="2" t="s">
        <v>725</v>
      </c>
      <c r="F7482" t="s">
        <v>18901</v>
      </c>
      <c r="G7482" t="str">
        <f>HYPERLINK("http://www.jnilbo.com/77489281150")</f>
        <v>http://www.jnilbo.com/77489281150</v>
      </c>
      <c r="H7482">
        <v>6.9000000000000006E-2</v>
      </c>
    </row>
    <row r="7483" spans="1:8" x14ac:dyDescent="0.3">
      <c r="A7483" t="s">
        <v>18176</v>
      </c>
      <c r="B7483" t="s">
        <v>26951</v>
      </c>
      <c r="C7483" t="s">
        <v>18905</v>
      </c>
      <c r="D7483" t="s">
        <v>18904</v>
      </c>
      <c r="E7483" s="2" t="s">
        <v>725</v>
      </c>
      <c r="F7483" t="s">
        <v>13809</v>
      </c>
      <c r="G7483" t="str">
        <f>HYPERLINK("http://www.incheonnews.com/news/articleView.html?idxno=426428")</f>
        <v>http://www.incheonnews.com/news/articleView.html?idxno=426428</v>
      </c>
      <c r="H7483">
        <v>0.79500000000000004</v>
      </c>
    </row>
    <row r="7484" spans="1:8" x14ac:dyDescent="0.3">
      <c r="A7484" t="s">
        <v>18176</v>
      </c>
      <c r="B7484" t="s">
        <v>26951</v>
      </c>
      <c r="C7484" t="s">
        <v>18907</v>
      </c>
      <c r="D7484" t="s">
        <v>18906</v>
      </c>
      <c r="E7484" s="2" t="s">
        <v>725</v>
      </c>
      <c r="F7484" t="s">
        <v>9912</v>
      </c>
      <c r="G7484" t="str">
        <f>HYPERLINK("https://www.lecturernews.com/news/articleView.html?idxno=162329")</f>
        <v>https://www.lecturernews.com/news/articleView.html?idxno=162329</v>
      </c>
      <c r="H7484">
        <v>0.27900000000000003</v>
      </c>
    </row>
    <row r="7485" spans="1:8" x14ac:dyDescent="0.3">
      <c r="A7485" t="s">
        <v>18176</v>
      </c>
      <c r="B7485" t="s">
        <v>26951</v>
      </c>
      <c r="C7485" t="s">
        <v>18910</v>
      </c>
      <c r="D7485" t="s">
        <v>18909</v>
      </c>
      <c r="E7485" s="2" t="s">
        <v>725</v>
      </c>
      <c r="F7485" t="s">
        <v>18908</v>
      </c>
      <c r="G7485" t="str">
        <f>HYPERLINK("https://www.discoverynews.kr/news/articleView.html?idxno=1043275")</f>
        <v>https://www.discoverynews.kr/news/articleView.html?idxno=1043275</v>
      </c>
      <c r="H7485">
        <v>0.26600000000000001</v>
      </c>
    </row>
    <row r="7486" spans="1:8" x14ac:dyDescent="0.3">
      <c r="A7486" t="s">
        <v>18176</v>
      </c>
      <c r="B7486" t="s">
        <v>26951</v>
      </c>
      <c r="C7486" t="s">
        <v>18912</v>
      </c>
      <c r="D7486" t="s">
        <v>18911</v>
      </c>
      <c r="E7486" s="2" t="s">
        <v>725</v>
      </c>
      <c r="F7486" t="s">
        <v>8074</v>
      </c>
      <c r="G7486" t="str">
        <f>HYPERLINK("http://www.newsfreezone.co.kr/news/articleView.html?idxno=91022")</f>
        <v>http://www.newsfreezone.co.kr/news/articleView.html?idxno=91022</v>
      </c>
      <c r="H7486">
        <v>0.5</v>
      </c>
    </row>
    <row r="7487" spans="1:8" x14ac:dyDescent="0.3">
      <c r="A7487" t="s">
        <v>18176</v>
      </c>
      <c r="B7487" t="s">
        <v>26951</v>
      </c>
      <c r="C7487" t="s">
        <v>18915</v>
      </c>
      <c r="D7487" t="s">
        <v>18914</v>
      </c>
      <c r="E7487" s="2" t="s">
        <v>725</v>
      </c>
      <c r="F7487" t="s">
        <v>18913</v>
      </c>
      <c r="G7487" t="str">
        <f>HYPERLINK("https://n.news.naver.com/mnews/article/658/0000049055?sid=103")</f>
        <v>https://n.news.naver.com/mnews/article/658/0000049055?sid=103</v>
      </c>
      <c r="H7487">
        <v>0.23100000000000001</v>
      </c>
    </row>
    <row r="7488" spans="1:8" x14ac:dyDescent="0.3">
      <c r="A7488" t="s">
        <v>18176</v>
      </c>
      <c r="B7488" t="s">
        <v>26951</v>
      </c>
      <c r="C7488" t="s">
        <v>18917</v>
      </c>
      <c r="D7488" t="s">
        <v>18916</v>
      </c>
      <c r="E7488" s="2" t="s">
        <v>725</v>
      </c>
      <c r="F7488" t="s">
        <v>13661</v>
      </c>
      <c r="G7488" t="str">
        <f>HYPERLINK("http://www.bzeronews.com/news/articleView.html?idxno=146164")</f>
        <v>http://www.bzeronews.com/news/articleView.html?idxno=146164</v>
      </c>
      <c r="H7488">
        <v>0.57799999999999996</v>
      </c>
    </row>
    <row r="7489" spans="1:8" x14ac:dyDescent="0.3">
      <c r="A7489" t="s">
        <v>18176</v>
      </c>
      <c r="B7489" t="s">
        <v>26951</v>
      </c>
      <c r="C7489" t="s">
        <v>18920</v>
      </c>
      <c r="D7489" t="s">
        <v>18919</v>
      </c>
      <c r="E7489" s="2" t="s">
        <v>725</v>
      </c>
      <c r="F7489" t="s">
        <v>18918</v>
      </c>
      <c r="G7489" t="str">
        <f>HYPERLINK("https://www.cctoday.co.kr/news/articleView.html?idxno=2159854")</f>
        <v>https://www.cctoday.co.kr/news/articleView.html?idxno=2159854</v>
      </c>
      <c r="H7489">
        <v>0.217</v>
      </c>
    </row>
    <row r="7490" spans="1:8" x14ac:dyDescent="0.3">
      <c r="A7490" t="s">
        <v>18176</v>
      </c>
      <c r="B7490" t="s">
        <v>26951</v>
      </c>
      <c r="C7490" t="s">
        <v>18922</v>
      </c>
      <c r="D7490" t="s">
        <v>18921</v>
      </c>
      <c r="E7490" s="2" t="s">
        <v>725</v>
      </c>
      <c r="F7490" t="s">
        <v>16366</v>
      </c>
      <c r="G7490" t="str">
        <f>HYPERLINK("http://www.ftoday.co.kr/news/articleView.html?idxno=110299")</f>
        <v>http://www.ftoday.co.kr/news/articleView.html?idxno=110299</v>
      </c>
      <c r="H7490">
        <v>0.35699999999999998</v>
      </c>
    </row>
    <row r="7491" spans="1:8" x14ac:dyDescent="0.3">
      <c r="A7491" t="s">
        <v>18176</v>
      </c>
      <c r="B7491" t="s">
        <v>26951</v>
      </c>
      <c r="C7491" t="s">
        <v>18924</v>
      </c>
      <c r="D7491" t="s">
        <v>18923</v>
      </c>
      <c r="E7491" s="2" t="s">
        <v>725</v>
      </c>
      <c r="F7491" t="s">
        <v>18777</v>
      </c>
      <c r="G7491" t="str">
        <f>HYPERLINK("https://n.news.naver.com/mnews/article/016/0002410495?sid=103")</f>
        <v>https://n.news.naver.com/mnews/article/016/0002410495?sid=103</v>
      </c>
      <c r="H7491">
        <v>0.113</v>
      </c>
    </row>
    <row r="7492" spans="1:8" x14ac:dyDescent="0.3">
      <c r="A7492" t="s">
        <v>18176</v>
      </c>
      <c r="B7492" t="s">
        <v>26951</v>
      </c>
      <c r="C7492" t="s">
        <v>18926</v>
      </c>
      <c r="D7492" t="s">
        <v>18925</v>
      </c>
      <c r="E7492" s="2" t="s">
        <v>725</v>
      </c>
      <c r="F7492" t="s">
        <v>8538</v>
      </c>
      <c r="G7492" t="str">
        <f>HYPERLINK("http://www.viva100.com/main/view.php?key=20181105010001457")</f>
        <v>http://www.viva100.com/main/view.php?key=20181105010001457</v>
      </c>
      <c r="H7492">
        <v>0.54</v>
      </c>
    </row>
    <row r="7493" spans="1:8" x14ac:dyDescent="0.3">
      <c r="A7493" t="s">
        <v>18176</v>
      </c>
      <c r="B7493" t="s">
        <v>26951</v>
      </c>
      <c r="C7493" t="s">
        <v>18929</v>
      </c>
      <c r="D7493" t="s">
        <v>18928</v>
      </c>
      <c r="E7493" s="2" t="s">
        <v>725</v>
      </c>
      <c r="F7493" t="s">
        <v>18927</v>
      </c>
      <c r="G7493" t="str">
        <f>HYPERLINK("https://www.pdjournal.com/news/articleView.html?idxno=80819")</f>
        <v>https://www.pdjournal.com/news/articleView.html?idxno=80819</v>
      </c>
      <c r="H7493">
        <v>0.29799999999999999</v>
      </c>
    </row>
    <row r="7494" spans="1:8" x14ac:dyDescent="0.3">
      <c r="A7494" t="s">
        <v>18176</v>
      </c>
      <c r="B7494" t="s">
        <v>26951</v>
      </c>
      <c r="C7494" t="s">
        <v>18931</v>
      </c>
      <c r="D7494" t="s">
        <v>18930</v>
      </c>
      <c r="E7494" s="2" t="s">
        <v>725</v>
      </c>
      <c r="F7494" t="s">
        <v>18777</v>
      </c>
      <c r="G7494" t="str">
        <f>HYPERLINK("http://www.sctoday.co.kr/news/articleView.html?idxno=39675")</f>
        <v>http://www.sctoday.co.kr/news/articleView.html?idxno=39675</v>
      </c>
      <c r="H7494">
        <v>0.52400000000000002</v>
      </c>
    </row>
    <row r="7495" spans="1:8" x14ac:dyDescent="0.3">
      <c r="A7495" t="s">
        <v>18176</v>
      </c>
      <c r="B7495" t="s">
        <v>26951</v>
      </c>
      <c r="C7495" t="s">
        <v>18934</v>
      </c>
      <c r="D7495" t="s">
        <v>18933</v>
      </c>
      <c r="E7495" s="2" t="s">
        <v>725</v>
      </c>
      <c r="F7495" t="s">
        <v>18932</v>
      </c>
      <c r="G7495" t="str">
        <f>HYPERLINK("https://n.news.naver.com/mnews/article/081/0003554107?sid=100")</f>
        <v>https://n.news.naver.com/mnews/article/081/0003554107?sid=100</v>
      </c>
      <c r="H7495">
        <v>0.23599999999999999</v>
      </c>
    </row>
    <row r="7496" spans="1:8" x14ac:dyDescent="0.3">
      <c r="A7496" t="s">
        <v>18176</v>
      </c>
      <c r="B7496" t="s">
        <v>26951</v>
      </c>
      <c r="C7496" t="s">
        <v>18936</v>
      </c>
      <c r="D7496" t="s">
        <v>18935</v>
      </c>
      <c r="E7496" s="2" t="s">
        <v>725</v>
      </c>
      <c r="F7496" t="s">
        <v>5548</v>
      </c>
      <c r="G7496" t="str">
        <f>HYPERLINK("https://www.jemin.com/news/articleView.html?idxno=794128")</f>
        <v>https://www.jemin.com/news/articleView.html?idxno=794128</v>
      </c>
      <c r="H7496">
        <v>0.29399999999999998</v>
      </c>
    </row>
    <row r="7497" spans="1:8" x14ac:dyDescent="0.3">
      <c r="A7497" t="s">
        <v>18176</v>
      </c>
      <c r="B7497" t="s">
        <v>26951</v>
      </c>
      <c r="C7497" t="s">
        <v>18939</v>
      </c>
      <c r="D7497" t="s">
        <v>18938</v>
      </c>
      <c r="E7497" s="2" t="s">
        <v>725</v>
      </c>
      <c r="F7497" t="s">
        <v>18937</v>
      </c>
      <c r="G7497" t="str">
        <f>HYPERLINK("https://n.news.naver.com/mnews/article/016/0002481728?sid=103")</f>
        <v>https://n.news.naver.com/mnews/article/016/0002481728?sid=103</v>
      </c>
      <c r="H7497">
        <v>0.186</v>
      </c>
    </row>
    <row r="7498" spans="1:8" x14ac:dyDescent="0.3">
      <c r="A7498" t="s">
        <v>18176</v>
      </c>
      <c r="B7498" t="s">
        <v>26951</v>
      </c>
      <c r="C7498" t="s">
        <v>18942</v>
      </c>
      <c r="D7498" t="s">
        <v>18941</v>
      </c>
      <c r="E7498" s="2" t="s">
        <v>742</v>
      </c>
      <c r="F7498" t="s">
        <v>18940</v>
      </c>
      <c r="G7498" t="str">
        <f>HYPERLINK("https://n.news.naver.com/mnews/article/018/0006054092?sid=102")</f>
        <v>https://n.news.naver.com/mnews/article/018/0006054092?sid=102</v>
      </c>
      <c r="H7498">
        <v>0.22</v>
      </c>
    </row>
    <row r="7499" spans="1:8" x14ac:dyDescent="0.3">
      <c r="A7499" t="s">
        <v>18176</v>
      </c>
      <c r="B7499" t="s">
        <v>26951</v>
      </c>
      <c r="C7499" t="s">
        <v>18945</v>
      </c>
      <c r="D7499" t="s">
        <v>18944</v>
      </c>
      <c r="E7499" s="2" t="s">
        <v>742</v>
      </c>
      <c r="F7499" t="s">
        <v>18943</v>
      </c>
      <c r="G7499" t="str">
        <f>HYPERLINK("https://n.news.naver.com/mnews/article/018/0004235945?sid=103")</f>
        <v>https://n.news.naver.com/mnews/article/018/0004235945?sid=103</v>
      </c>
      <c r="H7499">
        <v>0.23899999999999999</v>
      </c>
    </row>
    <row r="7500" spans="1:8" x14ac:dyDescent="0.3">
      <c r="A7500" t="s">
        <v>18176</v>
      </c>
      <c r="B7500" t="s">
        <v>26951</v>
      </c>
      <c r="C7500" t="s">
        <v>18948</v>
      </c>
      <c r="D7500" t="s">
        <v>18947</v>
      </c>
      <c r="E7500" s="2" t="s">
        <v>742</v>
      </c>
      <c r="F7500" t="s">
        <v>18946</v>
      </c>
      <c r="G7500" t="str">
        <f>HYPERLINK("http://www.ibulgyo.com/news/articleView.html?idxno=221919")</f>
        <v>http://www.ibulgyo.com/news/articleView.html?idxno=221919</v>
      </c>
      <c r="H7500">
        <v>0.28599999999999998</v>
      </c>
    </row>
    <row r="7501" spans="1:8" x14ac:dyDescent="0.3">
      <c r="A7501" t="s">
        <v>18176</v>
      </c>
      <c r="B7501" t="s">
        <v>26951</v>
      </c>
      <c r="C7501" t="s">
        <v>18950</v>
      </c>
      <c r="D7501" t="s">
        <v>18949</v>
      </c>
      <c r="E7501" s="2" t="s">
        <v>742</v>
      </c>
      <c r="F7501" t="s">
        <v>18511</v>
      </c>
      <c r="G7501" t="str">
        <f>HYPERLINK("https://n.news.naver.com/mnews/article/081/0003547942?sid=103")</f>
        <v>https://n.news.naver.com/mnews/article/081/0003547942?sid=103</v>
      </c>
      <c r="H7501">
        <v>0.33500000000000002</v>
      </c>
    </row>
    <row r="7502" spans="1:8" x14ac:dyDescent="0.3">
      <c r="A7502" t="s">
        <v>18176</v>
      </c>
      <c r="B7502" t="s">
        <v>26951</v>
      </c>
      <c r="C7502" t="s">
        <v>18952</v>
      </c>
      <c r="D7502" t="s">
        <v>18951</v>
      </c>
      <c r="E7502" s="2" t="s">
        <v>742</v>
      </c>
      <c r="F7502" t="s">
        <v>18810</v>
      </c>
      <c r="G7502" t="str">
        <f>HYPERLINK("https://www.foodneconomy.com/news/articleView.html?idxno=221643")</f>
        <v>https://www.foodneconomy.com/news/articleView.html?idxno=221643</v>
      </c>
      <c r="H7502">
        <v>0.16800000000000001</v>
      </c>
    </row>
    <row r="7503" spans="1:8" x14ac:dyDescent="0.3">
      <c r="A7503" t="s">
        <v>18176</v>
      </c>
      <c r="B7503" t="s">
        <v>26951</v>
      </c>
      <c r="C7503" t="s">
        <v>18955</v>
      </c>
      <c r="D7503" t="s">
        <v>18954</v>
      </c>
      <c r="E7503" s="2" t="s">
        <v>742</v>
      </c>
      <c r="F7503" t="s">
        <v>18953</v>
      </c>
      <c r="G7503" t="str">
        <f>HYPERLINK("http://www.smedaily.co.kr/news/articleView.html?idxno=262479")</f>
        <v>http://www.smedaily.co.kr/news/articleView.html?idxno=262479</v>
      </c>
      <c r="H7503">
        <v>0.22</v>
      </c>
    </row>
    <row r="7504" spans="1:8" x14ac:dyDescent="0.3">
      <c r="A7504" t="s">
        <v>18176</v>
      </c>
      <c r="B7504" t="s">
        <v>26951</v>
      </c>
      <c r="C7504" t="s">
        <v>10719</v>
      </c>
      <c r="D7504" t="s">
        <v>10718</v>
      </c>
      <c r="E7504" s="2" t="s">
        <v>742</v>
      </c>
      <c r="F7504" t="s">
        <v>10717</v>
      </c>
      <c r="G7504" t="str">
        <f>HYPERLINK("https://n.news.naver.com/mnews/article/214/0001433615?sid=100")</f>
        <v>https://n.news.naver.com/mnews/article/214/0001433615?sid=100</v>
      </c>
      <c r="H7504">
        <v>0.10199999999999999</v>
      </c>
    </row>
    <row r="7505" spans="1:8" x14ac:dyDescent="0.3">
      <c r="A7505" t="s">
        <v>18176</v>
      </c>
      <c r="B7505" t="s">
        <v>26951</v>
      </c>
      <c r="C7505" t="s">
        <v>18957</v>
      </c>
      <c r="D7505" t="s">
        <v>18956</v>
      </c>
      <c r="E7505" s="2" t="s">
        <v>742</v>
      </c>
      <c r="F7505" t="s">
        <v>119</v>
      </c>
      <c r="G7505" t="str">
        <f>HYPERLINK("https://n.news.naver.com/mnews/article/014/0005365782?sid=103")</f>
        <v>https://n.news.naver.com/mnews/article/014/0005365782?sid=103</v>
      </c>
      <c r="H7505">
        <v>0.19400000000000001</v>
      </c>
    </row>
    <row r="7506" spans="1:8" x14ac:dyDescent="0.3">
      <c r="A7506" t="s">
        <v>18176</v>
      </c>
      <c r="B7506" t="s">
        <v>26951</v>
      </c>
      <c r="C7506" t="s">
        <v>18959</v>
      </c>
      <c r="D7506" t="s">
        <v>18958</v>
      </c>
      <c r="E7506" s="2" t="s">
        <v>742</v>
      </c>
      <c r="F7506" t="s">
        <v>15318</v>
      </c>
      <c r="G7506" t="str">
        <f>HYPERLINK("http://www.bzeronews.com/news/articleView.html?idxno=166072")</f>
        <v>http://www.bzeronews.com/news/articleView.html?idxno=166072</v>
      </c>
      <c r="H7506">
        <v>0.53700000000000003</v>
      </c>
    </row>
    <row r="7507" spans="1:8" x14ac:dyDescent="0.3">
      <c r="A7507" t="s">
        <v>18176</v>
      </c>
      <c r="B7507" t="s">
        <v>26951</v>
      </c>
      <c r="C7507" t="s">
        <v>18961</v>
      </c>
      <c r="D7507" t="s">
        <v>18960</v>
      </c>
      <c r="E7507" s="2" t="s">
        <v>742</v>
      </c>
      <c r="F7507" t="s">
        <v>7346</v>
      </c>
      <c r="G7507" t="str">
        <f>HYPERLINK("https://www.siminilbo.co.kr/news/newsview.php?ncode=1160268956876949")</f>
        <v>https://www.siminilbo.co.kr/news/newsview.php?ncode=1160268956876949</v>
      </c>
      <c r="H7507">
        <v>0.629</v>
      </c>
    </row>
    <row r="7508" spans="1:8" x14ac:dyDescent="0.3">
      <c r="A7508" t="s">
        <v>18176</v>
      </c>
      <c r="B7508" t="s">
        <v>26951</v>
      </c>
      <c r="C7508" t="s">
        <v>18964</v>
      </c>
      <c r="D7508" t="s">
        <v>18963</v>
      </c>
      <c r="E7508" s="2" t="s">
        <v>742</v>
      </c>
      <c r="F7508" t="s">
        <v>18962</v>
      </c>
      <c r="G7508" t="str">
        <f>HYPERLINK("https://n.news.naver.com/mnews/article/081/0003547942?sid=103")</f>
        <v>https://n.news.naver.com/mnews/article/081/0003547942?sid=103</v>
      </c>
      <c r="H7508">
        <v>0.23799999999999999</v>
      </c>
    </row>
    <row r="7509" spans="1:8" x14ac:dyDescent="0.3">
      <c r="A7509" t="s">
        <v>18176</v>
      </c>
      <c r="B7509" t="s">
        <v>26951</v>
      </c>
      <c r="C7509" t="s">
        <v>18967</v>
      </c>
      <c r="D7509" t="s">
        <v>18966</v>
      </c>
      <c r="E7509" s="2" t="s">
        <v>742</v>
      </c>
      <c r="F7509" t="s">
        <v>18965</v>
      </c>
      <c r="G7509" t="str">
        <f>HYPERLINK("http://www.finomy.com/news/articleView.html?idxno=209065")</f>
        <v>http://www.finomy.com/news/articleView.html?idxno=209065</v>
      </c>
      <c r="H7509">
        <v>0.70499999999999996</v>
      </c>
    </row>
    <row r="7510" spans="1:8" x14ac:dyDescent="0.3">
      <c r="A7510" t="s">
        <v>18176</v>
      </c>
      <c r="B7510" t="s">
        <v>26951</v>
      </c>
      <c r="C7510" t="s">
        <v>18970</v>
      </c>
      <c r="D7510" t="s">
        <v>18969</v>
      </c>
      <c r="E7510" s="2" t="s">
        <v>742</v>
      </c>
      <c r="F7510" t="s">
        <v>18968</v>
      </c>
      <c r="G7510" t="str">
        <f>HYPERLINK("http://www.christiantoday.co.kr/view.htm?id=274260")</f>
        <v>http://www.christiantoday.co.kr/view.htm?id=274260</v>
      </c>
      <c r="H7510">
        <v>0.23300000000000001</v>
      </c>
    </row>
    <row r="7511" spans="1:8" x14ac:dyDescent="0.3">
      <c r="A7511" t="s">
        <v>18176</v>
      </c>
      <c r="B7511" t="s">
        <v>26951</v>
      </c>
      <c r="C7511" t="s">
        <v>18974</v>
      </c>
      <c r="D7511" t="s">
        <v>18973</v>
      </c>
      <c r="E7511" s="2" t="s">
        <v>742</v>
      </c>
      <c r="F7511" t="s">
        <v>18972</v>
      </c>
      <c r="G7511" t="str">
        <f>HYPERLINK("https://www.dkilbo.com/news/articleView.html?idxno=499655")</f>
        <v>https://www.dkilbo.com/news/articleView.html?idxno=499655</v>
      </c>
      <c r="H7511">
        <v>0.69099999999999995</v>
      </c>
    </row>
    <row r="7512" spans="1:8" x14ac:dyDescent="0.3">
      <c r="A7512" t="s">
        <v>18176</v>
      </c>
      <c r="B7512" t="s">
        <v>26951</v>
      </c>
      <c r="C7512" t="s">
        <v>18976</v>
      </c>
      <c r="D7512" t="s">
        <v>18975</v>
      </c>
      <c r="E7512" s="2" t="s">
        <v>742</v>
      </c>
      <c r="F7512" t="s">
        <v>197</v>
      </c>
      <c r="G7512" t="str">
        <f>HYPERLINK("https://n.news.naver.com/mnews/article/214/0001359089?sid=100")</f>
        <v>https://n.news.naver.com/mnews/article/214/0001359089?sid=100</v>
      </c>
      <c r="H7512">
        <v>0.56100000000000005</v>
      </c>
    </row>
    <row r="7513" spans="1:8" x14ac:dyDescent="0.3">
      <c r="A7513" t="s">
        <v>18176</v>
      </c>
      <c r="B7513" t="s">
        <v>26951</v>
      </c>
      <c r="C7513" t="s">
        <v>18979</v>
      </c>
      <c r="D7513" t="s">
        <v>18978</v>
      </c>
      <c r="E7513" s="2" t="s">
        <v>742</v>
      </c>
      <c r="F7513" t="s">
        <v>18977</v>
      </c>
      <c r="G7513" t="str">
        <f>HYPERLINK("https://n.news.naver.com/mnews/article/119/0002974282?sid=101")</f>
        <v>https://n.news.naver.com/mnews/article/119/0002974282?sid=101</v>
      </c>
      <c r="H7513">
        <v>0.214</v>
      </c>
    </row>
    <row r="7514" spans="1:8" x14ac:dyDescent="0.3">
      <c r="A7514" t="s">
        <v>18176</v>
      </c>
      <c r="B7514" t="s">
        <v>26951</v>
      </c>
      <c r="C7514" t="s">
        <v>18981</v>
      </c>
      <c r="D7514" t="s">
        <v>18980</v>
      </c>
      <c r="E7514" s="2" t="s">
        <v>742</v>
      </c>
      <c r="F7514" t="s">
        <v>2181</v>
      </c>
      <c r="G7514" t="str">
        <f>HYPERLINK("http://www.metroseoul.co.kr/article/20250604500025")</f>
        <v>http://www.metroseoul.co.kr/article/20250604500025</v>
      </c>
      <c r="H7514">
        <v>0.438</v>
      </c>
    </row>
    <row r="7515" spans="1:8" x14ac:dyDescent="0.3">
      <c r="A7515" t="s">
        <v>18176</v>
      </c>
      <c r="B7515" t="s">
        <v>26951</v>
      </c>
      <c r="C7515" t="s">
        <v>18984</v>
      </c>
      <c r="D7515" t="s">
        <v>18983</v>
      </c>
      <c r="E7515" s="2" t="s">
        <v>742</v>
      </c>
      <c r="F7515" t="s">
        <v>18982</v>
      </c>
      <c r="G7515" t="str">
        <f>HYPERLINK("https://www.jejusori.net/news/articleView.html?idxno=437325")</f>
        <v>https://www.jejusori.net/news/articleView.html?idxno=437325</v>
      </c>
      <c r="H7515">
        <v>0.56899999999999995</v>
      </c>
    </row>
    <row r="7516" spans="1:8" x14ac:dyDescent="0.3">
      <c r="A7516" t="s">
        <v>18176</v>
      </c>
      <c r="B7516" t="s">
        <v>26951</v>
      </c>
      <c r="C7516" t="s">
        <v>18986</v>
      </c>
      <c r="D7516" t="s">
        <v>18985</v>
      </c>
      <c r="E7516" s="2" t="s">
        <v>742</v>
      </c>
      <c r="F7516" t="s">
        <v>10788</v>
      </c>
      <c r="G7516" t="str">
        <f>HYPERLINK("https://www.lecturernews.com/news/articleView.html?idxno=179765")</f>
        <v>https://www.lecturernews.com/news/articleView.html?idxno=179765</v>
      </c>
      <c r="H7516">
        <v>0.497</v>
      </c>
    </row>
    <row r="7517" spans="1:8" x14ac:dyDescent="0.3">
      <c r="A7517" t="s">
        <v>18176</v>
      </c>
      <c r="B7517" t="s">
        <v>26951</v>
      </c>
      <c r="C7517" t="s">
        <v>18989</v>
      </c>
      <c r="D7517" t="s">
        <v>18988</v>
      </c>
      <c r="E7517" s="2" t="s">
        <v>742</v>
      </c>
      <c r="F7517" t="s">
        <v>18987</v>
      </c>
      <c r="G7517" t="str">
        <f>HYPERLINK("https://www.ajunews.com/view/20250604144400185")</f>
        <v>https://www.ajunews.com/view/20250604144400185</v>
      </c>
      <c r="H7517">
        <v>0.56000000000000005</v>
      </c>
    </row>
    <row r="7518" spans="1:8" x14ac:dyDescent="0.3">
      <c r="A7518" t="s">
        <v>18176</v>
      </c>
      <c r="B7518" t="s">
        <v>26951</v>
      </c>
      <c r="C7518" t="s">
        <v>18992</v>
      </c>
      <c r="D7518" t="s">
        <v>18991</v>
      </c>
      <c r="E7518" s="2" t="s">
        <v>742</v>
      </c>
      <c r="F7518" t="s">
        <v>18990</v>
      </c>
      <c r="G7518" t="str">
        <f>HYPERLINK("https://www.pdjournal.com/news/articleView.html?idxno=80819")</f>
        <v>https://www.pdjournal.com/news/articleView.html?idxno=80819</v>
      </c>
      <c r="H7518">
        <v>0.33</v>
      </c>
    </row>
    <row r="7519" spans="1:8" x14ac:dyDescent="0.3">
      <c r="A7519" t="s">
        <v>18176</v>
      </c>
      <c r="B7519" t="s">
        <v>26951</v>
      </c>
      <c r="C7519" t="s">
        <v>18994</v>
      </c>
      <c r="D7519" t="s">
        <v>18993</v>
      </c>
      <c r="E7519" s="2" t="s">
        <v>742</v>
      </c>
      <c r="F7519" t="s">
        <v>2498</v>
      </c>
      <c r="G7519" t="str">
        <f>HYPERLINK("https://www.pennmike.com/news/articleView.html?idxno=93805")</f>
        <v>https://www.pennmike.com/news/articleView.html?idxno=93805</v>
      </c>
      <c r="H7519">
        <v>0.73699999999999999</v>
      </c>
    </row>
    <row r="7520" spans="1:8" x14ac:dyDescent="0.3">
      <c r="A7520" t="s">
        <v>18176</v>
      </c>
      <c r="B7520" t="s">
        <v>26951</v>
      </c>
      <c r="C7520" t="s">
        <v>18997</v>
      </c>
      <c r="D7520" t="s">
        <v>18996</v>
      </c>
      <c r="E7520" s="2" t="s">
        <v>742</v>
      </c>
      <c r="F7520" t="s">
        <v>18995</v>
      </c>
      <c r="G7520" t="str">
        <f>HYPERLINK("https://n.news.naver.com/mnews/article/308/0000036779?sid=102")</f>
        <v>https://n.news.naver.com/mnews/article/308/0000036779?sid=102</v>
      </c>
      <c r="H7520">
        <v>0.22800000000000001</v>
      </c>
    </row>
    <row r="7521" spans="1:8" x14ac:dyDescent="0.3">
      <c r="A7521" t="s">
        <v>18176</v>
      </c>
      <c r="B7521" t="s">
        <v>26951</v>
      </c>
      <c r="C7521" t="s">
        <v>19000</v>
      </c>
      <c r="D7521" t="s">
        <v>18999</v>
      </c>
      <c r="E7521" s="2" t="s">
        <v>742</v>
      </c>
      <c r="F7521" t="s">
        <v>18998</v>
      </c>
      <c r="G7521" t="str">
        <f>HYPERLINK("http://www.ngonews.kr/news/articleView.html?idxno=146902")</f>
        <v>http://www.ngonews.kr/news/articleView.html?idxno=146902</v>
      </c>
      <c r="H7521">
        <v>0.216</v>
      </c>
    </row>
    <row r="7522" spans="1:8" x14ac:dyDescent="0.3">
      <c r="A7522" t="s">
        <v>18176</v>
      </c>
      <c r="B7522" t="s">
        <v>26951</v>
      </c>
      <c r="C7522" t="s">
        <v>19003</v>
      </c>
      <c r="D7522" t="s">
        <v>19002</v>
      </c>
      <c r="E7522" s="2" t="s">
        <v>742</v>
      </c>
      <c r="F7522" t="s">
        <v>19001</v>
      </c>
      <c r="G7522" t="str">
        <f>HYPERLINK("http://www.newscj.com/article/20221229580601")</f>
        <v>http://www.newscj.com/article/20221229580601</v>
      </c>
      <c r="H7522">
        <v>0.56599999999999995</v>
      </c>
    </row>
    <row r="7523" spans="1:8" x14ac:dyDescent="0.3">
      <c r="A7523" t="s">
        <v>18176</v>
      </c>
      <c r="B7523" t="s">
        <v>26951</v>
      </c>
      <c r="C7523" t="s">
        <v>19005</v>
      </c>
      <c r="D7523" t="s">
        <v>19004</v>
      </c>
      <c r="E7523" s="2" t="s">
        <v>742</v>
      </c>
      <c r="F7523" t="s">
        <v>12971</v>
      </c>
      <c r="G7523" t="str">
        <f>HYPERLINK("https://www.dkilbo.com/news/articleView.html?idxno=501041")</f>
        <v>https://www.dkilbo.com/news/articleView.html?idxno=501041</v>
      </c>
      <c r="H7523">
        <v>0.22</v>
      </c>
    </row>
    <row r="7524" spans="1:8" x14ac:dyDescent="0.3">
      <c r="A7524" t="s">
        <v>18176</v>
      </c>
      <c r="B7524" t="s">
        <v>26951</v>
      </c>
      <c r="C7524" t="s">
        <v>19008</v>
      </c>
      <c r="D7524" t="s">
        <v>19007</v>
      </c>
      <c r="E7524" s="2" t="s">
        <v>742</v>
      </c>
      <c r="F7524" t="s">
        <v>19006</v>
      </c>
      <c r="G7524" t="str">
        <f>HYPERLINK("https://www.apnews.kr/news/articleView.html?idxno=3024887")</f>
        <v>https://www.apnews.kr/news/articleView.html?idxno=3024887</v>
      </c>
      <c r="H7524">
        <v>0.51100000000000001</v>
      </c>
    </row>
    <row r="7525" spans="1:8" x14ac:dyDescent="0.3">
      <c r="A7525" t="s">
        <v>18176</v>
      </c>
      <c r="B7525" t="s">
        <v>26951</v>
      </c>
      <c r="C7525" t="s">
        <v>19010</v>
      </c>
      <c r="D7525" t="s">
        <v>19009</v>
      </c>
      <c r="E7525" s="2" t="s">
        <v>742</v>
      </c>
      <c r="F7525" t="s">
        <v>9128</v>
      </c>
      <c r="G7525" t="str">
        <f>HYPERLINK("http://ppss.kr/archives/37713")</f>
        <v>http://ppss.kr/archives/37713</v>
      </c>
      <c r="H7525">
        <v>0.68799999999999994</v>
      </c>
    </row>
    <row r="7526" spans="1:8" x14ac:dyDescent="0.3">
      <c r="A7526" t="s">
        <v>18176</v>
      </c>
      <c r="B7526" t="s">
        <v>26951</v>
      </c>
      <c r="C7526" t="s">
        <v>19013</v>
      </c>
      <c r="D7526" t="s">
        <v>19012</v>
      </c>
      <c r="E7526" s="2" t="s">
        <v>742</v>
      </c>
      <c r="F7526" t="s">
        <v>19011</v>
      </c>
      <c r="G7526" t="str">
        <f>HYPERLINK("https://n.news.naver.com/mnews/article/056/0011908589?sid=103")</f>
        <v>https://n.news.naver.com/mnews/article/056/0011908589?sid=103</v>
      </c>
      <c r="H7526">
        <v>0.27800000000000002</v>
      </c>
    </row>
    <row r="7527" spans="1:8" x14ac:dyDescent="0.3">
      <c r="A7527" t="s">
        <v>18176</v>
      </c>
      <c r="B7527" t="s">
        <v>26951</v>
      </c>
      <c r="C7527" t="s">
        <v>19016</v>
      </c>
      <c r="D7527" t="s">
        <v>19015</v>
      </c>
      <c r="E7527" s="2" t="s">
        <v>742</v>
      </c>
      <c r="F7527" t="s">
        <v>19014</v>
      </c>
      <c r="G7527" t="str">
        <f>HYPERLINK("https://www.lecturernews.com/news/articleView.html?idxno=136411")</f>
        <v>https://www.lecturernews.com/news/articleView.html?idxno=136411</v>
      </c>
      <c r="H7527">
        <v>0.502</v>
      </c>
    </row>
    <row r="7528" spans="1:8" x14ac:dyDescent="0.3">
      <c r="A7528" t="s">
        <v>18176</v>
      </c>
      <c r="B7528" t="s">
        <v>26951</v>
      </c>
      <c r="C7528" t="s">
        <v>19019</v>
      </c>
      <c r="D7528" t="s">
        <v>19018</v>
      </c>
      <c r="E7528" s="2" t="s">
        <v>742</v>
      </c>
      <c r="F7528" t="s">
        <v>19017</v>
      </c>
      <c r="G7528" t="str">
        <f>HYPERLINK("http://www.asiaa.co.kr/news/articleView.html?idxno=96782")</f>
        <v>http://www.asiaa.co.kr/news/articleView.html?idxno=96782</v>
      </c>
      <c r="H7528">
        <v>0.441</v>
      </c>
    </row>
    <row r="7529" spans="1:8" x14ac:dyDescent="0.3">
      <c r="A7529" t="s">
        <v>18176</v>
      </c>
      <c r="B7529" t="s">
        <v>26951</v>
      </c>
      <c r="C7529" t="s">
        <v>19022</v>
      </c>
      <c r="D7529" t="s">
        <v>19021</v>
      </c>
      <c r="E7529" s="2" t="s">
        <v>742</v>
      </c>
      <c r="F7529" t="s">
        <v>19020</v>
      </c>
      <c r="G7529" t="str">
        <f>HYPERLINK("https://www.danbinews.com/news/articleView.html?idxno=31031")</f>
        <v>https://www.danbinews.com/news/articleView.html?idxno=31031</v>
      </c>
      <c r="H7529">
        <v>0.47099999999999997</v>
      </c>
    </row>
    <row r="7530" spans="1:8" x14ac:dyDescent="0.3">
      <c r="A7530" t="s">
        <v>18176</v>
      </c>
      <c r="B7530" t="s">
        <v>26951</v>
      </c>
      <c r="C7530" t="s">
        <v>19025</v>
      </c>
      <c r="D7530" t="s">
        <v>19024</v>
      </c>
      <c r="E7530" s="2" t="s">
        <v>742</v>
      </c>
      <c r="F7530" t="s">
        <v>19023</v>
      </c>
      <c r="G7530" t="str">
        <f>HYPERLINK("https://www.pdjournal.com/news/articleView.html?idxno=80819")</f>
        <v>https://www.pdjournal.com/news/articleView.html?idxno=80819</v>
      </c>
      <c r="H7530">
        <v>0.37</v>
      </c>
    </row>
    <row r="7531" spans="1:8" x14ac:dyDescent="0.3">
      <c r="A7531" t="s">
        <v>18176</v>
      </c>
      <c r="B7531" t="s">
        <v>26951</v>
      </c>
      <c r="C7531" t="s">
        <v>19027</v>
      </c>
      <c r="D7531" t="s">
        <v>19026</v>
      </c>
      <c r="E7531" s="2" t="s">
        <v>742</v>
      </c>
      <c r="F7531" t="s">
        <v>171</v>
      </c>
      <c r="G7531" t="str">
        <f>HYPERLINK("http://www.bizenter.co.kr/view/news_view.php?varAtcId=62527")</f>
        <v>http://www.bizenter.co.kr/view/news_view.php?varAtcId=62527</v>
      </c>
      <c r="H7531">
        <v>0.47799999999999998</v>
      </c>
    </row>
    <row r="7532" spans="1:8" x14ac:dyDescent="0.3">
      <c r="A7532" t="s">
        <v>18176</v>
      </c>
      <c r="B7532" t="s">
        <v>26951</v>
      </c>
      <c r="C7532" t="s">
        <v>19029</v>
      </c>
      <c r="D7532" t="s">
        <v>19028</v>
      </c>
      <c r="E7532" s="2" t="s">
        <v>742</v>
      </c>
      <c r="F7532" t="s">
        <v>2710</v>
      </c>
      <c r="G7532" t="str">
        <f>HYPERLINK("https://www.etoday.co.kr/news/view/2478830")</f>
        <v>https://www.etoday.co.kr/news/view/2478830</v>
      </c>
      <c r="H7532">
        <v>0.313</v>
      </c>
    </row>
    <row r="7533" spans="1:8" x14ac:dyDescent="0.3">
      <c r="A7533" t="s">
        <v>18176</v>
      </c>
      <c r="B7533" t="s">
        <v>26951</v>
      </c>
      <c r="C7533" t="s">
        <v>19032</v>
      </c>
      <c r="D7533" t="s">
        <v>19031</v>
      </c>
      <c r="E7533" s="2" t="s">
        <v>742</v>
      </c>
      <c r="F7533" t="s">
        <v>19030</v>
      </c>
      <c r="G7533" t="str">
        <f>HYPERLINK("https://n.news.naver.com/mnews/article/006/0000130677?sid=100")</f>
        <v>https://n.news.naver.com/mnews/article/006/0000130677?sid=100</v>
      </c>
      <c r="H7533">
        <v>0.185</v>
      </c>
    </row>
    <row r="7534" spans="1:8" x14ac:dyDescent="0.3">
      <c r="A7534" t="s">
        <v>18176</v>
      </c>
      <c r="B7534" t="s">
        <v>26951</v>
      </c>
      <c r="C7534" t="s">
        <v>19035</v>
      </c>
      <c r="D7534" t="s">
        <v>19034</v>
      </c>
      <c r="E7534" s="2" t="s">
        <v>742</v>
      </c>
      <c r="F7534" t="s">
        <v>19033</v>
      </c>
      <c r="G7534" t="str">
        <f>HYPERLINK("http://www.newspim.com/news/view/20201106001106")</f>
        <v>http://www.newspim.com/news/view/20201106001106</v>
      </c>
      <c r="H7534">
        <v>0.115</v>
      </c>
    </row>
    <row r="7535" spans="1:8" x14ac:dyDescent="0.3">
      <c r="A7535" t="s">
        <v>18176</v>
      </c>
      <c r="B7535" t="s">
        <v>26951</v>
      </c>
      <c r="C7535" t="s">
        <v>19038</v>
      </c>
      <c r="D7535" t="s">
        <v>19037</v>
      </c>
      <c r="E7535" s="2" t="s">
        <v>742</v>
      </c>
      <c r="F7535" t="s">
        <v>19036</v>
      </c>
      <c r="G7535" t="str">
        <f>HYPERLINK("https://www.m-joongang.com/news/articleView.html?idxno=400928")</f>
        <v>https://www.m-joongang.com/news/articleView.html?idxno=400928</v>
      </c>
      <c r="H7535">
        <v>0.307</v>
      </c>
    </row>
    <row r="7536" spans="1:8" x14ac:dyDescent="0.3">
      <c r="A7536" t="s">
        <v>18176</v>
      </c>
      <c r="B7536" t="s">
        <v>26951</v>
      </c>
      <c r="C7536" t="s">
        <v>19041</v>
      </c>
      <c r="D7536" t="s">
        <v>19040</v>
      </c>
      <c r="E7536" s="2" t="s">
        <v>742</v>
      </c>
      <c r="F7536" t="s">
        <v>19039</v>
      </c>
      <c r="G7536" t="str">
        <f>HYPERLINK("https://www.kmaeil.com/news/articleView.html?idxno=508060")</f>
        <v>https://www.kmaeil.com/news/articleView.html?idxno=508060</v>
      </c>
      <c r="H7536">
        <v>0.90700000000000003</v>
      </c>
    </row>
    <row r="7537" spans="1:8" x14ac:dyDescent="0.3">
      <c r="A7537" t="s">
        <v>18176</v>
      </c>
      <c r="B7537" t="s">
        <v>26951</v>
      </c>
      <c r="C7537" t="s">
        <v>19043</v>
      </c>
      <c r="D7537" t="s">
        <v>19040</v>
      </c>
      <c r="E7537" s="2" t="s">
        <v>742</v>
      </c>
      <c r="F7537" t="s">
        <v>19042</v>
      </c>
      <c r="G7537" t="str">
        <f>HYPERLINK("https://www.joongboo.com/news/articleView.html?idxno=363694572")</f>
        <v>https://www.joongboo.com/news/articleView.html?idxno=363694572</v>
      </c>
      <c r="H7537">
        <v>0.93100000000000005</v>
      </c>
    </row>
    <row r="7538" spans="1:8" x14ac:dyDescent="0.3">
      <c r="A7538" t="s">
        <v>18176</v>
      </c>
      <c r="B7538" t="s">
        <v>26951</v>
      </c>
      <c r="C7538" t="s">
        <v>19046</v>
      </c>
      <c r="D7538" t="s">
        <v>2355</v>
      </c>
      <c r="E7538" s="2" t="s">
        <v>742</v>
      </c>
      <c r="F7538" t="s">
        <v>19045</v>
      </c>
      <c r="G7538" t="str">
        <f>HYPERLINK("https://n.news.naver.com/mnews/article/022/0004047388?sid=100")</f>
        <v>https://n.news.naver.com/mnews/article/022/0004047388?sid=100</v>
      </c>
      <c r="H7538">
        <v>0.35</v>
      </c>
    </row>
    <row r="7539" spans="1:8" x14ac:dyDescent="0.3">
      <c r="A7539" t="s">
        <v>18176</v>
      </c>
      <c r="B7539" t="s">
        <v>26951</v>
      </c>
      <c r="C7539" t="s">
        <v>19048</v>
      </c>
      <c r="D7539" t="s">
        <v>19047</v>
      </c>
      <c r="E7539" s="2" t="s">
        <v>742</v>
      </c>
      <c r="F7539" t="s">
        <v>11181</v>
      </c>
      <c r="G7539" t="str">
        <f>HYPERLINK("http://www.ilemonde.com/news/articleView.html?idxno=20715")</f>
        <v>http://www.ilemonde.com/news/articleView.html?idxno=20715</v>
      </c>
      <c r="H7539">
        <v>0.61199999999999999</v>
      </c>
    </row>
    <row r="7540" spans="1:8" x14ac:dyDescent="0.3">
      <c r="A7540" t="s">
        <v>18176</v>
      </c>
      <c r="B7540" t="s">
        <v>26951</v>
      </c>
      <c r="C7540" t="s">
        <v>19050</v>
      </c>
      <c r="D7540" t="s">
        <v>19049</v>
      </c>
      <c r="E7540" s="2" t="s">
        <v>742</v>
      </c>
      <c r="F7540" t="s">
        <v>9039</v>
      </c>
      <c r="G7540" t="str">
        <f>HYPERLINK("http://gamefocus.co.kr/detail.php?number=166183")</f>
        <v>http://gamefocus.co.kr/detail.php?number=166183</v>
      </c>
      <c r="H7540">
        <v>0.96099999999999997</v>
      </c>
    </row>
    <row r="7541" spans="1:8" x14ac:dyDescent="0.3">
      <c r="A7541" t="s">
        <v>18176</v>
      </c>
      <c r="B7541" t="s">
        <v>26951</v>
      </c>
      <c r="C7541" t="s">
        <v>19052</v>
      </c>
      <c r="D7541" t="s">
        <v>19051</v>
      </c>
      <c r="E7541" s="2" t="s">
        <v>742</v>
      </c>
      <c r="F7541" t="s">
        <v>3435</v>
      </c>
      <c r="G7541" t="str">
        <f>HYPERLINK("http://www.hellot.net/new_hellot/magazine/magazine_read.html?code=202&amp;sub=004&amp;idx=45844")</f>
        <v>http://www.hellot.net/new_hellot/magazine/magazine_read.html?code=202&amp;sub=004&amp;idx=45844</v>
      </c>
      <c r="H7541">
        <v>0.35099999999999998</v>
      </c>
    </row>
    <row r="7542" spans="1:8" x14ac:dyDescent="0.3">
      <c r="A7542" t="s">
        <v>18176</v>
      </c>
      <c r="B7542" t="s">
        <v>26951</v>
      </c>
      <c r="C7542" t="s">
        <v>19054</v>
      </c>
      <c r="D7542" t="s">
        <v>19053</v>
      </c>
      <c r="E7542" s="2" t="s">
        <v>742</v>
      </c>
      <c r="F7542" t="s">
        <v>15533</v>
      </c>
      <c r="G7542" t="str">
        <f>HYPERLINK("https://sports.hankooki.com/news/articleView.html?idxno=6899931")</f>
        <v>https://sports.hankooki.com/news/articleView.html?idxno=6899931</v>
      </c>
      <c r="H7542">
        <v>0.65300000000000002</v>
      </c>
    </row>
    <row r="7543" spans="1:8" x14ac:dyDescent="0.3">
      <c r="A7543" t="s">
        <v>18176</v>
      </c>
      <c r="B7543" t="s">
        <v>26951</v>
      </c>
      <c r="C7543" t="s">
        <v>19057</v>
      </c>
      <c r="D7543" t="s">
        <v>19056</v>
      </c>
      <c r="E7543" s="2" t="s">
        <v>742</v>
      </c>
      <c r="F7543" t="s">
        <v>19055</v>
      </c>
      <c r="G7543" t="str">
        <f>HYPERLINK("https://www.knnews.co.kr/news/articleView.php?idxno=1464369")</f>
        <v>https://www.knnews.co.kr/news/articleView.php?idxno=1464369</v>
      </c>
      <c r="H7543">
        <v>0.32200000000000001</v>
      </c>
    </row>
    <row r="7544" spans="1:8" x14ac:dyDescent="0.3">
      <c r="A7544" t="s">
        <v>18176</v>
      </c>
      <c r="B7544" t="s">
        <v>26951</v>
      </c>
      <c r="C7544" t="s">
        <v>19059</v>
      </c>
      <c r="D7544" t="s">
        <v>19058</v>
      </c>
      <c r="E7544" s="2" t="s">
        <v>742</v>
      </c>
      <c r="F7544" t="s">
        <v>5087</v>
      </c>
      <c r="G7544" t="str">
        <f>HYPERLINK("https://www.ggilbo.com/news/articleView.html?idxno=1097025")</f>
        <v>https://www.ggilbo.com/news/articleView.html?idxno=1097025</v>
      </c>
      <c r="H7544">
        <v>0.47899999999999998</v>
      </c>
    </row>
    <row r="7545" spans="1:8" x14ac:dyDescent="0.3">
      <c r="A7545" t="s">
        <v>18176</v>
      </c>
      <c r="B7545" t="s">
        <v>26951</v>
      </c>
      <c r="C7545" t="s">
        <v>19062</v>
      </c>
      <c r="D7545" t="s">
        <v>19061</v>
      </c>
      <c r="E7545" s="2" t="s">
        <v>742</v>
      </c>
      <c r="F7545" t="s">
        <v>19060</v>
      </c>
      <c r="G7545" t="str">
        <f>HYPERLINK("http://www.dailypop.kr/news/articleView.html?idxno=65752")</f>
        <v>http://www.dailypop.kr/news/articleView.html?idxno=65752</v>
      </c>
      <c r="H7545">
        <v>0.48499999999999999</v>
      </c>
    </row>
    <row r="7546" spans="1:8" x14ac:dyDescent="0.3">
      <c r="A7546" t="s">
        <v>18176</v>
      </c>
      <c r="B7546" t="s">
        <v>26951</v>
      </c>
      <c r="C7546" t="s">
        <v>19065</v>
      </c>
      <c r="D7546" t="s">
        <v>19064</v>
      </c>
      <c r="E7546" s="2" t="s">
        <v>742</v>
      </c>
      <c r="F7546" t="s">
        <v>2074</v>
      </c>
      <c r="G7546" t="str">
        <f>HYPERLINK("https://n.news.naver.com/mnews/article/082/0001331980?sid=103")</f>
        <v>https://n.news.naver.com/mnews/article/082/0001331980?sid=103</v>
      </c>
      <c r="H7546">
        <v>0.27100000000000002</v>
      </c>
    </row>
    <row r="7547" spans="1:8" x14ac:dyDescent="0.3">
      <c r="A7547" t="s">
        <v>18176</v>
      </c>
      <c r="B7547" t="s">
        <v>26951</v>
      </c>
      <c r="C7547" t="s">
        <v>19067</v>
      </c>
      <c r="D7547" t="s">
        <v>19066</v>
      </c>
      <c r="E7547" s="2" t="s">
        <v>742</v>
      </c>
      <c r="F7547" t="s">
        <v>10506</v>
      </c>
      <c r="G7547" t="str">
        <f>HYPERLINK("https://n.news.naver.com/mnews/article/011/0004465714?sid=101")</f>
        <v>https://n.news.naver.com/mnews/article/011/0004465714?sid=101</v>
      </c>
      <c r="H7547">
        <v>0.12</v>
      </c>
    </row>
    <row r="7548" spans="1:8" x14ac:dyDescent="0.3">
      <c r="A7548" t="s">
        <v>18176</v>
      </c>
      <c r="B7548" t="s">
        <v>26951</v>
      </c>
      <c r="C7548" t="s">
        <v>19070</v>
      </c>
      <c r="D7548" t="s">
        <v>19069</v>
      </c>
      <c r="E7548" s="2" t="s">
        <v>742</v>
      </c>
      <c r="F7548" t="s">
        <v>19068</v>
      </c>
      <c r="G7548" t="str">
        <f>HYPERLINK("https://n.news.naver.com/mnews/article/056/0011964115?sid=100")</f>
        <v>https://n.news.naver.com/mnews/article/056/0011964115?sid=100</v>
      </c>
      <c r="H7548">
        <v>0.27800000000000002</v>
      </c>
    </row>
    <row r="7549" spans="1:8" x14ac:dyDescent="0.3">
      <c r="A7549" t="s">
        <v>18176</v>
      </c>
      <c r="B7549" t="s">
        <v>26951</v>
      </c>
      <c r="C7549" t="s">
        <v>19073</v>
      </c>
      <c r="D7549" t="s">
        <v>19072</v>
      </c>
      <c r="E7549" s="2" t="s">
        <v>742</v>
      </c>
      <c r="F7549" t="s">
        <v>19071</v>
      </c>
      <c r="G7549" t="str">
        <f>HYPERLINK("http://www.incheontoday.com/news/articleView.html?idxno=237709")</f>
        <v>http://www.incheontoday.com/news/articleView.html?idxno=237709</v>
      </c>
      <c r="H7549">
        <v>0.30199999999999999</v>
      </c>
    </row>
    <row r="7550" spans="1:8" x14ac:dyDescent="0.3">
      <c r="A7550" t="s">
        <v>18176</v>
      </c>
      <c r="B7550" t="s">
        <v>26951</v>
      </c>
      <c r="C7550" t="s">
        <v>19076</v>
      </c>
      <c r="D7550" t="s">
        <v>19075</v>
      </c>
      <c r="E7550" s="2" t="s">
        <v>742</v>
      </c>
      <c r="F7550" t="s">
        <v>19074</v>
      </c>
      <c r="G7550" t="str">
        <f>HYPERLINK("http://www.metroseoul.co.kr/article/20250618500420")</f>
        <v>http://www.metroseoul.co.kr/article/20250618500420</v>
      </c>
      <c r="H7550">
        <v>0.35799999999999998</v>
      </c>
    </row>
    <row r="7551" spans="1:8" x14ac:dyDescent="0.3">
      <c r="A7551" t="s">
        <v>18176</v>
      </c>
      <c r="B7551" t="s">
        <v>26951</v>
      </c>
      <c r="C7551" t="s">
        <v>19078</v>
      </c>
      <c r="D7551" t="s">
        <v>19077</v>
      </c>
      <c r="E7551" s="2" t="s">
        <v>742</v>
      </c>
      <c r="F7551" t="s">
        <v>18889</v>
      </c>
      <c r="G7551" t="str">
        <f>HYPERLINK("https://www.traveltimes.co.kr/news/articleView.html?idxno=412262")</f>
        <v>https://www.traveltimes.co.kr/news/articleView.html?idxno=412262</v>
      </c>
      <c r="H7551">
        <v>0.317</v>
      </c>
    </row>
    <row r="7552" spans="1:8" x14ac:dyDescent="0.3">
      <c r="A7552" t="s">
        <v>18176</v>
      </c>
      <c r="B7552" t="s">
        <v>26951</v>
      </c>
      <c r="C7552" t="s">
        <v>19080</v>
      </c>
      <c r="D7552" t="s">
        <v>19079</v>
      </c>
      <c r="E7552" s="2" t="s">
        <v>742</v>
      </c>
      <c r="F7552" t="s">
        <v>7893</v>
      </c>
      <c r="G7552" t="str">
        <f>HYPERLINK("https://www.idaegu.com/news/articleView.html?idxno=639463")</f>
        <v>https://www.idaegu.com/news/articleView.html?idxno=639463</v>
      </c>
      <c r="H7552">
        <v>0.45300000000000001</v>
      </c>
    </row>
    <row r="7553" spans="1:8" x14ac:dyDescent="0.3">
      <c r="A7553" t="s">
        <v>18176</v>
      </c>
      <c r="B7553" t="s">
        <v>26951</v>
      </c>
      <c r="C7553" t="s">
        <v>19083</v>
      </c>
      <c r="D7553" t="s">
        <v>19082</v>
      </c>
      <c r="E7553" s="2" t="s">
        <v>742</v>
      </c>
      <c r="F7553" t="s">
        <v>19081</v>
      </c>
      <c r="G7553" t="str">
        <f>HYPERLINK("http://www.ilyoseoul.co.kr/news/articleView.html?idxno=292990")</f>
        <v>http://www.ilyoseoul.co.kr/news/articleView.html?idxno=292990</v>
      </c>
      <c r="H7553">
        <v>0.26300000000000001</v>
      </c>
    </row>
    <row r="7554" spans="1:8" x14ac:dyDescent="0.3">
      <c r="A7554" t="s">
        <v>18176</v>
      </c>
      <c r="B7554" t="s">
        <v>26951</v>
      </c>
      <c r="C7554" t="s">
        <v>19086</v>
      </c>
      <c r="D7554" t="s">
        <v>19085</v>
      </c>
      <c r="E7554" s="2" t="s">
        <v>742</v>
      </c>
      <c r="F7554" t="s">
        <v>19084</v>
      </c>
      <c r="G7554" t="str">
        <f>HYPERLINK("https://radio.ytn.co.kr/program/?f=2&amp;id=83255&amp;s_mcd=0452&amp;s_hcd=01")</f>
        <v>https://radio.ytn.co.kr/program/?f=2&amp;id=83255&amp;s_mcd=0452&amp;s_hcd=01</v>
      </c>
      <c r="H7554">
        <v>0.35299999999999998</v>
      </c>
    </row>
    <row r="7555" spans="1:8" x14ac:dyDescent="0.3">
      <c r="A7555" t="s">
        <v>18176</v>
      </c>
      <c r="B7555" t="s">
        <v>26951</v>
      </c>
      <c r="C7555" t="s">
        <v>19089</v>
      </c>
      <c r="D7555" t="s">
        <v>19088</v>
      </c>
      <c r="E7555" s="2" t="s">
        <v>742</v>
      </c>
      <c r="F7555" t="s">
        <v>19087</v>
      </c>
      <c r="G7555" t="str">
        <f>HYPERLINK("http://kor.theasian.asia/archives/386730")</f>
        <v>http://kor.theasian.asia/archives/386730</v>
      </c>
      <c r="H7555">
        <v>0.495</v>
      </c>
    </row>
    <row r="7556" spans="1:8" x14ac:dyDescent="0.3">
      <c r="A7556" t="s">
        <v>18176</v>
      </c>
      <c r="B7556" t="s">
        <v>26951</v>
      </c>
      <c r="C7556" t="s">
        <v>19091</v>
      </c>
      <c r="D7556" t="s">
        <v>19090</v>
      </c>
      <c r="E7556" s="2" t="s">
        <v>742</v>
      </c>
      <c r="F7556" t="s">
        <v>15667</v>
      </c>
      <c r="G7556" t="str">
        <f>HYPERLINK("http://www.cfnews.kr/news.aspx/59293")</f>
        <v>http://www.cfnews.kr/news.aspx/59293</v>
      </c>
      <c r="H7556">
        <v>0.441</v>
      </c>
    </row>
    <row r="7557" spans="1:8" x14ac:dyDescent="0.3">
      <c r="A7557" t="s">
        <v>18176</v>
      </c>
      <c r="B7557" t="s">
        <v>26951</v>
      </c>
      <c r="C7557" t="s">
        <v>19093</v>
      </c>
      <c r="D7557" t="s">
        <v>19092</v>
      </c>
      <c r="E7557" s="2" t="s">
        <v>799</v>
      </c>
      <c r="F7557" t="s">
        <v>2637</v>
      </c>
      <c r="G7557" t="str">
        <f>HYPERLINK("http://magazine.joins.com/monthly/article_view.asp?aid=301917")</f>
        <v>http://magazine.joins.com/monthly/article_view.asp?aid=301917</v>
      </c>
      <c r="H7557">
        <v>0.626</v>
      </c>
    </row>
    <row r="7558" spans="1:8" x14ac:dyDescent="0.3">
      <c r="A7558" t="s">
        <v>18176</v>
      </c>
      <c r="B7558" t="s">
        <v>26951</v>
      </c>
      <c r="C7558" t="s">
        <v>19095</v>
      </c>
      <c r="D7558" t="s">
        <v>19094</v>
      </c>
      <c r="E7558" s="2" t="s">
        <v>799</v>
      </c>
      <c r="F7558" t="s">
        <v>10021</v>
      </c>
      <c r="G7558" t="str">
        <f>HYPERLINK("https://www.jemin.com/news/articleView.html?idxno=790598")</f>
        <v>https://www.jemin.com/news/articleView.html?idxno=790598</v>
      </c>
      <c r="H7558">
        <v>0.42599999999999999</v>
      </c>
    </row>
    <row r="7559" spans="1:8" x14ac:dyDescent="0.3">
      <c r="A7559" t="s">
        <v>18176</v>
      </c>
      <c r="B7559" t="s">
        <v>26951</v>
      </c>
      <c r="C7559" t="s">
        <v>19098</v>
      </c>
      <c r="D7559" t="s">
        <v>19097</v>
      </c>
      <c r="E7559" s="2" t="s">
        <v>799</v>
      </c>
      <c r="F7559" t="s">
        <v>19096</v>
      </c>
      <c r="G7559" t="str">
        <f>HYPERLINK("https://www.newsgn.com/news/articleView.html?idxno=489559")</f>
        <v>https://www.newsgn.com/news/articleView.html?idxno=489559</v>
      </c>
      <c r="H7559">
        <v>0.42499999999999999</v>
      </c>
    </row>
    <row r="7560" spans="1:8" x14ac:dyDescent="0.3">
      <c r="A7560" t="s">
        <v>18176</v>
      </c>
      <c r="B7560" t="s">
        <v>26951</v>
      </c>
      <c r="C7560" t="s">
        <v>19101</v>
      </c>
      <c r="D7560" t="s">
        <v>19100</v>
      </c>
      <c r="E7560" s="2" t="s">
        <v>799</v>
      </c>
      <c r="F7560" t="s">
        <v>19099</v>
      </c>
      <c r="G7560" t="str">
        <f>HYPERLINK("http://www.econovill.com/news/articleView.html?idxno=273382")</f>
        <v>http://www.econovill.com/news/articleView.html?idxno=273382</v>
      </c>
      <c r="H7560">
        <v>0.41</v>
      </c>
    </row>
    <row r="7561" spans="1:8" x14ac:dyDescent="0.3">
      <c r="A7561" t="s">
        <v>18176</v>
      </c>
      <c r="B7561" t="s">
        <v>26951</v>
      </c>
      <c r="C7561" t="s">
        <v>19104</v>
      </c>
      <c r="D7561" t="s">
        <v>19103</v>
      </c>
      <c r="E7561" s="2" t="s">
        <v>799</v>
      </c>
      <c r="F7561" t="s">
        <v>19102</v>
      </c>
      <c r="G7561" t="str">
        <f>HYPERLINK("https://www.yeongnam.com/web/view.php?key=20250601023131990")</f>
        <v>https://www.yeongnam.com/web/view.php?key=20250601023131990</v>
      </c>
      <c r="H7561">
        <v>0.126</v>
      </c>
    </row>
    <row r="7562" spans="1:8" x14ac:dyDescent="0.3">
      <c r="A7562" t="s">
        <v>18176</v>
      </c>
      <c r="B7562" t="s">
        <v>26951</v>
      </c>
      <c r="C7562" t="s">
        <v>19107</v>
      </c>
      <c r="D7562" t="s">
        <v>19106</v>
      </c>
      <c r="E7562" s="2" t="s">
        <v>799</v>
      </c>
      <c r="F7562" t="s">
        <v>19105</v>
      </c>
      <c r="G7562" t="str">
        <f>HYPERLINK("https://n.news.naver.com/mnews/article/008/0002673028?sid=100")</f>
        <v>https://n.news.naver.com/mnews/article/008/0002673028?sid=100</v>
      </c>
      <c r="H7562">
        <v>0.39600000000000002</v>
      </c>
    </row>
    <row r="7563" spans="1:8" x14ac:dyDescent="0.3">
      <c r="A7563" t="s">
        <v>18176</v>
      </c>
      <c r="B7563" t="s">
        <v>26951</v>
      </c>
      <c r="C7563" t="s">
        <v>19109</v>
      </c>
      <c r="D7563" t="s">
        <v>19108</v>
      </c>
      <c r="E7563" s="2" t="s">
        <v>799</v>
      </c>
      <c r="F7563" t="s">
        <v>10434</v>
      </c>
      <c r="G7563" t="str">
        <f>HYPERLINK("http://www.4th.kr/news/articleView.html?idxno=2065615")</f>
        <v>http://www.4th.kr/news/articleView.html?idxno=2065615</v>
      </c>
      <c r="H7563">
        <v>0.26800000000000002</v>
      </c>
    </row>
    <row r="7564" spans="1:8" x14ac:dyDescent="0.3">
      <c r="A7564" t="s">
        <v>18176</v>
      </c>
      <c r="B7564" t="s">
        <v>26951</v>
      </c>
      <c r="C7564" t="s">
        <v>19111</v>
      </c>
      <c r="D7564" t="s">
        <v>19110</v>
      </c>
      <c r="E7564" s="2" t="s">
        <v>799</v>
      </c>
      <c r="F7564" t="s">
        <v>16366</v>
      </c>
      <c r="G7564" t="str">
        <f>HYPERLINK("http://ch.yes24.com/Article/View/37832")</f>
        <v>http://ch.yes24.com/Article/View/37832</v>
      </c>
      <c r="H7564">
        <v>0.2</v>
      </c>
    </row>
    <row r="7565" spans="1:8" x14ac:dyDescent="0.3">
      <c r="A7565" t="s">
        <v>18176</v>
      </c>
      <c r="B7565" t="s">
        <v>26951</v>
      </c>
      <c r="C7565" t="s">
        <v>19114</v>
      </c>
      <c r="D7565" t="s">
        <v>19113</v>
      </c>
      <c r="E7565" s="2" t="s">
        <v>799</v>
      </c>
      <c r="F7565" t="s">
        <v>19112</v>
      </c>
      <c r="G7565" t="str">
        <f>HYPERLINK("https://n.news.naver.com/mnews/article/056/0011437995?sid=100")</f>
        <v>https://n.news.naver.com/mnews/article/056/0011437995?sid=100</v>
      </c>
      <c r="H7565">
        <v>0.17799999999999999</v>
      </c>
    </row>
    <row r="7566" spans="1:8" x14ac:dyDescent="0.3">
      <c r="A7566" t="s">
        <v>18176</v>
      </c>
      <c r="B7566" t="s">
        <v>26951</v>
      </c>
      <c r="C7566" t="s">
        <v>19117</v>
      </c>
      <c r="D7566" t="s">
        <v>19116</v>
      </c>
      <c r="E7566" s="2" t="s">
        <v>799</v>
      </c>
      <c r="F7566" t="s">
        <v>19115</v>
      </c>
      <c r="G7566" t="str">
        <f>HYPERLINK("http://jmagazine.joins.com/monthly/view/322645")</f>
        <v>http://jmagazine.joins.com/monthly/view/322645</v>
      </c>
      <c r="H7566">
        <v>0.34799999999999998</v>
      </c>
    </row>
    <row r="7567" spans="1:8" x14ac:dyDescent="0.3">
      <c r="A7567" t="s">
        <v>18176</v>
      </c>
      <c r="B7567" t="s">
        <v>26951</v>
      </c>
      <c r="C7567" t="s">
        <v>19120</v>
      </c>
      <c r="D7567" t="s">
        <v>19119</v>
      </c>
      <c r="E7567" s="2" t="s">
        <v>799</v>
      </c>
      <c r="F7567" t="s">
        <v>19118</v>
      </c>
      <c r="G7567" t="str">
        <f>HYPERLINK("http://www.vogue.co.kr/?p=72010")</f>
        <v>http://www.vogue.co.kr/?p=72010</v>
      </c>
      <c r="H7567">
        <v>0.41399999999999998</v>
      </c>
    </row>
    <row r="7568" spans="1:8" x14ac:dyDescent="0.3">
      <c r="A7568" t="s">
        <v>18176</v>
      </c>
      <c r="B7568" t="s">
        <v>26951</v>
      </c>
      <c r="C7568" t="s">
        <v>19122</v>
      </c>
      <c r="D7568" t="s">
        <v>19121</v>
      </c>
      <c r="E7568" s="2" t="s">
        <v>799</v>
      </c>
      <c r="F7568" t="s">
        <v>846</v>
      </c>
      <c r="G7568" t="str">
        <f>HYPERLINK("https://n.news.naver.com/mnews/article/079/0003955745?sid=100")</f>
        <v>https://n.news.naver.com/mnews/article/079/0003955745?sid=100</v>
      </c>
      <c r="H7568">
        <v>3.4000000000000002E-2</v>
      </c>
    </row>
    <row r="7569" spans="1:8" x14ac:dyDescent="0.3">
      <c r="A7569" t="s">
        <v>18176</v>
      </c>
      <c r="B7569" t="s">
        <v>26951</v>
      </c>
      <c r="C7569" t="s">
        <v>19125</v>
      </c>
      <c r="D7569" t="s">
        <v>19124</v>
      </c>
      <c r="E7569" s="2" t="s">
        <v>799</v>
      </c>
      <c r="F7569" t="s">
        <v>19123</v>
      </c>
      <c r="G7569" t="str">
        <f>HYPERLINK("https://n.news.naver.com/mnews/article/214/0001430932?sid=100")</f>
        <v>https://n.news.naver.com/mnews/article/214/0001430932?sid=100</v>
      </c>
      <c r="H7569">
        <v>0.36799999999999999</v>
      </c>
    </row>
    <row r="7570" spans="1:8" x14ac:dyDescent="0.3">
      <c r="A7570" t="s">
        <v>18176</v>
      </c>
      <c r="B7570" t="s">
        <v>26951</v>
      </c>
      <c r="C7570" t="s">
        <v>19128</v>
      </c>
      <c r="D7570" t="s">
        <v>19127</v>
      </c>
      <c r="E7570" s="2" t="s">
        <v>799</v>
      </c>
      <c r="F7570" t="s">
        <v>19126</v>
      </c>
      <c r="G7570" t="str">
        <f>HYPERLINK("http://news.appstory.co.kr/daily11744")</f>
        <v>http://news.appstory.co.kr/daily11744</v>
      </c>
      <c r="H7570">
        <v>0.33200000000000002</v>
      </c>
    </row>
    <row r="7571" spans="1:8" x14ac:dyDescent="0.3">
      <c r="A7571" t="s">
        <v>18176</v>
      </c>
      <c r="B7571" t="s">
        <v>26951</v>
      </c>
      <c r="C7571" t="s">
        <v>19130</v>
      </c>
      <c r="D7571" t="s">
        <v>19129</v>
      </c>
      <c r="E7571" s="2" t="s">
        <v>799</v>
      </c>
      <c r="F7571" t="s">
        <v>15074</v>
      </c>
      <c r="G7571" t="str">
        <f>HYPERLINK("http://www.ggilbo.com/news/articleView.html?idxno=514173")</f>
        <v>http://www.ggilbo.com/news/articleView.html?idxno=514173</v>
      </c>
      <c r="H7571">
        <v>0.317</v>
      </c>
    </row>
    <row r="7572" spans="1:8" x14ac:dyDescent="0.3">
      <c r="A7572" t="s">
        <v>18176</v>
      </c>
      <c r="B7572" t="s">
        <v>26951</v>
      </c>
      <c r="C7572" t="s">
        <v>19133</v>
      </c>
      <c r="D7572" t="s">
        <v>19132</v>
      </c>
      <c r="E7572" s="2" t="s">
        <v>799</v>
      </c>
      <c r="F7572" t="s">
        <v>19131</v>
      </c>
      <c r="G7572" t="str">
        <f>HYPERLINK("https://www.sisamagazine.co.kr/news/articleView.html?idxno=515451")</f>
        <v>https://www.sisamagazine.co.kr/news/articleView.html?idxno=515451</v>
      </c>
      <c r="H7572">
        <v>0.746</v>
      </c>
    </row>
    <row r="7573" spans="1:8" x14ac:dyDescent="0.3">
      <c r="A7573" t="s">
        <v>18176</v>
      </c>
      <c r="B7573" t="s">
        <v>26951</v>
      </c>
      <c r="C7573" t="s">
        <v>19135</v>
      </c>
      <c r="D7573" t="s">
        <v>19134</v>
      </c>
      <c r="E7573" s="2" t="s">
        <v>799</v>
      </c>
      <c r="F7573" t="s">
        <v>8810</v>
      </c>
      <c r="G7573" t="str">
        <f>HYPERLINK("https://www.newspim.com/news/view/20250630001167")</f>
        <v>https://www.newspim.com/news/view/20250630001167</v>
      </c>
      <c r="H7573">
        <v>0.254</v>
      </c>
    </row>
    <row r="7574" spans="1:8" x14ac:dyDescent="0.3">
      <c r="A7574" t="s">
        <v>18176</v>
      </c>
      <c r="B7574" t="s">
        <v>26951</v>
      </c>
      <c r="C7574" t="s">
        <v>19138</v>
      </c>
      <c r="D7574" t="s">
        <v>19137</v>
      </c>
      <c r="E7574" s="2" t="s">
        <v>799</v>
      </c>
      <c r="F7574" t="s">
        <v>19136</v>
      </c>
      <c r="G7574" t="str">
        <f>HYPERLINK("http://www.gjdream.com/news/articleView.html?idxno=657984")</f>
        <v>http://www.gjdream.com/news/articleView.html?idxno=657984</v>
      </c>
      <c r="H7574">
        <v>0.68899999999999995</v>
      </c>
    </row>
    <row r="7575" spans="1:8" x14ac:dyDescent="0.3">
      <c r="A7575" t="s">
        <v>18176</v>
      </c>
      <c r="B7575" t="s">
        <v>26951</v>
      </c>
      <c r="C7575" t="s">
        <v>19140</v>
      </c>
      <c r="D7575" t="s">
        <v>19139</v>
      </c>
      <c r="E7575" s="2" t="s">
        <v>799</v>
      </c>
      <c r="F7575" t="s">
        <v>1928</v>
      </c>
      <c r="G7575" t="str">
        <f>HYPERLINK("https://n.news.naver.com/mnews/article/032/0003376940?sid=100")</f>
        <v>https://n.news.naver.com/mnews/article/032/0003376940?sid=100</v>
      </c>
      <c r="H7575">
        <v>0.317</v>
      </c>
    </row>
    <row r="7576" spans="1:8" x14ac:dyDescent="0.3">
      <c r="A7576" t="s">
        <v>18176</v>
      </c>
      <c r="B7576" t="s">
        <v>26951</v>
      </c>
      <c r="C7576" t="s">
        <v>19142</v>
      </c>
      <c r="D7576" t="s">
        <v>19141</v>
      </c>
      <c r="E7576" s="2" t="s">
        <v>799</v>
      </c>
      <c r="F7576" t="s">
        <v>10716</v>
      </c>
      <c r="G7576" t="str">
        <f>HYPERLINK("https://www.ggilbo.com/news/articleView.html?idxno=1097025")</f>
        <v>https://www.ggilbo.com/news/articleView.html?idxno=1097025</v>
      </c>
      <c r="H7576">
        <v>0.54400000000000004</v>
      </c>
    </row>
    <row r="7577" spans="1:8" x14ac:dyDescent="0.3">
      <c r="A7577" t="s">
        <v>18176</v>
      </c>
      <c r="B7577" t="s">
        <v>26951</v>
      </c>
      <c r="C7577" t="s">
        <v>19145</v>
      </c>
      <c r="D7577" t="s">
        <v>19144</v>
      </c>
      <c r="E7577" s="2" t="s">
        <v>799</v>
      </c>
      <c r="F7577" t="s">
        <v>19143</v>
      </c>
      <c r="G7577" t="str">
        <f>HYPERLINK("http://www.dynews.co.kr/news/articleView.html?idxno=473801")</f>
        <v>http://www.dynews.co.kr/news/articleView.html?idxno=473801</v>
      </c>
      <c r="H7577">
        <v>0.55600000000000005</v>
      </c>
    </row>
    <row r="7578" spans="1:8" x14ac:dyDescent="0.3">
      <c r="A7578" t="s">
        <v>18176</v>
      </c>
      <c r="B7578" t="s">
        <v>26951</v>
      </c>
      <c r="C7578" t="s">
        <v>19147</v>
      </c>
      <c r="D7578" t="s">
        <v>19146</v>
      </c>
      <c r="E7578" s="2" t="s">
        <v>799</v>
      </c>
      <c r="F7578" t="s">
        <v>7346</v>
      </c>
      <c r="G7578" t="str">
        <f>HYPERLINK("http://www.kyeongin.com/main/view.php?key=20240626010002811")</f>
        <v>http://www.kyeongin.com/main/view.php?key=20240626010002811</v>
      </c>
      <c r="H7578">
        <v>0.47</v>
      </c>
    </row>
    <row r="7579" spans="1:8" x14ac:dyDescent="0.3">
      <c r="A7579" t="s">
        <v>18176</v>
      </c>
      <c r="B7579" t="s">
        <v>26951</v>
      </c>
      <c r="C7579" t="s">
        <v>19150</v>
      </c>
      <c r="D7579" t="s">
        <v>19149</v>
      </c>
      <c r="E7579" s="2" t="s">
        <v>799</v>
      </c>
      <c r="F7579" t="s">
        <v>19148</v>
      </c>
      <c r="G7579" t="str">
        <f>HYPERLINK("https://n.news.naver.com/mnews/article/032/0003377885?sid=104")</f>
        <v>https://n.news.naver.com/mnews/article/032/0003377885?sid=104</v>
      </c>
      <c r="H7579">
        <v>0.35699999999999998</v>
      </c>
    </row>
    <row r="7580" spans="1:8" x14ac:dyDescent="0.3">
      <c r="A7580" t="s">
        <v>18176</v>
      </c>
      <c r="B7580" t="s">
        <v>26951</v>
      </c>
      <c r="C7580" t="s">
        <v>19153</v>
      </c>
      <c r="D7580" t="s">
        <v>19152</v>
      </c>
      <c r="E7580" s="2" t="s">
        <v>799</v>
      </c>
      <c r="F7580" t="s">
        <v>19151</v>
      </c>
      <c r="G7580" t="str">
        <f>HYPERLINK("https://n.news.naver.com/mnews/article/036/0000051769?sid=102")</f>
        <v>https://n.news.naver.com/mnews/article/036/0000051769?sid=102</v>
      </c>
      <c r="H7580">
        <v>0.38200000000000001</v>
      </c>
    </row>
    <row r="7581" spans="1:8" x14ac:dyDescent="0.3">
      <c r="A7581" t="s">
        <v>18176</v>
      </c>
      <c r="B7581" t="s">
        <v>26951</v>
      </c>
      <c r="C7581" t="s">
        <v>19156</v>
      </c>
      <c r="D7581" t="s">
        <v>19155</v>
      </c>
      <c r="E7581" s="2" t="s">
        <v>799</v>
      </c>
      <c r="F7581" t="s">
        <v>19154</v>
      </c>
      <c r="G7581" t="str">
        <f>HYPERLINK("http://www.naeil.com/news_view/?id_art=325051")</f>
        <v>http://www.naeil.com/news_view/?id_art=325051</v>
      </c>
      <c r="H7581">
        <v>0.32800000000000001</v>
      </c>
    </row>
    <row r="7582" spans="1:8" x14ac:dyDescent="0.3">
      <c r="A7582" t="s">
        <v>18176</v>
      </c>
      <c r="B7582" t="s">
        <v>26951</v>
      </c>
      <c r="C7582" t="s">
        <v>19158</v>
      </c>
      <c r="D7582" t="s">
        <v>19157</v>
      </c>
      <c r="E7582" s="2" t="s">
        <v>799</v>
      </c>
      <c r="F7582" t="s">
        <v>5087</v>
      </c>
      <c r="G7582" t="str">
        <f>HYPERLINK("https://www.ibabynews.com/news/articleView.html?idxno=110512")</f>
        <v>https://www.ibabynews.com/news/articleView.html?idxno=110512</v>
      </c>
      <c r="H7582">
        <v>0.59099999999999997</v>
      </c>
    </row>
    <row r="7583" spans="1:8" x14ac:dyDescent="0.3">
      <c r="A7583" t="s">
        <v>18176</v>
      </c>
      <c r="B7583" t="s">
        <v>26951</v>
      </c>
      <c r="C7583" t="s">
        <v>19160</v>
      </c>
      <c r="D7583" t="s">
        <v>19159</v>
      </c>
      <c r="E7583" s="2" t="s">
        <v>799</v>
      </c>
      <c r="F7583" t="s">
        <v>9897</v>
      </c>
      <c r="G7583" t="str">
        <f>HYPERLINK("https://n.news.naver.com/mnews/article/016/0002478707?sid=105")</f>
        <v>https://n.news.naver.com/mnews/article/016/0002478707?sid=105</v>
      </c>
      <c r="H7583">
        <v>0.249</v>
      </c>
    </row>
    <row r="7584" spans="1:8" x14ac:dyDescent="0.3">
      <c r="A7584" t="s">
        <v>18176</v>
      </c>
      <c r="B7584" t="s">
        <v>26951</v>
      </c>
      <c r="C7584" t="s">
        <v>19162</v>
      </c>
      <c r="D7584" t="s">
        <v>19161</v>
      </c>
      <c r="E7584" s="2" t="s">
        <v>799</v>
      </c>
      <c r="F7584" t="s">
        <v>2799</v>
      </c>
      <c r="G7584" t="str">
        <f>HYPERLINK("http://www.jbsori.com/news/articleView.html?idxno=15085")</f>
        <v>http://www.jbsori.com/news/articleView.html?idxno=15085</v>
      </c>
      <c r="H7584">
        <v>0.379</v>
      </c>
    </row>
    <row r="7585" spans="1:8" x14ac:dyDescent="0.3">
      <c r="A7585" t="s">
        <v>18176</v>
      </c>
      <c r="B7585" t="s">
        <v>26951</v>
      </c>
      <c r="C7585" t="s">
        <v>19164</v>
      </c>
      <c r="D7585" t="s">
        <v>19163</v>
      </c>
      <c r="E7585" s="2" t="s">
        <v>799</v>
      </c>
      <c r="F7585" t="s">
        <v>11343</v>
      </c>
      <c r="G7585" t="str">
        <f>HYPERLINK("https://n.news.naver.com/mnews/article/014/0005370944?sid=102")</f>
        <v>https://n.news.naver.com/mnews/article/014/0005370944?sid=102</v>
      </c>
      <c r="H7585">
        <v>0.20699999999999999</v>
      </c>
    </row>
    <row r="7586" spans="1:8" x14ac:dyDescent="0.3">
      <c r="A7586" t="s">
        <v>18176</v>
      </c>
      <c r="B7586" t="s">
        <v>26951</v>
      </c>
      <c r="C7586" t="s">
        <v>19166</v>
      </c>
      <c r="D7586" t="s">
        <v>19165</v>
      </c>
      <c r="E7586" s="2" t="s">
        <v>799</v>
      </c>
      <c r="F7586" t="s">
        <v>11056</v>
      </c>
      <c r="G7586" t="str">
        <f>HYPERLINK("http://www.paxetv.com/news/articleView.html?idxno=149621")</f>
        <v>http://www.paxetv.com/news/articleView.html?idxno=149621</v>
      </c>
      <c r="H7586">
        <v>0.49</v>
      </c>
    </row>
    <row r="7587" spans="1:8" x14ac:dyDescent="0.3">
      <c r="A7587" t="s">
        <v>18176</v>
      </c>
      <c r="B7587" t="s">
        <v>26951</v>
      </c>
      <c r="C7587" t="s">
        <v>19168</v>
      </c>
      <c r="D7587" t="s">
        <v>19167</v>
      </c>
      <c r="E7587" s="2" t="s">
        <v>799</v>
      </c>
      <c r="F7587" t="s">
        <v>18233</v>
      </c>
      <c r="G7587" t="str">
        <f>HYPERLINK("https://bravo.etoday.co.kr/view/atc_view/16375")</f>
        <v>https://bravo.etoday.co.kr/view/atc_view/16375</v>
      </c>
      <c r="H7587">
        <v>0.36</v>
      </c>
    </row>
    <row r="7588" spans="1:8" x14ac:dyDescent="0.3">
      <c r="A7588" t="s">
        <v>18176</v>
      </c>
      <c r="B7588" t="s">
        <v>26951</v>
      </c>
      <c r="C7588" t="s">
        <v>19170</v>
      </c>
      <c r="D7588" t="s">
        <v>19169</v>
      </c>
      <c r="E7588" s="2" t="s">
        <v>799</v>
      </c>
      <c r="F7588" t="s">
        <v>9240</v>
      </c>
      <c r="G7588" t="str">
        <f>HYPERLINK("http://www.enewstoday.co.kr/news/articleView.html?idxno=340321")</f>
        <v>http://www.enewstoday.co.kr/news/articleView.html?idxno=340321</v>
      </c>
      <c r="H7588">
        <v>0.3</v>
      </c>
    </row>
    <row r="7589" spans="1:8" x14ac:dyDescent="0.3">
      <c r="A7589" t="s">
        <v>18176</v>
      </c>
      <c r="B7589" t="s">
        <v>26951</v>
      </c>
      <c r="C7589" t="s">
        <v>19172</v>
      </c>
      <c r="D7589" t="s">
        <v>19171</v>
      </c>
      <c r="E7589" s="2" t="s">
        <v>799</v>
      </c>
      <c r="F7589" t="s">
        <v>5909</v>
      </c>
      <c r="G7589" t="str">
        <f>HYPERLINK("https://n.news.naver.com/mnews/article/056/0011963841?sid=102")</f>
        <v>https://n.news.naver.com/mnews/article/056/0011963841?sid=102</v>
      </c>
      <c r="H7589">
        <v>0.247</v>
      </c>
    </row>
    <row r="7590" spans="1:8" x14ac:dyDescent="0.3">
      <c r="A7590" t="s">
        <v>18176</v>
      </c>
      <c r="B7590" t="s">
        <v>26951</v>
      </c>
      <c r="C7590" t="s">
        <v>19174</v>
      </c>
      <c r="D7590" t="s">
        <v>19173</v>
      </c>
      <c r="E7590" s="2" t="s">
        <v>799</v>
      </c>
      <c r="F7590" t="s">
        <v>235</v>
      </c>
      <c r="G7590" t="str">
        <f>HYPERLINK("https://n.news.naver.com/mnews/article/277/0002515823?sid=101")</f>
        <v>https://n.news.naver.com/mnews/article/277/0002515823?sid=101</v>
      </c>
      <c r="H7590">
        <v>0.23599999999999999</v>
      </c>
    </row>
    <row r="7591" spans="1:8" x14ac:dyDescent="0.3">
      <c r="A7591" t="s">
        <v>18176</v>
      </c>
      <c r="B7591" t="s">
        <v>26951</v>
      </c>
      <c r="C7591" t="s">
        <v>19176</v>
      </c>
      <c r="D7591" t="s">
        <v>19175</v>
      </c>
      <c r="E7591" s="2" t="s">
        <v>799</v>
      </c>
      <c r="F7591" t="s">
        <v>5087</v>
      </c>
      <c r="G7591" t="str">
        <f>HYPERLINK("https://sports.hankooki.com/news/articleView.html?idxno=6899883")</f>
        <v>https://sports.hankooki.com/news/articleView.html?idxno=6899883</v>
      </c>
      <c r="H7591">
        <v>0.60399999999999998</v>
      </c>
    </row>
    <row r="7592" spans="1:8" x14ac:dyDescent="0.3">
      <c r="A7592" t="s">
        <v>18176</v>
      </c>
      <c r="B7592" t="s">
        <v>26951</v>
      </c>
      <c r="C7592" t="s">
        <v>19178</v>
      </c>
      <c r="D7592" t="s">
        <v>19177</v>
      </c>
      <c r="E7592" s="2" t="s">
        <v>799</v>
      </c>
      <c r="F7592" t="s">
        <v>10021</v>
      </c>
      <c r="G7592" t="str">
        <f>HYPERLINK("http://www.ggilbo.com/news/articleView.html?idxno=707887")</f>
        <v>http://www.ggilbo.com/news/articleView.html?idxno=707887</v>
      </c>
      <c r="H7592">
        <v>0.251</v>
      </c>
    </row>
    <row r="7593" spans="1:8" x14ac:dyDescent="0.3">
      <c r="A7593" t="s">
        <v>18176</v>
      </c>
      <c r="B7593" t="s">
        <v>26951</v>
      </c>
      <c r="C7593" t="s">
        <v>19180</v>
      </c>
      <c r="D7593" t="s">
        <v>19179</v>
      </c>
      <c r="E7593" s="2" t="s">
        <v>799</v>
      </c>
      <c r="F7593" t="s">
        <v>9240</v>
      </c>
      <c r="G7593" t="str">
        <f>HYPERLINK("https://www.ablenews.co.kr/news/articleView.html?idxno=221137")</f>
        <v>https://www.ablenews.co.kr/news/articleView.html?idxno=221137</v>
      </c>
      <c r="H7593">
        <v>0.23100000000000001</v>
      </c>
    </row>
    <row r="7594" spans="1:8" x14ac:dyDescent="0.3">
      <c r="A7594" t="s">
        <v>18176</v>
      </c>
      <c r="B7594" t="s">
        <v>26951</v>
      </c>
      <c r="C7594" t="s">
        <v>19182</v>
      </c>
      <c r="D7594" t="s">
        <v>19181</v>
      </c>
      <c r="E7594" s="2" t="s">
        <v>799</v>
      </c>
      <c r="F7594" t="s">
        <v>11313</v>
      </c>
      <c r="G7594" t="str">
        <f>HYPERLINK("https://www.lecturernews.com/news/articleView.html?idxno=177116")</f>
        <v>https://www.lecturernews.com/news/articleView.html?idxno=177116</v>
      </c>
      <c r="H7594">
        <v>0.42599999999999999</v>
      </c>
    </row>
    <row r="7595" spans="1:8" x14ac:dyDescent="0.3">
      <c r="A7595" t="s">
        <v>18176</v>
      </c>
      <c r="B7595" t="s">
        <v>26951</v>
      </c>
      <c r="C7595" t="s">
        <v>19184</v>
      </c>
      <c r="D7595" t="s">
        <v>19183</v>
      </c>
      <c r="E7595" s="2" t="s">
        <v>799</v>
      </c>
      <c r="F7595" t="s">
        <v>817</v>
      </c>
      <c r="G7595" t="str">
        <f>HYPERLINK("https://kookbang.dema.mil.kr/newsWeb/20250611/2/ATCE_CTGR_0060010000/view.do")</f>
        <v>https://kookbang.dema.mil.kr/newsWeb/20250611/2/ATCE_CTGR_0060010000/view.do</v>
      </c>
      <c r="H7595">
        <v>0.32900000000000001</v>
      </c>
    </row>
    <row r="7596" spans="1:8" x14ac:dyDescent="0.3">
      <c r="A7596" t="s">
        <v>18176</v>
      </c>
      <c r="B7596" t="s">
        <v>26951</v>
      </c>
      <c r="C7596" t="s">
        <v>19186</v>
      </c>
      <c r="D7596" t="s">
        <v>19185</v>
      </c>
      <c r="E7596" s="2" t="s">
        <v>799</v>
      </c>
      <c r="F7596" t="s">
        <v>9806</v>
      </c>
      <c r="G7596" t="str">
        <f>HYPERLINK("http://www.bzeronews.com/news/articleView.html?idxno=712997")</f>
        <v>http://www.bzeronews.com/news/articleView.html?idxno=712997</v>
      </c>
      <c r="H7596">
        <v>0.74199999999999999</v>
      </c>
    </row>
    <row r="7597" spans="1:8" x14ac:dyDescent="0.3">
      <c r="A7597" t="s">
        <v>18176</v>
      </c>
      <c r="B7597" t="s">
        <v>26951</v>
      </c>
      <c r="C7597" t="s">
        <v>19189</v>
      </c>
      <c r="D7597" t="s">
        <v>19188</v>
      </c>
      <c r="E7597" s="2" t="s">
        <v>799</v>
      </c>
      <c r="F7597" t="s">
        <v>19187</v>
      </c>
      <c r="G7597" t="str">
        <f>HYPERLINK("http://www.gobalnews.com/news/articleView.html?idxno=32565")</f>
        <v>http://www.gobalnews.com/news/articleView.html?idxno=32565</v>
      </c>
      <c r="H7597">
        <v>1.0999999999999999E-2</v>
      </c>
    </row>
    <row r="7598" spans="1:8" x14ac:dyDescent="0.3">
      <c r="A7598" t="s">
        <v>18176</v>
      </c>
      <c r="B7598" t="s">
        <v>26951</v>
      </c>
      <c r="C7598" t="s">
        <v>19191</v>
      </c>
      <c r="D7598" t="s">
        <v>19190</v>
      </c>
      <c r="E7598" s="2" t="s">
        <v>799</v>
      </c>
      <c r="F7598" t="s">
        <v>10156</v>
      </c>
      <c r="G7598" t="str">
        <f>HYPERLINK("http://www.sctoday.co.kr/news/articleView.html?idxno=44288")</f>
        <v>http://www.sctoday.co.kr/news/articleView.html?idxno=44288</v>
      </c>
      <c r="H7598">
        <v>0.58099999999999996</v>
      </c>
    </row>
    <row r="7599" spans="1:8" x14ac:dyDescent="0.3">
      <c r="A7599" t="s">
        <v>18176</v>
      </c>
      <c r="B7599" t="s">
        <v>26951</v>
      </c>
      <c r="C7599" t="s">
        <v>19193</v>
      </c>
      <c r="D7599" t="s">
        <v>19192</v>
      </c>
      <c r="E7599" s="2" t="s">
        <v>799</v>
      </c>
      <c r="F7599" t="s">
        <v>7034</v>
      </c>
      <c r="G7599" t="str">
        <f>HYPERLINK("http://www.sctoday.co.kr/news/articleView.html?idxno=39621")</f>
        <v>http://www.sctoday.co.kr/news/articleView.html?idxno=39621</v>
      </c>
      <c r="H7599">
        <v>0.434</v>
      </c>
    </row>
    <row r="7600" spans="1:8" x14ac:dyDescent="0.3">
      <c r="A7600" t="s">
        <v>18176</v>
      </c>
      <c r="B7600" t="s">
        <v>26951</v>
      </c>
      <c r="C7600" t="s">
        <v>19196</v>
      </c>
      <c r="D7600" t="s">
        <v>19195</v>
      </c>
      <c r="E7600" s="2" t="s">
        <v>799</v>
      </c>
      <c r="F7600" t="s">
        <v>19194</v>
      </c>
      <c r="G7600" t="str">
        <f>HYPERLINK("http://www.chungnamilbo.co.kr/news/articleView.html?idxno=832201")</f>
        <v>http://www.chungnamilbo.co.kr/news/articleView.html?idxno=832201</v>
      </c>
      <c r="H7600">
        <v>0.63500000000000001</v>
      </c>
    </row>
    <row r="7601" spans="1:8" x14ac:dyDescent="0.3">
      <c r="A7601" t="s">
        <v>18176</v>
      </c>
      <c r="B7601" t="s">
        <v>26951</v>
      </c>
      <c r="C7601" t="s">
        <v>19198</v>
      </c>
      <c r="D7601" t="s">
        <v>19197</v>
      </c>
      <c r="E7601" s="2" t="s">
        <v>799</v>
      </c>
      <c r="F7601" t="s">
        <v>12391</v>
      </c>
      <c r="G7601" t="str">
        <f>HYPERLINK("https://www.smartfn.co.kr/article/view/sfn202405040001")</f>
        <v>https://www.smartfn.co.kr/article/view/sfn202405040001</v>
      </c>
      <c r="H7601">
        <v>0.53600000000000003</v>
      </c>
    </row>
    <row r="7602" spans="1:8" x14ac:dyDescent="0.3">
      <c r="A7602" t="s">
        <v>18176</v>
      </c>
      <c r="B7602" t="s">
        <v>26951</v>
      </c>
      <c r="C7602" t="s">
        <v>19200</v>
      </c>
      <c r="D7602" t="s">
        <v>19199</v>
      </c>
      <c r="E7602" s="2" t="s">
        <v>799</v>
      </c>
      <c r="F7602" t="s">
        <v>4733</v>
      </c>
      <c r="G7602" t="str">
        <f>HYPERLINK("https://www.apnews.kr/news/articleView.html?idxno=3028458")</f>
        <v>https://www.apnews.kr/news/articleView.html?idxno=3028458</v>
      </c>
      <c r="H7602">
        <v>0.40400000000000003</v>
      </c>
    </row>
    <row r="7603" spans="1:8" x14ac:dyDescent="0.3">
      <c r="A7603" t="s">
        <v>18176</v>
      </c>
      <c r="B7603" t="s">
        <v>26951</v>
      </c>
      <c r="C7603" t="s">
        <v>19203</v>
      </c>
      <c r="D7603" t="s">
        <v>19202</v>
      </c>
      <c r="E7603" s="2" t="s">
        <v>799</v>
      </c>
      <c r="F7603" t="s">
        <v>19201</v>
      </c>
      <c r="G7603" t="str">
        <f>HYPERLINK("https://www.sisamagazine.co.kr/news/articleView.html?idxno=514569")</f>
        <v>https://www.sisamagazine.co.kr/news/articleView.html?idxno=514569</v>
      </c>
      <c r="H7603">
        <v>0.58399999999999996</v>
      </c>
    </row>
    <row r="7604" spans="1:8" x14ac:dyDescent="0.3">
      <c r="A7604" t="s">
        <v>18176</v>
      </c>
      <c r="B7604" t="s">
        <v>26951</v>
      </c>
      <c r="C7604" t="s">
        <v>19205</v>
      </c>
      <c r="D7604" t="s">
        <v>19204</v>
      </c>
      <c r="E7604" s="2" t="s">
        <v>799</v>
      </c>
      <c r="F7604" t="s">
        <v>5915</v>
      </c>
      <c r="G7604" t="str">
        <f>HYPERLINK("https://n.news.naver.com/mnews/article/056/0011973873?sid=100")</f>
        <v>https://n.news.naver.com/mnews/article/056/0011973873?sid=100</v>
      </c>
      <c r="H7604">
        <v>0.161</v>
      </c>
    </row>
    <row r="7605" spans="1:8" x14ac:dyDescent="0.3">
      <c r="A7605" t="s">
        <v>18176</v>
      </c>
      <c r="B7605" t="s">
        <v>26951</v>
      </c>
      <c r="C7605" t="s">
        <v>19207</v>
      </c>
      <c r="D7605" t="s">
        <v>19206</v>
      </c>
      <c r="E7605" s="2" t="s">
        <v>799</v>
      </c>
      <c r="F7605" t="s">
        <v>9885</v>
      </c>
      <c r="G7605" t="str">
        <f>HYPERLINK("http://www.newswatch.kr/news/articleView.html?idxno=71939")</f>
        <v>http://www.newswatch.kr/news/articleView.html?idxno=71939</v>
      </c>
      <c r="H7605">
        <v>0.48799999999999999</v>
      </c>
    </row>
    <row r="7606" spans="1:8" x14ac:dyDescent="0.3">
      <c r="A7606" t="s">
        <v>18176</v>
      </c>
      <c r="B7606" t="s">
        <v>26951</v>
      </c>
      <c r="C7606" t="s">
        <v>19210</v>
      </c>
      <c r="D7606" t="s">
        <v>19209</v>
      </c>
      <c r="E7606" s="2" t="s">
        <v>799</v>
      </c>
      <c r="F7606" t="s">
        <v>19208</v>
      </c>
      <c r="G7606" t="str">
        <f>HYPERLINK("https://n.news.naver.com/mnews/article/056/0011979550?sid=103")</f>
        <v>https://n.news.naver.com/mnews/article/056/0011979550?sid=103</v>
      </c>
      <c r="H7606">
        <v>0.33100000000000002</v>
      </c>
    </row>
    <row r="7607" spans="1:8" x14ac:dyDescent="0.3">
      <c r="A7607" t="s">
        <v>18176</v>
      </c>
      <c r="B7607" t="s">
        <v>26951</v>
      </c>
      <c r="C7607" t="s">
        <v>19213</v>
      </c>
      <c r="D7607" t="s">
        <v>19212</v>
      </c>
      <c r="E7607" s="2" t="s">
        <v>799</v>
      </c>
      <c r="F7607" t="s">
        <v>19211</v>
      </c>
      <c r="G7607" t="str">
        <f>HYPERLINK("http://www.allurekorea.com/2020/06/18/%ec%9a%b0%eb%a6%ac%ea%b0%80-%eb%b3%b4%ea%b3%a0-%eb%93%a3%eb%8a%94-%ec%96%b4%eb%96%a4-%ea%b2%83/?utm_source=naver&amp;utm_medium=partnership")</f>
        <v>http://www.allurekorea.com/2020/06/18/%ec%9a%b0%eb%a6%ac%ea%b0%80-%eb%b3%b4%ea%b3%a0-%eb%93%a3%eb%8a%94-%ec%96%b4%eb%96%a4-%ea%b2%83/?utm_source=naver&amp;utm_medium=partnership</v>
      </c>
      <c r="H7607">
        <v>0.61099999999999999</v>
      </c>
    </row>
    <row r="7608" spans="1:8" x14ac:dyDescent="0.3">
      <c r="A7608" t="s">
        <v>18176</v>
      </c>
      <c r="B7608" t="s">
        <v>26951</v>
      </c>
      <c r="C7608" t="s">
        <v>19215</v>
      </c>
      <c r="D7608" t="s">
        <v>19214</v>
      </c>
      <c r="E7608" s="2" t="s">
        <v>799</v>
      </c>
      <c r="F7608" t="s">
        <v>11533</v>
      </c>
      <c r="G7608" t="str">
        <f>HYPERLINK("http://www.kado.net/news/articleView.html?idxno=638587")</f>
        <v>http://www.kado.net/news/articleView.html?idxno=638587</v>
      </c>
      <c r="H7608">
        <v>0.59099999999999997</v>
      </c>
    </row>
    <row r="7609" spans="1:8" x14ac:dyDescent="0.3">
      <c r="A7609" t="s">
        <v>18176</v>
      </c>
      <c r="B7609" t="s">
        <v>26951</v>
      </c>
      <c r="C7609" t="s">
        <v>19218</v>
      </c>
      <c r="D7609" t="s">
        <v>19217</v>
      </c>
      <c r="E7609" s="2" t="s">
        <v>799</v>
      </c>
      <c r="F7609" t="s">
        <v>19216</v>
      </c>
      <c r="G7609" t="str">
        <f>HYPERLINK("http://www.ccdailynews.com/news/articleView.html?idxno=790746")</f>
        <v>http://www.ccdailynews.com/news/articleView.html?idxno=790746</v>
      </c>
      <c r="H7609">
        <v>0.27100000000000002</v>
      </c>
    </row>
    <row r="7610" spans="1:8" x14ac:dyDescent="0.3">
      <c r="A7610" t="s">
        <v>18176</v>
      </c>
      <c r="B7610" t="s">
        <v>26951</v>
      </c>
      <c r="C7610" t="s">
        <v>19220</v>
      </c>
      <c r="D7610" t="s">
        <v>19219</v>
      </c>
      <c r="E7610" s="2" t="s">
        <v>799</v>
      </c>
      <c r="F7610" t="s">
        <v>11316</v>
      </c>
      <c r="G7610" t="str">
        <f>HYPERLINK("https://www.todayeconomic.com/news/article.html?no=26545")</f>
        <v>https://www.todayeconomic.com/news/article.html?no=26545</v>
      </c>
      <c r="H7610">
        <v>0.19800000000000001</v>
      </c>
    </row>
    <row r="7611" spans="1:8" x14ac:dyDescent="0.3">
      <c r="A7611" t="s">
        <v>18176</v>
      </c>
      <c r="B7611" t="s">
        <v>26951</v>
      </c>
      <c r="C7611" t="s">
        <v>19222</v>
      </c>
      <c r="D7611" t="s">
        <v>19221</v>
      </c>
      <c r="E7611" s="2" t="s">
        <v>799</v>
      </c>
      <c r="F7611" t="s">
        <v>13809</v>
      </c>
      <c r="G7611" t="str">
        <f>HYPERLINK("http://www.ajunews.com/view/20201113142608453")</f>
        <v>http://www.ajunews.com/view/20201113142608453</v>
      </c>
      <c r="H7611">
        <v>2.8000000000000001E-2</v>
      </c>
    </row>
    <row r="7612" spans="1:8" x14ac:dyDescent="0.3">
      <c r="A7612" t="s">
        <v>18176</v>
      </c>
      <c r="B7612" t="s">
        <v>26951</v>
      </c>
      <c r="C7612" t="s">
        <v>19224</v>
      </c>
      <c r="D7612" t="s">
        <v>19223</v>
      </c>
      <c r="E7612" s="2" t="s">
        <v>799</v>
      </c>
      <c r="F7612" t="s">
        <v>18656</v>
      </c>
      <c r="G7612" t="str">
        <f>HYPERLINK("https://n.news.naver.com/mnews/article/032/0000202176?sid=110")</f>
        <v>https://n.news.naver.com/mnews/article/032/0000202176?sid=110</v>
      </c>
      <c r="H7612">
        <v>0.36499999999999999</v>
      </c>
    </row>
    <row r="7613" spans="1:8" x14ac:dyDescent="0.3">
      <c r="A7613" t="s">
        <v>18176</v>
      </c>
      <c r="B7613" t="s">
        <v>26951</v>
      </c>
      <c r="C7613" t="s">
        <v>19227</v>
      </c>
      <c r="D7613" t="s">
        <v>19226</v>
      </c>
      <c r="E7613" s="2" t="s">
        <v>799</v>
      </c>
      <c r="F7613" t="s">
        <v>19225</v>
      </c>
      <c r="G7613" t="str">
        <f>HYPERLINK("https://www.ilyoseoul.co.kr/news/articleView.html?idxno=503418")</f>
        <v>https://www.ilyoseoul.co.kr/news/articleView.html?idxno=503418</v>
      </c>
      <c r="H7613">
        <v>0.35099999999999998</v>
      </c>
    </row>
    <row r="7614" spans="1:8" x14ac:dyDescent="0.3">
      <c r="A7614" t="s">
        <v>18176</v>
      </c>
      <c r="B7614" t="s">
        <v>26951</v>
      </c>
      <c r="C7614" t="s">
        <v>19230</v>
      </c>
      <c r="D7614" t="s">
        <v>19229</v>
      </c>
      <c r="E7614" s="2" t="s">
        <v>799</v>
      </c>
      <c r="F7614" t="s">
        <v>19228</v>
      </c>
      <c r="G7614" t="str">
        <f>HYPERLINK("http://www.boannews.com/media/view.asp?idx=22301&amp;kind=4")</f>
        <v>http://www.boannews.com/media/view.asp?idx=22301&amp;kind=4</v>
      </c>
      <c r="H7614">
        <v>0.17399999999999999</v>
      </c>
    </row>
    <row r="7615" spans="1:8" x14ac:dyDescent="0.3">
      <c r="A7615" t="s">
        <v>18176</v>
      </c>
      <c r="B7615" t="s">
        <v>26951</v>
      </c>
      <c r="C7615" t="s">
        <v>19233</v>
      </c>
      <c r="D7615" t="s">
        <v>19232</v>
      </c>
      <c r="E7615" s="2" t="s">
        <v>799</v>
      </c>
      <c r="F7615" t="s">
        <v>19231</v>
      </c>
      <c r="G7615" t="str">
        <f>HYPERLINK("https://n.news.naver.com/mnews/article/056/0011957160?sid=102")</f>
        <v>https://n.news.naver.com/mnews/article/056/0011957160?sid=102</v>
      </c>
      <c r="H7615">
        <v>0.34</v>
      </c>
    </row>
    <row r="7616" spans="1:8" x14ac:dyDescent="0.3">
      <c r="A7616" t="s">
        <v>18176</v>
      </c>
      <c r="B7616" t="s">
        <v>26951</v>
      </c>
      <c r="C7616" t="s">
        <v>19236</v>
      </c>
      <c r="D7616" t="s">
        <v>19235</v>
      </c>
      <c r="E7616" s="2" t="s">
        <v>799</v>
      </c>
      <c r="F7616" t="s">
        <v>19234</v>
      </c>
      <c r="G7616" t="str">
        <f>HYPERLINK("https://www.bbc.com/korean/articles/cr7z1274zgvo?xtor=AL-73-%5Bpartner%5D-%5Bnaver%5D-%5Bheadline%5D-%5Bkorean%5D-%5Bbizdev%5D-%5Bisapi%5D")</f>
        <v>https://www.bbc.com/korean/articles/cr7z1274zgvo?xtor=AL-73-%5Bpartner%5D-%5Bnaver%5D-%5Bheadline%5D-%5Bkorean%5D-%5Bbizdev%5D-%5Bisapi%5D</v>
      </c>
      <c r="H7616">
        <v>0.32600000000000001</v>
      </c>
    </row>
    <row r="7617" spans="1:8" x14ac:dyDescent="0.3">
      <c r="A7617" t="s">
        <v>18176</v>
      </c>
      <c r="B7617" t="s">
        <v>26951</v>
      </c>
      <c r="C7617" t="s">
        <v>19239</v>
      </c>
      <c r="D7617" t="s">
        <v>19238</v>
      </c>
      <c r="E7617" s="2" t="s">
        <v>799</v>
      </c>
      <c r="F7617" t="s">
        <v>19237</v>
      </c>
      <c r="G7617" t="str">
        <f>HYPERLINK("http://kpenews.com/Board.aspx?BoardNo=21473")</f>
        <v>http://kpenews.com/Board.aspx?BoardNo=21473</v>
      </c>
      <c r="H7617">
        <v>0.46</v>
      </c>
    </row>
    <row r="7618" spans="1:8" x14ac:dyDescent="0.3">
      <c r="A7618" t="s">
        <v>18176</v>
      </c>
      <c r="B7618" t="s">
        <v>26951</v>
      </c>
      <c r="C7618" t="s">
        <v>19242</v>
      </c>
      <c r="D7618" t="s">
        <v>19241</v>
      </c>
      <c r="E7618" s="2" t="s">
        <v>799</v>
      </c>
      <c r="F7618" t="s">
        <v>19240</v>
      </c>
      <c r="G7618" t="str">
        <f>HYPERLINK("http://ch.yes24.com/Article/View/26533")</f>
        <v>http://ch.yes24.com/Article/View/26533</v>
      </c>
      <c r="H7618">
        <v>0.20799999999999999</v>
      </c>
    </row>
    <row r="7619" spans="1:8" x14ac:dyDescent="0.3">
      <c r="A7619" t="s">
        <v>18176</v>
      </c>
      <c r="B7619" t="s">
        <v>26951</v>
      </c>
      <c r="C7619" t="s">
        <v>19245</v>
      </c>
      <c r="D7619" t="s">
        <v>19244</v>
      </c>
      <c r="E7619" s="2" t="s">
        <v>799</v>
      </c>
      <c r="F7619" t="s">
        <v>19243</v>
      </c>
      <c r="G7619" t="str">
        <f>HYPERLINK("https://www.ggilbo.com/news/articleView.html?idxno=1095750")</f>
        <v>https://www.ggilbo.com/news/articleView.html?idxno=1095750</v>
      </c>
      <c r="H7619">
        <v>0.44800000000000001</v>
      </c>
    </row>
    <row r="7620" spans="1:8" x14ac:dyDescent="0.3">
      <c r="A7620" t="s">
        <v>18176</v>
      </c>
      <c r="B7620" t="s">
        <v>26951</v>
      </c>
      <c r="C7620" t="s">
        <v>19248</v>
      </c>
      <c r="D7620" t="s">
        <v>19247</v>
      </c>
      <c r="E7620" s="2" t="s">
        <v>799</v>
      </c>
      <c r="F7620" t="s">
        <v>19246</v>
      </c>
      <c r="G7620" t="str">
        <f>HYPERLINK("http://www.interview365.com/news/articleView.html?idxno=105521")</f>
        <v>http://www.interview365.com/news/articleView.html?idxno=105521</v>
      </c>
      <c r="H7620">
        <v>0.44600000000000001</v>
      </c>
    </row>
    <row r="7621" spans="1:8" x14ac:dyDescent="0.3">
      <c r="A7621" t="s">
        <v>18176</v>
      </c>
      <c r="B7621" t="s">
        <v>26951</v>
      </c>
      <c r="C7621" t="s">
        <v>19251</v>
      </c>
      <c r="D7621" t="s">
        <v>19250</v>
      </c>
      <c r="E7621" s="2" t="s">
        <v>572</v>
      </c>
      <c r="F7621" t="s">
        <v>19249</v>
      </c>
      <c r="G7621" t="str">
        <f>HYPERLINK("http://www.opinionnews.co.kr/news/articleView.html?idxno=118895")</f>
        <v>http://www.opinionnews.co.kr/news/articleView.html?idxno=118895</v>
      </c>
      <c r="H7621">
        <v>0.42099999999999999</v>
      </c>
    </row>
    <row r="7622" spans="1:8" x14ac:dyDescent="0.3">
      <c r="A7622" t="s">
        <v>18176</v>
      </c>
      <c r="B7622" t="s">
        <v>26951</v>
      </c>
      <c r="C7622" t="s">
        <v>19254</v>
      </c>
      <c r="D7622" t="s">
        <v>19253</v>
      </c>
      <c r="E7622" s="2" t="s">
        <v>572</v>
      </c>
      <c r="F7622" t="s">
        <v>19252</v>
      </c>
      <c r="G7622" t="str">
        <f>HYPERLINK("http://www.jeonmin.co.kr/news/articleView.html?idxno=396801")</f>
        <v>http://www.jeonmin.co.kr/news/articleView.html?idxno=396801</v>
      </c>
      <c r="H7622">
        <v>0.54500000000000004</v>
      </c>
    </row>
    <row r="7623" spans="1:8" x14ac:dyDescent="0.3">
      <c r="A7623" t="s">
        <v>18176</v>
      </c>
      <c r="B7623" t="s">
        <v>26951</v>
      </c>
      <c r="C7623" t="s">
        <v>19256</v>
      </c>
      <c r="D7623" t="s">
        <v>19255</v>
      </c>
      <c r="E7623" s="2" t="s">
        <v>572</v>
      </c>
      <c r="F7623" t="s">
        <v>171</v>
      </c>
      <c r="G7623" t="str">
        <f>HYPERLINK("https://n.news.naver.com/mnews/article/008/0005215536?sid=102")</f>
        <v>https://n.news.naver.com/mnews/article/008/0005215536?sid=102</v>
      </c>
      <c r="H7623">
        <v>0.25600000000000001</v>
      </c>
    </row>
    <row r="7624" spans="1:8" x14ac:dyDescent="0.3">
      <c r="A7624" t="s">
        <v>18176</v>
      </c>
      <c r="B7624" t="s">
        <v>26951</v>
      </c>
      <c r="C7624" t="s">
        <v>19258</v>
      </c>
      <c r="D7624" t="s">
        <v>19257</v>
      </c>
      <c r="E7624" s="2" t="s">
        <v>572</v>
      </c>
      <c r="F7624" t="s">
        <v>2437</v>
      </c>
      <c r="G7624" t="str">
        <f>HYPERLINK("https://n.news.naver.com/mnews/article/057/0001446742?sid=102")</f>
        <v>https://n.news.naver.com/mnews/article/057/0001446742?sid=102</v>
      </c>
      <c r="H7624">
        <v>0.188</v>
      </c>
    </row>
    <row r="7625" spans="1:8" x14ac:dyDescent="0.3">
      <c r="A7625" t="s">
        <v>18176</v>
      </c>
      <c r="B7625" t="s">
        <v>26951</v>
      </c>
      <c r="C7625" t="s">
        <v>19261</v>
      </c>
      <c r="D7625" t="s">
        <v>19260</v>
      </c>
      <c r="E7625" s="2" t="s">
        <v>572</v>
      </c>
      <c r="F7625" t="s">
        <v>19259</v>
      </c>
      <c r="G7625" t="str">
        <f>HYPERLINK("https://n.news.naver.com/mnews/article/032/0003185750?sid=103")</f>
        <v>https://n.news.naver.com/mnews/article/032/0003185750?sid=103</v>
      </c>
      <c r="H7625">
        <v>0.318</v>
      </c>
    </row>
    <row r="7626" spans="1:8" x14ac:dyDescent="0.3">
      <c r="A7626" t="s">
        <v>18176</v>
      </c>
      <c r="B7626" t="s">
        <v>26951</v>
      </c>
      <c r="C7626" t="s">
        <v>19264</v>
      </c>
      <c r="D7626" t="s">
        <v>19263</v>
      </c>
      <c r="E7626" s="2" t="s">
        <v>572</v>
      </c>
      <c r="F7626" t="s">
        <v>19262</v>
      </c>
      <c r="G7626" t="str">
        <f>HYPERLINK("http://www.lecturernews.com/news/articleView.html?idxno=93187")</f>
        <v>http://www.lecturernews.com/news/articleView.html?idxno=93187</v>
      </c>
      <c r="H7626">
        <v>0.55300000000000005</v>
      </c>
    </row>
    <row r="7627" spans="1:8" x14ac:dyDescent="0.3">
      <c r="A7627" t="s">
        <v>18176</v>
      </c>
      <c r="B7627" t="s">
        <v>26951</v>
      </c>
      <c r="C7627" t="s">
        <v>19267</v>
      </c>
      <c r="D7627" t="s">
        <v>19266</v>
      </c>
      <c r="E7627" s="2" t="s">
        <v>572</v>
      </c>
      <c r="F7627" t="s">
        <v>19265</v>
      </c>
      <c r="G7627" t="str">
        <f>HYPERLINK("https://www.woodkorea.co.kr/news/articleView.html?idxno=85419")</f>
        <v>https://www.woodkorea.co.kr/news/articleView.html?idxno=85419</v>
      </c>
      <c r="H7627">
        <v>0.21199999999999999</v>
      </c>
    </row>
    <row r="7628" spans="1:8" x14ac:dyDescent="0.3">
      <c r="A7628" t="s">
        <v>18176</v>
      </c>
      <c r="B7628" t="s">
        <v>26951</v>
      </c>
      <c r="C7628" t="s">
        <v>19270</v>
      </c>
      <c r="D7628" t="s">
        <v>19269</v>
      </c>
      <c r="E7628" s="2" t="s">
        <v>572</v>
      </c>
      <c r="F7628" t="s">
        <v>19268</v>
      </c>
      <c r="G7628" t="str">
        <f>HYPERLINK("https://news.dealsitetv.com/articles/151818")</f>
        <v>https://news.dealsitetv.com/articles/151818</v>
      </c>
      <c r="H7628">
        <v>0.20899999999999999</v>
      </c>
    </row>
    <row r="7629" spans="1:8" x14ac:dyDescent="0.3">
      <c r="A7629" t="s">
        <v>18176</v>
      </c>
      <c r="B7629" t="s">
        <v>26951</v>
      </c>
      <c r="C7629" t="s">
        <v>19273</v>
      </c>
      <c r="D7629" t="s">
        <v>19272</v>
      </c>
      <c r="E7629" s="2" t="s">
        <v>572</v>
      </c>
      <c r="F7629" t="s">
        <v>19271</v>
      </c>
      <c r="G7629" t="str">
        <f>HYPERLINK("https://n.news.naver.com/mnews/article/006/0000130677?sid=100")</f>
        <v>https://n.news.naver.com/mnews/article/006/0000130677?sid=100</v>
      </c>
      <c r="H7629">
        <v>0.186</v>
      </c>
    </row>
    <row r="7630" spans="1:8" x14ac:dyDescent="0.3">
      <c r="A7630" t="s">
        <v>18176</v>
      </c>
      <c r="B7630" t="s">
        <v>26951</v>
      </c>
      <c r="C7630" t="s">
        <v>19276</v>
      </c>
      <c r="D7630" t="s">
        <v>19275</v>
      </c>
      <c r="E7630" s="2" t="s">
        <v>572</v>
      </c>
      <c r="F7630" t="s">
        <v>19274</v>
      </c>
      <c r="G7630" t="str">
        <f>HYPERLINK("http://www.vogue.co.kr/?p=91806&amp;_C_=11")</f>
        <v>http://www.vogue.co.kr/?p=91806&amp;_C_=11</v>
      </c>
      <c r="H7630">
        <v>0.11700000000000001</v>
      </c>
    </row>
    <row r="7631" spans="1:8" x14ac:dyDescent="0.3">
      <c r="A7631" t="s">
        <v>18176</v>
      </c>
      <c r="B7631" t="s">
        <v>26951</v>
      </c>
      <c r="C7631" t="s">
        <v>19279</v>
      </c>
      <c r="D7631" t="s">
        <v>19278</v>
      </c>
      <c r="E7631" s="2" t="s">
        <v>572</v>
      </c>
      <c r="F7631" t="s">
        <v>19277</v>
      </c>
      <c r="G7631" t="str">
        <f>HYPERLINK("http://www.cctimes.kr/news/articleView.html?idxno=665349")</f>
        <v>http://www.cctimes.kr/news/articleView.html?idxno=665349</v>
      </c>
      <c r="H7631">
        <v>0.44700000000000001</v>
      </c>
    </row>
    <row r="7632" spans="1:8" x14ac:dyDescent="0.3">
      <c r="A7632" t="s">
        <v>18176</v>
      </c>
      <c r="B7632" t="s">
        <v>26951</v>
      </c>
      <c r="C7632" t="s">
        <v>19282</v>
      </c>
      <c r="D7632" t="s">
        <v>19281</v>
      </c>
      <c r="E7632" s="2" t="s">
        <v>572</v>
      </c>
      <c r="F7632" t="s">
        <v>19280</v>
      </c>
      <c r="G7632" t="str">
        <f>HYPERLINK("http://www.kbmaeil.com/news/articleView.html?idxno=991819")</f>
        <v>http://www.kbmaeil.com/news/articleView.html?idxno=991819</v>
      </c>
      <c r="H7632">
        <v>0.17399999999999999</v>
      </c>
    </row>
    <row r="7633" spans="1:8" x14ac:dyDescent="0.3">
      <c r="A7633" t="s">
        <v>18176</v>
      </c>
      <c r="B7633" t="s">
        <v>26951</v>
      </c>
      <c r="C7633" t="s">
        <v>5940</v>
      </c>
      <c r="D7633" t="s">
        <v>5939</v>
      </c>
      <c r="E7633" s="2" t="s">
        <v>572</v>
      </c>
      <c r="F7633" t="s">
        <v>197</v>
      </c>
      <c r="G7633" t="str">
        <f>HYPERLINK("https://n.news.naver.com/mnews/article/056/0011968466?sid=100")</f>
        <v>https://n.news.naver.com/mnews/article/056/0011968466?sid=100</v>
      </c>
      <c r="H7633">
        <v>0.22</v>
      </c>
    </row>
    <row r="7634" spans="1:8" x14ac:dyDescent="0.3">
      <c r="A7634" t="s">
        <v>18176</v>
      </c>
      <c r="B7634" t="s">
        <v>26951</v>
      </c>
      <c r="C7634" t="s">
        <v>19284</v>
      </c>
      <c r="D7634" t="s">
        <v>19283</v>
      </c>
      <c r="E7634" s="2" t="s">
        <v>572</v>
      </c>
      <c r="F7634" t="s">
        <v>197</v>
      </c>
      <c r="G7634" t="str">
        <f>HYPERLINK("http://www.jbsori.com/news/articleView.html?idxno=15745")</f>
        <v>http://www.jbsori.com/news/articleView.html?idxno=15745</v>
      </c>
      <c r="H7634">
        <v>0.49099999999999999</v>
      </c>
    </row>
    <row r="7635" spans="1:8" x14ac:dyDescent="0.3">
      <c r="A7635" t="s">
        <v>18176</v>
      </c>
      <c r="B7635" t="s">
        <v>26951</v>
      </c>
      <c r="C7635" t="s">
        <v>19286</v>
      </c>
      <c r="D7635" t="s">
        <v>19285</v>
      </c>
      <c r="E7635" s="2" t="s">
        <v>572</v>
      </c>
      <c r="F7635" t="s">
        <v>9922</v>
      </c>
      <c r="G7635" t="str">
        <f>HYPERLINK("https://n.news.naver.com/mnews/article/008/0005207773?sid=102")</f>
        <v>https://n.news.naver.com/mnews/article/008/0005207773?sid=102</v>
      </c>
      <c r="H7635">
        <v>0.26600000000000001</v>
      </c>
    </row>
    <row r="7636" spans="1:8" x14ac:dyDescent="0.3">
      <c r="A7636" t="s">
        <v>18176</v>
      </c>
      <c r="B7636" t="s">
        <v>26951</v>
      </c>
      <c r="C7636" t="s">
        <v>19288</v>
      </c>
      <c r="D7636" t="s">
        <v>19287</v>
      </c>
      <c r="E7636" s="2" t="s">
        <v>572</v>
      </c>
      <c r="F7636" t="s">
        <v>10111</v>
      </c>
      <c r="G7636" t="str">
        <f>HYPERLINK("https://n.news.naver.com/mnews/article/018/0006053974?sid=100")</f>
        <v>https://n.news.naver.com/mnews/article/018/0006053974?sid=100</v>
      </c>
      <c r="H7636">
        <v>0.26800000000000002</v>
      </c>
    </row>
    <row r="7637" spans="1:8" x14ac:dyDescent="0.3">
      <c r="A7637" t="s">
        <v>18176</v>
      </c>
      <c r="B7637" t="s">
        <v>26951</v>
      </c>
      <c r="C7637" t="s">
        <v>19290</v>
      </c>
      <c r="D7637" t="s">
        <v>19289</v>
      </c>
      <c r="E7637" s="2" t="s">
        <v>572</v>
      </c>
      <c r="F7637" t="s">
        <v>10981</v>
      </c>
      <c r="G7637" t="str">
        <f>HYPERLINK("http://www.hansbiz.co.kr/news/articleView.html?idxno=753675")</f>
        <v>http://www.hansbiz.co.kr/news/articleView.html?idxno=753675</v>
      </c>
      <c r="H7637">
        <v>0.72299999999999998</v>
      </c>
    </row>
    <row r="7638" spans="1:8" x14ac:dyDescent="0.3">
      <c r="A7638" t="s">
        <v>18176</v>
      </c>
      <c r="B7638" t="s">
        <v>26951</v>
      </c>
      <c r="C7638" t="s">
        <v>19293</v>
      </c>
      <c r="D7638" t="s">
        <v>19292</v>
      </c>
      <c r="E7638" s="2" t="s">
        <v>572</v>
      </c>
      <c r="F7638" t="s">
        <v>19291</v>
      </c>
      <c r="G7638" t="str">
        <f>HYPERLINK("http://www.enewstoday.co.kr/news/articleView.html?idxno=2287950")</f>
        <v>http://www.enewstoday.co.kr/news/articleView.html?idxno=2287950</v>
      </c>
      <c r="H7638">
        <v>0.92800000000000005</v>
      </c>
    </row>
    <row r="7639" spans="1:8" x14ac:dyDescent="0.3">
      <c r="A7639" t="s">
        <v>18176</v>
      </c>
      <c r="B7639" t="s">
        <v>26951</v>
      </c>
      <c r="C7639" t="s">
        <v>19296</v>
      </c>
      <c r="D7639" t="s">
        <v>19295</v>
      </c>
      <c r="E7639" s="2" t="s">
        <v>572</v>
      </c>
      <c r="F7639" t="s">
        <v>19294</v>
      </c>
      <c r="G7639" t="str">
        <f>HYPERLINK("http://www.kyeongin.com/main/view.php?key=20240222010002187")</f>
        <v>http://www.kyeongin.com/main/view.php?key=20240222010002187</v>
      </c>
      <c r="H7639">
        <v>0.38300000000000001</v>
      </c>
    </row>
    <row r="7640" spans="1:8" x14ac:dyDescent="0.3">
      <c r="A7640" t="s">
        <v>18176</v>
      </c>
      <c r="B7640" t="s">
        <v>26951</v>
      </c>
      <c r="C7640" t="s">
        <v>19300</v>
      </c>
      <c r="D7640" t="s">
        <v>19299</v>
      </c>
      <c r="E7640" s="2" t="s">
        <v>572</v>
      </c>
      <c r="F7640" t="s">
        <v>19298</v>
      </c>
      <c r="G7640" t="str">
        <f>HYPERLINK("https://www.m-joongang.com/news/articleView.html?idxno=401062")</f>
        <v>https://www.m-joongang.com/news/articleView.html?idxno=401062</v>
      </c>
      <c r="H7640">
        <v>0.27500000000000002</v>
      </c>
    </row>
    <row r="7641" spans="1:8" x14ac:dyDescent="0.3">
      <c r="A7641" t="s">
        <v>18176</v>
      </c>
      <c r="B7641" t="s">
        <v>26951</v>
      </c>
      <c r="C7641" t="s">
        <v>19303</v>
      </c>
      <c r="D7641" t="s">
        <v>19302</v>
      </c>
      <c r="E7641" s="2" t="s">
        <v>572</v>
      </c>
      <c r="F7641" t="s">
        <v>19301</v>
      </c>
      <c r="G7641" t="str">
        <f>HYPERLINK("http://www.pdjournal.com/news/articleView.html?idxno=30379")</f>
        <v>http://www.pdjournal.com/news/articleView.html?idxno=30379</v>
      </c>
      <c r="H7641">
        <v>0.20699999999999999</v>
      </c>
    </row>
    <row r="7642" spans="1:8" x14ac:dyDescent="0.3">
      <c r="A7642" t="s">
        <v>18176</v>
      </c>
      <c r="B7642" t="s">
        <v>26951</v>
      </c>
      <c r="C7642" t="s">
        <v>19305</v>
      </c>
      <c r="D7642" t="s">
        <v>19304</v>
      </c>
      <c r="E7642" s="2" t="s">
        <v>572</v>
      </c>
      <c r="F7642" t="s">
        <v>7224</v>
      </c>
      <c r="G7642" t="str">
        <f>HYPERLINK("http://www.newstnt.com/news/articleView.html?idxno=498329")</f>
        <v>http://www.newstnt.com/news/articleView.html?idxno=498329</v>
      </c>
      <c r="H7642">
        <v>0.90700000000000003</v>
      </c>
    </row>
    <row r="7643" spans="1:8" x14ac:dyDescent="0.3">
      <c r="A7643" t="s">
        <v>18176</v>
      </c>
      <c r="B7643" t="s">
        <v>26951</v>
      </c>
      <c r="C7643" t="s">
        <v>19308</v>
      </c>
      <c r="D7643" t="s">
        <v>19307</v>
      </c>
      <c r="E7643" s="2" t="s">
        <v>572</v>
      </c>
      <c r="F7643" t="s">
        <v>19306</v>
      </c>
      <c r="G7643" t="str">
        <f>HYPERLINK("https://n.news.naver.com/mnews/article/127/0000037880?sid=110")</f>
        <v>https://n.news.naver.com/mnews/article/127/0000037880?sid=110</v>
      </c>
      <c r="H7643">
        <v>0.13600000000000001</v>
      </c>
    </row>
    <row r="7644" spans="1:8" x14ac:dyDescent="0.3">
      <c r="A7644" t="s">
        <v>18176</v>
      </c>
      <c r="B7644" t="s">
        <v>26951</v>
      </c>
      <c r="C7644" t="s">
        <v>19311</v>
      </c>
      <c r="D7644" t="s">
        <v>19310</v>
      </c>
      <c r="E7644" s="2" t="s">
        <v>572</v>
      </c>
      <c r="F7644" t="s">
        <v>19309</v>
      </c>
      <c r="G7644" t="str">
        <f>HYPERLINK("https://n.news.naver.com/mnews/article/005/0001584832?sid=104")</f>
        <v>https://n.news.naver.com/mnews/article/005/0001584832?sid=104</v>
      </c>
      <c r="H7644">
        <v>0.22900000000000001</v>
      </c>
    </row>
    <row r="7645" spans="1:8" x14ac:dyDescent="0.3">
      <c r="A7645" t="s">
        <v>18176</v>
      </c>
      <c r="B7645" t="s">
        <v>26951</v>
      </c>
      <c r="C7645" t="s">
        <v>19313</v>
      </c>
      <c r="D7645" t="s">
        <v>19312</v>
      </c>
      <c r="E7645" s="2" t="s">
        <v>572</v>
      </c>
      <c r="F7645" t="s">
        <v>5622</v>
      </c>
      <c r="G7645" t="str">
        <f>HYPERLINK("http://www.fntoday.co.kr/news/articleView.html?idxno=350120")</f>
        <v>http://www.fntoday.co.kr/news/articleView.html?idxno=350120</v>
      </c>
      <c r="H7645">
        <v>0.16200000000000001</v>
      </c>
    </row>
    <row r="7646" spans="1:8" x14ac:dyDescent="0.3">
      <c r="A7646" t="s">
        <v>18176</v>
      </c>
      <c r="B7646" t="s">
        <v>26951</v>
      </c>
      <c r="C7646" t="s">
        <v>19315</v>
      </c>
      <c r="D7646" t="s">
        <v>19314</v>
      </c>
      <c r="E7646" s="2" t="s">
        <v>572</v>
      </c>
      <c r="F7646" t="s">
        <v>15066</v>
      </c>
      <c r="G7646" t="str">
        <f>HYPERLINK("http://www.newstnt.com/news/articleView.html?idxno=498329")</f>
        <v>http://www.newstnt.com/news/articleView.html?idxno=498329</v>
      </c>
      <c r="H7646">
        <v>0.92900000000000005</v>
      </c>
    </row>
    <row r="7647" spans="1:8" x14ac:dyDescent="0.3">
      <c r="A7647" t="s">
        <v>18176</v>
      </c>
      <c r="B7647" t="s">
        <v>26951</v>
      </c>
      <c r="C7647" t="s">
        <v>19318</v>
      </c>
      <c r="D7647" t="s">
        <v>19317</v>
      </c>
      <c r="E7647" s="2" t="s">
        <v>572</v>
      </c>
      <c r="F7647" t="s">
        <v>19316</v>
      </c>
      <c r="G7647" t="str">
        <f>HYPERLINK("https://news.dealsitetv.com/articles/155586")</f>
        <v>https://news.dealsitetv.com/articles/155586</v>
      </c>
      <c r="H7647">
        <v>0.48699999999999999</v>
      </c>
    </row>
    <row r="7648" spans="1:8" x14ac:dyDescent="0.3">
      <c r="A7648" t="s">
        <v>18176</v>
      </c>
      <c r="B7648" t="s">
        <v>26951</v>
      </c>
      <c r="C7648" t="s">
        <v>19320</v>
      </c>
      <c r="D7648" t="s">
        <v>19319</v>
      </c>
      <c r="E7648" s="2" t="s">
        <v>572</v>
      </c>
      <c r="F7648" t="s">
        <v>10841</v>
      </c>
      <c r="G7648" t="str">
        <f>HYPERLINK("https://www.lecturernews.com/news/articleView.html?idxno=180247")</f>
        <v>https://www.lecturernews.com/news/articleView.html?idxno=180247</v>
      </c>
      <c r="H7648">
        <v>0.70299999999999996</v>
      </c>
    </row>
    <row r="7649" spans="1:8" x14ac:dyDescent="0.3">
      <c r="A7649" t="s">
        <v>18176</v>
      </c>
      <c r="B7649" t="s">
        <v>26951</v>
      </c>
      <c r="C7649" t="s">
        <v>19322</v>
      </c>
      <c r="D7649" t="s">
        <v>19321</v>
      </c>
      <c r="E7649" s="2" t="s">
        <v>572</v>
      </c>
      <c r="F7649" t="s">
        <v>5548</v>
      </c>
      <c r="G7649" t="str">
        <f>HYPERLINK("https://sports.hankooki.com/news/articleView.html?idxno=6892461")</f>
        <v>https://sports.hankooki.com/news/articleView.html?idxno=6892461</v>
      </c>
      <c r="H7649">
        <v>0.61</v>
      </c>
    </row>
    <row r="7650" spans="1:8" x14ac:dyDescent="0.3">
      <c r="A7650" t="s">
        <v>18176</v>
      </c>
      <c r="B7650" t="s">
        <v>26951</v>
      </c>
      <c r="C7650" t="s">
        <v>19324</v>
      </c>
      <c r="D7650" t="s">
        <v>19323</v>
      </c>
      <c r="E7650" s="2" t="s">
        <v>572</v>
      </c>
      <c r="F7650" t="s">
        <v>1378</v>
      </c>
      <c r="G7650" t="str">
        <f>HYPERLINK("https://www.ggilbo.com/news/articleView.html?idxno=1094892")</f>
        <v>https://www.ggilbo.com/news/articleView.html?idxno=1094892</v>
      </c>
      <c r="H7650">
        <v>0.62</v>
      </c>
    </row>
    <row r="7651" spans="1:8" x14ac:dyDescent="0.3">
      <c r="A7651" t="s">
        <v>18176</v>
      </c>
      <c r="B7651" t="s">
        <v>26951</v>
      </c>
      <c r="C7651" t="s">
        <v>19327</v>
      </c>
      <c r="D7651" t="s">
        <v>19326</v>
      </c>
      <c r="E7651" s="2" t="s">
        <v>572</v>
      </c>
      <c r="F7651" t="s">
        <v>19325</v>
      </c>
      <c r="G7651" t="str">
        <f>HYPERLINK("https://n.news.naver.com/mnews/article/079/0004040383?sid=100")</f>
        <v>https://n.news.naver.com/mnews/article/079/0004040383?sid=100</v>
      </c>
      <c r="H7651">
        <v>0.217</v>
      </c>
    </row>
    <row r="7652" spans="1:8" x14ac:dyDescent="0.3">
      <c r="A7652" t="s">
        <v>18176</v>
      </c>
      <c r="B7652" t="s">
        <v>26951</v>
      </c>
      <c r="C7652" t="s">
        <v>19330</v>
      </c>
      <c r="D7652" t="s">
        <v>19329</v>
      </c>
      <c r="E7652" s="2" t="s">
        <v>572</v>
      </c>
      <c r="F7652" t="s">
        <v>19328</v>
      </c>
      <c r="G7652" t="str">
        <f>HYPERLINK("https://n.news.naver.com/mnews/article/056/0011377084?sid=101")</f>
        <v>https://n.news.naver.com/mnews/article/056/0011377084?sid=101</v>
      </c>
      <c r="H7652">
        <v>0.15</v>
      </c>
    </row>
    <row r="7653" spans="1:8" x14ac:dyDescent="0.3">
      <c r="A7653" t="s">
        <v>18176</v>
      </c>
      <c r="B7653" t="s">
        <v>26951</v>
      </c>
      <c r="C7653" t="s">
        <v>19333</v>
      </c>
      <c r="D7653" t="s">
        <v>19332</v>
      </c>
      <c r="E7653" s="2" t="s">
        <v>572</v>
      </c>
      <c r="F7653" t="s">
        <v>19331</v>
      </c>
      <c r="G7653" t="str">
        <f>HYPERLINK("http://www.100ssd.co.kr/news/articleView.html?idxno=115209")</f>
        <v>http://www.100ssd.co.kr/news/articleView.html?idxno=115209</v>
      </c>
      <c r="H7653">
        <v>0.57099999999999995</v>
      </c>
    </row>
    <row r="7654" spans="1:8" x14ac:dyDescent="0.3">
      <c r="A7654" t="s">
        <v>18176</v>
      </c>
      <c r="B7654" t="s">
        <v>26951</v>
      </c>
      <c r="C7654" t="s">
        <v>19335</v>
      </c>
      <c r="D7654" t="s">
        <v>19334</v>
      </c>
      <c r="E7654" s="2" t="s">
        <v>572</v>
      </c>
      <c r="F7654" t="s">
        <v>16581</v>
      </c>
      <c r="G7654" t="str">
        <f>HYPERLINK("http://www.greened.kr/news/articleView.html?idxno=304646")</f>
        <v>http://www.greened.kr/news/articleView.html?idxno=304646</v>
      </c>
      <c r="H7654">
        <v>0.61699999999999999</v>
      </c>
    </row>
    <row r="7655" spans="1:8" x14ac:dyDescent="0.3">
      <c r="A7655" t="s">
        <v>18176</v>
      </c>
      <c r="B7655" t="s">
        <v>26951</v>
      </c>
      <c r="C7655" t="s">
        <v>19338</v>
      </c>
      <c r="D7655" t="s">
        <v>19337</v>
      </c>
      <c r="E7655" s="2" t="s">
        <v>572</v>
      </c>
      <c r="F7655" t="s">
        <v>19336</v>
      </c>
      <c r="G7655" t="str">
        <f>HYPERLINK("https://www.ccdn.co.kr/news/articleView.html?idxno=1026450")</f>
        <v>https://www.ccdn.co.kr/news/articleView.html?idxno=1026450</v>
      </c>
      <c r="H7655">
        <v>0.72</v>
      </c>
    </row>
    <row r="7656" spans="1:8" x14ac:dyDescent="0.3">
      <c r="A7656" t="s">
        <v>18176</v>
      </c>
      <c r="B7656" t="s">
        <v>26951</v>
      </c>
      <c r="C7656" t="s">
        <v>19341</v>
      </c>
      <c r="D7656" t="s">
        <v>19340</v>
      </c>
      <c r="E7656" s="2" t="s">
        <v>572</v>
      </c>
      <c r="F7656" t="s">
        <v>19339</v>
      </c>
      <c r="G7656" t="str">
        <f>HYPERLINK("https://n.news.naver.com/mnews/article/005/0001137289?sid=103")</f>
        <v>https://n.news.naver.com/mnews/article/005/0001137289?sid=103</v>
      </c>
      <c r="H7656">
        <v>0.32900000000000001</v>
      </c>
    </row>
    <row r="7657" spans="1:8" x14ac:dyDescent="0.3">
      <c r="A7657" t="s">
        <v>18176</v>
      </c>
      <c r="B7657" t="s">
        <v>26951</v>
      </c>
      <c r="C7657" t="s">
        <v>19343</v>
      </c>
      <c r="D7657" t="s">
        <v>19342</v>
      </c>
      <c r="E7657" s="2" t="s">
        <v>572</v>
      </c>
      <c r="F7657" t="s">
        <v>808</v>
      </c>
      <c r="G7657" t="str">
        <f>HYPERLINK("http://www.banronbodo.com/news/articleView.html?idxno=22575")</f>
        <v>http://www.banronbodo.com/news/articleView.html?idxno=22575</v>
      </c>
      <c r="H7657">
        <v>0.46899999999999997</v>
      </c>
    </row>
    <row r="7658" spans="1:8" x14ac:dyDescent="0.3">
      <c r="A7658" t="s">
        <v>18176</v>
      </c>
      <c r="B7658" t="s">
        <v>26951</v>
      </c>
      <c r="C7658" t="s">
        <v>19346</v>
      </c>
      <c r="D7658" t="s">
        <v>19345</v>
      </c>
      <c r="E7658" s="2" t="s">
        <v>572</v>
      </c>
      <c r="F7658" t="s">
        <v>19344</v>
      </c>
      <c r="G7658" t="str">
        <f>HYPERLINK("https://www.danbinews.com/news/articleView.html?idxno=30898")</f>
        <v>https://www.danbinews.com/news/articleView.html?idxno=30898</v>
      </c>
      <c r="H7658">
        <v>0.627</v>
      </c>
    </row>
    <row r="7659" spans="1:8" x14ac:dyDescent="0.3">
      <c r="A7659" t="s">
        <v>18176</v>
      </c>
      <c r="B7659" t="s">
        <v>26951</v>
      </c>
      <c r="C7659" t="s">
        <v>19349</v>
      </c>
      <c r="D7659" t="s">
        <v>19348</v>
      </c>
      <c r="E7659" s="2" t="s">
        <v>572</v>
      </c>
      <c r="F7659" t="s">
        <v>19347</v>
      </c>
      <c r="G7659" t="str">
        <f>HYPERLINK("http://www.newsmp.com/news/articleView.html?idxno=229980")</f>
        <v>http://www.newsmp.com/news/articleView.html?idxno=229980</v>
      </c>
      <c r="H7659">
        <v>0.42599999999999999</v>
      </c>
    </row>
    <row r="7660" spans="1:8" x14ac:dyDescent="0.3">
      <c r="A7660" t="s">
        <v>18176</v>
      </c>
      <c r="B7660" t="s">
        <v>26951</v>
      </c>
      <c r="C7660" t="s">
        <v>19352</v>
      </c>
      <c r="D7660" t="s">
        <v>19351</v>
      </c>
      <c r="E7660" s="2" t="s">
        <v>572</v>
      </c>
      <c r="F7660" t="s">
        <v>19350</v>
      </c>
      <c r="G7660" t="str">
        <f>HYPERLINK("https://www.newspim.com/news/view/20250630001136")</f>
        <v>https://www.newspim.com/news/view/20250630001136</v>
      </c>
      <c r="H7660">
        <v>0.37</v>
      </c>
    </row>
    <row r="7661" spans="1:8" x14ac:dyDescent="0.3">
      <c r="A7661" t="s">
        <v>18176</v>
      </c>
      <c r="B7661" t="s">
        <v>26951</v>
      </c>
      <c r="C7661" t="s">
        <v>19354</v>
      </c>
      <c r="D7661" t="s">
        <v>11950</v>
      </c>
      <c r="E7661" s="2" t="s">
        <v>572</v>
      </c>
      <c r="F7661" t="s">
        <v>19353</v>
      </c>
      <c r="G7661" t="str">
        <f>HYPERLINK("https://n.news.naver.com/mnews/article/011/0004503385?sid=101")</f>
        <v>https://n.news.naver.com/mnews/article/011/0004503385?sid=101</v>
      </c>
      <c r="H7661">
        <v>0.34300000000000003</v>
      </c>
    </row>
    <row r="7662" spans="1:8" x14ac:dyDescent="0.3">
      <c r="A7662" t="s">
        <v>18176</v>
      </c>
      <c r="B7662" t="s">
        <v>26951</v>
      </c>
      <c r="C7662" t="s">
        <v>19357</v>
      </c>
      <c r="D7662" t="s">
        <v>19356</v>
      </c>
      <c r="E7662" s="2" t="s">
        <v>572</v>
      </c>
      <c r="F7662" t="s">
        <v>19355</v>
      </c>
      <c r="G7662" t="str">
        <f>HYPERLINK("http://www.opinionnews.co.kr/news/articleView.html?idxno=117873")</f>
        <v>http://www.opinionnews.co.kr/news/articleView.html?idxno=117873</v>
      </c>
      <c r="H7662">
        <v>0.28799999999999998</v>
      </c>
    </row>
    <row r="7663" spans="1:8" x14ac:dyDescent="0.3">
      <c r="A7663" t="s">
        <v>18176</v>
      </c>
      <c r="B7663" t="s">
        <v>26951</v>
      </c>
      <c r="C7663" t="s">
        <v>19360</v>
      </c>
      <c r="D7663" t="s">
        <v>19359</v>
      </c>
      <c r="E7663" s="2" t="s">
        <v>572</v>
      </c>
      <c r="F7663" t="s">
        <v>19358</v>
      </c>
      <c r="G7663" t="str">
        <f>HYPERLINK("https://www.lecturernews.com/news/articleView.html?idxno=178641")</f>
        <v>https://www.lecturernews.com/news/articleView.html?idxno=178641</v>
      </c>
      <c r="H7663">
        <v>0.48499999999999999</v>
      </c>
    </row>
    <row r="7664" spans="1:8" x14ac:dyDescent="0.3">
      <c r="A7664" t="s">
        <v>18176</v>
      </c>
      <c r="B7664" t="s">
        <v>26951</v>
      </c>
      <c r="C7664" t="s">
        <v>19363</v>
      </c>
      <c r="D7664" t="s">
        <v>19362</v>
      </c>
      <c r="E7664" s="2" t="s">
        <v>572</v>
      </c>
      <c r="F7664" t="s">
        <v>19361</v>
      </c>
      <c r="G7664" t="str">
        <f>HYPERLINK("http://ch.yes24.com/Article/View/28624")</f>
        <v>http://ch.yes24.com/Article/View/28624</v>
      </c>
      <c r="H7664">
        <v>0.36299999999999999</v>
      </c>
    </row>
    <row r="7665" spans="1:8" x14ac:dyDescent="0.3">
      <c r="A7665" t="s">
        <v>18176</v>
      </c>
      <c r="B7665" t="s">
        <v>26951</v>
      </c>
      <c r="C7665" t="s">
        <v>19366</v>
      </c>
      <c r="D7665" t="s">
        <v>19365</v>
      </c>
      <c r="E7665" s="2" t="s">
        <v>572</v>
      </c>
      <c r="F7665" t="s">
        <v>19364</v>
      </c>
      <c r="G7665" t="str">
        <f>HYPERLINK("https://weekly.cnbnews.com/news/article.html?no=181860")</f>
        <v>https://weekly.cnbnews.com/news/article.html?no=181860</v>
      </c>
      <c r="H7665">
        <v>0.40600000000000003</v>
      </c>
    </row>
    <row r="7666" spans="1:8" x14ac:dyDescent="0.3">
      <c r="A7666" t="s">
        <v>18176</v>
      </c>
      <c r="B7666" t="s">
        <v>26951</v>
      </c>
      <c r="C7666" t="s">
        <v>19368</v>
      </c>
      <c r="D7666" t="s">
        <v>19367</v>
      </c>
      <c r="E7666" s="2" t="s">
        <v>572</v>
      </c>
      <c r="F7666" t="s">
        <v>17690</v>
      </c>
      <c r="G7666" t="str">
        <f>HYPERLINK("http://www.incheonilbo.com/news/articleView.html?idxno=816318")</f>
        <v>http://www.incheonilbo.com/news/articleView.html?idxno=816318</v>
      </c>
      <c r="H7666">
        <v>0.46600000000000003</v>
      </c>
    </row>
    <row r="7667" spans="1:8" x14ac:dyDescent="0.3">
      <c r="A7667" t="s">
        <v>18176</v>
      </c>
      <c r="B7667" t="s">
        <v>26951</v>
      </c>
      <c r="C7667" t="s">
        <v>19371</v>
      </c>
      <c r="D7667" t="s">
        <v>19370</v>
      </c>
      <c r="E7667" s="2" t="s">
        <v>572</v>
      </c>
      <c r="F7667" t="s">
        <v>19369</v>
      </c>
      <c r="G7667" t="str">
        <f>HYPERLINK("https://www.mediajeju.com/news/articleView.html?idxno=358927")</f>
        <v>https://www.mediajeju.com/news/articleView.html?idxno=358927</v>
      </c>
      <c r="H7667">
        <v>0.60499999999999998</v>
      </c>
    </row>
    <row r="7668" spans="1:8" x14ac:dyDescent="0.3">
      <c r="A7668" t="s">
        <v>18176</v>
      </c>
      <c r="B7668" t="s">
        <v>26951</v>
      </c>
      <c r="C7668" t="s">
        <v>19373</v>
      </c>
      <c r="D7668" t="s">
        <v>19372</v>
      </c>
      <c r="E7668" s="2" t="s">
        <v>572</v>
      </c>
      <c r="F7668" t="s">
        <v>11533</v>
      </c>
      <c r="G7668" t="str">
        <f>HYPERLINK("http://www.nongaek.com/news/articleView.html?idxno=54178")</f>
        <v>http://www.nongaek.com/news/articleView.html?idxno=54178</v>
      </c>
      <c r="H7668">
        <v>0.69099999999999995</v>
      </c>
    </row>
    <row r="7669" spans="1:8" x14ac:dyDescent="0.3">
      <c r="A7669" t="s">
        <v>18176</v>
      </c>
      <c r="B7669" t="s">
        <v>26951</v>
      </c>
      <c r="C7669" t="s">
        <v>19376</v>
      </c>
      <c r="D7669" t="s">
        <v>19375</v>
      </c>
      <c r="E7669" s="2" t="s">
        <v>572</v>
      </c>
      <c r="F7669" t="s">
        <v>19374</v>
      </c>
      <c r="G7669" t="str">
        <f>HYPERLINK("https://www.idaegu.com/news/articleView.html?idxno=639904")</f>
        <v>https://www.idaegu.com/news/articleView.html?idxno=639904</v>
      </c>
      <c r="H7669">
        <v>0.747</v>
      </c>
    </row>
    <row r="7670" spans="1:8" x14ac:dyDescent="0.3">
      <c r="A7670" t="s">
        <v>18176</v>
      </c>
      <c r="B7670" t="s">
        <v>26951</v>
      </c>
      <c r="C7670" t="s">
        <v>19378</v>
      </c>
      <c r="D7670" t="s">
        <v>19377</v>
      </c>
      <c r="E7670" s="2" t="s">
        <v>572</v>
      </c>
      <c r="F7670" t="s">
        <v>8347</v>
      </c>
      <c r="G7670" t="str">
        <f>HYPERLINK("https://www.viva100.com/main/view.php?key=20240112010003949")</f>
        <v>https://www.viva100.com/main/view.php?key=20240112010003949</v>
      </c>
      <c r="H7670">
        <v>6.3E-2</v>
      </c>
    </row>
    <row r="7671" spans="1:8" x14ac:dyDescent="0.3">
      <c r="A7671" t="s">
        <v>18176</v>
      </c>
      <c r="B7671" t="s">
        <v>26951</v>
      </c>
      <c r="C7671" t="s">
        <v>19380</v>
      </c>
      <c r="D7671" t="s">
        <v>19379</v>
      </c>
      <c r="E7671" s="2" t="s">
        <v>572</v>
      </c>
      <c r="F7671" t="s">
        <v>10506</v>
      </c>
      <c r="G7671" t="str">
        <f>HYPERLINK("http://www.medical-tribune.co.kr/news/articleView.html?idxno=209796")</f>
        <v>http://www.medical-tribune.co.kr/news/articleView.html?idxno=209796</v>
      </c>
      <c r="H7671">
        <v>7.2999999999999995E-2</v>
      </c>
    </row>
    <row r="7672" spans="1:8" x14ac:dyDescent="0.3">
      <c r="A7672" t="s">
        <v>18176</v>
      </c>
      <c r="B7672" t="s">
        <v>26951</v>
      </c>
      <c r="C7672" t="s">
        <v>19382</v>
      </c>
      <c r="D7672" t="s">
        <v>19381</v>
      </c>
      <c r="E7672" s="2" t="s">
        <v>572</v>
      </c>
      <c r="F7672" t="s">
        <v>5087</v>
      </c>
      <c r="G7672" t="str">
        <f>HYPERLINK("https://n.news.naver.com/mnews/article/119/0002966563?sid=103")</f>
        <v>https://n.news.naver.com/mnews/article/119/0002966563?sid=103</v>
      </c>
      <c r="H7672">
        <v>0.16800000000000001</v>
      </c>
    </row>
    <row r="7673" spans="1:8" x14ac:dyDescent="0.3">
      <c r="A7673" t="s">
        <v>18176</v>
      </c>
      <c r="B7673" t="s">
        <v>26951</v>
      </c>
      <c r="C7673" t="s">
        <v>19384</v>
      </c>
      <c r="D7673" t="s">
        <v>19383</v>
      </c>
      <c r="E7673" s="2" t="s">
        <v>572</v>
      </c>
      <c r="F7673" t="s">
        <v>1377</v>
      </c>
      <c r="G7673" t="str">
        <f>HYPERLINK("https://n.news.naver.com/mnews/article/016/0002482472?sid=103")</f>
        <v>https://n.news.naver.com/mnews/article/016/0002482472?sid=103</v>
      </c>
      <c r="H7673">
        <v>0.11799999999999999</v>
      </c>
    </row>
    <row r="7674" spans="1:8" x14ac:dyDescent="0.3">
      <c r="A7674" t="s">
        <v>18176</v>
      </c>
      <c r="B7674" t="s">
        <v>26951</v>
      </c>
      <c r="C7674" t="s">
        <v>19386</v>
      </c>
      <c r="D7674" t="s">
        <v>19385</v>
      </c>
      <c r="E7674" s="2" t="s">
        <v>572</v>
      </c>
      <c r="F7674" t="s">
        <v>13803</v>
      </c>
      <c r="G7674" t="str">
        <f>HYPERLINK("http://www.newspim.com/common/redirect.jsp?newsId=20150107000144")</f>
        <v>http://www.newspim.com/common/redirect.jsp?newsId=20150107000144</v>
      </c>
      <c r="H7674">
        <v>4.8000000000000001E-2</v>
      </c>
    </row>
    <row r="7675" spans="1:8" x14ac:dyDescent="0.3">
      <c r="A7675" t="s">
        <v>18176</v>
      </c>
      <c r="B7675" t="s">
        <v>26951</v>
      </c>
      <c r="C7675" t="s">
        <v>19388</v>
      </c>
      <c r="D7675" t="s">
        <v>19387</v>
      </c>
      <c r="E7675" s="2" t="s">
        <v>572</v>
      </c>
      <c r="F7675" t="s">
        <v>1060</v>
      </c>
      <c r="G7675" t="str">
        <f>HYPERLINK("http://www.sisaon.co.kr/news/articleView.html?idxno=98545")</f>
        <v>http://www.sisaon.co.kr/news/articleView.html?idxno=98545</v>
      </c>
      <c r="H7675">
        <v>0.37</v>
      </c>
    </row>
    <row r="7676" spans="1:8" x14ac:dyDescent="0.3">
      <c r="A7676" t="s">
        <v>18176</v>
      </c>
      <c r="B7676" t="s">
        <v>26951</v>
      </c>
      <c r="C7676" t="s">
        <v>19391</v>
      </c>
      <c r="D7676" t="s">
        <v>19390</v>
      </c>
      <c r="E7676" s="2" t="s">
        <v>572</v>
      </c>
      <c r="F7676" t="s">
        <v>19389</v>
      </c>
      <c r="G7676" t="str">
        <f>HYPERLINK("http://www.ktsketch.co.kr/news/articleView.html?idxno=7640")</f>
        <v>http://www.ktsketch.co.kr/news/articleView.html?idxno=7640</v>
      </c>
      <c r="H7676">
        <v>0.34699999999999998</v>
      </c>
    </row>
    <row r="7677" spans="1:8" x14ac:dyDescent="0.3">
      <c r="A7677" t="s">
        <v>18176</v>
      </c>
      <c r="B7677" t="s">
        <v>26951</v>
      </c>
      <c r="C7677" t="s">
        <v>19394</v>
      </c>
      <c r="D7677" t="s">
        <v>19393</v>
      </c>
      <c r="E7677" s="2" t="s">
        <v>572</v>
      </c>
      <c r="F7677" t="s">
        <v>19392</v>
      </c>
      <c r="G7677" t="str">
        <f>HYPERLINK("https://www.naeil.com/news/read/552283?ref=naver")</f>
        <v>https://www.naeil.com/news/read/552283?ref=naver</v>
      </c>
      <c r="H7677">
        <v>0.40200000000000002</v>
      </c>
    </row>
    <row r="7678" spans="1:8" x14ac:dyDescent="0.3">
      <c r="A7678" t="s">
        <v>18176</v>
      </c>
      <c r="B7678" t="s">
        <v>26951</v>
      </c>
      <c r="C7678" t="s">
        <v>19396</v>
      </c>
      <c r="D7678" t="s">
        <v>19395</v>
      </c>
      <c r="E7678" s="2" t="s">
        <v>572</v>
      </c>
      <c r="F7678" t="s">
        <v>14926</v>
      </c>
      <c r="G7678" t="str">
        <f>HYPERLINK("http://ch.yes24.com/Article/View/51832")</f>
        <v>http://ch.yes24.com/Article/View/51832</v>
      </c>
      <c r="H7678">
        <v>0.29599999999999999</v>
      </c>
    </row>
    <row r="7679" spans="1:8" x14ac:dyDescent="0.3">
      <c r="A7679" t="s">
        <v>18176</v>
      </c>
      <c r="B7679" t="s">
        <v>26951</v>
      </c>
      <c r="C7679" t="s">
        <v>19398</v>
      </c>
      <c r="D7679" t="s">
        <v>19397</v>
      </c>
      <c r="E7679" s="2" t="s">
        <v>572</v>
      </c>
      <c r="F7679" t="s">
        <v>14926</v>
      </c>
      <c r="G7679" t="str">
        <f>HYPERLINK("http://www.kdfnews.com/news/articleView.html?idxno=158378")</f>
        <v>http://www.kdfnews.com/news/articleView.html?idxno=158378</v>
      </c>
      <c r="H7679">
        <v>0.311</v>
      </c>
    </row>
    <row r="7680" spans="1:8" x14ac:dyDescent="0.3">
      <c r="A7680" t="s">
        <v>18176</v>
      </c>
      <c r="B7680" t="s">
        <v>26951</v>
      </c>
      <c r="C7680" t="s">
        <v>19400</v>
      </c>
      <c r="D7680" t="s">
        <v>19399</v>
      </c>
      <c r="E7680" s="2" t="s">
        <v>572</v>
      </c>
      <c r="F7680" t="s">
        <v>14926</v>
      </c>
      <c r="G7680" t="str">
        <f>HYPERLINK("https://n.news.naver.com/mnews/article/057/0001890289?sid=100")</f>
        <v>https://n.news.naver.com/mnews/article/057/0001890289?sid=100</v>
      </c>
      <c r="H7680">
        <v>0.108</v>
      </c>
    </row>
    <row r="7681" spans="1:8" x14ac:dyDescent="0.3">
      <c r="A7681" t="s">
        <v>18176</v>
      </c>
      <c r="B7681" t="s">
        <v>26951</v>
      </c>
      <c r="C7681" t="s">
        <v>19403</v>
      </c>
      <c r="D7681" t="s">
        <v>19402</v>
      </c>
      <c r="E7681" s="2" t="s">
        <v>572</v>
      </c>
      <c r="F7681" t="s">
        <v>19401</v>
      </c>
      <c r="G7681" t="str">
        <f>HYPERLINK("http://www.sisafocus.co.kr/news/articleView.html?idxno=330547")</f>
        <v>http://www.sisafocus.co.kr/news/articleView.html?idxno=330547</v>
      </c>
      <c r="H7681">
        <v>0.68100000000000005</v>
      </c>
    </row>
    <row r="7682" spans="1:8" x14ac:dyDescent="0.3">
      <c r="A7682" t="s">
        <v>18176</v>
      </c>
      <c r="B7682" t="s">
        <v>26951</v>
      </c>
      <c r="C7682" t="s">
        <v>19405</v>
      </c>
      <c r="D7682" t="s">
        <v>19404</v>
      </c>
      <c r="E7682" s="2" t="s">
        <v>572</v>
      </c>
      <c r="F7682" t="s">
        <v>171</v>
      </c>
      <c r="G7682" t="str">
        <f>HYPERLINK("http://www.sporbiz.co.kr/news/articleView.html?idxno=271516")</f>
        <v>http://www.sporbiz.co.kr/news/articleView.html?idxno=271516</v>
      </c>
      <c r="H7682">
        <v>0.499</v>
      </c>
    </row>
    <row r="7683" spans="1:8" x14ac:dyDescent="0.3">
      <c r="A7683" t="s">
        <v>18176</v>
      </c>
      <c r="B7683" t="s">
        <v>26951</v>
      </c>
      <c r="C7683" t="s">
        <v>19408</v>
      </c>
      <c r="D7683" t="s">
        <v>19407</v>
      </c>
      <c r="E7683" s="2" t="s">
        <v>609</v>
      </c>
      <c r="F7683" t="s">
        <v>19406</v>
      </c>
      <c r="G7683" t="str">
        <f>HYPERLINK("http://www.joongboo.com/news/articleView.html?idxno=363495116")</f>
        <v>http://www.joongboo.com/news/articleView.html?idxno=363495116</v>
      </c>
      <c r="H7683">
        <v>0.61299999999999999</v>
      </c>
    </row>
    <row r="7684" spans="1:8" x14ac:dyDescent="0.3">
      <c r="A7684" t="s">
        <v>18176</v>
      </c>
      <c r="B7684" t="s">
        <v>26951</v>
      </c>
      <c r="C7684" t="s">
        <v>19410</v>
      </c>
      <c r="D7684" t="s">
        <v>19409</v>
      </c>
      <c r="E7684" s="2" t="s">
        <v>609</v>
      </c>
      <c r="F7684" t="s">
        <v>13406</v>
      </c>
      <c r="G7684" t="str">
        <f>HYPERLINK("http://www.pennmike.com/news/articleView.html?idxno=32373")</f>
        <v>http://www.pennmike.com/news/articleView.html?idxno=32373</v>
      </c>
      <c r="H7684">
        <v>0.38500000000000001</v>
      </c>
    </row>
    <row r="7685" spans="1:8" x14ac:dyDescent="0.3">
      <c r="A7685" t="s">
        <v>18176</v>
      </c>
      <c r="B7685" t="s">
        <v>26951</v>
      </c>
      <c r="C7685" t="s">
        <v>19413</v>
      </c>
      <c r="D7685" t="s">
        <v>19412</v>
      </c>
      <c r="E7685" s="2" t="s">
        <v>609</v>
      </c>
      <c r="F7685" t="s">
        <v>19411</v>
      </c>
      <c r="G7685" t="str">
        <f>HYPERLINK("https://n.news.naver.com/mnews/article/055/0001129185?sid=100")</f>
        <v>https://n.news.naver.com/mnews/article/055/0001129185?sid=100</v>
      </c>
      <c r="H7685">
        <v>0.22500000000000001</v>
      </c>
    </row>
    <row r="7686" spans="1:8" x14ac:dyDescent="0.3">
      <c r="A7686" t="s">
        <v>18176</v>
      </c>
      <c r="B7686" t="s">
        <v>26951</v>
      </c>
      <c r="C7686" t="s">
        <v>19415</v>
      </c>
      <c r="D7686" t="s">
        <v>19414</v>
      </c>
      <c r="E7686" s="2" t="s">
        <v>609</v>
      </c>
      <c r="F7686" t="s">
        <v>16711</v>
      </c>
      <c r="G7686" t="str">
        <f>HYPERLINK("http://www.insidevina.com/news/articleView.html?idxno=26135")</f>
        <v>http://www.insidevina.com/news/articleView.html?idxno=26135</v>
      </c>
      <c r="H7686">
        <v>0.17399999999999999</v>
      </c>
    </row>
    <row r="7687" spans="1:8" x14ac:dyDescent="0.3">
      <c r="A7687" t="s">
        <v>18176</v>
      </c>
      <c r="B7687" t="s">
        <v>26951</v>
      </c>
      <c r="C7687" t="s">
        <v>19418</v>
      </c>
      <c r="D7687" t="s">
        <v>19417</v>
      </c>
      <c r="E7687" s="2" t="s">
        <v>609</v>
      </c>
      <c r="F7687" t="s">
        <v>19416</v>
      </c>
      <c r="G7687" t="str">
        <f>HYPERLINK("https://www.ulsanpress.net/news/articleView.html?idxno=544574")</f>
        <v>https://www.ulsanpress.net/news/articleView.html?idxno=544574</v>
      </c>
      <c r="H7687">
        <v>0.60299999999999998</v>
      </c>
    </row>
    <row r="7688" spans="1:8" x14ac:dyDescent="0.3">
      <c r="A7688" t="s">
        <v>18176</v>
      </c>
      <c r="B7688" t="s">
        <v>26951</v>
      </c>
      <c r="C7688" t="s">
        <v>19421</v>
      </c>
      <c r="D7688" t="s">
        <v>19420</v>
      </c>
      <c r="E7688" s="2" t="s">
        <v>609</v>
      </c>
      <c r="F7688" t="s">
        <v>19419</v>
      </c>
      <c r="G7688" t="str">
        <f>HYPERLINK("https://www.danbinews.com/news/articleView.html?idxno=30983")</f>
        <v>https://www.danbinews.com/news/articleView.html?idxno=30983</v>
      </c>
      <c r="H7688">
        <v>0.53200000000000003</v>
      </c>
    </row>
    <row r="7689" spans="1:8" x14ac:dyDescent="0.3">
      <c r="A7689" t="s">
        <v>18176</v>
      </c>
      <c r="B7689" t="s">
        <v>26951</v>
      </c>
      <c r="C7689" t="s">
        <v>19424</v>
      </c>
      <c r="D7689" t="s">
        <v>19423</v>
      </c>
      <c r="E7689" s="2" t="s">
        <v>609</v>
      </c>
      <c r="F7689" t="s">
        <v>19422</v>
      </c>
      <c r="G7689" t="str">
        <f>HYPERLINK("http://www.lecturernews.com/news/articleView.html?idxno=94357")</f>
        <v>http://www.lecturernews.com/news/articleView.html?idxno=94357</v>
      </c>
      <c r="H7689">
        <v>0.55700000000000005</v>
      </c>
    </row>
    <row r="7690" spans="1:8" x14ac:dyDescent="0.3">
      <c r="A7690" t="s">
        <v>18176</v>
      </c>
      <c r="B7690" t="s">
        <v>26951</v>
      </c>
      <c r="C7690" t="s">
        <v>19427</v>
      </c>
      <c r="D7690" t="s">
        <v>19426</v>
      </c>
      <c r="E7690" s="2" t="s">
        <v>609</v>
      </c>
      <c r="F7690" t="s">
        <v>19425</v>
      </c>
      <c r="G7690" t="str">
        <f>HYPERLINK("https://www.ggilbo.com/news/articleView.html?idxno=1094573")</f>
        <v>https://www.ggilbo.com/news/articleView.html?idxno=1094573</v>
      </c>
      <c r="H7690">
        <v>0.63300000000000001</v>
      </c>
    </row>
    <row r="7691" spans="1:8" x14ac:dyDescent="0.3">
      <c r="A7691" t="s">
        <v>18176</v>
      </c>
      <c r="B7691" t="s">
        <v>26951</v>
      </c>
      <c r="C7691" t="s">
        <v>19430</v>
      </c>
      <c r="D7691" t="s">
        <v>19429</v>
      </c>
      <c r="E7691" s="2" t="s">
        <v>609</v>
      </c>
      <c r="F7691" t="s">
        <v>19428</v>
      </c>
      <c r="G7691" t="str">
        <f>HYPERLINK("http://www.bzeronews.com/news/articleView.html?idxno=691216")</f>
        <v>http://www.bzeronews.com/news/articleView.html?idxno=691216</v>
      </c>
      <c r="H7691">
        <v>0.64800000000000002</v>
      </c>
    </row>
    <row r="7692" spans="1:8" x14ac:dyDescent="0.3">
      <c r="A7692" t="s">
        <v>18176</v>
      </c>
      <c r="B7692" t="s">
        <v>26951</v>
      </c>
      <c r="C7692" t="s">
        <v>5976</v>
      </c>
      <c r="D7692" t="s">
        <v>5975</v>
      </c>
      <c r="E7692" s="2" t="s">
        <v>609</v>
      </c>
      <c r="F7692" t="s">
        <v>197</v>
      </c>
      <c r="G7692" t="str">
        <f>HYPERLINK("https://n.news.naver.com/mnews/article/052/0002202440?sid=100")</f>
        <v>https://n.news.naver.com/mnews/article/052/0002202440?sid=100</v>
      </c>
      <c r="H7692">
        <v>0.223</v>
      </c>
    </row>
    <row r="7693" spans="1:8" x14ac:dyDescent="0.3">
      <c r="A7693" t="s">
        <v>18176</v>
      </c>
      <c r="B7693" t="s">
        <v>26951</v>
      </c>
      <c r="C7693" t="s">
        <v>19433</v>
      </c>
      <c r="D7693" t="s">
        <v>19432</v>
      </c>
      <c r="E7693" s="2" t="s">
        <v>609</v>
      </c>
      <c r="F7693" t="s">
        <v>19431</v>
      </c>
      <c r="G7693" t="str">
        <f>HYPERLINK("http://www.econovill.com/news/articleView.html?idxno=359181")</f>
        <v>http://www.econovill.com/news/articleView.html?idxno=359181</v>
      </c>
      <c r="H7693">
        <v>0.245</v>
      </c>
    </row>
    <row r="7694" spans="1:8" x14ac:dyDescent="0.3">
      <c r="A7694" t="s">
        <v>18176</v>
      </c>
      <c r="B7694" t="s">
        <v>26951</v>
      </c>
      <c r="C7694" t="s">
        <v>19436</v>
      </c>
      <c r="D7694" t="s">
        <v>19435</v>
      </c>
      <c r="E7694" s="2" t="s">
        <v>609</v>
      </c>
      <c r="F7694" t="s">
        <v>19434</v>
      </c>
      <c r="G7694" t="str">
        <f>HYPERLINK("https://n.news.naver.com/mnews/article/056/0011979510?sid=103")</f>
        <v>https://n.news.naver.com/mnews/article/056/0011979510?sid=103</v>
      </c>
      <c r="H7694">
        <v>0.23699999999999999</v>
      </c>
    </row>
    <row r="7695" spans="1:8" x14ac:dyDescent="0.3">
      <c r="A7695" t="s">
        <v>18176</v>
      </c>
      <c r="B7695" t="s">
        <v>26951</v>
      </c>
      <c r="C7695" t="s">
        <v>19439</v>
      </c>
      <c r="D7695" t="s">
        <v>19438</v>
      </c>
      <c r="E7695" s="2" t="s">
        <v>609</v>
      </c>
      <c r="F7695" t="s">
        <v>19437</v>
      </c>
      <c r="G7695" t="str">
        <f>HYPERLINK("http://www.enewstoday.co.kr/news/articleView.html?idxno=2181019")</f>
        <v>http://www.enewstoday.co.kr/news/articleView.html?idxno=2181019</v>
      </c>
      <c r="H7695">
        <v>0.30299999999999999</v>
      </c>
    </row>
    <row r="7696" spans="1:8" x14ac:dyDescent="0.3">
      <c r="A7696" t="s">
        <v>18176</v>
      </c>
      <c r="B7696" t="s">
        <v>26951</v>
      </c>
      <c r="C7696" t="s">
        <v>11441</v>
      </c>
      <c r="D7696" t="s">
        <v>11440</v>
      </c>
      <c r="E7696" s="2" t="s">
        <v>609</v>
      </c>
      <c r="F7696" t="s">
        <v>11439</v>
      </c>
      <c r="G7696" t="str">
        <f>HYPERLINK("http://www.greened.kr/news/articleView.html?idxno=297885")</f>
        <v>http://www.greened.kr/news/articleView.html?idxno=297885</v>
      </c>
      <c r="H7696">
        <v>0.498</v>
      </c>
    </row>
    <row r="7697" spans="1:8" x14ac:dyDescent="0.3">
      <c r="A7697" t="s">
        <v>18176</v>
      </c>
      <c r="B7697" t="s">
        <v>26951</v>
      </c>
      <c r="C7697" t="s">
        <v>19441</v>
      </c>
      <c r="D7697" t="s">
        <v>19440</v>
      </c>
      <c r="E7697" s="2" t="s">
        <v>609</v>
      </c>
      <c r="F7697" t="s">
        <v>1150</v>
      </c>
      <c r="G7697" t="str">
        <f>HYPERLINK("https://www.banronbodo.com/news/articleView.html?idxno=30409")</f>
        <v>https://www.banronbodo.com/news/articleView.html?idxno=30409</v>
      </c>
      <c r="H7697">
        <v>0.11600000000000001</v>
      </c>
    </row>
    <row r="7698" spans="1:8" x14ac:dyDescent="0.3">
      <c r="A7698" t="s">
        <v>18176</v>
      </c>
      <c r="B7698" t="s">
        <v>26951</v>
      </c>
      <c r="C7698" t="s">
        <v>19444</v>
      </c>
      <c r="D7698" t="s">
        <v>19443</v>
      </c>
      <c r="E7698" s="2" t="s">
        <v>609</v>
      </c>
      <c r="F7698" t="s">
        <v>19442</v>
      </c>
      <c r="G7698" t="str">
        <f>HYPERLINK("http://www.sporbiz.co.kr/news/articleView.html?idxno=72059")</f>
        <v>http://www.sporbiz.co.kr/news/articleView.html?idxno=72059</v>
      </c>
      <c r="H7698">
        <v>0.124</v>
      </c>
    </row>
    <row r="7699" spans="1:8" x14ac:dyDescent="0.3">
      <c r="A7699" t="s">
        <v>18176</v>
      </c>
      <c r="B7699" t="s">
        <v>26951</v>
      </c>
      <c r="C7699" t="s">
        <v>19447</v>
      </c>
      <c r="D7699" t="s">
        <v>19446</v>
      </c>
      <c r="E7699" s="2" t="s">
        <v>609</v>
      </c>
      <c r="F7699" t="s">
        <v>19445</v>
      </c>
      <c r="G7699" t="str">
        <f>HYPERLINK("https://daily.hankooki.com/news/articleView.html?idxno=1155834")</f>
        <v>https://daily.hankooki.com/news/articleView.html?idxno=1155834</v>
      </c>
      <c r="H7699">
        <v>0.47299999999999998</v>
      </c>
    </row>
    <row r="7700" spans="1:8" x14ac:dyDescent="0.3">
      <c r="A7700" t="s">
        <v>18176</v>
      </c>
      <c r="B7700" t="s">
        <v>26951</v>
      </c>
      <c r="C7700" t="s">
        <v>19449</v>
      </c>
      <c r="D7700" t="s">
        <v>19448</v>
      </c>
      <c r="E7700" s="2" t="s">
        <v>609</v>
      </c>
      <c r="F7700" t="s">
        <v>12281</v>
      </c>
      <c r="G7700" t="str">
        <f>HYPERLINK("http://www.enewstoday.co.kr/news/articleView.html?idxno=544041")</f>
        <v>http://www.enewstoday.co.kr/news/articleView.html?idxno=544041</v>
      </c>
      <c r="H7700">
        <v>0.30599999999999999</v>
      </c>
    </row>
    <row r="7701" spans="1:8" x14ac:dyDescent="0.3">
      <c r="A7701" t="s">
        <v>18176</v>
      </c>
      <c r="B7701" t="s">
        <v>26951</v>
      </c>
      <c r="C7701" t="s">
        <v>19452</v>
      </c>
      <c r="D7701" t="s">
        <v>19451</v>
      </c>
      <c r="E7701" s="2" t="s">
        <v>609</v>
      </c>
      <c r="F7701" t="s">
        <v>19450</v>
      </c>
      <c r="G7701" t="str">
        <f>HYPERLINK("https://n.news.naver.com/mnews/article/087/0001123296?sid=102")</f>
        <v>https://n.news.naver.com/mnews/article/087/0001123296?sid=102</v>
      </c>
      <c r="H7701">
        <v>0.17299999999999999</v>
      </c>
    </row>
    <row r="7702" spans="1:8" x14ac:dyDescent="0.3">
      <c r="A7702" t="s">
        <v>18176</v>
      </c>
      <c r="B7702" t="s">
        <v>26951</v>
      </c>
      <c r="C7702" t="s">
        <v>19455</v>
      </c>
      <c r="D7702" t="s">
        <v>19454</v>
      </c>
      <c r="E7702" s="2" t="s">
        <v>609</v>
      </c>
      <c r="F7702" t="s">
        <v>19453</v>
      </c>
      <c r="G7702" t="str">
        <f>HYPERLINK("http://www.biztribune.co.kr/news/articleView.html?idxno=335596")</f>
        <v>http://www.biztribune.co.kr/news/articleView.html?idxno=335596</v>
      </c>
      <c r="H7702">
        <v>0.37</v>
      </c>
    </row>
    <row r="7703" spans="1:8" x14ac:dyDescent="0.3">
      <c r="A7703" t="s">
        <v>18176</v>
      </c>
      <c r="B7703" t="s">
        <v>26951</v>
      </c>
      <c r="C7703" t="s">
        <v>19458</v>
      </c>
      <c r="D7703" t="s">
        <v>19457</v>
      </c>
      <c r="E7703" s="2" t="s">
        <v>609</v>
      </c>
      <c r="F7703" t="s">
        <v>19456</v>
      </c>
      <c r="G7703" t="str">
        <f>HYPERLINK("https://www.ggilbo.com/news/articleView.html?idxno=1094696")</f>
        <v>https://www.ggilbo.com/news/articleView.html?idxno=1094696</v>
      </c>
      <c r="H7703">
        <v>0.88800000000000001</v>
      </c>
    </row>
    <row r="7704" spans="1:8" x14ac:dyDescent="0.3">
      <c r="A7704" t="s">
        <v>18176</v>
      </c>
      <c r="B7704" t="s">
        <v>26951</v>
      </c>
      <c r="C7704" t="s">
        <v>19461</v>
      </c>
      <c r="D7704" t="s">
        <v>19460</v>
      </c>
      <c r="E7704" s="2" t="s">
        <v>609</v>
      </c>
      <c r="F7704" t="s">
        <v>19459</v>
      </c>
      <c r="G7704" t="str">
        <f>HYPERLINK("https://n.news.naver.com/mnews/article/056/0011978573?sid=100")</f>
        <v>https://n.news.naver.com/mnews/article/056/0011978573?sid=100</v>
      </c>
      <c r="H7704">
        <v>0.19700000000000001</v>
      </c>
    </row>
    <row r="7705" spans="1:8" x14ac:dyDescent="0.3">
      <c r="A7705" t="s">
        <v>18176</v>
      </c>
      <c r="B7705" t="s">
        <v>26951</v>
      </c>
      <c r="C7705" t="s">
        <v>19464</v>
      </c>
      <c r="D7705" t="s">
        <v>19463</v>
      </c>
      <c r="E7705" s="2" t="s">
        <v>609</v>
      </c>
      <c r="F7705" t="s">
        <v>19462</v>
      </c>
      <c r="G7705" t="str">
        <f>HYPERLINK("http://www.hyunbulnews.com/news/articleView.html?idxno=416515")</f>
        <v>http://www.hyunbulnews.com/news/articleView.html?idxno=416515</v>
      </c>
      <c r="H7705">
        <v>0.53</v>
      </c>
    </row>
    <row r="7706" spans="1:8" x14ac:dyDescent="0.3">
      <c r="A7706" t="s">
        <v>18176</v>
      </c>
      <c r="B7706" t="s">
        <v>26951</v>
      </c>
      <c r="C7706" t="s">
        <v>19467</v>
      </c>
      <c r="D7706" t="s">
        <v>19466</v>
      </c>
      <c r="E7706" s="2" t="s">
        <v>609</v>
      </c>
      <c r="F7706" t="s">
        <v>19465</v>
      </c>
      <c r="G7706" t="str">
        <f>HYPERLINK("https://n.news.naver.com/mnews/article/079/0004038702?sid=102")</f>
        <v>https://n.news.naver.com/mnews/article/079/0004038702?sid=102</v>
      </c>
      <c r="H7706">
        <v>0.23200000000000001</v>
      </c>
    </row>
    <row r="7707" spans="1:8" x14ac:dyDescent="0.3">
      <c r="A7707" t="s">
        <v>18176</v>
      </c>
      <c r="B7707" t="s">
        <v>26951</v>
      </c>
      <c r="C7707" t="s">
        <v>19470</v>
      </c>
      <c r="D7707" t="s">
        <v>19469</v>
      </c>
      <c r="E7707" s="2" t="s">
        <v>609</v>
      </c>
      <c r="F7707" t="s">
        <v>19468</v>
      </c>
      <c r="G7707" t="str">
        <f>HYPERLINK("https://n.news.naver.com/mnews/article/008/0003744151?sid=100")</f>
        <v>https://n.news.naver.com/mnews/article/008/0003744151?sid=100</v>
      </c>
      <c r="H7707">
        <v>0.29299999999999998</v>
      </c>
    </row>
    <row r="7708" spans="1:8" x14ac:dyDescent="0.3">
      <c r="A7708" t="s">
        <v>18176</v>
      </c>
      <c r="B7708" t="s">
        <v>26951</v>
      </c>
      <c r="C7708" t="s">
        <v>19473</v>
      </c>
      <c r="D7708" t="s">
        <v>19472</v>
      </c>
      <c r="E7708" s="2" t="s">
        <v>609</v>
      </c>
      <c r="F7708" t="s">
        <v>19471</v>
      </c>
      <c r="G7708" t="str">
        <f>HYPERLINK("https://n.news.naver.com/mnews/article/016/0002493056?sid=102")</f>
        <v>https://n.news.naver.com/mnews/article/016/0002493056?sid=102</v>
      </c>
      <c r="H7708">
        <v>0.33800000000000002</v>
      </c>
    </row>
    <row r="7709" spans="1:8" x14ac:dyDescent="0.3">
      <c r="A7709" t="s">
        <v>18176</v>
      </c>
      <c r="B7709" t="s">
        <v>26951</v>
      </c>
      <c r="C7709" t="s">
        <v>19475</v>
      </c>
      <c r="D7709" t="s">
        <v>19474</v>
      </c>
      <c r="E7709" s="2" t="s">
        <v>609</v>
      </c>
      <c r="F7709" t="s">
        <v>19136</v>
      </c>
      <c r="G7709" t="str">
        <f>HYPERLINK("http://www.jbsori.com/news/articleView.html?idxno=15745")</f>
        <v>http://www.jbsori.com/news/articleView.html?idxno=15745</v>
      </c>
      <c r="H7709">
        <v>0.45900000000000002</v>
      </c>
    </row>
    <row r="7710" spans="1:8" x14ac:dyDescent="0.3">
      <c r="A7710" t="s">
        <v>18176</v>
      </c>
      <c r="B7710" t="s">
        <v>26951</v>
      </c>
      <c r="C7710" t="s">
        <v>19477</v>
      </c>
      <c r="D7710" t="s">
        <v>19476</v>
      </c>
      <c r="E7710" s="2" t="s">
        <v>609</v>
      </c>
      <c r="F7710" t="s">
        <v>10997</v>
      </c>
      <c r="G7710" t="str">
        <f>HYPERLINK("https://www.foodneconomy.com/news/articleView.html?idxno=331865")</f>
        <v>https://www.foodneconomy.com/news/articleView.html?idxno=331865</v>
      </c>
      <c r="H7710">
        <v>0.48499999999999999</v>
      </c>
    </row>
    <row r="7711" spans="1:8" x14ac:dyDescent="0.3">
      <c r="A7711" t="s">
        <v>18176</v>
      </c>
      <c r="B7711" t="s">
        <v>26951</v>
      </c>
      <c r="C7711" t="s">
        <v>19479</v>
      </c>
      <c r="D7711" t="s">
        <v>19478</v>
      </c>
      <c r="E7711" s="2" t="s">
        <v>609</v>
      </c>
      <c r="F7711" t="s">
        <v>6675</v>
      </c>
      <c r="G7711" t="str">
        <f>HYPERLINK("https://www.greened.kr/news/articleView.html?idxno=319955")</f>
        <v>https://www.greened.kr/news/articleView.html?idxno=319955</v>
      </c>
      <c r="H7711">
        <v>0.312</v>
      </c>
    </row>
    <row r="7712" spans="1:8" x14ac:dyDescent="0.3">
      <c r="A7712" t="s">
        <v>18176</v>
      </c>
      <c r="B7712" t="s">
        <v>26951</v>
      </c>
      <c r="C7712" t="s">
        <v>19482</v>
      </c>
      <c r="D7712" t="s">
        <v>19481</v>
      </c>
      <c r="E7712" s="2" t="s">
        <v>609</v>
      </c>
      <c r="F7712" t="s">
        <v>17756</v>
      </c>
      <c r="G7712" t="str">
        <f>HYPERLINK("https://n.news.naver.com/mnews/article/056/0011961977?sid=100")</f>
        <v>https://n.news.naver.com/mnews/article/056/0011961977?sid=100</v>
      </c>
      <c r="H7712">
        <v>0.21299999999999999</v>
      </c>
    </row>
    <row r="7713" spans="1:8" x14ac:dyDescent="0.3">
      <c r="A7713" t="s">
        <v>18176</v>
      </c>
      <c r="B7713" t="s">
        <v>26951</v>
      </c>
      <c r="C7713" t="s">
        <v>19484</v>
      </c>
      <c r="D7713" t="s">
        <v>19483</v>
      </c>
      <c r="E7713" s="2" t="s">
        <v>609</v>
      </c>
      <c r="F7713" t="s">
        <v>11486</v>
      </c>
      <c r="G7713" t="str">
        <f>HYPERLINK("http://www.ktsketch.co.kr/news/articleView.html?idxno=7541")</f>
        <v>http://www.ktsketch.co.kr/news/articleView.html?idxno=7541</v>
      </c>
      <c r="H7713">
        <v>0.42399999999999999</v>
      </c>
    </row>
    <row r="7714" spans="1:8" x14ac:dyDescent="0.3">
      <c r="A7714" t="s">
        <v>18176</v>
      </c>
      <c r="B7714" t="s">
        <v>26951</v>
      </c>
      <c r="C7714" t="s">
        <v>19486</v>
      </c>
      <c r="D7714" t="s">
        <v>19485</v>
      </c>
      <c r="E7714" s="2" t="s">
        <v>609</v>
      </c>
      <c r="F7714" t="s">
        <v>18200</v>
      </c>
      <c r="G7714" t="str">
        <f>HYPERLINK("http://www.breaknews.com/sub_read.html?uid=503009&amp;section=sc4")</f>
        <v>http://www.breaknews.com/sub_read.html?uid=503009&amp;section=sc4</v>
      </c>
      <c r="H7714">
        <v>0.11700000000000001</v>
      </c>
    </row>
    <row r="7715" spans="1:8" x14ac:dyDescent="0.3">
      <c r="A7715" t="s">
        <v>18176</v>
      </c>
      <c r="B7715" t="s">
        <v>26951</v>
      </c>
      <c r="C7715" t="s">
        <v>19488</v>
      </c>
      <c r="D7715" t="s">
        <v>19487</v>
      </c>
      <c r="E7715" s="2" t="s">
        <v>609</v>
      </c>
      <c r="F7715" t="s">
        <v>163</v>
      </c>
      <c r="G7715" t="str">
        <f>HYPERLINK("https://n.news.naver.com/mnews/article/654/0000125578?sid=102")</f>
        <v>https://n.news.naver.com/mnews/article/654/0000125578?sid=102</v>
      </c>
      <c r="H7715">
        <v>0.12</v>
      </c>
    </row>
    <row r="7716" spans="1:8" x14ac:dyDescent="0.3">
      <c r="A7716" t="s">
        <v>18176</v>
      </c>
      <c r="B7716" t="s">
        <v>26951</v>
      </c>
      <c r="C7716" t="s">
        <v>19490</v>
      </c>
      <c r="D7716" t="s">
        <v>19489</v>
      </c>
      <c r="E7716" s="2" t="s">
        <v>609</v>
      </c>
      <c r="F7716" t="s">
        <v>171</v>
      </c>
      <c r="G7716" t="str">
        <f>HYPERLINK("https://n.news.naver.com/mnews/article/052/0002203865?sid=102")</f>
        <v>https://n.news.naver.com/mnews/article/052/0002203865?sid=102</v>
      </c>
      <c r="H7716">
        <v>0.245</v>
      </c>
    </row>
    <row r="7717" spans="1:8" x14ac:dyDescent="0.3">
      <c r="A7717" t="s">
        <v>18176</v>
      </c>
      <c r="B7717" t="s">
        <v>26951</v>
      </c>
      <c r="C7717" t="s">
        <v>19493</v>
      </c>
      <c r="D7717" t="s">
        <v>19492</v>
      </c>
      <c r="E7717" s="2" t="s">
        <v>609</v>
      </c>
      <c r="F7717" t="s">
        <v>19491</v>
      </c>
      <c r="G7717" t="str">
        <f>HYPERLINK("https://www.newspim.com/news/view/20250611000045")</f>
        <v>https://www.newspim.com/news/view/20250611000045</v>
      </c>
      <c r="H7717">
        <v>0.40899999999999997</v>
      </c>
    </row>
    <row r="7718" spans="1:8" x14ac:dyDescent="0.3">
      <c r="A7718" t="s">
        <v>18176</v>
      </c>
      <c r="B7718" t="s">
        <v>26951</v>
      </c>
      <c r="C7718" t="s">
        <v>19495</v>
      </c>
      <c r="D7718" t="s">
        <v>19494</v>
      </c>
      <c r="E7718" s="2" t="s">
        <v>609</v>
      </c>
      <c r="F7718" t="s">
        <v>5548</v>
      </c>
      <c r="G7718" t="str">
        <f>HYPERLINK("http://www.lecturernews.com/news/articleView.html?idxno=62595")</f>
        <v>http://www.lecturernews.com/news/articleView.html?idxno=62595</v>
      </c>
      <c r="H7718">
        <v>0.55900000000000005</v>
      </c>
    </row>
    <row r="7719" spans="1:8" x14ac:dyDescent="0.3">
      <c r="A7719" t="s">
        <v>18176</v>
      </c>
      <c r="B7719" t="s">
        <v>26951</v>
      </c>
      <c r="C7719" t="s">
        <v>19497</v>
      </c>
      <c r="D7719" t="s">
        <v>19496</v>
      </c>
      <c r="E7719" s="2" t="s">
        <v>609</v>
      </c>
      <c r="F7719" t="s">
        <v>4119</v>
      </c>
      <c r="G7719" t="str">
        <f>HYPERLINK("https://n.news.naver.com/mnews/article/014/0005370944?sid=102")</f>
        <v>https://n.news.naver.com/mnews/article/014/0005370944?sid=102</v>
      </c>
      <c r="H7719">
        <v>0.33400000000000002</v>
      </c>
    </row>
    <row r="7720" spans="1:8" x14ac:dyDescent="0.3">
      <c r="A7720" t="s">
        <v>18176</v>
      </c>
      <c r="B7720" t="s">
        <v>26951</v>
      </c>
      <c r="C7720" t="s">
        <v>19499</v>
      </c>
      <c r="D7720" t="s">
        <v>19498</v>
      </c>
      <c r="E7720" s="2" t="s">
        <v>609</v>
      </c>
      <c r="F7720" t="s">
        <v>5548</v>
      </c>
      <c r="G7720" t="str">
        <f>HYPERLINK("https://www.jemin.com/news/articleView.html?idxno=793203")</f>
        <v>https://www.jemin.com/news/articleView.html?idxno=793203</v>
      </c>
      <c r="H7720">
        <v>0.46400000000000002</v>
      </c>
    </row>
    <row r="7721" spans="1:8" x14ac:dyDescent="0.3">
      <c r="A7721" t="s">
        <v>18176</v>
      </c>
      <c r="B7721" t="s">
        <v>26951</v>
      </c>
      <c r="C7721" t="s">
        <v>19501</v>
      </c>
      <c r="D7721" t="s">
        <v>19500</v>
      </c>
      <c r="E7721" s="2" t="s">
        <v>609</v>
      </c>
      <c r="F7721" t="s">
        <v>19136</v>
      </c>
      <c r="G7721" t="str">
        <f>HYPERLINK("http://www.viva100.com/main/view.php?key=20170904010001016")</f>
        <v>http://www.viva100.com/main/view.php?key=20170904010001016</v>
      </c>
      <c r="H7721">
        <v>0.47399999999999998</v>
      </c>
    </row>
    <row r="7722" spans="1:8" x14ac:dyDescent="0.3">
      <c r="A7722" t="s">
        <v>18176</v>
      </c>
      <c r="B7722" t="s">
        <v>26951</v>
      </c>
      <c r="C7722" t="s">
        <v>19504</v>
      </c>
      <c r="D7722" t="s">
        <v>19503</v>
      </c>
      <c r="E7722" s="2" t="s">
        <v>609</v>
      </c>
      <c r="F7722" t="s">
        <v>19502</v>
      </c>
      <c r="G7722" t="str">
        <f>HYPERLINK("https://www.pdjournal.com/news/articleView.html?idxno=80819")</f>
        <v>https://www.pdjournal.com/news/articleView.html?idxno=80819</v>
      </c>
      <c r="H7722">
        <v>0.40500000000000003</v>
      </c>
    </row>
    <row r="7723" spans="1:8" x14ac:dyDescent="0.3">
      <c r="A7723" t="s">
        <v>18176</v>
      </c>
      <c r="B7723" t="s">
        <v>26951</v>
      </c>
      <c r="C7723" t="s">
        <v>19506</v>
      </c>
      <c r="D7723" t="s">
        <v>19505</v>
      </c>
      <c r="E7723" s="2" t="s">
        <v>609</v>
      </c>
      <c r="F7723" t="s">
        <v>1378</v>
      </c>
      <c r="G7723" t="str">
        <f>HYPERLINK("https://n.news.naver.com/mnews/article/008/0004004560?sid=103")</f>
        <v>https://n.news.naver.com/mnews/article/008/0004004560?sid=103</v>
      </c>
      <c r="H7723">
        <v>0.309</v>
      </c>
    </row>
    <row r="7724" spans="1:8" x14ac:dyDescent="0.3">
      <c r="A7724" t="s">
        <v>18176</v>
      </c>
      <c r="B7724" t="s">
        <v>26951</v>
      </c>
      <c r="C7724" t="s">
        <v>19508</v>
      </c>
      <c r="D7724" t="s">
        <v>19507</v>
      </c>
      <c r="E7724" s="2" t="s">
        <v>609</v>
      </c>
      <c r="F7724" t="s">
        <v>8900</v>
      </c>
      <c r="G7724" t="str">
        <f>HYPERLINK("http://www.breaknews.com/1067589")</f>
        <v>http://www.breaknews.com/1067589</v>
      </c>
      <c r="H7724">
        <v>0.21</v>
      </c>
    </row>
    <row r="7725" spans="1:8" x14ac:dyDescent="0.3">
      <c r="A7725" t="s">
        <v>18176</v>
      </c>
      <c r="B7725" t="s">
        <v>26951</v>
      </c>
      <c r="C7725" t="s">
        <v>19510</v>
      </c>
      <c r="D7725" t="s">
        <v>19509</v>
      </c>
      <c r="E7725" s="2" t="s">
        <v>609</v>
      </c>
      <c r="F7725" t="s">
        <v>5244</v>
      </c>
      <c r="G7725" t="str">
        <f>HYPERLINK("http://www.cfnews.kr/news.aspx/98233")</f>
        <v>http://www.cfnews.kr/news.aspx/98233</v>
      </c>
      <c r="H7725">
        <v>0.745</v>
      </c>
    </row>
    <row r="7726" spans="1:8" x14ac:dyDescent="0.3">
      <c r="A7726" t="s">
        <v>18176</v>
      </c>
      <c r="B7726" t="s">
        <v>26951</v>
      </c>
      <c r="C7726" t="s">
        <v>19513</v>
      </c>
      <c r="D7726" t="s">
        <v>19512</v>
      </c>
      <c r="E7726" s="2" t="s">
        <v>609</v>
      </c>
      <c r="F7726" t="s">
        <v>19511</v>
      </c>
      <c r="G7726" t="str">
        <f>HYPERLINK("http://www.m-economynews.com/news/article.html?no=17964")</f>
        <v>http://www.m-economynews.com/news/article.html?no=17964</v>
      </c>
      <c r="H7726">
        <v>0.63500000000000001</v>
      </c>
    </row>
    <row r="7727" spans="1:8" x14ac:dyDescent="0.3">
      <c r="A7727" t="s">
        <v>18176</v>
      </c>
      <c r="B7727" t="s">
        <v>26951</v>
      </c>
      <c r="C7727" t="s">
        <v>19515</v>
      </c>
      <c r="D7727" t="s">
        <v>19514</v>
      </c>
      <c r="E7727" s="2" t="s">
        <v>609</v>
      </c>
      <c r="F7727" t="s">
        <v>8560</v>
      </c>
      <c r="G7727" t="str">
        <f>HYPERLINK("https://n.news.naver.com/mnews/article/214/0001415862?sid=100")</f>
        <v>https://n.news.naver.com/mnews/article/214/0001415862?sid=100</v>
      </c>
      <c r="H7727">
        <v>0.50600000000000001</v>
      </c>
    </row>
    <row r="7728" spans="1:8" x14ac:dyDescent="0.3">
      <c r="A7728" t="s">
        <v>18176</v>
      </c>
      <c r="B7728" t="s">
        <v>26951</v>
      </c>
      <c r="C7728" t="s">
        <v>19517</v>
      </c>
      <c r="D7728" t="s">
        <v>19516</v>
      </c>
      <c r="E7728" s="2" t="s">
        <v>609</v>
      </c>
      <c r="F7728" t="s">
        <v>12082</v>
      </c>
      <c r="G7728" t="str">
        <f>HYPERLINK("http://www.lecturernews.com/news/articleView.html?idxno=105102")</f>
        <v>http://www.lecturernews.com/news/articleView.html?idxno=105102</v>
      </c>
      <c r="H7728">
        <v>0.67700000000000005</v>
      </c>
    </row>
    <row r="7729" spans="1:8" x14ac:dyDescent="0.3">
      <c r="A7729" t="s">
        <v>18176</v>
      </c>
      <c r="B7729" t="s">
        <v>26951</v>
      </c>
      <c r="C7729" t="s">
        <v>19519</v>
      </c>
      <c r="D7729" t="s">
        <v>19518</v>
      </c>
      <c r="E7729" s="2" t="s">
        <v>609</v>
      </c>
      <c r="F7729" t="s">
        <v>12521</v>
      </c>
      <c r="G7729" t="str">
        <f>HYPERLINK("http://www.sisaweek.com/news/curationView.html?idxno=143629")</f>
        <v>http://www.sisaweek.com/news/curationView.html?idxno=143629</v>
      </c>
      <c r="H7729">
        <v>0.42399999999999999</v>
      </c>
    </row>
    <row r="7730" spans="1:8" x14ac:dyDescent="0.3">
      <c r="A7730" t="s">
        <v>18176</v>
      </c>
      <c r="B7730" t="s">
        <v>26951</v>
      </c>
      <c r="C7730" t="s">
        <v>19522</v>
      </c>
      <c r="D7730" t="s">
        <v>19521</v>
      </c>
      <c r="E7730" s="2" t="s">
        <v>609</v>
      </c>
      <c r="F7730" t="s">
        <v>19520</v>
      </c>
      <c r="G7730" t="str">
        <f>HYPERLINK("http://ch.yes24.com/Article/View/44823")</f>
        <v>http://ch.yes24.com/Article/View/44823</v>
      </c>
      <c r="H7730">
        <v>0.65300000000000002</v>
      </c>
    </row>
    <row r="7731" spans="1:8" x14ac:dyDescent="0.3">
      <c r="A7731" t="s">
        <v>18176</v>
      </c>
      <c r="B7731" t="s">
        <v>26951</v>
      </c>
      <c r="C7731" t="s">
        <v>19525</v>
      </c>
      <c r="D7731" t="s">
        <v>19524</v>
      </c>
      <c r="E7731" s="2" t="s">
        <v>609</v>
      </c>
      <c r="F7731" t="s">
        <v>19523</v>
      </c>
      <c r="G7731" t="str">
        <f>HYPERLINK("http://jmagazine.joins.com/monthly/view/338384")</f>
        <v>http://jmagazine.joins.com/monthly/view/338384</v>
      </c>
      <c r="H7731">
        <v>0.55800000000000005</v>
      </c>
    </row>
    <row r="7732" spans="1:8" x14ac:dyDescent="0.3">
      <c r="A7732" t="s">
        <v>18176</v>
      </c>
      <c r="B7732" t="s">
        <v>26951</v>
      </c>
      <c r="C7732" t="s">
        <v>19527</v>
      </c>
      <c r="D7732" t="s">
        <v>19526</v>
      </c>
      <c r="E7732" s="2" t="s">
        <v>609</v>
      </c>
      <c r="F7732" t="s">
        <v>5342</v>
      </c>
      <c r="G7732" t="str">
        <f>HYPERLINK("http://www.marieclairekorea.com/lifestyle/2020/12/2020-stranger-awards/?utm_source=naver&amp;utm_medium=partnership")</f>
        <v>http://www.marieclairekorea.com/lifestyle/2020/12/2020-stranger-awards/?utm_source=naver&amp;utm_medium=partnership</v>
      </c>
      <c r="H7732">
        <v>0.53600000000000003</v>
      </c>
    </row>
    <row r="7733" spans="1:8" x14ac:dyDescent="0.3">
      <c r="A7733" t="s">
        <v>18176</v>
      </c>
      <c r="B7733" t="s">
        <v>26951</v>
      </c>
      <c r="C7733" t="s">
        <v>19530</v>
      </c>
      <c r="D7733" t="s">
        <v>19529</v>
      </c>
      <c r="E7733" s="2" t="s">
        <v>609</v>
      </c>
      <c r="F7733" t="s">
        <v>19528</v>
      </c>
      <c r="G7733" t="str">
        <f>HYPERLINK("http://www.incheonin.com/news/articleView.html?idxno=110181")</f>
        <v>http://www.incheonin.com/news/articleView.html?idxno=110181</v>
      </c>
      <c r="H7733">
        <v>0.42599999999999999</v>
      </c>
    </row>
    <row r="7734" spans="1:8" x14ac:dyDescent="0.3">
      <c r="A7734" t="s">
        <v>18176</v>
      </c>
      <c r="B7734" t="s">
        <v>26951</v>
      </c>
      <c r="C7734" t="s">
        <v>19532</v>
      </c>
      <c r="D7734" t="s">
        <v>19531</v>
      </c>
      <c r="E7734" s="2" t="s">
        <v>609</v>
      </c>
      <c r="F7734" t="s">
        <v>3086</v>
      </c>
      <c r="G7734" t="str">
        <f>HYPERLINK("https://n.news.naver.com/mnews/article/082/0001330025?sid=102")</f>
        <v>https://n.news.naver.com/mnews/article/082/0001330025?sid=102</v>
      </c>
      <c r="H7734">
        <v>0.245</v>
      </c>
    </row>
    <row r="7735" spans="1:8" x14ac:dyDescent="0.3">
      <c r="A7735" t="s">
        <v>18176</v>
      </c>
      <c r="B7735" t="s">
        <v>26951</v>
      </c>
      <c r="C7735" t="s">
        <v>19535</v>
      </c>
      <c r="D7735" t="s">
        <v>19534</v>
      </c>
      <c r="E7735" s="2" t="s">
        <v>609</v>
      </c>
      <c r="F7735" t="s">
        <v>19533</v>
      </c>
      <c r="G7735" t="str">
        <f>HYPERLINK("https://www.etoday.co.kr/news/view/2480676")</f>
        <v>https://www.etoday.co.kr/news/view/2480676</v>
      </c>
      <c r="H7735">
        <v>0.36699999999999999</v>
      </c>
    </row>
    <row r="7736" spans="1:8" x14ac:dyDescent="0.3">
      <c r="A7736" t="s">
        <v>18176</v>
      </c>
      <c r="B7736" t="s">
        <v>26951</v>
      </c>
      <c r="C7736" t="s">
        <v>19538</v>
      </c>
      <c r="D7736" t="s">
        <v>19537</v>
      </c>
      <c r="E7736" s="2" t="s">
        <v>609</v>
      </c>
      <c r="F7736" t="s">
        <v>19536</v>
      </c>
      <c r="G7736" t="str">
        <f>HYPERLINK("https://www.ekn.kr/web/view.php?key=20250612024065887")</f>
        <v>https://www.ekn.kr/web/view.php?key=20250612024065887</v>
      </c>
      <c r="H7736">
        <v>0.48899999999999999</v>
      </c>
    </row>
    <row r="7737" spans="1:8" x14ac:dyDescent="0.3">
      <c r="A7737" t="s">
        <v>18176</v>
      </c>
      <c r="B7737" t="s">
        <v>26951</v>
      </c>
      <c r="C7737" t="s">
        <v>19540</v>
      </c>
      <c r="D7737" t="s">
        <v>19539</v>
      </c>
      <c r="E7737" s="2" t="s">
        <v>609</v>
      </c>
      <c r="F7737" t="s">
        <v>7714</v>
      </c>
      <c r="G7737" t="str">
        <f>HYPERLINK("http://www.ltn.kr/news/articleView.html?idxno=10366")</f>
        <v>http://www.ltn.kr/news/articleView.html?idxno=10366</v>
      </c>
      <c r="H7737">
        <v>0.51400000000000001</v>
      </c>
    </row>
    <row r="7738" spans="1:8" x14ac:dyDescent="0.3">
      <c r="A7738" t="s">
        <v>18176</v>
      </c>
      <c r="B7738" t="s">
        <v>26951</v>
      </c>
      <c r="C7738" t="s">
        <v>19542</v>
      </c>
      <c r="D7738" t="s">
        <v>19541</v>
      </c>
      <c r="E7738" s="2" t="s">
        <v>609</v>
      </c>
      <c r="F7738" t="s">
        <v>9184</v>
      </c>
      <c r="G7738" t="str">
        <f>HYPERLINK("https://www.gokorea.kr/news/articleView.html?idxno=829162")</f>
        <v>https://www.gokorea.kr/news/articleView.html?idxno=829162</v>
      </c>
      <c r="H7738">
        <v>0.56399999999999995</v>
      </c>
    </row>
    <row r="7739" spans="1:8" x14ac:dyDescent="0.3">
      <c r="A7739" t="s">
        <v>18176</v>
      </c>
      <c r="B7739" t="s">
        <v>26951</v>
      </c>
      <c r="C7739" t="s">
        <v>19546</v>
      </c>
      <c r="D7739" t="s">
        <v>19545</v>
      </c>
      <c r="E7739" s="2" t="s">
        <v>609</v>
      </c>
      <c r="F7739" t="s">
        <v>19544</v>
      </c>
      <c r="G7739" t="str">
        <f>HYPERLINK("https://www.naeil.com/news/read/551173?ref=naver")</f>
        <v>https://www.naeil.com/news/read/551173?ref=naver</v>
      </c>
      <c r="H7739">
        <v>0.56299999999999994</v>
      </c>
    </row>
    <row r="7740" spans="1:8" x14ac:dyDescent="0.3">
      <c r="A7740" t="s">
        <v>18176</v>
      </c>
      <c r="B7740" t="s">
        <v>26951</v>
      </c>
      <c r="C7740" t="s">
        <v>19548</v>
      </c>
      <c r="D7740" t="s">
        <v>19547</v>
      </c>
      <c r="E7740" s="2" t="s">
        <v>609</v>
      </c>
      <c r="F7740" t="s">
        <v>18735</v>
      </c>
      <c r="G7740" t="str">
        <f>HYPERLINK("https://www.sisamagazine.co.kr/news/articleView.html?idxno=505059")</f>
        <v>https://www.sisamagazine.co.kr/news/articleView.html?idxno=505059</v>
      </c>
      <c r="H7740">
        <v>0.193</v>
      </c>
    </row>
    <row r="7741" spans="1:8" x14ac:dyDescent="0.3">
      <c r="A7741" t="s">
        <v>18176</v>
      </c>
      <c r="B7741" t="s">
        <v>26951</v>
      </c>
      <c r="C7741" t="s">
        <v>19550</v>
      </c>
      <c r="D7741" t="s">
        <v>19549</v>
      </c>
      <c r="E7741" s="2" t="s">
        <v>609</v>
      </c>
      <c r="F7741" t="s">
        <v>11071</v>
      </c>
      <c r="G7741" t="str">
        <f>HYPERLINK("https://www.gokorea.kr/news/articleView.html?idxno=829159")</f>
        <v>https://www.gokorea.kr/news/articleView.html?idxno=829159</v>
      </c>
      <c r="H7741">
        <v>0.625</v>
      </c>
    </row>
    <row r="7742" spans="1:8" x14ac:dyDescent="0.3">
      <c r="A7742" t="s">
        <v>18176</v>
      </c>
      <c r="B7742" t="s">
        <v>26951</v>
      </c>
      <c r="C7742" t="s">
        <v>19552</v>
      </c>
      <c r="D7742" t="s">
        <v>19551</v>
      </c>
      <c r="E7742" s="2" t="s">
        <v>609</v>
      </c>
      <c r="F7742" t="s">
        <v>18288</v>
      </c>
      <c r="G7742" t="str">
        <f>HYPERLINK("https://www.newscj.com/news/articleView.html?idxno=3060318")</f>
        <v>https://www.newscj.com/news/articleView.html?idxno=3060318</v>
      </c>
      <c r="H7742">
        <v>0.52500000000000002</v>
      </c>
    </row>
    <row r="7743" spans="1:8" x14ac:dyDescent="0.3">
      <c r="A7743" t="s">
        <v>18176</v>
      </c>
      <c r="B7743" t="s">
        <v>26951</v>
      </c>
      <c r="C7743" t="s">
        <v>19554</v>
      </c>
      <c r="D7743" t="s">
        <v>19553</v>
      </c>
      <c r="E7743" s="2" t="s">
        <v>609</v>
      </c>
      <c r="F7743" t="s">
        <v>10506</v>
      </c>
      <c r="G7743" t="str">
        <f>HYPERLINK("https://www.christiantoday.co.kr/news/369171")</f>
        <v>https://www.christiantoday.co.kr/news/369171</v>
      </c>
      <c r="H7743">
        <v>0.17799999999999999</v>
      </c>
    </row>
    <row r="7744" spans="1:8" x14ac:dyDescent="0.3">
      <c r="A7744" t="s">
        <v>18176</v>
      </c>
      <c r="B7744" t="s">
        <v>26951</v>
      </c>
      <c r="C7744" t="s">
        <v>19556</v>
      </c>
      <c r="D7744" t="s">
        <v>19555</v>
      </c>
      <c r="E7744" s="2" t="s">
        <v>609</v>
      </c>
      <c r="F7744" t="s">
        <v>4830</v>
      </c>
      <c r="G7744" t="str">
        <f>HYPERLINK("https://www.newsquest.co.kr/news/articleView.html?idxno=246261")</f>
        <v>https://www.newsquest.co.kr/news/articleView.html?idxno=246261</v>
      </c>
      <c r="H7744">
        <v>0.17799999999999999</v>
      </c>
    </row>
    <row r="7745" spans="1:8" x14ac:dyDescent="0.3">
      <c r="A7745" t="s">
        <v>18176</v>
      </c>
      <c r="B7745" t="s">
        <v>26951</v>
      </c>
      <c r="C7745" t="s">
        <v>19559</v>
      </c>
      <c r="D7745" t="s">
        <v>19558</v>
      </c>
      <c r="E7745" s="2" t="s">
        <v>609</v>
      </c>
      <c r="F7745" t="s">
        <v>19557</v>
      </c>
      <c r="G7745" t="str">
        <f>HYPERLINK("http://www.newsmaker.or.kr/news/articleView.html?idxno=24068")</f>
        <v>http://www.newsmaker.or.kr/news/articleView.html?idxno=24068</v>
      </c>
      <c r="H7745">
        <v>7.0000000000000001E-3</v>
      </c>
    </row>
    <row r="7746" spans="1:8" x14ac:dyDescent="0.3">
      <c r="A7746" t="s">
        <v>18176</v>
      </c>
      <c r="B7746" t="s">
        <v>26951</v>
      </c>
      <c r="C7746" t="s">
        <v>19562</v>
      </c>
      <c r="D7746" t="s">
        <v>19561</v>
      </c>
      <c r="E7746" s="2" t="s">
        <v>609</v>
      </c>
      <c r="F7746" t="s">
        <v>19560</v>
      </c>
      <c r="G7746" t="str">
        <f>HYPERLINK("http://ch.yes24.com/Article/View/27515")</f>
        <v>http://ch.yes24.com/Article/View/27515</v>
      </c>
      <c r="H7746">
        <v>0.28599999999999998</v>
      </c>
    </row>
    <row r="7747" spans="1:8" x14ac:dyDescent="0.3">
      <c r="A7747" t="s">
        <v>18176</v>
      </c>
      <c r="B7747" t="s">
        <v>26951</v>
      </c>
      <c r="C7747" t="s">
        <v>19565</v>
      </c>
      <c r="D7747" t="s">
        <v>19564</v>
      </c>
      <c r="E7747" s="2" t="s">
        <v>609</v>
      </c>
      <c r="F7747" t="s">
        <v>19563</v>
      </c>
      <c r="G7747" t="str">
        <f>HYPERLINK("https://n.news.naver.com/mnews/article/016/0002485929?sid=103")</f>
        <v>https://n.news.naver.com/mnews/article/016/0002485929?sid=103</v>
      </c>
      <c r="H7747">
        <v>0.30199999999999999</v>
      </c>
    </row>
    <row r="7748" spans="1:8" x14ac:dyDescent="0.3">
      <c r="A7748" t="s">
        <v>18176</v>
      </c>
      <c r="B7748" t="s">
        <v>26951</v>
      </c>
      <c r="C7748" t="s">
        <v>19568</v>
      </c>
      <c r="D7748" t="s">
        <v>19567</v>
      </c>
      <c r="E7748" s="2" t="s">
        <v>609</v>
      </c>
      <c r="F7748" t="s">
        <v>19566</v>
      </c>
      <c r="G7748" t="str">
        <f>HYPERLINK("https://www.pennmike.com/news/articleView.html?idxno=91772")</f>
        <v>https://www.pennmike.com/news/articleView.html?idxno=91772</v>
      </c>
      <c r="H7748">
        <v>0.51600000000000001</v>
      </c>
    </row>
    <row r="7749" spans="1:8" x14ac:dyDescent="0.3">
      <c r="A7749" t="s">
        <v>18176</v>
      </c>
      <c r="B7749" t="s">
        <v>26951</v>
      </c>
      <c r="C7749" t="s">
        <v>19570</v>
      </c>
      <c r="D7749" t="s">
        <v>19569</v>
      </c>
      <c r="E7749" s="2" t="s">
        <v>609</v>
      </c>
      <c r="F7749" t="s">
        <v>1995</v>
      </c>
      <c r="G7749" t="str">
        <f>HYPERLINK("https://www.banronbodo.com/news/articleView.html?idxno=30082")</f>
        <v>https://www.banronbodo.com/news/articleView.html?idxno=30082</v>
      </c>
      <c r="H7749">
        <v>0.33500000000000002</v>
      </c>
    </row>
    <row r="7750" spans="1:8" x14ac:dyDescent="0.3">
      <c r="A7750" t="s">
        <v>18176</v>
      </c>
      <c r="B7750" t="s">
        <v>26951</v>
      </c>
      <c r="C7750" t="s">
        <v>19573</v>
      </c>
      <c r="D7750" t="s">
        <v>19572</v>
      </c>
      <c r="E7750" s="2" t="s">
        <v>609</v>
      </c>
      <c r="F7750" t="s">
        <v>19571</v>
      </c>
      <c r="G7750" t="str">
        <f>HYPERLINK("http://www.notepet.co.kr/news/article/article_view/?idx=33789&amp;groupCode=AB130AD130")</f>
        <v>http://www.notepet.co.kr/news/article/article_view/?idx=33789&amp;groupCode=AB130AD130</v>
      </c>
      <c r="H7750">
        <v>0.434</v>
      </c>
    </row>
    <row r="7751" spans="1:8" x14ac:dyDescent="0.3">
      <c r="A7751" t="s">
        <v>18176</v>
      </c>
      <c r="B7751" t="s">
        <v>26951</v>
      </c>
      <c r="C7751" t="s">
        <v>19576</v>
      </c>
      <c r="D7751" t="s">
        <v>19575</v>
      </c>
      <c r="E7751" s="2" t="s">
        <v>653</v>
      </c>
      <c r="F7751" t="s">
        <v>9131</v>
      </c>
      <c r="G7751" t="str">
        <f>HYPERLINK("https://www.ggilbo.com/news/articleView.html?idxno=1092365")</f>
        <v>https://www.ggilbo.com/news/articleView.html?idxno=1092365</v>
      </c>
      <c r="H7751">
        <v>0.72199999999999998</v>
      </c>
    </row>
    <row r="7752" spans="1:8" x14ac:dyDescent="0.3">
      <c r="A7752" t="s">
        <v>18176</v>
      </c>
      <c r="B7752" t="s">
        <v>26951</v>
      </c>
      <c r="C7752" t="s">
        <v>19578</v>
      </c>
      <c r="D7752" t="s">
        <v>19577</v>
      </c>
      <c r="E7752" s="2" t="s">
        <v>653</v>
      </c>
      <c r="F7752" t="s">
        <v>4119</v>
      </c>
      <c r="G7752" t="str">
        <f>HYPERLINK("https://www.lecturernews.com/news/articleView.html?idxno=179761")</f>
        <v>https://www.lecturernews.com/news/articleView.html?idxno=179761</v>
      </c>
      <c r="H7752">
        <v>0.629</v>
      </c>
    </row>
    <row r="7753" spans="1:8" x14ac:dyDescent="0.3">
      <c r="A7753" t="s">
        <v>18176</v>
      </c>
      <c r="B7753" t="s">
        <v>26951</v>
      </c>
      <c r="C7753" t="s">
        <v>19581</v>
      </c>
      <c r="D7753" t="s">
        <v>19580</v>
      </c>
      <c r="E7753" s="2" t="s">
        <v>653</v>
      </c>
      <c r="F7753" t="s">
        <v>19579</v>
      </c>
      <c r="G7753" t="str">
        <f>HYPERLINK("https://www.ulsanpress.net/news/articleView.html?idxno=543040")</f>
        <v>https://www.ulsanpress.net/news/articleView.html?idxno=543040</v>
      </c>
      <c r="H7753">
        <v>0.47899999999999998</v>
      </c>
    </row>
    <row r="7754" spans="1:8" x14ac:dyDescent="0.3">
      <c r="A7754" t="s">
        <v>18176</v>
      </c>
      <c r="B7754" t="s">
        <v>26951</v>
      </c>
      <c r="C7754" t="s">
        <v>19583</v>
      </c>
      <c r="D7754" t="s">
        <v>8511</v>
      </c>
      <c r="E7754" s="2" t="s">
        <v>653</v>
      </c>
      <c r="F7754" t="s">
        <v>19582</v>
      </c>
      <c r="G7754" t="str">
        <f>HYPERLINK("https://n.news.naver.com/mnews/article/022/0004048021?sid=101")</f>
        <v>https://n.news.naver.com/mnews/article/022/0004048021?sid=101</v>
      </c>
      <c r="H7754">
        <v>0.26800000000000002</v>
      </c>
    </row>
    <row r="7755" spans="1:8" x14ac:dyDescent="0.3">
      <c r="A7755" t="s">
        <v>18176</v>
      </c>
      <c r="B7755" t="s">
        <v>26951</v>
      </c>
      <c r="C7755" t="s">
        <v>19586</v>
      </c>
      <c r="D7755" t="s">
        <v>19585</v>
      </c>
      <c r="E7755" s="2" t="s">
        <v>653</v>
      </c>
      <c r="F7755" t="s">
        <v>19584</v>
      </c>
      <c r="G7755" t="str">
        <f>HYPERLINK("https://www.tournews21.com/news/articleView.html?idxno=104991")</f>
        <v>https://www.tournews21.com/news/articleView.html?idxno=104991</v>
      </c>
      <c r="H7755">
        <v>0.93600000000000005</v>
      </c>
    </row>
    <row r="7756" spans="1:8" x14ac:dyDescent="0.3">
      <c r="A7756" t="s">
        <v>18176</v>
      </c>
      <c r="B7756" t="s">
        <v>26951</v>
      </c>
      <c r="C7756" t="s">
        <v>19589</v>
      </c>
      <c r="D7756" t="s">
        <v>19588</v>
      </c>
      <c r="E7756" s="2" t="s">
        <v>653</v>
      </c>
      <c r="F7756" t="s">
        <v>19587</v>
      </c>
      <c r="G7756" t="str">
        <f>HYPERLINK("http://apnews.kr/View.aspx?No=847519")</f>
        <v>http://apnews.kr/View.aspx?No=847519</v>
      </c>
      <c r="H7756">
        <v>0.29899999999999999</v>
      </c>
    </row>
    <row r="7757" spans="1:8" x14ac:dyDescent="0.3">
      <c r="A7757" t="s">
        <v>18176</v>
      </c>
      <c r="B7757" t="s">
        <v>26951</v>
      </c>
      <c r="C7757" t="s">
        <v>19592</v>
      </c>
      <c r="D7757" t="s">
        <v>19591</v>
      </c>
      <c r="E7757" s="2" t="s">
        <v>653</v>
      </c>
      <c r="F7757" t="s">
        <v>19590</v>
      </c>
      <c r="G7757" t="str">
        <f>HYPERLINK("https://www.ggilbo.com/news/articleView.html?idxno=1097828")</f>
        <v>https://www.ggilbo.com/news/articleView.html?idxno=1097828</v>
      </c>
      <c r="H7757">
        <v>0.253</v>
      </c>
    </row>
    <row r="7758" spans="1:8" x14ac:dyDescent="0.3">
      <c r="A7758" t="s">
        <v>18176</v>
      </c>
      <c r="B7758" t="s">
        <v>26951</v>
      </c>
      <c r="C7758" t="s">
        <v>19594</v>
      </c>
      <c r="D7758" t="s">
        <v>19593</v>
      </c>
      <c r="E7758" s="2" t="s">
        <v>653</v>
      </c>
      <c r="F7758" t="s">
        <v>6788</v>
      </c>
      <c r="G7758" t="str">
        <f>HYPERLINK("https://www.christiantoday.co.kr/news/367433")</f>
        <v>https://www.christiantoday.co.kr/news/367433</v>
      </c>
      <c r="H7758">
        <v>0.50600000000000001</v>
      </c>
    </row>
    <row r="7759" spans="1:8" x14ac:dyDescent="0.3">
      <c r="A7759" t="s">
        <v>18176</v>
      </c>
      <c r="B7759" t="s">
        <v>26951</v>
      </c>
      <c r="C7759" t="s">
        <v>19597</v>
      </c>
      <c r="D7759" t="s">
        <v>19596</v>
      </c>
      <c r="E7759" s="2" t="s">
        <v>653</v>
      </c>
      <c r="F7759" t="s">
        <v>19595</v>
      </c>
      <c r="G7759" t="str">
        <f>HYPERLINK("http://news.lghellovision.net/news/articleView.html?idxno=509029")</f>
        <v>http://news.lghellovision.net/news/articleView.html?idxno=509029</v>
      </c>
      <c r="H7759">
        <v>0.23799999999999999</v>
      </c>
    </row>
    <row r="7760" spans="1:8" x14ac:dyDescent="0.3">
      <c r="A7760" t="s">
        <v>18176</v>
      </c>
      <c r="B7760" t="s">
        <v>26951</v>
      </c>
      <c r="C7760" t="s">
        <v>19600</v>
      </c>
      <c r="D7760" t="s">
        <v>19599</v>
      </c>
      <c r="E7760" s="2" t="s">
        <v>653</v>
      </c>
      <c r="F7760" t="s">
        <v>19598</v>
      </c>
      <c r="G7760" t="str">
        <f>HYPERLINK("https://n.news.naver.com/mnews/article/014/0005312147?sid=105")</f>
        <v>https://n.news.naver.com/mnews/article/014/0005312147?sid=105</v>
      </c>
      <c r="H7760">
        <v>0.224</v>
      </c>
    </row>
    <row r="7761" spans="1:8" x14ac:dyDescent="0.3">
      <c r="A7761" t="s">
        <v>18176</v>
      </c>
      <c r="B7761" t="s">
        <v>26951</v>
      </c>
      <c r="C7761" t="s">
        <v>19603</v>
      </c>
      <c r="D7761" t="s">
        <v>19602</v>
      </c>
      <c r="E7761" s="2" t="s">
        <v>653</v>
      </c>
      <c r="F7761" t="s">
        <v>19601</v>
      </c>
      <c r="G7761" t="str">
        <f>HYPERLINK("https://www.mediajeju.com/news/articleView.html?idxno=358927")</f>
        <v>https://www.mediajeju.com/news/articleView.html?idxno=358927</v>
      </c>
      <c r="H7761">
        <v>0.41599999999999998</v>
      </c>
    </row>
    <row r="7762" spans="1:8" x14ac:dyDescent="0.3">
      <c r="A7762" t="s">
        <v>18176</v>
      </c>
      <c r="B7762" t="s">
        <v>26951</v>
      </c>
      <c r="C7762" t="s">
        <v>19606</v>
      </c>
      <c r="D7762" t="s">
        <v>19605</v>
      </c>
      <c r="E7762" s="2" t="s">
        <v>653</v>
      </c>
      <c r="F7762" t="s">
        <v>19604</v>
      </c>
      <c r="G7762" t="str">
        <f>HYPERLINK("http://ch.yes24.com/Article/View/38707")</f>
        <v>http://ch.yes24.com/Article/View/38707</v>
      </c>
      <c r="H7762">
        <v>0.54200000000000004</v>
      </c>
    </row>
    <row r="7763" spans="1:8" x14ac:dyDescent="0.3">
      <c r="A7763" t="s">
        <v>18176</v>
      </c>
      <c r="B7763" t="s">
        <v>26951</v>
      </c>
      <c r="C7763" t="s">
        <v>19609</v>
      </c>
      <c r="D7763" t="s">
        <v>19608</v>
      </c>
      <c r="E7763" s="2" t="s">
        <v>653</v>
      </c>
      <c r="F7763" t="s">
        <v>19607</v>
      </c>
      <c r="G7763" t="str">
        <f>HYPERLINK("https://www.woodkorea.co.kr/news/articleView.html?idxno=85184")</f>
        <v>https://www.woodkorea.co.kr/news/articleView.html?idxno=85184</v>
      </c>
      <c r="H7763">
        <v>0.68</v>
      </c>
    </row>
    <row r="7764" spans="1:8" x14ac:dyDescent="0.3">
      <c r="A7764" t="s">
        <v>18176</v>
      </c>
      <c r="B7764" t="s">
        <v>26951</v>
      </c>
      <c r="C7764" t="s">
        <v>19612</v>
      </c>
      <c r="D7764" t="s">
        <v>19611</v>
      </c>
      <c r="E7764" s="2" t="s">
        <v>653</v>
      </c>
      <c r="F7764" t="s">
        <v>19610</v>
      </c>
      <c r="G7764" t="str">
        <f>HYPERLINK("https://n.news.naver.com/mnews/article/079/0004040312?sid=102")</f>
        <v>https://n.news.naver.com/mnews/article/079/0004040312?sid=102</v>
      </c>
      <c r="H7764">
        <v>0.20799999999999999</v>
      </c>
    </row>
    <row r="7765" spans="1:8" x14ac:dyDescent="0.3">
      <c r="A7765" t="s">
        <v>18176</v>
      </c>
      <c r="B7765" t="s">
        <v>26951</v>
      </c>
      <c r="C7765" t="s">
        <v>19614</v>
      </c>
      <c r="D7765" t="s">
        <v>19613</v>
      </c>
      <c r="E7765" s="2" t="s">
        <v>653</v>
      </c>
      <c r="F7765" t="s">
        <v>2269</v>
      </c>
      <c r="G7765" t="str">
        <f>HYPERLINK("https://n.news.naver.com/mnews/article/056/0011979563?sid=102")</f>
        <v>https://n.news.naver.com/mnews/article/056/0011979563?sid=102</v>
      </c>
      <c r="H7765">
        <v>0.246</v>
      </c>
    </row>
    <row r="7766" spans="1:8" x14ac:dyDescent="0.3">
      <c r="A7766" t="s">
        <v>18176</v>
      </c>
      <c r="B7766" t="s">
        <v>26951</v>
      </c>
      <c r="C7766" t="s">
        <v>19617</v>
      </c>
      <c r="D7766" t="s">
        <v>19616</v>
      </c>
      <c r="E7766" s="2" t="s">
        <v>653</v>
      </c>
      <c r="F7766" t="s">
        <v>19615</v>
      </c>
      <c r="G7766" t="str">
        <f>HYPERLINK("https://www.christiantoday.co.kr/news/357323")</f>
        <v>https://www.christiantoday.co.kr/news/357323</v>
      </c>
      <c r="H7766">
        <v>0.32900000000000001</v>
      </c>
    </row>
    <row r="7767" spans="1:8" x14ac:dyDescent="0.3">
      <c r="A7767" t="s">
        <v>18176</v>
      </c>
      <c r="B7767" t="s">
        <v>26951</v>
      </c>
      <c r="C7767" t="s">
        <v>19620</v>
      </c>
      <c r="D7767" t="s">
        <v>19619</v>
      </c>
      <c r="E7767" s="2" t="s">
        <v>653</v>
      </c>
      <c r="F7767" t="s">
        <v>19618</v>
      </c>
      <c r="G7767" t="str">
        <f>HYPERLINK("https://www.pdjournal.com/news/articleView.html?idxno=80817")</f>
        <v>https://www.pdjournal.com/news/articleView.html?idxno=80817</v>
      </c>
      <c r="H7767">
        <v>0.216</v>
      </c>
    </row>
    <row r="7768" spans="1:8" x14ac:dyDescent="0.3">
      <c r="A7768" t="s">
        <v>18176</v>
      </c>
      <c r="B7768" t="s">
        <v>26951</v>
      </c>
      <c r="C7768" t="s">
        <v>19622</v>
      </c>
      <c r="D7768" t="s">
        <v>19621</v>
      </c>
      <c r="E7768" s="2" t="s">
        <v>653</v>
      </c>
      <c r="F7768" t="s">
        <v>19136</v>
      </c>
      <c r="G7768" t="str">
        <f>HYPERLINK("https://n.news.naver.com/mnews/article/016/0000284389?sid=102")</f>
        <v>https://n.news.naver.com/mnews/article/016/0000284389?sid=102</v>
      </c>
      <c r="H7768">
        <v>0.23</v>
      </c>
    </row>
    <row r="7769" spans="1:8" x14ac:dyDescent="0.3">
      <c r="A7769" t="s">
        <v>18176</v>
      </c>
      <c r="B7769" t="s">
        <v>26951</v>
      </c>
      <c r="C7769" t="s">
        <v>19624</v>
      </c>
      <c r="D7769" t="s">
        <v>19623</v>
      </c>
      <c r="E7769" s="2" t="s">
        <v>653</v>
      </c>
      <c r="F7769" t="s">
        <v>19511</v>
      </c>
      <c r="G7769" t="str">
        <f>HYPERLINK("https://n.news.naver.com/mnews/article/002/0002000994?sid=102")</f>
        <v>https://n.news.naver.com/mnews/article/002/0002000994?sid=102</v>
      </c>
      <c r="H7769">
        <v>0.26200000000000001</v>
      </c>
    </row>
    <row r="7770" spans="1:8" x14ac:dyDescent="0.3">
      <c r="A7770" t="s">
        <v>18176</v>
      </c>
      <c r="B7770" t="s">
        <v>26951</v>
      </c>
      <c r="C7770" t="s">
        <v>19627</v>
      </c>
      <c r="D7770" t="s">
        <v>19626</v>
      </c>
      <c r="E7770" s="2" t="s">
        <v>653</v>
      </c>
      <c r="F7770" t="s">
        <v>19625</v>
      </c>
      <c r="G7770" t="str">
        <f>HYPERLINK("https://www.greened.kr/news/articleView.html?idxno=327965")</f>
        <v>https://www.greened.kr/news/articleView.html?idxno=327965</v>
      </c>
      <c r="H7770">
        <v>0.40600000000000003</v>
      </c>
    </row>
    <row r="7771" spans="1:8" x14ac:dyDescent="0.3">
      <c r="A7771" t="s">
        <v>18176</v>
      </c>
      <c r="B7771" t="s">
        <v>26951</v>
      </c>
      <c r="C7771" t="s">
        <v>19629</v>
      </c>
      <c r="D7771" t="s">
        <v>19628</v>
      </c>
      <c r="E7771" s="2" t="s">
        <v>653</v>
      </c>
      <c r="F7771" t="s">
        <v>19143</v>
      </c>
      <c r="G7771" t="str">
        <f>HYPERLINK("https://www.laborplus.co.kr/news/articleView.html?idxno=35883")</f>
        <v>https://www.laborplus.co.kr/news/articleView.html?idxno=35883</v>
      </c>
      <c r="H7771">
        <v>0.26700000000000002</v>
      </c>
    </row>
    <row r="7772" spans="1:8" x14ac:dyDescent="0.3">
      <c r="A7772" t="s">
        <v>18176</v>
      </c>
      <c r="B7772" t="s">
        <v>26951</v>
      </c>
      <c r="C7772" t="s">
        <v>19631</v>
      </c>
      <c r="D7772" t="s">
        <v>19630</v>
      </c>
      <c r="E7772" s="2" t="s">
        <v>653</v>
      </c>
      <c r="F7772" t="s">
        <v>10178</v>
      </c>
      <c r="G7772" t="str">
        <f>HYPERLINK("https://www.kizmom.com/news/articleView.html?idxno=100974")</f>
        <v>https://www.kizmom.com/news/articleView.html?idxno=100974</v>
      </c>
      <c r="H7772">
        <v>0.51800000000000002</v>
      </c>
    </row>
    <row r="7773" spans="1:8" x14ac:dyDescent="0.3">
      <c r="A7773" t="s">
        <v>18176</v>
      </c>
      <c r="B7773" t="s">
        <v>26951</v>
      </c>
      <c r="C7773" t="s">
        <v>19634</v>
      </c>
      <c r="D7773" t="s">
        <v>19633</v>
      </c>
      <c r="E7773" s="2" t="s">
        <v>653</v>
      </c>
      <c r="F7773" t="s">
        <v>19632</v>
      </c>
      <c r="G7773" t="str">
        <f>HYPERLINK("https://www.huffingtonpost.kr/news/articleView.html?idxno=236886")</f>
        <v>https://www.huffingtonpost.kr/news/articleView.html?idxno=236886</v>
      </c>
      <c r="H7773">
        <v>0.54</v>
      </c>
    </row>
    <row r="7774" spans="1:8" x14ac:dyDescent="0.3">
      <c r="A7774" t="s">
        <v>18176</v>
      </c>
      <c r="B7774" t="s">
        <v>26951</v>
      </c>
      <c r="C7774" t="s">
        <v>19637</v>
      </c>
      <c r="D7774" t="s">
        <v>19636</v>
      </c>
      <c r="E7774" s="2" t="s">
        <v>653</v>
      </c>
      <c r="F7774" t="s">
        <v>19635</v>
      </c>
      <c r="G7774" t="str">
        <f>HYPERLINK("https://www.etoday.co.kr/news/view/2481440")</f>
        <v>https://www.etoday.co.kr/news/view/2481440</v>
      </c>
      <c r="H7774">
        <v>0.27100000000000002</v>
      </c>
    </row>
    <row r="7775" spans="1:8" x14ac:dyDescent="0.3">
      <c r="A7775" t="s">
        <v>18176</v>
      </c>
      <c r="B7775" t="s">
        <v>26951</v>
      </c>
      <c r="C7775" t="s">
        <v>19639</v>
      </c>
      <c r="D7775" t="s">
        <v>19638</v>
      </c>
      <c r="E7775" s="2" t="s">
        <v>653</v>
      </c>
      <c r="F7775" t="s">
        <v>10471</v>
      </c>
      <c r="G7775" t="str">
        <f>HYPERLINK("https://www.ggilbo.com/news/articleView.html?idxno=1095062")</f>
        <v>https://www.ggilbo.com/news/articleView.html?idxno=1095062</v>
      </c>
      <c r="H7775">
        <v>0.58399999999999996</v>
      </c>
    </row>
    <row r="7776" spans="1:8" x14ac:dyDescent="0.3">
      <c r="A7776" t="s">
        <v>18176</v>
      </c>
      <c r="B7776" t="s">
        <v>26951</v>
      </c>
      <c r="C7776" t="s">
        <v>19641</v>
      </c>
      <c r="D7776" t="s">
        <v>19640</v>
      </c>
      <c r="E7776" s="2" t="s">
        <v>653</v>
      </c>
      <c r="F7776" t="s">
        <v>11436</v>
      </c>
      <c r="G7776" t="str">
        <f>HYPERLINK("http://ch.yes24.com/Article/View/46237")</f>
        <v>http://ch.yes24.com/Article/View/46237</v>
      </c>
      <c r="H7776">
        <v>0.63800000000000001</v>
      </c>
    </row>
    <row r="7777" spans="1:8" x14ac:dyDescent="0.3">
      <c r="A7777" t="s">
        <v>18176</v>
      </c>
      <c r="B7777" t="s">
        <v>26951</v>
      </c>
      <c r="C7777" t="s">
        <v>11657</v>
      </c>
      <c r="D7777" t="s">
        <v>11656</v>
      </c>
      <c r="E7777" s="2" t="s">
        <v>653</v>
      </c>
      <c r="F7777" t="s">
        <v>11655</v>
      </c>
      <c r="G7777" t="str">
        <f>HYPERLINK("http://www.todaykorea.co.kr/news/view.php?no=255538")</f>
        <v>http://www.todaykorea.co.kr/news/view.php?no=255538</v>
      </c>
      <c r="H7777">
        <v>0.46500000000000002</v>
      </c>
    </row>
    <row r="7778" spans="1:8" x14ac:dyDescent="0.3">
      <c r="A7778" t="s">
        <v>18176</v>
      </c>
      <c r="B7778" t="s">
        <v>26951</v>
      </c>
      <c r="C7778" t="s">
        <v>19644</v>
      </c>
      <c r="D7778" t="s">
        <v>19643</v>
      </c>
      <c r="E7778" s="2" t="s">
        <v>653</v>
      </c>
      <c r="F7778" t="s">
        <v>19642</v>
      </c>
      <c r="G7778" t="str">
        <f>HYPERLINK("http://www.incheontoday.com/news/articleView.html?idxno=265822")</f>
        <v>http://www.incheontoday.com/news/articleView.html?idxno=265822</v>
      </c>
      <c r="H7778">
        <v>0.58099999999999996</v>
      </c>
    </row>
    <row r="7779" spans="1:8" x14ac:dyDescent="0.3">
      <c r="A7779" t="s">
        <v>18176</v>
      </c>
      <c r="B7779" t="s">
        <v>26951</v>
      </c>
      <c r="C7779" t="s">
        <v>19647</v>
      </c>
      <c r="D7779" t="s">
        <v>19646</v>
      </c>
      <c r="E7779" s="2" t="s">
        <v>653</v>
      </c>
      <c r="F7779" t="s">
        <v>19645</v>
      </c>
      <c r="G7779" t="str">
        <f>HYPERLINK("https://n.news.naver.com/mnews/article/008/0002673028?sid=100")</f>
        <v>https://n.news.naver.com/mnews/article/008/0002673028?sid=100</v>
      </c>
      <c r="H7779">
        <v>0.44900000000000001</v>
      </c>
    </row>
    <row r="7780" spans="1:8" x14ac:dyDescent="0.3">
      <c r="A7780" t="s">
        <v>18176</v>
      </c>
      <c r="B7780" t="s">
        <v>26951</v>
      </c>
      <c r="C7780" t="s">
        <v>19650</v>
      </c>
      <c r="D7780" t="s">
        <v>19649</v>
      </c>
      <c r="E7780" s="2" t="s">
        <v>653</v>
      </c>
      <c r="F7780" t="s">
        <v>19648</v>
      </c>
      <c r="G7780" t="str">
        <f>HYPERLINK("http://www.domin.co.kr/news/articleView.html?idxno=1097150")</f>
        <v>http://www.domin.co.kr/news/articleView.html?idxno=1097150</v>
      </c>
      <c r="H7780">
        <v>0.26400000000000001</v>
      </c>
    </row>
    <row r="7781" spans="1:8" x14ac:dyDescent="0.3">
      <c r="A7781" t="s">
        <v>18176</v>
      </c>
      <c r="B7781" t="s">
        <v>26951</v>
      </c>
      <c r="C7781" t="s">
        <v>19653</v>
      </c>
      <c r="D7781" t="s">
        <v>19652</v>
      </c>
      <c r="E7781" s="2" t="s">
        <v>653</v>
      </c>
      <c r="F7781" t="s">
        <v>19651</v>
      </c>
      <c r="G7781" t="str">
        <f>HYPERLINK("https://weekly.cnbnews.com/news/article.html?no=177730")</f>
        <v>https://weekly.cnbnews.com/news/article.html?no=177730</v>
      </c>
      <c r="H7781">
        <v>0.503</v>
      </c>
    </row>
    <row r="7782" spans="1:8" x14ac:dyDescent="0.3">
      <c r="A7782" t="s">
        <v>18176</v>
      </c>
      <c r="B7782" t="s">
        <v>26951</v>
      </c>
      <c r="C7782" t="s">
        <v>19656</v>
      </c>
      <c r="D7782" t="s">
        <v>19655</v>
      </c>
      <c r="E7782" s="2" t="s">
        <v>653</v>
      </c>
      <c r="F7782" t="s">
        <v>19654</v>
      </c>
      <c r="G7782" t="str">
        <f>HYPERLINK("https://n.news.naver.com/mnews/article/056/0011975244?sid=101")</f>
        <v>https://n.news.naver.com/mnews/article/056/0011975244?sid=101</v>
      </c>
      <c r="H7782">
        <v>0.26600000000000001</v>
      </c>
    </row>
    <row r="7783" spans="1:8" x14ac:dyDescent="0.3">
      <c r="A7783" t="s">
        <v>18176</v>
      </c>
      <c r="B7783" t="s">
        <v>26951</v>
      </c>
      <c r="C7783" t="s">
        <v>19659</v>
      </c>
      <c r="D7783" t="s">
        <v>19658</v>
      </c>
      <c r="E7783" s="2" t="s">
        <v>653</v>
      </c>
      <c r="F7783" t="s">
        <v>19657</v>
      </c>
      <c r="G7783" t="str">
        <f>HYPERLINK("https://ppss.kr/archives/264128")</f>
        <v>https://ppss.kr/archives/264128</v>
      </c>
      <c r="H7783">
        <v>0.32400000000000001</v>
      </c>
    </row>
    <row r="7784" spans="1:8" x14ac:dyDescent="0.3">
      <c r="A7784" t="s">
        <v>18176</v>
      </c>
      <c r="B7784" t="s">
        <v>26951</v>
      </c>
      <c r="C7784" t="s">
        <v>19662</v>
      </c>
      <c r="D7784" t="s">
        <v>19661</v>
      </c>
      <c r="E7784" s="2" t="s">
        <v>653</v>
      </c>
      <c r="F7784" t="s">
        <v>19660</v>
      </c>
      <c r="G7784" t="str">
        <f>HYPERLINK("http://www.fntoday.co.kr/news/articleView.html?idxno=189235")</f>
        <v>http://www.fntoday.co.kr/news/articleView.html?idxno=189235</v>
      </c>
      <c r="H7784">
        <v>0.28299999999999997</v>
      </c>
    </row>
    <row r="7785" spans="1:8" x14ac:dyDescent="0.3">
      <c r="A7785" t="s">
        <v>18176</v>
      </c>
      <c r="B7785" t="s">
        <v>26951</v>
      </c>
      <c r="C7785" t="s">
        <v>19665</v>
      </c>
      <c r="D7785" t="s">
        <v>19664</v>
      </c>
      <c r="E7785" s="2" t="s">
        <v>653</v>
      </c>
      <c r="F7785" t="s">
        <v>19663</v>
      </c>
      <c r="G7785" t="str">
        <f>HYPERLINK("https://n.news.naver.com/mnews/article/028/0002554075?sid=103")</f>
        <v>https://n.news.naver.com/mnews/article/028/0002554075?sid=103</v>
      </c>
      <c r="H7785">
        <v>9.1999999999999998E-2</v>
      </c>
    </row>
    <row r="7786" spans="1:8" x14ac:dyDescent="0.3">
      <c r="A7786" t="s">
        <v>18176</v>
      </c>
      <c r="B7786" t="s">
        <v>26951</v>
      </c>
      <c r="C7786" t="s">
        <v>19668</v>
      </c>
      <c r="D7786" t="s">
        <v>19667</v>
      </c>
      <c r="E7786" s="2" t="s">
        <v>653</v>
      </c>
      <c r="F7786" t="s">
        <v>19666</v>
      </c>
      <c r="G7786" t="str">
        <f>HYPERLINK("https://dealsite.co.kr/articles/139741")</f>
        <v>https://dealsite.co.kr/articles/139741</v>
      </c>
      <c r="H7786">
        <v>0.32900000000000001</v>
      </c>
    </row>
    <row r="7787" spans="1:8" x14ac:dyDescent="0.3">
      <c r="A7787" t="s">
        <v>18176</v>
      </c>
      <c r="B7787" t="s">
        <v>26951</v>
      </c>
      <c r="C7787" t="s">
        <v>19671</v>
      </c>
      <c r="D7787" t="s">
        <v>19670</v>
      </c>
      <c r="E7787" s="2" t="s">
        <v>653</v>
      </c>
      <c r="F7787" t="s">
        <v>19669</v>
      </c>
      <c r="G7787" t="str">
        <f>HYPERLINK("https://sports.hankooki.com/lpage/life/202103/sp20210325160103136830.htm?s_ref=nv")</f>
        <v>https://sports.hankooki.com/lpage/life/202103/sp20210325160103136830.htm?s_ref=nv</v>
      </c>
      <c r="H7787">
        <v>0.35499999999999998</v>
      </c>
    </row>
    <row r="7788" spans="1:8" x14ac:dyDescent="0.3">
      <c r="A7788" t="s">
        <v>18176</v>
      </c>
      <c r="B7788" t="s">
        <v>26951</v>
      </c>
      <c r="C7788" t="s">
        <v>19673</v>
      </c>
      <c r="D7788" t="s">
        <v>19672</v>
      </c>
      <c r="E7788" s="2" t="s">
        <v>653</v>
      </c>
      <c r="F7788" t="s">
        <v>13873</v>
      </c>
      <c r="G7788" t="str">
        <f>HYPERLINK("https://www.huffingtonpost.kr/news/articleView.html?idxno=236886")</f>
        <v>https://www.huffingtonpost.kr/news/articleView.html?idxno=236886</v>
      </c>
      <c r="H7788">
        <v>0.61199999999999999</v>
      </c>
    </row>
    <row r="7789" spans="1:8" x14ac:dyDescent="0.3">
      <c r="A7789" t="s">
        <v>18176</v>
      </c>
      <c r="B7789" t="s">
        <v>26951</v>
      </c>
      <c r="C7789" t="s">
        <v>19676</v>
      </c>
      <c r="D7789" t="s">
        <v>19675</v>
      </c>
      <c r="E7789" s="2" t="s">
        <v>653</v>
      </c>
      <c r="F7789" t="s">
        <v>19674</v>
      </c>
      <c r="G7789" t="str">
        <f>HYPERLINK("http://www.readersnews.com/news/articleView.html?idxno=115187")</f>
        <v>http://www.readersnews.com/news/articleView.html?idxno=115187</v>
      </c>
      <c r="H7789">
        <v>0.32700000000000001</v>
      </c>
    </row>
    <row r="7790" spans="1:8" x14ac:dyDescent="0.3">
      <c r="A7790" t="s">
        <v>18176</v>
      </c>
      <c r="B7790" t="s">
        <v>26951</v>
      </c>
      <c r="C7790" t="s">
        <v>19678</v>
      </c>
      <c r="D7790" t="s">
        <v>19677</v>
      </c>
      <c r="E7790" s="2" t="s">
        <v>653</v>
      </c>
      <c r="F7790" t="s">
        <v>15513</v>
      </c>
      <c r="G7790" t="str">
        <f>HYPERLINK("http://www.dtnews24.com/news/articleView.html?idxno=791090")</f>
        <v>http://www.dtnews24.com/news/articleView.html?idxno=791090</v>
      </c>
      <c r="H7790">
        <v>0.59599999999999997</v>
      </c>
    </row>
    <row r="7791" spans="1:8" x14ac:dyDescent="0.3">
      <c r="A7791" t="s">
        <v>18176</v>
      </c>
      <c r="B7791" t="s">
        <v>26951</v>
      </c>
      <c r="C7791" t="s">
        <v>19681</v>
      </c>
      <c r="D7791" t="s">
        <v>19680</v>
      </c>
      <c r="E7791" s="2" t="s">
        <v>653</v>
      </c>
      <c r="F7791" t="s">
        <v>19679</v>
      </c>
      <c r="G7791" t="str">
        <f>HYPERLINK("https://www.pdjournal.com/news/articleView.html?idxno=80819")</f>
        <v>https://www.pdjournal.com/news/articleView.html?idxno=80819</v>
      </c>
      <c r="H7791">
        <v>0.38600000000000001</v>
      </c>
    </row>
    <row r="7792" spans="1:8" x14ac:dyDescent="0.3">
      <c r="A7792" t="s">
        <v>18176</v>
      </c>
      <c r="B7792" t="s">
        <v>26951</v>
      </c>
      <c r="C7792" t="s">
        <v>19683</v>
      </c>
      <c r="D7792" t="s">
        <v>19682</v>
      </c>
      <c r="E7792" s="2" t="s">
        <v>653</v>
      </c>
      <c r="F7792" t="s">
        <v>9749</v>
      </c>
      <c r="G7792" t="str">
        <f>HYPERLINK("http://www.pennmike.com/news/articleView.html?idxno=66869")</f>
        <v>http://www.pennmike.com/news/articleView.html?idxno=66869</v>
      </c>
      <c r="H7792">
        <v>0.45700000000000002</v>
      </c>
    </row>
    <row r="7793" spans="1:8" x14ac:dyDescent="0.3">
      <c r="A7793" t="s">
        <v>18176</v>
      </c>
      <c r="B7793" t="s">
        <v>26951</v>
      </c>
      <c r="C7793" t="s">
        <v>19686</v>
      </c>
      <c r="D7793" t="s">
        <v>19685</v>
      </c>
      <c r="E7793" s="2" t="s">
        <v>653</v>
      </c>
      <c r="F7793" t="s">
        <v>19684</v>
      </c>
      <c r="G7793" t="str">
        <f>HYPERLINK("http://www.enewstoday.co.kr/news/articleView.html?idxno=1248239")</f>
        <v>http://www.enewstoday.co.kr/news/articleView.html?idxno=1248239</v>
      </c>
      <c r="H7793">
        <v>0.39200000000000002</v>
      </c>
    </row>
    <row r="7794" spans="1:8" x14ac:dyDescent="0.3">
      <c r="A7794" t="s">
        <v>18176</v>
      </c>
      <c r="B7794" t="s">
        <v>26951</v>
      </c>
      <c r="C7794" t="s">
        <v>19688</v>
      </c>
      <c r="D7794" t="s">
        <v>19687</v>
      </c>
      <c r="E7794" s="2" t="s">
        <v>653</v>
      </c>
      <c r="F7794" t="s">
        <v>19136</v>
      </c>
      <c r="G7794" t="str">
        <f>HYPERLINK("http://www.enewstoday.co.kr/news/articleView.html?idxno=2066075")</f>
        <v>http://www.enewstoday.co.kr/news/articleView.html?idxno=2066075</v>
      </c>
      <c r="H7794">
        <v>0.38800000000000001</v>
      </c>
    </row>
    <row r="7795" spans="1:8" x14ac:dyDescent="0.3">
      <c r="A7795" t="s">
        <v>18176</v>
      </c>
      <c r="B7795" t="s">
        <v>26951</v>
      </c>
      <c r="C7795" t="s">
        <v>19690</v>
      </c>
      <c r="D7795" t="s">
        <v>19689</v>
      </c>
      <c r="E7795" s="2" t="s">
        <v>653</v>
      </c>
      <c r="F7795" t="s">
        <v>19136</v>
      </c>
      <c r="G7795" t="str">
        <f>HYPERLINK("https://news.mtn.co.kr/news-detail/2025060823322118984")</f>
        <v>https://news.mtn.co.kr/news-detail/2025060823322118984</v>
      </c>
      <c r="H7795">
        <v>0.126</v>
      </c>
    </row>
    <row r="7796" spans="1:8" x14ac:dyDescent="0.3">
      <c r="A7796" t="s">
        <v>18176</v>
      </c>
      <c r="B7796" t="s">
        <v>26951</v>
      </c>
      <c r="C7796" t="s">
        <v>19693</v>
      </c>
      <c r="D7796" t="s">
        <v>19692</v>
      </c>
      <c r="E7796" s="2" t="s">
        <v>653</v>
      </c>
      <c r="F7796" t="s">
        <v>19691</v>
      </c>
      <c r="G7796" t="str">
        <f>HYPERLINK("http://www.wikileaks-kr.org/news/articleView.html?idxno=61920")</f>
        <v>http://www.wikileaks-kr.org/news/articleView.html?idxno=61920</v>
      </c>
      <c r="H7796">
        <v>0.36299999999999999</v>
      </c>
    </row>
    <row r="7797" spans="1:8" x14ac:dyDescent="0.3">
      <c r="A7797" t="s">
        <v>18176</v>
      </c>
      <c r="B7797" t="s">
        <v>26951</v>
      </c>
      <c r="C7797" t="s">
        <v>19696</v>
      </c>
      <c r="D7797" t="s">
        <v>19695</v>
      </c>
      <c r="E7797" s="2" t="s">
        <v>653</v>
      </c>
      <c r="F7797" t="s">
        <v>19694</v>
      </c>
      <c r="G7797" t="str">
        <f>HYPERLINK("https://www.pdjournal.com/news/articleView.html?idxno=80819")</f>
        <v>https://www.pdjournal.com/news/articleView.html?idxno=80819</v>
      </c>
      <c r="H7797">
        <v>0.30099999999999999</v>
      </c>
    </row>
    <row r="7798" spans="1:8" x14ac:dyDescent="0.3">
      <c r="A7798" t="s">
        <v>18176</v>
      </c>
      <c r="B7798" t="s">
        <v>26951</v>
      </c>
      <c r="C7798" t="s">
        <v>19698</v>
      </c>
      <c r="D7798" t="s">
        <v>19697</v>
      </c>
      <c r="E7798" s="2" t="s">
        <v>653</v>
      </c>
      <c r="F7798" t="s">
        <v>18735</v>
      </c>
      <c r="G7798" t="str">
        <f>HYPERLINK("https://www.korea.kr/news/policyNewsView.do?newsId=148934564&amp;call_from=naver_news")</f>
        <v>https://www.korea.kr/news/policyNewsView.do?newsId=148934564&amp;call_from=naver_news</v>
      </c>
      <c r="H7798">
        <v>9.9000000000000005E-2</v>
      </c>
    </row>
    <row r="7799" spans="1:8" x14ac:dyDescent="0.3">
      <c r="A7799" t="s">
        <v>18176</v>
      </c>
      <c r="B7799" t="s">
        <v>26951</v>
      </c>
      <c r="C7799" t="s">
        <v>19701</v>
      </c>
      <c r="D7799" t="s">
        <v>19700</v>
      </c>
      <c r="E7799" s="2" t="s">
        <v>653</v>
      </c>
      <c r="F7799" t="s">
        <v>19699</v>
      </c>
      <c r="G7799" t="str">
        <f>HYPERLINK("https://n.news.naver.com/mnews/article/214/0001432219?sid=100")</f>
        <v>https://n.news.naver.com/mnews/article/214/0001432219?sid=100</v>
      </c>
      <c r="H7799">
        <v>0.55300000000000005</v>
      </c>
    </row>
    <row r="7800" spans="1:8" x14ac:dyDescent="0.3">
      <c r="A7800" t="s">
        <v>18176</v>
      </c>
      <c r="B7800" t="s">
        <v>26951</v>
      </c>
      <c r="C7800" t="s">
        <v>19703</v>
      </c>
      <c r="D7800" t="s">
        <v>19702</v>
      </c>
      <c r="E7800" s="2" t="s">
        <v>653</v>
      </c>
      <c r="F7800" t="s">
        <v>15387</v>
      </c>
      <c r="G7800" t="str">
        <f>HYPERLINK("https://n.news.naver.com/mnews/article/022/0003701197?sid=100")</f>
        <v>https://n.news.naver.com/mnews/article/022/0003701197?sid=100</v>
      </c>
      <c r="H7800">
        <v>0.25700000000000001</v>
      </c>
    </row>
    <row r="7801" spans="1:8" x14ac:dyDescent="0.3">
      <c r="A7801" t="s">
        <v>18176</v>
      </c>
      <c r="B7801" t="s">
        <v>26951</v>
      </c>
      <c r="C7801" t="s">
        <v>19706</v>
      </c>
      <c r="D7801" t="s">
        <v>19705</v>
      </c>
      <c r="E7801" s="2" t="s">
        <v>653</v>
      </c>
      <c r="F7801" t="s">
        <v>19704</v>
      </c>
      <c r="G7801" t="str">
        <f>HYPERLINK("https://n.news.naver.com/mnews/article/056/0010486653?sid=101")</f>
        <v>https://n.news.naver.com/mnews/article/056/0010486653?sid=101</v>
      </c>
      <c r="H7801">
        <v>0.247</v>
      </c>
    </row>
    <row r="7802" spans="1:8" x14ac:dyDescent="0.3">
      <c r="A7802" t="s">
        <v>18176</v>
      </c>
      <c r="B7802" t="s">
        <v>26951</v>
      </c>
      <c r="C7802" t="s">
        <v>19708</v>
      </c>
      <c r="D7802" t="s">
        <v>19707</v>
      </c>
      <c r="E7802" s="2" t="s">
        <v>653</v>
      </c>
      <c r="F7802" t="s">
        <v>7757</v>
      </c>
      <c r="G7802" t="str">
        <f>HYPERLINK("https://n.news.naver.com/mnews/article/056/0011028235?sid=101")</f>
        <v>https://n.news.naver.com/mnews/article/056/0011028235?sid=101</v>
      </c>
      <c r="H7802">
        <v>0.21</v>
      </c>
    </row>
    <row r="7803" spans="1:8" x14ac:dyDescent="0.3">
      <c r="A7803" t="s">
        <v>18176</v>
      </c>
      <c r="B7803" t="s">
        <v>26951</v>
      </c>
      <c r="C7803" t="s">
        <v>19710</v>
      </c>
      <c r="D7803" t="s">
        <v>19709</v>
      </c>
      <c r="E7803" s="2" t="s">
        <v>653</v>
      </c>
      <c r="F7803" t="s">
        <v>796</v>
      </c>
      <c r="G7803" t="str">
        <f>HYPERLINK("https://n.news.naver.com/mnews/article/087/0001121238?sid=100")</f>
        <v>https://n.news.naver.com/mnews/article/087/0001121238?sid=100</v>
      </c>
      <c r="H7803">
        <v>0.313</v>
      </c>
    </row>
    <row r="7804" spans="1:8" x14ac:dyDescent="0.3">
      <c r="A7804" t="s">
        <v>18176</v>
      </c>
      <c r="B7804" t="s">
        <v>26951</v>
      </c>
      <c r="C7804" t="s">
        <v>19712</v>
      </c>
      <c r="D7804" t="s">
        <v>19711</v>
      </c>
      <c r="E7804" s="2" t="s">
        <v>653</v>
      </c>
      <c r="F7804" t="s">
        <v>11533</v>
      </c>
      <c r="G7804" t="str">
        <f>HYPERLINK("https://www.nbntv.co.kr/news/articleView.html?idxno=3001932")</f>
        <v>https://www.nbntv.co.kr/news/articleView.html?idxno=3001932</v>
      </c>
      <c r="H7804">
        <v>0.49299999999999999</v>
      </c>
    </row>
    <row r="7805" spans="1:8" x14ac:dyDescent="0.3">
      <c r="A7805" t="s">
        <v>18176</v>
      </c>
      <c r="B7805" t="s">
        <v>26951</v>
      </c>
      <c r="C7805" t="s">
        <v>19714</v>
      </c>
      <c r="D7805" t="s">
        <v>19713</v>
      </c>
      <c r="E7805" s="2" t="s">
        <v>653</v>
      </c>
      <c r="F7805" t="s">
        <v>1834</v>
      </c>
      <c r="G7805" t="str">
        <f>HYPERLINK("http://www.ifs.or.kr/bbs/board.php?bo_table=News&amp;wr_id=53788")</f>
        <v>http://www.ifs.or.kr/bbs/board.php?bo_table=News&amp;wr_id=53788</v>
      </c>
      <c r="H7805">
        <v>0.55300000000000005</v>
      </c>
    </row>
    <row r="7806" spans="1:8" x14ac:dyDescent="0.3">
      <c r="A7806" t="s">
        <v>18176</v>
      </c>
      <c r="B7806" t="s">
        <v>26951</v>
      </c>
      <c r="C7806" t="s">
        <v>19717</v>
      </c>
      <c r="D7806" t="s">
        <v>19716</v>
      </c>
      <c r="E7806" s="2" t="s">
        <v>653</v>
      </c>
      <c r="F7806" t="s">
        <v>19715</v>
      </c>
      <c r="G7806" t="str">
        <f>HYPERLINK("https://news.unn.net/news/articleView.html?idxno=580519")</f>
        <v>https://news.unn.net/news/articleView.html?idxno=580519</v>
      </c>
      <c r="H7806">
        <v>0.436</v>
      </c>
    </row>
    <row r="7807" spans="1:8" x14ac:dyDescent="0.3">
      <c r="A7807" t="s">
        <v>18176</v>
      </c>
      <c r="B7807" t="s">
        <v>26951</v>
      </c>
      <c r="C7807" t="s">
        <v>19719</v>
      </c>
      <c r="D7807" t="s">
        <v>19718</v>
      </c>
      <c r="E7807" s="2" t="s">
        <v>653</v>
      </c>
      <c r="F7807" t="s">
        <v>10132</v>
      </c>
      <c r="G7807" t="str">
        <f>HYPERLINK("https://www.ggilbo.com/news/articleView.html?idxno=1095062")</f>
        <v>https://www.ggilbo.com/news/articleView.html?idxno=1095062</v>
      </c>
      <c r="H7807">
        <v>0.54</v>
      </c>
    </row>
    <row r="7808" spans="1:8" x14ac:dyDescent="0.3">
      <c r="A7808" t="s">
        <v>18176</v>
      </c>
      <c r="B7808" t="s">
        <v>26951</v>
      </c>
      <c r="C7808" t="s">
        <v>19721</v>
      </c>
      <c r="D7808" t="s">
        <v>19720</v>
      </c>
      <c r="E7808" s="2" t="s">
        <v>653</v>
      </c>
      <c r="F7808" t="s">
        <v>9922</v>
      </c>
      <c r="G7808" t="str">
        <f>HYPERLINK("https://n.news.naver.com/mnews/article/088/0000952235?sid=102")</f>
        <v>https://n.news.naver.com/mnews/article/088/0000952235?sid=102</v>
      </c>
      <c r="H7808">
        <v>0.27900000000000003</v>
      </c>
    </row>
    <row r="7809" spans="1:8" x14ac:dyDescent="0.3">
      <c r="A7809" t="s">
        <v>18176</v>
      </c>
      <c r="B7809" t="s">
        <v>26951</v>
      </c>
      <c r="C7809" t="s">
        <v>19723</v>
      </c>
      <c r="D7809" t="s">
        <v>19722</v>
      </c>
      <c r="E7809" s="2" t="s">
        <v>653</v>
      </c>
      <c r="F7809" t="s">
        <v>7621</v>
      </c>
      <c r="G7809" t="str">
        <f>HYPERLINK("http://www.gjdream.com/news/articleView.html?idxno=657272")</f>
        <v>http://www.gjdream.com/news/articleView.html?idxno=657272</v>
      </c>
      <c r="H7809">
        <v>0.215</v>
      </c>
    </row>
    <row r="7810" spans="1:8" x14ac:dyDescent="0.3">
      <c r="A7810" t="s">
        <v>18176</v>
      </c>
      <c r="B7810" t="s">
        <v>26951</v>
      </c>
      <c r="C7810" t="s">
        <v>19726</v>
      </c>
      <c r="D7810" t="s">
        <v>19725</v>
      </c>
      <c r="E7810" s="2" t="s">
        <v>653</v>
      </c>
      <c r="F7810" t="s">
        <v>19724</v>
      </c>
      <c r="G7810" t="str">
        <f>HYPERLINK("https://www.greened.kr/news/articleView.html?idxno=327429")</f>
        <v>https://www.greened.kr/news/articleView.html?idxno=327429</v>
      </c>
      <c r="H7810">
        <v>0.46899999999999997</v>
      </c>
    </row>
    <row r="7811" spans="1:8" x14ac:dyDescent="0.3">
      <c r="A7811" t="s">
        <v>18176</v>
      </c>
      <c r="B7811" t="s">
        <v>26951</v>
      </c>
      <c r="C7811" t="s">
        <v>19728</v>
      </c>
      <c r="D7811" t="s">
        <v>19727</v>
      </c>
      <c r="E7811" s="2" t="s">
        <v>653</v>
      </c>
      <c r="F7811" t="s">
        <v>19563</v>
      </c>
      <c r="G7811" t="str">
        <f>HYPERLINK("https://www.kbmaeil.com/article/20250614500019")</f>
        <v>https://www.kbmaeil.com/article/20250614500019</v>
      </c>
      <c r="H7811">
        <v>0.161</v>
      </c>
    </row>
    <row r="7812" spans="1:8" x14ac:dyDescent="0.3">
      <c r="A7812" t="s">
        <v>18176</v>
      </c>
      <c r="B7812" t="s">
        <v>26951</v>
      </c>
      <c r="C7812" t="s">
        <v>19730</v>
      </c>
      <c r="D7812" t="s">
        <v>19729</v>
      </c>
      <c r="E7812" s="2" t="s">
        <v>653</v>
      </c>
      <c r="F7812" t="s">
        <v>11733</v>
      </c>
      <c r="G7812" t="str">
        <f>HYPERLINK("http://theviewers.co.kr/View.aspx?No=3671381")</f>
        <v>http://theviewers.co.kr/View.aspx?No=3671381</v>
      </c>
      <c r="H7812">
        <v>0.248</v>
      </c>
    </row>
    <row r="7813" spans="1:8" x14ac:dyDescent="0.3">
      <c r="A7813" t="s">
        <v>18176</v>
      </c>
      <c r="B7813" t="s">
        <v>26951</v>
      </c>
      <c r="C7813" t="s">
        <v>19733</v>
      </c>
      <c r="D7813" t="s">
        <v>19732</v>
      </c>
      <c r="E7813" s="2" t="s">
        <v>653</v>
      </c>
      <c r="F7813" t="s">
        <v>19731</v>
      </c>
      <c r="G7813" t="str">
        <f>HYPERLINK("https://n.news.naver.com/mnews/article/469/0000870989?sid=103")</f>
        <v>https://n.news.naver.com/mnews/article/469/0000870989?sid=103</v>
      </c>
      <c r="H7813">
        <v>0.26700000000000002</v>
      </c>
    </row>
    <row r="7814" spans="1:8" x14ac:dyDescent="0.3">
      <c r="A7814" t="s">
        <v>18176</v>
      </c>
      <c r="B7814" t="s">
        <v>26951</v>
      </c>
      <c r="C7814" t="s">
        <v>19736</v>
      </c>
      <c r="D7814" t="s">
        <v>19735</v>
      </c>
      <c r="E7814" s="2" t="s">
        <v>653</v>
      </c>
      <c r="F7814" t="s">
        <v>19734</v>
      </c>
      <c r="G7814" t="str">
        <f>HYPERLINK("http://www.metroseoul.co.kr/article/20250608500138")</f>
        <v>http://www.metroseoul.co.kr/article/20250608500138</v>
      </c>
      <c r="H7814">
        <v>0.39200000000000002</v>
      </c>
    </row>
    <row r="7815" spans="1:8" x14ac:dyDescent="0.3">
      <c r="A7815" t="s">
        <v>18176</v>
      </c>
      <c r="B7815" t="s">
        <v>26951</v>
      </c>
      <c r="C7815" t="s">
        <v>19739</v>
      </c>
      <c r="D7815" t="s">
        <v>19738</v>
      </c>
      <c r="E7815" s="2" t="s">
        <v>653</v>
      </c>
      <c r="F7815" t="s">
        <v>19737</v>
      </c>
      <c r="H7815">
        <v>0.61099999999999999</v>
      </c>
    </row>
    <row r="7816" spans="1:8" x14ac:dyDescent="0.3">
      <c r="A7816" t="s">
        <v>18176</v>
      </c>
      <c r="B7816" t="s">
        <v>26951</v>
      </c>
      <c r="C7816" t="s">
        <v>19742</v>
      </c>
      <c r="D7816" t="s">
        <v>19741</v>
      </c>
      <c r="E7816" s="2" t="s">
        <v>653</v>
      </c>
      <c r="F7816" t="s">
        <v>19740</v>
      </c>
      <c r="G7816" t="str">
        <f>HYPERLINK("http://news.lghellovision.net/news/articleView.html?idxno=509029")</f>
        <v>http://news.lghellovision.net/news/articleView.html?idxno=509029</v>
      </c>
      <c r="H7816">
        <v>0.28599999999999998</v>
      </c>
    </row>
    <row r="7817" spans="1:8" x14ac:dyDescent="0.3">
      <c r="A7817" t="s">
        <v>18176</v>
      </c>
      <c r="B7817" t="s">
        <v>26951</v>
      </c>
      <c r="C7817" t="s">
        <v>19744</v>
      </c>
      <c r="D7817" t="s">
        <v>19743</v>
      </c>
      <c r="E7817" s="2" t="s">
        <v>653</v>
      </c>
      <c r="F7817" t="s">
        <v>11557</v>
      </c>
      <c r="G7817" t="str">
        <f>HYPERLINK("https://www.jemin.com/news/articleView.html?idxno=810355")</f>
        <v>https://www.jemin.com/news/articleView.html?idxno=810355</v>
      </c>
      <c r="H7817">
        <v>0.69899999999999995</v>
      </c>
    </row>
    <row r="7818" spans="1:8" x14ac:dyDescent="0.3">
      <c r="A7818" t="s">
        <v>18176</v>
      </c>
      <c r="B7818" t="s">
        <v>26951</v>
      </c>
      <c r="C7818" t="s">
        <v>19747</v>
      </c>
      <c r="D7818" t="s">
        <v>19746</v>
      </c>
      <c r="E7818" s="2" t="s">
        <v>653</v>
      </c>
      <c r="F7818" t="s">
        <v>19745</v>
      </c>
      <c r="G7818" t="str">
        <f>HYPERLINK("https://www.sisamagazine.co.kr/news/articleView.html?idxno=514569")</f>
        <v>https://www.sisamagazine.co.kr/news/articleView.html?idxno=514569</v>
      </c>
      <c r="H7818">
        <v>0.28499999999999998</v>
      </c>
    </row>
    <row r="7819" spans="1:8" x14ac:dyDescent="0.3">
      <c r="A7819" t="s">
        <v>18176</v>
      </c>
      <c r="B7819" t="s">
        <v>26951</v>
      </c>
      <c r="C7819" t="s">
        <v>19750</v>
      </c>
      <c r="D7819" t="s">
        <v>19749</v>
      </c>
      <c r="E7819" s="2" t="s">
        <v>692</v>
      </c>
      <c r="F7819" t="s">
        <v>19748</v>
      </c>
      <c r="G7819" t="str">
        <f>HYPERLINK("https://www.greened.kr/news/articleView.html?idxno=314611")</f>
        <v>https://www.greened.kr/news/articleView.html?idxno=314611</v>
      </c>
      <c r="H7819">
        <v>0.35899999999999999</v>
      </c>
    </row>
    <row r="7820" spans="1:8" x14ac:dyDescent="0.3">
      <c r="A7820" t="s">
        <v>18176</v>
      </c>
      <c r="B7820" t="s">
        <v>26951</v>
      </c>
      <c r="C7820" t="s">
        <v>19753</v>
      </c>
      <c r="D7820" t="s">
        <v>19752</v>
      </c>
      <c r="E7820" s="2" t="s">
        <v>692</v>
      </c>
      <c r="F7820" t="s">
        <v>19751</v>
      </c>
      <c r="G7820" t="str">
        <f>HYPERLINK("http://news.lghellovision.net/news/articleView.html?idxno=509029")</f>
        <v>http://news.lghellovision.net/news/articleView.html?idxno=509029</v>
      </c>
      <c r="H7820">
        <v>0.30099999999999999</v>
      </c>
    </row>
    <row r="7821" spans="1:8" x14ac:dyDescent="0.3">
      <c r="A7821" t="s">
        <v>18176</v>
      </c>
      <c r="B7821" t="s">
        <v>26951</v>
      </c>
      <c r="C7821" t="s">
        <v>19756</v>
      </c>
      <c r="D7821" t="s">
        <v>19755</v>
      </c>
      <c r="E7821" s="2" t="s">
        <v>692</v>
      </c>
      <c r="F7821" t="s">
        <v>19754</v>
      </c>
      <c r="G7821" t="str">
        <f>HYPERLINK("https://www.safetimes.co.kr/news/articleView.html?idxno=229899")</f>
        <v>https://www.safetimes.co.kr/news/articleView.html?idxno=229899</v>
      </c>
      <c r="H7821">
        <v>6.8000000000000005E-2</v>
      </c>
    </row>
    <row r="7822" spans="1:8" x14ac:dyDescent="0.3">
      <c r="A7822" t="s">
        <v>18176</v>
      </c>
      <c r="B7822" t="s">
        <v>26951</v>
      </c>
      <c r="C7822" t="s">
        <v>19758</v>
      </c>
      <c r="D7822" t="s">
        <v>19757</v>
      </c>
      <c r="E7822" s="2" t="s">
        <v>692</v>
      </c>
      <c r="F7822" t="s">
        <v>13824</v>
      </c>
      <c r="G7822" t="str">
        <f>HYPERLINK("http://www.pennmike.com/news/articleView.html?idxno=52443")</f>
        <v>http://www.pennmike.com/news/articleView.html?idxno=52443</v>
      </c>
      <c r="H7822">
        <v>0.38100000000000001</v>
      </c>
    </row>
    <row r="7823" spans="1:8" x14ac:dyDescent="0.3">
      <c r="A7823" t="s">
        <v>18176</v>
      </c>
      <c r="B7823" t="s">
        <v>26951</v>
      </c>
      <c r="C7823" t="s">
        <v>19760</v>
      </c>
      <c r="D7823" t="s">
        <v>19759</v>
      </c>
      <c r="E7823" s="2" t="s">
        <v>692</v>
      </c>
      <c r="F7823" t="s">
        <v>12264</v>
      </c>
      <c r="G7823" t="str">
        <f>HYPERLINK("https://www.knnews.co.kr/news/articleView.php?idxno=1460210")</f>
        <v>https://www.knnews.co.kr/news/articleView.php?idxno=1460210</v>
      </c>
      <c r="H7823">
        <v>0.67400000000000004</v>
      </c>
    </row>
    <row r="7824" spans="1:8" x14ac:dyDescent="0.3">
      <c r="A7824" t="s">
        <v>18176</v>
      </c>
      <c r="B7824" t="s">
        <v>26951</v>
      </c>
      <c r="C7824" t="s">
        <v>19763</v>
      </c>
      <c r="D7824" t="s">
        <v>19762</v>
      </c>
      <c r="E7824" s="2" t="s">
        <v>692</v>
      </c>
      <c r="F7824" t="s">
        <v>19761</v>
      </c>
      <c r="G7824" t="str">
        <f>HYPERLINK("https://n.news.naver.com/mnews/article/088/0000598283?sid=102")</f>
        <v>https://n.news.naver.com/mnews/article/088/0000598283?sid=102</v>
      </c>
      <c r="H7824">
        <v>0.37</v>
      </c>
    </row>
    <row r="7825" spans="1:8" x14ac:dyDescent="0.3">
      <c r="A7825" t="s">
        <v>18176</v>
      </c>
      <c r="B7825" t="s">
        <v>26951</v>
      </c>
      <c r="C7825" t="s">
        <v>19766</v>
      </c>
      <c r="D7825" t="s">
        <v>19765</v>
      </c>
      <c r="E7825" s="2" t="s">
        <v>692</v>
      </c>
      <c r="F7825" t="s">
        <v>19764</v>
      </c>
      <c r="G7825" t="str">
        <f>HYPERLINK("https://n.news.naver.com/mnews/article/014/0005369011?sid=102")</f>
        <v>https://n.news.naver.com/mnews/article/014/0005369011?sid=102</v>
      </c>
      <c r="H7825">
        <v>0.26300000000000001</v>
      </c>
    </row>
    <row r="7826" spans="1:8" x14ac:dyDescent="0.3">
      <c r="A7826" t="s">
        <v>18176</v>
      </c>
      <c r="B7826" t="s">
        <v>26951</v>
      </c>
      <c r="C7826" t="s">
        <v>19768</v>
      </c>
      <c r="D7826" t="s">
        <v>19767</v>
      </c>
      <c r="E7826" s="2" t="s">
        <v>692</v>
      </c>
      <c r="F7826" t="s">
        <v>19450</v>
      </c>
      <c r="G7826" t="str">
        <f>HYPERLINK("http://www.doctorstimes.com/news/articleView.html?idxno=230398")</f>
        <v>http://www.doctorstimes.com/news/articleView.html?idxno=230398</v>
      </c>
      <c r="H7826">
        <v>0.40500000000000003</v>
      </c>
    </row>
    <row r="7827" spans="1:8" x14ac:dyDescent="0.3">
      <c r="A7827" t="s">
        <v>18176</v>
      </c>
      <c r="B7827" t="s">
        <v>26951</v>
      </c>
      <c r="C7827" t="s">
        <v>19770</v>
      </c>
      <c r="D7827" t="s">
        <v>19769</v>
      </c>
      <c r="E7827" s="2" t="s">
        <v>692</v>
      </c>
      <c r="F7827" t="s">
        <v>16914</v>
      </c>
      <c r="G7827" t="str">
        <f>HYPERLINK("https://n.news.naver.com/mnews/article/016/0002486897?sid=103")</f>
        <v>https://n.news.naver.com/mnews/article/016/0002486897?sid=103</v>
      </c>
      <c r="H7827">
        <v>0.27600000000000002</v>
      </c>
    </row>
    <row r="7828" spans="1:8" x14ac:dyDescent="0.3">
      <c r="A7828" t="s">
        <v>18176</v>
      </c>
      <c r="B7828" t="s">
        <v>26951</v>
      </c>
      <c r="C7828" t="s">
        <v>19774</v>
      </c>
      <c r="D7828" t="s">
        <v>19773</v>
      </c>
      <c r="E7828" s="2" t="s">
        <v>692</v>
      </c>
      <c r="F7828" t="s">
        <v>19772</v>
      </c>
      <c r="G7828" t="str">
        <f>HYPERLINK("https://www.pdjournal.com/news/articleView.html?idxno=80819")</f>
        <v>https://www.pdjournal.com/news/articleView.html?idxno=80819</v>
      </c>
      <c r="H7828">
        <v>0.52</v>
      </c>
    </row>
    <row r="7829" spans="1:8" x14ac:dyDescent="0.3">
      <c r="A7829" t="s">
        <v>18176</v>
      </c>
      <c r="B7829" t="s">
        <v>26951</v>
      </c>
      <c r="C7829" t="s">
        <v>19777</v>
      </c>
      <c r="D7829" t="s">
        <v>19776</v>
      </c>
      <c r="E7829" s="2" t="s">
        <v>692</v>
      </c>
      <c r="F7829" t="s">
        <v>19775</v>
      </c>
      <c r="G7829" t="str">
        <f>HYPERLINK("https://sports.hankooki.com/news/articleView.html?idxno=6888112")</f>
        <v>https://sports.hankooki.com/news/articleView.html?idxno=6888112</v>
      </c>
      <c r="H7829">
        <v>0.30199999999999999</v>
      </c>
    </row>
    <row r="7830" spans="1:8" x14ac:dyDescent="0.3">
      <c r="A7830" t="s">
        <v>18176</v>
      </c>
      <c r="B7830" t="s">
        <v>26951</v>
      </c>
      <c r="C7830" t="s">
        <v>19779</v>
      </c>
      <c r="D7830" t="s">
        <v>19778</v>
      </c>
      <c r="E7830" s="2" t="s">
        <v>692</v>
      </c>
      <c r="F7830" t="s">
        <v>9944</v>
      </c>
      <c r="G7830" t="str">
        <f>HYPERLINK("https://n.news.naver.com/mnews/article/056/0011979441?sid=103")</f>
        <v>https://n.news.naver.com/mnews/article/056/0011979441?sid=103</v>
      </c>
      <c r="H7830">
        <v>0.26</v>
      </c>
    </row>
    <row r="7831" spans="1:8" x14ac:dyDescent="0.3">
      <c r="A7831" t="s">
        <v>18176</v>
      </c>
      <c r="B7831" t="s">
        <v>26951</v>
      </c>
      <c r="C7831" t="s">
        <v>19781</v>
      </c>
      <c r="D7831" t="s">
        <v>19780</v>
      </c>
      <c r="E7831" s="2" t="s">
        <v>692</v>
      </c>
      <c r="F7831" t="s">
        <v>8713</v>
      </c>
      <c r="G7831" t="str">
        <f>HYPERLINK("http://www.sisaon.co.kr/news/articleView.html?idxno=132316")</f>
        <v>http://www.sisaon.co.kr/news/articleView.html?idxno=132316</v>
      </c>
      <c r="H7831">
        <v>0.59899999999999998</v>
      </c>
    </row>
    <row r="7832" spans="1:8" x14ac:dyDescent="0.3">
      <c r="A7832" t="s">
        <v>18176</v>
      </c>
      <c r="B7832" t="s">
        <v>26951</v>
      </c>
      <c r="C7832" t="s">
        <v>19784</v>
      </c>
      <c r="D7832" t="s">
        <v>19783</v>
      </c>
      <c r="E7832" s="2" t="s">
        <v>692</v>
      </c>
      <c r="F7832" t="s">
        <v>19782</v>
      </c>
      <c r="G7832" t="str">
        <f>HYPERLINK("https://www.greened.kr/news/articleView.html?idxno=316508")</f>
        <v>https://www.greened.kr/news/articleView.html?idxno=316508</v>
      </c>
      <c r="H7832">
        <v>0.3</v>
      </c>
    </row>
    <row r="7833" spans="1:8" x14ac:dyDescent="0.3">
      <c r="A7833" t="s">
        <v>18176</v>
      </c>
      <c r="B7833" t="s">
        <v>26951</v>
      </c>
      <c r="C7833" t="s">
        <v>19786</v>
      </c>
      <c r="D7833" t="s">
        <v>19785</v>
      </c>
      <c r="E7833" s="2" t="s">
        <v>692</v>
      </c>
      <c r="F7833" t="s">
        <v>16843</v>
      </c>
      <c r="G7833" t="str">
        <f>HYPERLINK("https://www.idomin.com/news/articleView.html?idxno=937525")</f>
        <v>https://www.idomin.com/news/articleView.html?idxno=937525</v>
      </c>
      <c r="H7833">
        <v>0.161</v>
      </c>
    </row>
    <row r="7834" spans="1:8" x14ac:dyDescent="0.3">
      <c r="A7834" t="s">
        <v>18176</v>
      </c>
      <c r="B7834" t="s">
        <v>26951</v>
      </c>
      <c r="C7834" t="s">
        <v>19788</v>
      </c>
      <c r="D7834" t="s">
        <v>19787</v>
      </c>
      <c r="E7834" s="2" t="s">
        <v>692</v>
      </c>
      <c r="F7834" t="s">
        <v>8659</v>
      </c>
      <c r="G7834" t="str">
        <f>HYPERLINK("https://www.siminilbo.co.kr/news/newsview.php?ncode=1160281993225821")</f>
        <v>https://www.siminilbo.co.kr/news/newsview.php?ncode=1160281993225821</v>
      </c>
      <c r="H7834">
        <v>0.24399999999999999</v>
      </c>
    </row>
    <row r="7835" spans="1:8" x14ac:dyDescent="0.3">
      <c r="A7835" t="s">
        <v>18176</v>
      </c>
      <c r="B7835" t="s">
        <v>26951</v>
      </c>
      <c r="C7835" t="s">
        <v>19790</v>
      </c>
      <c r="D7835" t="s">
        <v>19789</v>
      </c>
      <c r="E7835" s="2" t="s">
        <v>692</v>
      </c>
      <c r="F7835" t="s">
        <v>19453</v>
      </c>
      <c r="G7835" t="str">
        <f>HYPERLINK("http://www.ablenews.co.kr/News/NewsContent.aspx?CategoryCode=0048&amp;NewsCode=004820111011111159808875")</f>
        <v>http://www.ablenews.co.kr/News/NewsContent.aspx?CategoryCode=0048&amp;NewsCode=004820111011111159808875</v>
      </c>
      <c r="H7835">
        <v>0.33200000000000002</v>
      </c>
    </row>
    <row r="7836" spans="1:8" x14ac:dyDescent="0.3">
      <c r="A7836" t="s">
        <v>18176</v>
      </c>
      <c r="B7836" t="s">
        <v>26951</v>
      </c>
      <c r="C7836" t="s">
        <v>19793</v>
      </c>
      <c r="D7836" t="s">
        <v>19792</v>
      </c>
      <c r="E7836" s="2" t="s">
        <v>692</v>
      </c>
      <c r="F7836" t="s">
        <v>19791</v>
      </c>
      <c r="G7836" t="str">
        <f>HYPERLINK("https://bravo.etoday.co.kr/view/atc_view.php?varAtcId=13462")</f>
        <v>https://bravo.etoday.co.kr/view/atc_view.php?varAtcId=13462</v>
      </c>
      <c r="H7836">
        <v>0.629</v>
      </c>
    </row>
    <row r="7837" spans="1:8" x14ac:dyDescent="0.3">
      <c r="A7837" t="s">
        <v>18176</v>
      </c>
      <c r="B7837" t="s">
        <v>26951</v>
      </c>
      <c r="C7837" t="s">
        <v>19796</v>
      </c>
      <c r="D7837" t="s">
        <v>19795</v>
      </c>
      <c r="E7837" s="2" t="s">
        <v>692</v>
      </c>
      <c r="F7837" t="s">
        <v>19794</v>
      </c>
      <c r="G7837" t="str">
        <f>HYPERLINK("https://www.kyongbuk.co.kr/news/articleView.html?idxno=4025680")</f>
        <v>https://www.kyongbuk.co.kr/news/articleView.html?idxno=4025680</v>
      </c>
      <c r="H7837">
        <v>0.48299999999999998</v>
      </c>
    </row>
    <row r="7838" spans="1:8" x14ac:dyDescent="0.3">
      <c r="A7838" t="s">
        <v>18176</v>
      </c>
      <c r="B7838" t="s">
        <v>26951</v>
      </c>
      <c r="C7838" t="s">
        <v>19799</v>
      </c>
      <c r="D7838" t="s">
        <v>19798</v>
      </c>
      <c r="E7838" s="2" t="s">
        <v>692</v>
      </c>
      <c r="F7838" t="s">
        <v>19797</v>
      </c>
      <c r="G7838" t="str">
        <f>HYPERLINK("https://www.sisamagazine.co.kr/news/articleView.html?idxno=514569")</f>
        <v>https://www.sisamagazine.co.kr/news/articleView.html?idxno=514569</v>
      </c>
      <c r="H7838">
        <v>0.374</v>
      </c>
    </row>
    <row r="7839" spans="1:8" x14ac:dyDescent="0.3">
      <c r="A7839" t="s">
        <v>18176</v>
      </c>
      <c r="B7839" t="s">
        <v>26951</v>
      </c>
      <c r="C7839" t="s">
        <v>19802</v>
      </c>
      <c r="D7839" t="s">
        <v>19801</v>
      </c>
      <c r="E7839" s="2" t="s">
        <v>692</v>
      </c>
      <c r="F7839" t="s">
        <v>19800</v>
      </c>
      <c r="G7839" t="str">
        <f>HYPERLINK("https://www.idomin.com/news/articleView.html?idxno=935018")</f>
        <v>https://www.idomin.com/news/articleView.html?idxno=935018</v>
      </c>
      <c r="H7839">
        <v>0.499</v>
      </c>
    </row>
    <row r="7840" spans="1:8" x14ac:dyDescent="0.3">
      <c r="A7840" t="s">
        <v>18176</v>
      </c>
      <c r="B7840" t="s">
        <v>26951</v>
      </c>
      <c r="C7840" t="s">
        <v>19805</v>
      </c>
      <c r="D7840" t="s">
        <v>19804</v>
      </c>
      <c r="E7840" s="2" t="s">
        <v>692</v>
      </c>
      <c r="F7840" t="s">
        <v>19803</v>
      </c>
      <c r="G7840" t="str">
        <f>HYPERLINK("https://n.news.naver.com/mnews/article/044/0000271840?sid=104")</f>
        <v>https://n.news.naver.com/mnews/article/044/0000271840?sid=104</v>
      </c>
      <c r="H7840">
        <v>0.30299999999999999</v>
      </c>
    </row>
    <row r="7841" spans="1:8" x14ac:dyDescent="0.3">
      <c r="A7841" t="s">
        <v>18176</v>
      </c>
      <c r="B7841" t="s">
        <v>26951</v>
      </c>
      <c r="C7841" t="s">
        <v>19808</v>
      </c>
      <c r="D7841" t="s">
        <v>19807</v>
      </c>
      <c r="E7841" s="2" t="s">
        <v>692</v>
      </c>
      <c r="F7841" t="s">
        <v>19806</v>
      </c>
      <c r="G7841" t="str">
        <f>HYPERLINK("https://www.jemin.com/news/articleView.html?idxno=809191")</f>
        <v>https://www.jemin.com/news/articleView.html?idxno=809191</v>
      </c>
      <c r="H7841">
        <v>0.75600000000000001</v>
      </c>
    </row>
    <row r="7842" spans="1:8" x14ac:dyDescent="0.3">
      <c r="A7842" t="s">
        <v>18176</v>
      </c>
      <c r="B7842" t="s">
        <v>26951</v>
      </c>
      <c r="C7842" t="s">
        <v>19811</v>
      </c>
      <c r="D7842" t="s">
        <v>19810</v>
      </c>
      <c r="E7842" s="2" t="s">
        <v>692</v>
      </c>
      <c r="F7842" t="s">
        <v>19809</v>
      </c>
      <c r="G7842" t="str">
        <f>HYPERLINK("https://www.geconomy.co.kr/news/article.html?no=272159")</f>
        <v>https://www.geconomy.co.kr/news/article.html?no=272159</v>
      </c>
      <c r="H7842">
        <v>0.53200000000000003</v>
      </c>
    </row>
    <row r="7843" spans="1:8" x14ac:dyDescent="0.3">
      <c r="A7843" t="s">
        <v>18176</v>
      </c>
      <c r="B7843" t="s">
        <v>26951</v>
      </c>
      <c r="C7843" t="s">
        <v>19813</v>
      </c>
      <c r="D7843" t="s">
        <v>19812</v>
      </c>
      <c r="E7843" s="2" t="s">
        <v>692</v>
      </c>
      <c r="F7843" t="s">
        <v>11313</v>
      </c>
      <c r="G7843" t="str">
        <f>HYPERLINK("https://sports.hankooki.com/news/articleView.html?idxno=6879068")</f>
        <v>https://sports.hankooki.com/news/articleView.html?idxno=6879068</v>
      </c>
      <c r="H7843">
        <v>0.53700000000000003</v>
      </c>
    </row>
    <row r="7844" spans="1:8" x14ac:dyDescent="0.3">
      <c r="A7844" t="s">
        <v>18176</v>
      </c>
      <c r="B7844" t="s">
        <v>26951</v>
      </c>
      <c r="C7844" t="s">
        <v>19815</v>
      </c>
      <c r="D7844" t="s">
        <v>19814</v>
      </c>
      <c r="E7844" s="2" t="s">
        <v>692</v>
      </c>
      <c r="F7844" t="s">
        <v>817</v>
      </c>
      <c r="G7844" t="str">
        <f>HYPERLINK("https://n.news.naver.com/mnews/article/022/0004041739?sid=103")</f>
        <v>https://n.news.naver.com/mnews/article/022/0004041739?sid=103</v>
      </c>
      <c r="H7844">
        <v>0.26300000000000001</v>
      </c>
    </row>
    <row r="7845" spans="1:8" x14ac:dyDescent="0.3">
      <c r="A7845" t="s">
        <v>18176</v>
      </c>
      <c r="B7845" t="s">
        <v>26951</v>
      </c>
      <c r="C7845" t="s">
        <v>19817</v>
      </c>
      <c r="D7845" t="s">
        <v>19816</v>
      </c>
      <c r="E7845" s="2" t="s">
        <v>692</v>
      </c>
      <c r="F7845" t="s">
        <v>13310</v>
      </c>
      <c r="G7845" t="str">
        <f>HYPERLINK("https://www.huffingtonpost.kr/news/articleView.html?idxno=231653")</f>
        <v>https://www.huffingtonpost.kr/news/articleView.html?idxno=231653</v>
      </c>
      <c r="H7845">
        <v>0.39400000000000002</v>
      </c>
    </row>
    <row r="7846" spans="1:8" x14ac:dyDescent="0.3">
      <c r="A7846" t="s">
        <v>18176</v>
      </c>
      <c r="B7846" t="s">
        <v>26951</v>
      </c>
      <c r="C7846" t="s">
        <v>19820</v>
      </c>
      <c r="D7846" t="s">
        <v>19819</v>
      </c>
      <c r="E7846" s="2" t="s">
        <v>692</v>
      </c>
      <c r="F7846" t="s">
        <v>19818</v>
      </c>
      <c r="G7846" t="str">
        <f>HYPERLINK("https://sports.hankooki.com/news/articleView.html?idxno=6900159")</f>
        <v>https://sports.hankooki.com/news/articleView.html?idxno=6900159</v>
      </c>
      <c r="H7846">
        <v>0.47199999999999998</v>
      </c>
    </row>
    <row r="7847" spans="1:8" x14ac:dyDescent="0.3">
      <c r="A7847" t="s">
        <v>18176</v>
      </c>
      <c r="B7847" t="s">
        <v>26951</v>
      </c>
      <c r="C7847" t="s">
        <v>19822</v>
      </c>
      <c r="D7847" t="s">
        <v>19821</v>
      </c>
      <c r="E7847" s="2" t="s">
        <v>692</v>
      </c>
      <c r="F7847" t="s">
        <v>171</v>
      </c>
      <c r="G7847" t="str">
        <f>HYPERLINK("http://www.breaknews.com/1124523")</f>
        <v>http://www.breaknews.com/1124523</v>
      </c>
      <c r="H7847">
        <v>0.34200000000000003</v>
      </c>
    </row>
    <row r="7848" spans="1:8" x14ac:dyDescent="0.3">
      <c r="A7848" t="s">
        <v>18176</v>
      </c>
      <c r="B7848" t="s">
        <v>26951</v>
      </c>
      <c r="C7848" t="s">
        <v>19824</v>
      </c>
      <c r="D7848" t="s">
        <v>19823</v>
      </c>
      <c r="E7848" s="2" t="s">
        <v>692</v>
      </c>
      <c r="F7848" t="s">
        <v>171</v>
      </c>
      <c r="G7848" t="str">
        <f>HYPERLINK("http://magazine.joins.com/monthly/article_view.asp?aid=299336")</f>
        <v>http://magazine.joins.com/monthly/article_view.asp?aid=299336</v>
      </c>
      <c r="H7848">
        <v>0.54600000000000004</v>
      </c>
    </row>
    <row r="7849" spans="1:8" x14ac:dyDescent="0.3">
      <c r="A7849" t="s">
        <v>18176</v>
      </c>
      <c r="B7849" t="s">
        <v>26951</v>
      </c>
      <c r="C7849" t="s">
        <v>19826</v>
      </c>
      <c r="D7849" t="s">
        <v>19825</v>
      </c>
      <c r="E7849" s="2" t="s">
        <v>692</v>
      </c>
      <c r="F7849" t="s">
        <v>588</v>
      </c>
      <c r="G7849" t="str">
        <f>HYPERLINK("http://www.sisafocus.co.kr/news/articleView.html?idxno=340389")</f>
        <v>http://www.sisafocus.co.kr/news/articleView.html?idxno=340389</v>
      </c>
      <c r="H7849">
        <v>0.65900000000000003</v>
      </c>
    </row>
    <row r="7850" spans="1:8" x14ac:dyDescent="0.3">
      <c r="A7850" t="s">
        <v>18176</v>
      </c>
      <c r="B7850" t="s">
        <v>26951</v>
      </c>
      <c r="C7850" t="s">
        <v>19828</v>
      </c>
      <c r="D7850" t="s">
        <v>19827</v>
      </c>
      <c r="E7850" s="2" t="s">
        <v>692</v>
      </c>
      <c r="F7850" t="s">
        <v>14873</v>
      </c>
      <c r="G7850" t="str">
        <f>HYPERLINK("https://n.news.naver.com/mnews/article/081/0003553999?sid=104")</f>
        <v>https://n.news.naver.com/mnews/article/081/0003553999?sid=104</v>
      </c>
      <c r="H7850">
        <v>0.252</v>
      </c>
    </row>
    <row r="7851" spans="1:8" x14ac:dyDescent="0.3">
      <c r="A7851" t="s">
        <v>18176</v>
      </c>
      <c r="B7851" t="s">
        <v>26951</v>
      </c>
      <c r="C7851" t="s">
        <v>19831</v>
      </c>
      <c r="D7851" t="s">
        <v>19830</v>
      </c>
      <c r="E7851" s="2" t="s">
        <v>692</v>
      </c>
      <c r="F7851" t="s">
        <v>19829</v>
      </c>
      <c r="G7851" t="str">
        <f>HYPERLINK("https://www.greened.kr/news/articleView.html?idxno=328257")</f>
        <v>https://www.greened.kr/news/articleView.html?idxno=328257</v>
      </c>
      <c r="H7851">
        <v>0.56000000000000005</v>
      </c>
    </row>
    <row r="7852" spans="1:8" x14ac:dyDescent="0.3">
      <c r="A7852" t="s">
        <v>18176</v>
      </c>
      <c r="B7852" t="s">
        <v>26951</v>
      </c>
      <c r="C7852" t="s">
        <v>19834</v>
      </c>
      <c r="D7852" t="s">
        <v>19833</v>
      </c>
      <c r="E7852" s="2" t="s">
        <v>692</v>
      </c>
      <c r="F7852" t="s">
        <v>19832</v>
      </c>
      <c r="G7852" t="str">
        <f>HYPERLINK("http://www.finomy.com/news/articleView.html?idxno=227485")</f>
        <v>http://www.finomy.com/news/articleView.html?idxno=227485</v>
      </c>
      <c r="H7852">
        <v>0.12</v>
      </c>
    </row>
    <row r="7853" spans="1:8" x14ac:dyDescent="0.3">
      <c r="A7853" t="s">
        <v>18176</v>
      </c>
      <c r="B7853" t="s">
        <v>26951</v>
      </c>
      <c r="C7853" t="s">
        <v>19837</v>
      </c>
      <c r="D7853" t="s">
        <v>19836</v>
      </c>
      <c r="E7853" s="2" t="s">
        <v>692</v>
      </c>
      <c r="F7853" t="s">
        <v>19835</v>
      </c>
      <c r="G7853" t="str">
        <f>HYPERLINK("https://n.news.naver.com/mnews/article/056/0011954877?sid=103")</f>
        <v>https://n.news.naver.com/mnews/article/056/0011954877?sid=103</v>
      </c>
      <c r="H7853">
        <v>0.221</v>
      </c>
    </row>
    <row r="7854" spans="1:8" x14ac:dyDescent="0.3">
      <c r="A7854" t="s">
        <v>18176</v>
      </c>
      <c r="B7854" t="s">
        <v>26951</v>
      </c>
      <c r="C7854" t="s">
        <v>19840</v>
      </c>
      <c r="D7854" t="s">
        <v>19839</v>
      </c>
      <c r="E7854" s="2" t="s">
        <v>692</v>
      </c>
      <c r="F7854" t="s">
        <v>19838</v>
      </c>
      <c r="G7854" t="str">
        <f>HYPERLINK("http://weekly.cnbnews.com/news/article.html?no=126730")</f>
        <v>http://weekly.cnbnews.com/news/article.html?no=126730</v>
      </c>
      <c r="H7854">
        <v>0.57899999999999996</v>
      </c>
    </row>
    <row r="7855" spans="1:8" x14ac:dyDescent="0.3">
      <c r="A7855" t="s">
        <v>18176</v>
      </c>
      <c r="B7855" t="s">
        <v>26951</v>
      </c>
      <c r="C7855" t="s">
        <v>19842</v>
      </c>
      <c r="D7855" t="s">
        <v>19841</v>
      </c>
      <c r="E7855" s="2" t="s">
        <v>692</v>
      </c>
      <c r="F7855" t="s">
        <v>10135</v>
      </c>
      <c r="G7855" t="str">
        <f>HYPERLINK("http://www.hidoc.co.kr/healthstory/news/C0000486106")</f>
        <v>http://www.hidoc.co.kr/healthstory/news/C0000486106</v>
      </c>
      <c r="H7855">
        <v>0.51500000000000001</v>
      </c>
    </row>
    <row r="7856" spans="1:8" x14ac:dyDescent="0.3">
      <c r="A7856" t="s">
        <v>18176</v>
      </c>
      <c r="B7856" t="s">
        <v>26951</v>
      </c>
      <c r="C7856" t="s">
        <v>19845</v>
      </c>
      <c r="D7856" t="s">
        <v>19844</v>
      </c>
      <c r="E7856" s="2" t="s">
        <v>692</v>
      </c>
      <c r="F7856" t="s">
        <v>18875</v>
      </c>
      <c r="G7856" t="str">
        <f>HYPERLINK("https://www.pdjournal.com/news/articleView.html?idxno=80819")</f>
        <v>https://www.pdjournal.com/news/articleView.html?idxno=80819</v>
      </c>
      <c r="H7856">
        <v>0.26500000000000001</v>
      </c>
    </row>
    <row r="7857" spans="1:8" x14ac:dyDescent="0.3">
      <c r="A7857" t="s">
        <v>18176</v>
      </c>
      <c r="B7857" t="s">
        <v>26951</v>
      </c>
      <c r="C7857" t="s">
        <v>19847</v>
      </c>
      <c r="D7857" t="s">
        <v>19846</v>
      </c>
      <c r="E7857" s="2" t="s">
        <v>692</v>
      </c>
      <c r="F7857" t="s">
        <v>4119</v>
      </c>
      <c r="G7857" t="str">
        <f>HYPERLINK("https://www.sisamagazine.co.kr/news/articleView.html?idxno=514569")</f>
        <v>https://www.sisamagazine.co.kr/news/articleView.html?idxno=514569</v>
      </c>
      <c r="H7857">
        <v>0.36399999999999999</v>
      </c>
    </row>
    <row r="7858" spans="1:8" x14ac:dyDescent="0.3">
      <c r="A7858" t="s">
        <v>18176</v>
      </c>
      <c r="B7858" t="s">
        <v>26951</v>
      </c>
      <c r="C7858" t="s">
        <v>19849</v>
      </c>
      <c r="D7858" t="s">
        <v>19848</v>
      </c>
      <c r="E7858" s="2" t="s">
        <v>692</v>
      </c>
      <c r="F7858" t="s">
        <v>18655</v>
      </c>
      <c r="G7858" t="str">
        <f>HYPERLINK("http://www.civicnews.com/news/articleView.html?idxno=20765")</f>
        <v>http://www.civicnews.com/news/articleView.html?idxno=20765</v>
      </c>
      <c r="H7858">
        <v>0.42099999999999999</v>
      </c>
    </row>
    <row r="7859" spans="1:8" x14ac:dyDescent="0.3">
      <c r="A7859" t="s">
        <v>18176</v>
      </c>
      <c r="B7859" t="s">
        <v>26951</v>
      </c>
      <c r="C7859" t="s">
        <v>19851</v>
      </c>
      <c r="D7859" t="s">
        <v>19850</v>
      </c>
      <c r="E7859" s="2" t="s">
        <v>692</v>
      </c>
      <c r="F7859" t="s">
        <v>10716</v>
      </c>
      <c r="G7859" t="str">
        <f>HYPERLINK("https://www.pennmike.com/news/articleView.html?idxno=102745")</f>
        <v>https://www.pennmike.com/news/articleView.html?idxno=102745</v>
      </c>
      <c r="H7859">
        <v>0.50800000000000001</v>
      </c>
    </row>
    <row r="7860" spans="1:8" x14ac:dyDescent="0.3">
      <c r="A7860" t="s">
        <v>18176</v>
      </c>
      <c r="B7860" t="s">
        <v>26951</v>
      </c>
      <c r="C7860" t="s">
        <v>3497</v>
      </c>
      <c r="D7860" t="s">
        <v>3496</v>
      </c>
      <c r="E7860" s="2" t="s">
        <v>692</v>
      </c>
      <c r="F7860" t="s">
        <v>2109</v>
      </c>
      <c r="G7860" t="str">
        <f>HYPERLINK("https://n.news.naver.com/mnews/article/056/0011227278?sid=100")</f>
        <v>https://n.news.naver.com/mnews/article/056/0011227278?sid=100</v>
      </c>
      <c r="H7860">
        <v>0.34899999999999998</v>
      </c>
    </row>
    <row r="7861" spans="1:8" x14ac:dyDescent="0.3">
      <c r="A7861" t="s">
        <v>18176</v>
      </c>
      <c r="B7861" t="s">
        <v>26951</v>
      </c>
      <c r="C7861" t="s">
        <v>19853</v>
      </c>
      <c r="D7861" t="s">
        <v>19852</v>
      </c>
      <c r="E7861" s="2" t="s">
        <v>692</v>
      </c>
      <c r="F7861" t="s">
        <v>18633</v>
      </c>
      <c r="G7861" t="str">
        <f>HYPERLINK("https://n.news.naver.com/mnews/article/214/0000981238?sid=100")</f>
        <v>https://n.news.naver.com/mnews/article/214/0000981238?sid=100</v>
      </c>
      <c r="H7861">
        <v>0.44900000000000001</v>
      </c>
    </row>
    <row r="7862" spans="1:8" x14ac:dyDescent="0.3">
      <c r="A7862" t="s">
        <v>18176</v>
      </c>
      <c r="B7862" t="s">
        <v>26951</v>
      </c>
      <c r="C7862" t="s">
        <v>19856</v>
      </c>
      <c r="D7862" t="s">
        <v>19855</v>
      </c>
      <c r="E7862" s="2" t="s">
        <v>692</v>
      </c>
      <c r="F7862" t="s">
        <v>19854</v>
      </c>
      <c r="G7862" t="str">
        <f>HYPERLINK("https://www.ntoday.co.kr/news/articleView.html?idxno=113913")</f>
        <v>https://www.ntoday.co.kr/news/articleView.html?idxno=113913</v>
      </c>
      <c r="H7862">
        <v>0.36399999999999999</v>
      </c>
    </row>
    <row r="7863" spans="1:8" x14ac:dyDescent="0.3">
      <c r="A7863" t="s">
        <v>18176</v>
      </c>
      <c r="B7863" t="s">
        <v>26951</v>
      </c>
      <c r="C7863" t="s">
        <v>19858</v>
      </c>
      <c r="D7863" t="s">
        <v>19857</v>
      </c>
      <c r="E7863" s="2" t="s">
        <v>692</v>
      </c>
      <c r="F7863" t="s">
        <v>1822</v>
      </c>
      <c r="G7863" t="str">
        <f>HYPERLINK("http://www.breaknews.com/1122498")</f>
        <v>http://www.breaknews.com/1122498</v>
      </c>
      <c r="H7863">
        <v>0.251</v>
      </c>
    </row>
    <row r="7864" spans="1:8" x14ac:dyDescent="0.3">
      <c r="A7864" t="s">
        <v>18176</v>
      </c>
      <c r="B7864" t="s">
        <v>26951</v>
      </c>
      <c r="C7864" t="s">
        <v>19861</v>
      </c>
      <c r="D7864" t="s">
        <v>19860</v>
      </c>
      <c r="E7864" s="2" t="s">
        <v>481</v>
      </c>
      <c r="F7864" t="s">
        <v>19859</v>
      </c>
      <c r="G7864" t="str">
        <f>HYPERLINK("https://www.marieclairekorea.com/culture/film/2025/06/cannes-special-2/?utm_source=naver&amp;utm_medium=partnership")</f>
        <v>https://www.marieclairekorea.com/culture/film/2025/06/cannes-special-2/?utm_source=naver&amp;utm_medium=partnership</v>
      </c>
      <c r="H7864">
        <v>0.48799999999999999</v>
      </c>
    </row>
    <row r="7865" spans="1:8" x14ac:dyDescent="0.3">
      <c r="A7865" t="s">
        <v>18176</v>
      </c>
      <c r="B7865" t="s">
        <v>26951</v>
      </c>
      <c r="C7865" t="s">
        <v>19864</v>
      </c>
      <c r="D7865" t="s">
        <v>19863</v>
      </c>
      <c r="E7865" s="2" t="s">
        <v>481</v>
      </c>
      <c r="F7865" t="s">
        <v>19862</v>
      </c>
      <c r="G7865" t="str">
        <f>HYPERLINK("http://www.docdocdoc.co.kr/news/newsview.php?newscd=2011122900041")</f>
        <v>http://www.docdocdoc.co.kr/news/newsview.php?newscd=2011122900041</v>
      </c>
      <c r="H7865">
        <v>0.35799999999999998</v>
      </c>
    </row>
    <row r="7866" spans="1:8" x14ac:dyDescent="0.3">
      <c r="A7866" t="s">
        <v>18176</v>
      </c>
      <c r="B7866" t="s">
        <v>26951</v>
      </c>
      <c r="C7866" t="s">
        <v>19866</v>
      </c>
      <c r="D7866" t="s">
        <v>19865</v>
      </c>
      <c r="E7866" s="2" t="s">
        <v>481</v>
      </c>
      <c r="F7866" t="s">
        <v>3204</v>
      </c>
      <c r="G7866" t="str">
        <f>HYPERLINK("https://www.kizmom.com/news/articleView.html?idxno=101236")</f>
        <v>https://www.kizmom.com/news/articleView.html?idxno=101236</v>
      </c>
      <c r="H7866">
        <v>0.374</v>
      </c>
    </row>
    <row r="7867" spans="1:8" x14ac:dyDescent="0.3">
      <c r="A7867" t="s">
        <v>18176</v>
      </c>
      <c r="B7867" t="s">
        <v>26951</v>
      </c>
      <c r="C7867" t="s">
        <v>19869</v>
      </c>
      <c r="D7867" t="s">
        <v>19868</v>
      </c>
      <c r="E7867" s="2" t="s">
        <v>481</v>
      </c>
      <c r="F7867" t="s">
        <v>19867</v>
      </c>
      <c r="G7867" t="str">
        <f>HYPERLINK("http://www.aitimes.com/news/articleView.html?idxno=130878")</f>
        <v>http://www.aitimes.com/news/articleView.html?idxno=130878</v>
      </c>
      <c r="H7867">
        <v>0.53700000000000003</v>
      </c>
    </row>
    <row r="7868" spans="1:8" x14ac:dyDescent="0.3">
      <c r="A7868" t="s">
        <v>18176</v>
      </c>
      <c r="B7868" t="s">
        <v>26951</v>
      </c>
      <c r="C7868" t="s">
        <v>19872</v>
      </c>
      <c r="D7868" t="s">
        <v>19871</v>
      </c>
      <c r="E7868" s="2" t="s">
        <v>481</v>
      </c>
      <c r="F7868" t="s">
        <v>19870</v>
      </c>
      <c r="G7868" t="str">
        <f>HYPERLINK("https://www.mediajeju.com/news/articleView.html?idxno=358927")</f>
        <v>https://www.mediajeju.com/news/articleView.html?idxno=358927</v>
      </c>
      <c r="H7868">
        <v>0.70099999999999996</v>
      </c>
    </row>
    <row r="7869" spans="1:8" x14ac:dyDescent="0.3">
      <c r="A7869" t="s">
        <v>18176</v>
      </c>
      <c r="B7869" t="s">
        <v>26951</v>
      </c>
      <c r="C7869" t="s">
        <v>19875</v>
      </c>
      <c r="D7869" t="s">
        <v>19874</v>
      </c>
      <c r="E7869" s="2" t="s">
        <v>481</v>
      </c>
      <c r="F7869" t="s">
        <v>19873</v>
      </c>
      <c r="G7869" t="str">
        <f>HYPERLINK("https://www.greened.kr/news/articleView.html?idxno=321946")</f>
        <v>https://www.greened.kr/news/articleView.html?idxno=321946</v>
      </c>
      <c r="H7869">
        <v>0.46500000000000002</v>
      </c>
    </row>
    <row r="7870" spans="1:8" x14ac:dyDescent="0.3">
      <c r="A7870" t="s">
        <v>18176</v>
      </c>
      <c r="B7870" t="s">
        <v>26951</v>
      </c>
      <c r="C7870" t="s">
        <v>19877</v>
      </c>
      <c r="D7870" t="s">
        <v>19876</v>
      </c>
      <c r="E7870" s="2" t="s">
        <v>481</v>
      </c>
      <c r="F7870" t="s">
        <v>18977</v>
      </c>
      <c r="G7870" t="str">
        <f>HYPERLINK("https://n.news.naver.com/mnews/article/056/0011980709?sid=102")</f>
        <v>https://n.news.naver.com/mnews/article/056/0011980709?sid=102</v>
      </c>
      <c r="H7870">
        <v>0.214</v>
      </c>
    </row>
    <row r="7871" spans="1:8" x14ac:dyDescent="0.3">
      <c r="A7871" t="s">
        <v>18176</v>
      </c>
      <c r="B7871" t="s">
        <v>26951</v>
      </c>
      <c r="C7871" t="s">
        <v>19880</v>
      </c>
      <c r="D7871" t="s">
        <v>19879</v>
      </c>
      <c r="E7871" s="2" t="s">
        <v>481</v>
      </c>
      <c r="F7871" t="s">
        <v>19878</v>
      </c>
      <c r="G7871" t="str">
        <f>HYPERLINK("http://www.doctorstimes.com/news/articleView.html?idxno=233214")</f>
        <v>http://www.doctorstimes.com/news/articleView.html?idxno=233214</v>
      </c>
      <c r="H7871">
        <v>0.30399999999999999</v>
      </c>
    </row>
    <row r="7872" spans="1:8" x14ac:dyDescent="0.3">
      <c r="A7872" t="s">
        <v>18176</v>
      </c>
      <c r="B7872" t="s">
        <v>26951</v>
      </c>
      <c r="C7872" t="s">
        <v>19882</v>
      </c>
      <c r="D7872" t="s">
        <v>19881</v>
      </c>
      <c r="E7872" s="2" t="s">
        <v>481</v>
      </c>
      <c r="F7872" t="s">
        <v>89</v>
      </c>
      <c r="G7872" t="str">
        <f>HYPERLINK("http://www.updownnews.co.kr/news/articleView.html?idxno=301734")</f>
        <v>http://www.updownnews.co.kr/news/articleView.html?idxno=301734</v>
      </c>
      <c r="H7872">
        <v>0.35499999999999998</v>
      </c>
    </row>
    <row r="7873" spans="1:8" x14ac:dyDescent="0.3">
      <c r="A7873" t="s">
        <v>18176</v>
      </c>
      <c r="B7873" t="s">
        <v>26951</v>
      </c>
      <c r="C7873" t="s">
        <v>19884</v>
      </c>
      <c r="D7873" t="s">
        <v>19883</v>
      </c>
      <c r="E7873" s="2" t="s">
        <v>481</v>
      </c>
      <c r="F7873" t="s">
        <v>15396</v>
      </c>
      <c r="G7873" t="str">
        <f>HYPERLINK("http://ch.yes24.com/Article/View/20169")</f>
        <v>http://ch.yes24.com/Article/View/20169</v>
      </c>
      <c r="H7873">
        <v>0.184</v>
      </c>
    </row>
    <row r="7874" spans="1:8" x14ac:dyDescent="0.3">
      <c r="A7874" t="s">
        <v>18176</v>
      </c>
      <c r="B7874" t="s">
        <v>26951</v>
      </c>
      <c r="C7874" t="s">
        <v>19887</v>
      </c>
      <c r="D7874" t="s">
        <v>19886</v>
      </c>
      <c r="E7874" s="2" t="s">
        <v>481</v>
      </c>
      <c r="F7874" t="s">
        <v>19885</v>
      </c>
      <c r="G7874" t="str">
        <f>HYPERLINK("https://www.hellot.net/news/article.html?no=102702")</f>
        <v>https://www.hellot.net/news/article.html?no=102702</v>
      </c>
      <c r="H7874">
        <v>0.38300000000000001</v>
      </c>
    </row>
    <row r="7875" spans="1:8" x14ac:dyDescent="0.3">
      <c r="A7875" t="s">
        <v>18176</v>
      </c>
      <c r="B7875" t="s">
        <v>26951</v>
      </c>
      <c r="C7875" t="s">
        <v>19890</v>
      </c>
      <c r="D7875" t="s">
        <v>19889</v>
      </c>
      <c r="E7875" s="2" t="s">
        <v>481</v>
      </c>
      <c r="F7875" t="s">
        <v>19888</v>
      </c>
      <c r="G7875" t="str">
        <f>HYPERLINK("http://www.ifm.kr/post/258358")</f>
        <v>http://www.ifm.kr/post/258358</v>
      </c>
      <c r="H7875">
        <v>0.37</v>
      </c>
    </row>
    <row r="7876" spans="1:8" x14ac:dyDescent="0.3">
      <c r="A7876" t="s">
        <v>18176</v>
      </c>
      <c r="B7876" t="s">
        <v>26951</v>
      </c>
      <c r="C7876" t="s">
        <v>19893</v>
      </c>
      <c r="D7876" t="s">
        <v>19892</v>
      </c>
      <c r="E7876" s="2" t="s">
        <v>481</v>
      </c>
      <c r="F7876" t="s">
        <v>19891</v>
      </c>
      <c r="G7876" t="str">
        <f>HYPERLINK("http://www.enewstoday.co.kr/news/articleView.html?idxno=2143116")</f>
        <v>http://www.enewstoday.co.kr/news/articleView.html?idxno=2143116</v>
      </c>
      <c r="H7876">
        <v>0.224</v>
      </c>
    </row>
    <row r="7877" spans="1:8" x14ac:dyDescent="0.3">
      <c r="A7877" t="s">
        <v>18176</v>
      </c>
      <c r="B7877" t="s">
        <v>26951</v>
      </c>
      <c r="C7877" t="s">
        <v>19896</v>
      </c>
      <c r="D7877" t="s">
        <v>19895</v>
      </c>
      <c r="E7877" s="2" t="s">
        <v>481</v>
      </c>
      <c r="F7877" t="s">
        <v>19894</v>
      </c>
      <c r="G7877" t="str">
        <f>HYPERLINK("https://n.news.naver.com/mnews/article/028/0002170347?sid=102")</f>
        <v>https://n.news.naver.com/mnews/article/028/0002170347?sid=102</v>
      </c>
      <c r="H7877">
        <v>0.214</v>
      </c>
    </row>
    <row r="7878" spans="1:8" x14ac:dyDescent="0.3">
      <c r="A7878" t="s">
        <v>18176</v>
      </c>
      <c r="B7878" t="s">
        <v>26951</v>
      </c>
      <c r="C7878" t="s">
        <v>19898</v>
      </c>
      <c r="D7878" t="s">
        <v>19897</v>
      </c>
      <c r="E7878" s="2" t="s">
        <v>481</v>
      </c>
      <c r="F7878" t="s">
        <v>7786</v>
      </c>
      <c r="G7878" t="str">
        <f>HYPERLINK("https://kookbang.dema.mil.kr/newsWeb/20250611/2/ATCE_CTGR_0060010000/view.do")</f>
        <v>https://kookbang.dema.mil.kr/newsWeb/20250611/2/ATCE_CTGR_0060010000/view.do</v>
      </c>
      <c r="H7878">
        <v>0.44</v>
      </c>
    </row>
    <row r="7879" spans="1:8" x14ac:dyDescent="0.3">
      <c r="A7879" t="s">
        <v>18176</v>
      </c>
      <c r="B7879" t="s">
        <v>26951</v>
      </c>
      <c r="C7879" t="s">
        <v>19901</v>
      </c>
      <c r="D7879" t="s">
        <v>19900</v>
      </c>
      <c r="E7879" s="2" t="s">
        <v>481</v>
      </c>
      <c r="F7879" t="s">
        <v>19899</v>
      </c>
      <c r="G7879" t="str">
        <f>HYPERLINK("https://www.insightkorea.co.kr/news/articleView.html?idxno=227436")</f>
        <v>https://www.insightkorea.co.kr/news/articleView.html?idxno=227436</v>
      </c>
      <c r="H7879">
        <v>0.73399999999999999</v>
      </c>
    </row>
    <row r="7880" spans="1:8" x14ac:dyDescent="0.3">
      <c r="A7880" t="s">
        <v>18176</v>
      </c>
      <c r="B7880" t="s">
        <v>26951</v>
      </c>
      <c r="C7880" t="s">
        <v>19904</v>
      </c>
      <c r="D7880" t="s">
        <v>19903</v>
      </c>
      <c r="E7880" s="2" t="s">
        <v>481</v>
      </c>
      <c r="F7880" t="s">
        <v>19902</v>
      </c>
      <c r="G7880" t="str">
        <f>HYPERLINK("https://n.news.naver.com/mnews/article/011/0004503530?sid=100")</f>
        <v>https://n.news.naver.com/mnews/article/011/0004503530?sid=100</v>
      </c>
      <c r="H7880">
        <v>0.16800000000000001</v>
      </c>
    </row>
    <row r="7881" spans="1:8" x14ac:dyDescent="0.3">
      <c r="A7881" t="s">
        <v>18176</v>
      </c>
      <c r="B7881" t="s">
        <v>26951</v>
      </c>
      <c r="C7881" t="s">
        <v>19907</v>
      </c>
      <c r="D7881" t="s">
        <v>19906</v>
      </c>
      <c r="E7881" s="2" t="s">
        <v>481</v>
      </c>
      <c r="F7881" t="s">
        <v>19905</v>
      </c>
      <c r="G7881" t="str">
        <f>HYPERLINK("http://www.incheonin.com/news/articleView.html?idxno=108677")</f>
        <v>http://www.incheonin.com/news/articleView.html?idxno=108677</v>
      </c>
      <c r="H7881">
        <v>5.6000000000000001E-2</v>
      </c>
    </row>
    <row r="7882" spans="1:8" x14ac:dyDescent="0.3">
      <c r="A7882" t="s">
        <v>18176</v>
      </c>
      <c r="B7882" t="s">
        <v>26951</v>
      </c>
      <c r="C7882" t="s">
        <v>19909</v>
      </c>
      <c r="D7882" t="s">
        <v>19908</v>
      </c>
      <c r="E7882" s="2" t="s">
        <v>481</v>
      </c>
      <c r="F7882" t="s">
        <v>5548</v>
      </c>
      <c r="G7882" t="str">
        <f>HYPERLINK("http://www.newsworker.co.kr/news/articleView.html?idxno=209117")</f>
        <v>http://www.newsworker.co.kr/news/articleView.html?idxno=209117</v>
      </c>
      <c r="H7882">
        <v>0.39600000000000002</v>
      </c>
    </row>
    <row r="7883" spans="1:8" x14ac:dyDescent="0.3">
      <c r="A7883" t="s">
        <v>18176</v>
      </c>
      <c r="B7883" t="s">
        <v>26951</v>
      </c>
      <c r="C7883" t="s">
        <v>19911</v>
      </c>
      <c r="D7883" t="s">
        <v>19910</v>
      </c>
      <c r="E7883" s="2" t="s">
        <v>481</v>
      </c>
      <c r="F7883" t="s">
        <v>15513</v>
      </c>
      <c r="G7883" t="str">
        <f>HYPERLINK("https://daily.hankooki.com/news/articleView.html?idxno=1122523")</f>
        <v>https://daily.hankooki.com/news/articleView.html?idxno=1122523</v>
      </c>
      <c r="H7883">
        <v>0.50900000000000001</v>
      </c>
    </row>
    <row r="7884" spans="1:8" x14ac:dyDescent="0.3">
      <c r="A7884" t="s">
        <v>18176</v>
      </c>
      <c r="B7884" t="s">
        <v>26951</v>
      </c>
      <c r="C7884" t="s">
        <v>19914</v>
      </c>
      <c r="D7884" t="s">
        <v>19913</v>
      </c>
      <c r="E7884" s="2" t="s">
        <v>481</v>
      </c>
      <c r="F7884" t="s">
        <v>19912</v>
      </c>
      <c r="G7884" t="str">
        <f>HYPERLINK("https://www.mediafine.co.kr/news/articleView.html?idxno=68970")</f>
        <v>https://www.mediafine.co.kr/news/articleView.html?idxno=68970</v>
      </c>
      <c r="H7884">
        <v>0.47</v>
      </c>
    </row>
    <row r="7885" spans="1:8" x14ac:dyDescent="0.3">
      <c r="A7885" t="s">
        <v>18176</v>
      </c>
      <c r="B7885" t="s">
        <v>26951</v>
      </c>
      <c r="C7885" t="s">
        <v>19916</v>
      </c>
      <c r="D7885" t="s">
        <v>19915</v>
      </c>
      <c r="E7885" s="2" t="s">
        <v>481</v>
      </c>
      <c r="F7885" t="s">
        <v>9944</v>
      </c>
      <c r="G7885" t="str">
        <f>HYPERLINK("https://n.news.naver.com/mnews/article/056/0011977452?sid=102")</f>
        <v>https://n.news.naver.com/mnews/article/056/0011977452?sid=102</v>
      </c>
      <c r="H7885">
        <v>0.249</v>
      </c>
    </row>
    <row r="7886" spans="1:8" x14ac:dyDescent="0.3">
      <c r="A7886" t="s">
        <v>18176</v>
      </c>
      <c r="B7886" t="s">
        <v>26951</v>
      </c>
      <c r="C7886" t="s">
        <v>19919</v>
      </c>
      <c r="D7886" t="s">
        <v>19918</v>
      </c>
      <c r="E7886" s="2" t="s">
        <v>481</v>
      </c>
      <c r="F7886" t="s">
        <v>19917</v>
      </c>
      <c r="G7886" t="str">
        <f>HYPERLINK("http://www.ggilbo.com/news/articleView.html?idxno=786021")</f>
        <v>http://www.ggilbo.com/news/articleView.html?idxno=786021</v>
      </c>
      <c r="H7886">
        <v>0.55300000000000005</v>
      </c>
    </row>
    <row r="7887" spans="1:8" x14ac:dyDescent="0.3">
      <c r="A7887" t="s">
        <v>18176</v>
      </c>
      <c r="B7887" t="s">
        <v>26951</v>
      </c>
      <c r="C7887" t="s">
        <v>19921</v>
      </c>
      <c r="D7887" t="s">
        <v>19920</v>
      </c>
      <c r="E7887" s="2" t="s">
        <v>481</v>
      </c>
      <c r="F7887" t="s">
        <v>19425</v>
      </c>
      <c r="G7887" t="str">
        <f>HYPERLINK("https://news.bbsi.co.kr/news/articleView.html?idxno=3069183")</f>
        <v>https://news.bbsi.co.kr/news/articleView.html?idxno=3069183</v>
      </c>
      <c r="H7887">
        <v>0.61599999999999999</v>
      </c>
    </row>
    <row r="7888" spans="1:8" x14ac:dyDescent="0.3">
      <c r="A7888" t="s">
        <v>18176</v>
      </c>
      <c r="B7888" t="s">
        <v>26951</v>
      </c>
      <c r="C7888" t="s">
        <v>19923</v>
      </c>
      <c r="D7888" t="s">
        <v>19922</v>
      </c>
      <c r="E7888" s="2" t="s">
        <v>481</v>
      </c>
      <c r="F7888" t="s">
        <v>5548</v>
      </c>
      <c r="G7888" t="str">
        <f>HYPERLINK("https://sports.hankooki.com/news/articleView.html?idxno=6872111")</f>
        <v>https://sports.hankooki.com/news/articleView.html?idxno=6872111</v>
      </c>
      <c r="H7888">
        <v>0.46899999999999997</v>
      </c>
    </row>
    <row r="7889" spans="1:8" x14ac:dyDescent="0.3">
      <c r="A7889" t="s">
        <v>18176</v>
      </c>
      <c r="B7889" t="s">
        <v>26951</v>
      </c>
      <c r="C7889" t="s">
        <v>19926</v>
      </c>
      <c r="D7889" t="s">
        <v>19925</v>
      </c>
      <c r="E7889" s="2" t="s">
        <v>481</v>
      </c>
      <c r="F7889" t="s">
        <v>19924</v>
      </c>
      <c r="G7889" t="str">
        <f>HYPERLINK("https://kookbang.dema.mil.kr/newsWeb/20250425/1/ATCE_CTGR_0020020024/view.do")</f>
        <v>https://kookbang.dema.mil.kr/newsWeb/20250425/1/ATCE_CTGR_0020020024/view.do</v>
      </c>
      <c r="H7889">
        <v>0.45400000000000001</v>
      </c>
    </row>
    <row r="7890" spans="1:8" x14ac:dyDescent="0.3">
      <c r="A7890" t="s">
        <v>18176</v>
      </c>
      <c r="B7890" t="s">
        <v>26951</v>
      </c>
      <c r="C7890" t="s">
        <v>19928</v>
      </c>
      <c r="D7890" t="s">
        <v>19927</v>
      </c>
      <c r="E7890" s="2" t="s">
        <v>481</v>
      </c>
      <c r="F7890" t="s">
        <v>588</v>
      </c>
      <c r="G7890" t="str">
        <f>HYPERLINK("https://www.ggilbo.com/news/articleView.html?idxno=1095062")</f>
        <v>https://www.ggilbo.com/news/articleView.html?idxno=1095062</v>
      </c>
      <c r="H7890">
        <v>0.65600000000000003</v>
      </c>
    </row>
    <row r="7891" spans="1:8" x14ac:dyDescent="0.3">
      <c r="A7891" t="s">
        <v>18176</v>
      </c>
      <c r="B7891" t="s">
        <v>26951</v>
      </c>
      <c r="C7891" t="s">
        <v>19930</v>
      </c>
      <c r="D7891" t="s">
        <v>19929</v>
      </c>
      <c r="E7891" s="2" t="s">
        <v>481</v>
      </c>
      <c r="F7891" t="s">
        <v>10333</v>
      </c>
      <c r="G7891" t="str">
        <f>HYPERLINK("http://www.industrynews.co.kr/news/articleView.html?idxno=66243")</f>
        <v>http://www.industrynews.co.kr/news/articleView.html?idxno=66243</v>
      </c>
      <c r="H7891">
        <v>0.60799999999999998</v>
      </c>
    </row>
    <row r="7892" spans="1:8" x14ac:dyDescent="0.3">
      <c r="A7892" t="s">
        <v>18176</v>
      </c>
      <c r="B7892" t="s">
        <v>26951</v>
      </c>
      <c r="C7892" t="s">
        <v>19933</v>
      </c>
      <c r="D7892" t="s">
        <v>19932</v>
      </c>
      <c r="E7892" s="2" t="s">
        <v>481</v>
      </c>
      <c r="F7892" t="s">
        <v>19931</v>
      </c>
      <c r="G7892" t="str">
        <f>HYPERLINK("http://www.lkp.news/news/articleView.html?idxno=27259")</f>
        <v>http://www.lkp.news/news/articleView.html?idxno=27259</v>
      </c>
      <c r="H7892">
        <v>0.307</v>
      </c>
    </row>
    <row r="7893" spans="1:8" x14ac:dyDescent="0.3">
      <c r="A7893" t="s">
        <v>18176</v>
      </c>
      <c r="B7893" t="s">
        <v>26951</v>
      </c>
      <c r="C7893" t="s">
        <v>19935</v>
      </c>
      <c r="D7893" t="s">
        <v>19934</v>
      </c>
      <c r="E7893" s="2" t="s">
        <v>481</v>
      </c>
      <c r="F7893" t="s">
        <v>160</v>
      </c>
      <c r="G7893" t="str">
        <f>HYPERLINK("http://www.incheonin.com/news/articleView.html?idxno=100742")</f>
        <v>http://www.incheonin.com/news/articleView.html?idxno=100742</v>
      </c>
      <c r="H7893">
        <v>0.379</v>
      </c>
    </row>
    <row r="7894" spans="1:8" x14ac:dyDescent="0.3">
      <c r="A7894" t="s">
        <v>18176</v>
      </c>
      <c r="B7894" t="s">
        <v>26951</v>
      </c>
      <c r="C7894" t="s">
        <v>19937</v>
      </c>
      <c r="D7894" t="s">
        <v>19936</v>
      </c>
      <c r="E7894" s="2" t="s">
        <v>481</v>
      </c>
      <c r="F7894" t="s">
        <v>6998</v>
      </c>
      <c r="G7894" t="str">
        <f>HYPERLINK("https://www.etoday.co.kr/news/view/2478452")</f>
        <v>https://www.etoday.co.kr/news/view/2478452</v>
      </c>
      <c r="H7894">
        <v>0.42499999999999999</v>
      </c>
    </row>
    <row r="7895" spans="1:8" x14ac:dyDescent="0.3">
      <c r="A7895" t="s">
        <v>18176</v>
      </c>
      <c r="B7895" t="s">
        <v>26951</v>
      </c>
      <c r="C7895" t="s">
        <v>19940</v>
      </c>
      <c r="D7895" t="s">
        <v>19939</v>
      </c>
      <c r="E7895" s="2" t="s">
        <v>481</v>
      </c>
      <c r="F7895" t="s">
        <v>19938</v>
      </c>
      <c r="G7895" t="str">
        <f>HYPERLINK("https://n.news.naver.com/mnews/article/081/0003547942?sid=103")</f>
        <v>https://n.news.naver.com/mnews/article/081/0003547942?sid=103</v>
      </c>
      <c r="H7895">
        <v>0.27600000000000002</v>
      </c>
    </row>
    <row r="7896" spans="1:8" x14ac:dyDescent="0.3">
      <c r="A7896" t="s">
        <v>18176</v>
      </c>
      <c r="B7896" t="s">
        <v>26951</v>
      </c>
      <c r="C7896" t="s">
        <v>19942</v>
      </c>
      <c r="D7896" t="s">
        <v>19941</v>
      </c>
      <c r="E7896" s="2" t="s">
        <v>481</v>
      </c>
      <c r="F7896" t="s">
        <v>19131</v>
      </c>
      <c r="G7896" t="str">
        <f>HYPERLINK("http://news.koreanbar.or.kr/news/articleView.html?idxno=26920")</f>
        <v>http://news.koreanbar.or.kr/news/articleView.html?idxno=26920</v>
      </c>
      <c r="H7896">
        <v>0.48199999999999998</v>
      </c>
    </row>
    <row r="7897" spans="1:8" x14ac:dyDescent="0.3">
      <c r="A7897" t="s">
        <v>18176</v>
      </c>
      <c r="B7897" t="s">
        <v>26951</v>
      </c>
      <c r="C7897" t="s">
        <v>19944</v>
      </c>
      <c r="D7897" t="s">
        <v>19943</v>
      </c>
      <c r="E7897" s="2" t="s">
        <v>481</v>
      </c>
      <c r="F7897" t="s">
        <v>10848</v>
      </c>
      <c r="G7897" t="str">
        <f>HYPERLINK("https://www.vogue.co.kr/2025/06/06/%eb%8b%b4%eb%b0%b0-%ec%97%b0%ea%b8%b0%ec%99%80-%ec%9d%b4%eb%b3%84%ed%95%9c-%ec%82%ac%ec%97%b0%ec%97%90-%eb%8c%80%ed%95%98%ec%97%ac/?utm_source=naver&amp;utm_medium=partnership")</f>
        <v>https://www.vogue.co.kr/2025/06/06/%eb%8b%b4%eb%b0%b0-%ec%97%b0%ea%b8%b0%ec%99%80-%ec%9d%b4%eb%b3%84%ed%95%9c-%ec%82%ac%ec%97%b0%ec%97%90-%eb%8c%80%ed%95%98%ec%97%ac/?utm_source=naver&amp;utm_medium=partnership</v>
      </c>
      <c r="H7897">
        <v>0.55700000000000005</v>
      </c>
    </row>
    <row r="7898" spans="1:8" x14ac:dyDescent="0.3">
      <c r="A7898" t="s">
        <v>18176</v>
      </c>
      <c r="B7898" t="s">
        <v>26951</v>
      </c>
      <c r="C7898" t="s">
        <v>19947</v>
      </c>
      <c r="D7898" t="s">
        <v>19946</v>
      </c>
      <c r="E7898" s="2" t="s">
        <v>481</v>
      </c>
      <c r="F7898" t="s">
        <v>19945</v>
      </c>
      <c r="G7898" t="str">
        <f>HYPERLINK("https://n.news.naver.com/mnews/article/018/0005805594?sid=103")</f>
        <v>https://n.news.naver.com/mnews/article/018/0005805594?sid=103</v>
      </c>
      <c r="H7898">
        <v>0.20300000000000001</v>
      </c>
    </row>
    <row r="7899" spans="1:8" x14ac:dyDescent="0.3">
      <c r="A7899" t="s">
        <v>18176</v>
      </c>
      <c r="B7899" t="s">
        <v>26951</v>
      </c>
      <c r="C7899" t="s">
        <v>16204</v>
      </c>
      <c r="D7899" t="s">
        <v>16203</v>
      </c>
      <c r="E7899" s="2" t="s">
        <v>481</v>
      </c>
      <c r="F7899" t="s">
        <v>5087</v>
      </c>
      <c r="G7899" t="str">
        <f>HYPERLINK("http://www.allurekorea.com/?p=63808&amp;_C_=5")</f>
        <v>http://www.allurekorea.com/?p=63808&amp;_C_=5</v>
      </c>
      <c r="H7899">
        <v>0.47</v>
      </c>
    </row>
    <row r="7900" spans="1:8" x14ac:dyDescent="0.3">
      <c r="A7900" t="s">
        <v>18176</v>
      </c>
      <c r="B7900" t="s">
        <v>26951</v>
      </c>
      <c r="C7900" t="s">
        <v>19950</v>
      </c>
      <c r="D7900" t="s">
        <v>19949</v>
      </c>
      <c r="E7900" s="2" t="s">
        <v>481</v>
      </c>
      <c r="F7900" t="s">
        <v>19948</v>
      </c>
      <c r="G7900" t="str">
        <f>HYPERLINK("https://www.greened.kr/news/articleView.html?idxno=326786")</f>
        <v>https://www.greened.kr/news/articleView.html?idxno=326786</v>
      </c>
      <c r="H7900">
        <v>0.55100000000000005</v>
      </c>
    </row>
    <row r="7901" spans="1:8" x14ac:dyDescent="0.3">
      <c r="A7901" t="s">
        <v>18176</v>
      </c>
      <c r="B7901" t="s">
        <v>26951</v>
      </c>
      <c r="C7901" t="s">
        <v>19953</v>
      </c>
      <c r="D7901" t="s">
        <v>19952</v>
      </c>
      <c r="E7901" s="2" t="s">
        <v>481</v>
      </c>
      <c r="F7901" t="s">
        <v>19951</v>
      </c>
      <c r="G7901" t="str">
        <f>HYPERLINK("https://n.news.naver.com/mnews/article/119/0002671806?sid=101")</f>
        <v>https://n.news.naver.com/mnews/article/119/0002671806?sid=101</v>
      </c>
      <c r="H7901">
        <v>0.246</v>
      </c>
    </row>
    <row r="7902" spans="1:8" x14ac:dyDescent="0.3">
      <c r="A7902" t="s">
        <v>18176</v>
      </c>
      <c r="B7902" t="s">
        <v>26951</v>
      </c>
      <c r="C7902" t="s">
        <v>19956</v>
      </c>
      <c r="D7902" t="s">
        <v>19955</v>
      </c>
      <c r="E7902" s="2" t="s">
        <v>481</v>
      </c>
      <c r="F7902" t="s">
        <v>19954</v>
      </c>
      <c r="G7902" t="str">
        <f>HYPERLINK("https://www.ulsanpress.net/news/articleView.html?idxno=524884")</f>
        <v>https://www.ulsanpress.net/news/articleView.html?idxno=524884</v>
      </c>
      <c r="H7902">
        <v>0.55800000000000005</v>
      </c>
    </row>
    <row r="7903" spans="1:8" x14ac:dyDescent="0.3">
      <c r="A7903" t="s">
        <v>18176</v>
      </c>
      <c r="B7903" t="s">
        <v>26951</v>
      </c>
      <c r="C7903" t="s">
        <v>19959</v>
      </c>
      <c r="D7903" t="s">
        <v>19958</v>
      </c>
      <c r="E7903" s="2" t="s">
        <v>481</v>
      </c>
      <c r="F7903" t="s">
        <v>19957</v>
      </c>
      <c r="G7903" t="str">
        <f>HYPERLINK("https://ppss.kr/archives/230880")</f>
        <v>https://ppss.kr/archives/230880</v>
      </c>
      <c r="H7903">
        <v>0.42899999999999999</v>
      </c>
    </row>
    <row r="7904" spans="1:8" x14ac:dyDescent="0.3">
      <c r="A7904" t="s">
        <v>18176</v>
      </c>
      <c r="B7904" t="s">
        <v>26951</v>
      </c>
      <c r="C7904" t="s">
        <v>19962</v>
      </c>
      <c r="D7904" t="s">
        <v>19961</v>
      </c>
      <c r="E7904" s="2" t="s">
        <v>481</v>
      </c>
      <c r="F7904" t="s">
        <v>19960</v>
      </c>
      <c r="G7904" t="str">
        <f>HYPERLINK("https://sports.hankooki.com/news/articleView.html?idxno=6888057")</f>
        <v>https://sports.hankooki.com/news/articleView.html?idxno=6888057</v>
      </c>
      <c r="H7904">
        <v>0.42799999999999999</v>
      </c>
    </row>
    <row r="7905" spans="1:8" x14ac:dyDescent="0.3">
      <c r="A7905" t="s">
        <v>18176</v>
      </c>
      <c r="B7905" t="s">
        <v>26951</v>
      </c>
      <c r="C7905" t="s">
        <v>19964</v>
      </c>
      <c r="D7905" t="s">
        <v>19963</v>
      </c>
      <c r="E7905" s="2" t="s">
        <v>481</v>
      </c>
      <c r="F7905" t="s">
        <v>12510</v>
      </c>
      <c r="G7905" t="str">
        <f>HYPERLINK("https://n.news.naver.com/mnews/article/016/0002484906?sid=103")</f>
        <v>https://n.news.naver.com/mnews/article/016/0002484906?sid=103</v>
      </c>
      <c r="H7905">
        <v>0.22600000000000001</v>
      </c>
    </row>
    <row r="7906" spans="1:8" x14ac:dyDescent="0.3">
      <c r="A7906" t="s">
        <v>18176</v>
      </c>
      <c r="B7906" t="s">
        <v>26951</v>
      </c>
      <c r="C7906" t="s">
        <v>19966</v>
      </c>
      <c r="D7906" t="s">
        <v>19965</v>
      </c>
      <c r="E7906" s="2" t="s">
        <v>481</v>
      </c>
      <c r="F7906" t="s">
        <v>16987</v>
      </c>
      <c r="G7906" t="str">
        <f>HYPERLINK("https://www.dkilbo.com/news/articleView.html?idxno=500762")</f>
        <v>https://www.dkilbo.com/news/articleView.html?idxno=500762</v>
      </c>
      <c r="H7906">
        <v>0.20599999999999999</v>
      </c>
    </row>
    <row r="7907" spans="1:8" x14ac:dyDescent="0.3">
      <c r="A7907" t="s">
        <v>18176</v>
      </c>
      <c r="B7907" t="s">
        <v>26951</v>
      </c>
      <c r="C7907" t="s">
        <v>19969</v>
      </c>
      <c r="D7907" t="s">
        <v>19968</v>
      </c>
      <c r="E7907" s="2" t="s">
        <v>481</v>
      </c>
      <c r="F7907" t="s">
        <v>19967</v>
      </c>
      <c r="G7907" t="str">
        <f>HYPERLINK("http://www.koreatimes.com/article/1225110")</f>
        <v>http://www.koreatimes.com/article/1225110</v>
      </c>
      <c r="H7907">
        <v>0.34899999999999998</v>
      </c>
    </row>
    <row r="7908" spans="1:8" x14ac:dyDescent="0.3">
      <c r="A7908" t="s">
        <v>18176</v>
      </c>
      <c r="B7908" t="s">
        <v>26951</v>
      </c>
      <c r="C7908" t="s">
        <v>19972</v>
      </c>
      <c r="D7908" t="s">
        <v>19971</v>
      </c>
      <c r="E7908" s="2" t="s">
        <v>481</v>
      </c>
      <c r="F7908" t="s">
        <v>19970</v>
      </c>
      <c r="G7908" t="str">
        <f>HYPERLINK("http://www.veritas-a.com/news/articleView.html?idxno=105064")</f>
        <v>http://www.veritas-a.com/news/articleView.html?idxno=105064</v>
      </c>
      <c r="H7908">
        <v>0.624</v>
      </c>
    </row>
    <row r="7909" spans="1:8" x14ac:dyDescent="0.3">
      <c r="A7909" t="s">
        <v>18176</v>
      </c>
      <c r="B7909" t="s">
        <v>26951</v>
      </c>
      <c r="C7909" t="s">
        <v>19974</v>
      </c>
      <c r="D7909" t="s">
        <v>19973</v>
      </c>
      <c r="E7909" s="2" t="s">
        <v>481</v>
      </c>
      <c r="F7909" t="s">
        <v>10471</v>
      </c>
      <c r="G7909" t="str">
        <f>HYPERLINK("https://n.news.naver.com/mnews/article/016/0002484906?sid=103")</f>
        <v>https://n.news.naver.com/mnews/article/016/0002484906?sid=103</v>
      </c>
      <c r="H7909">
        <v>0.24</v>
      </c>
    </row>
    <row r="7910" spans="1:8" x14ac:dyDescent="0.3">
      <c r="A7910" t="s">
        <v>18176</v>
      </c>
      <c r="B7910" t="s">
        <v>26951</v>
      </c>
      <c r="C7910" t="s">
        <v>19976</v>
      </c>
      <c r="D7910" t="s">
        <v>19975</v>
      </c>
      <c r="E7910" s="2" t="s">
        <v>481</v>
      </c>
      <c r="F7910" t="s">
        <v>10041</v>
      </c>
      <c r="G7910" t="str">
        <f>HYPERLINK("https://www.jemin.com/news/articleView.html?idxno=814231")</f>
        <v>https://www.jemin.com/news/articleView.html?idxno=814231</v>
      </c>
      <c r="H7910">
        <v>0.94</v>
      </c>
    </row>
    <row r="7911" spans="1:8" x14ac:dyDescent="0.3">
      <c r="A7911" t="s">
        <v>18176</v>
      </c>
      <c r="B7911" t="s">
        <v>26951</v>
      </c>
      <c r="C7911" t="s">
        <v>19978</v>
      </c>
      <c r="D7911" t="s">
        <v>19977</v>
      </c>
      <c r="E7911" s="2" t="s">
        <v>481</v>
      </c>
      <c r="F7911" t="s">
        <v>13675</v>
      </c>
      <c r="G7911" t="str">
        <f>HYPERLINK("https://news.ifm.kr/news/articleView.html?idxno=402518")</f>
        <v>https://news.ifm.kr/news/articleView.html?idxno=402518</v>
      </c>
      <c r="H7911">
        <v>0.54100000000000004</v>
      </c>
    </row>
    <row r="7912" spans="1:8" x14ac:dyDescent="0.3">
      <c r="A7912" t="s">
        <v>18176</v>
      </c>
      <c r="B7912" t="s">
        <v>26951</v>
      </c>
      <c r="C7912" t="s">
        <v>19980</v>
      </c>
      <c r="D7912" t="s">
        <v>19979</v>
      </c>
      <c r="E7912" s="2" t="s">
        <v>481</v>
      </c>
      <c r="F7912" t="s">
        <v>5806</v>
      </c>
      <c r="G7912" t="str">
        <f>HYPERLINK("http://www.00news.co.kr/news/articleView.html?idxno=74585")</f>
        <v>http://www.00news.co.kr/news/articleView.html?idxno=74585</v>
      </c>
      <c r="H7912">
        <v>0.40100000000000002</v>
      </c>
    </row>
    <row r="7913" spans="1:8" x14ac:dyDescent="0.3">
      <c r="A7913" t="s">
        <v>18176</v>
      </c>
      <c r="B7913" t="s">
        <v>26951</v>
      </c>
      <c r="C7913" t="s">
        <v>19983</v>
      </c>
      <c r="D7913" t="s">
        <v>19982</v>
      </c>
      <c r="E7913" s="2" t="s">
        <v>481</v>
      </c>
      <c r="F7913" t="s">
        <v>19981</v>
      </c>
      <c r="G7913" t="str">
        <f>HYPERLINK("https://www.newsfreezone.co.kr/news/articleView.html?idxno=630071")</f>
        <v>https://www.newsfreezone.co.kr/news/articleView.html?idxno=630071</v>
      </c>
      <c r="H7913">
        <v>0.59499999999999997</v>
      </c>
    </row>
    <row r="7914" spans="1:8" x14ac:dyDescent="0.3">
      <c r="A7914" t="s">
        <v>18176</v>
      </c>
      <c r="B7914" t="s">
        <v>26951</v>
      </c>
      <c r="C7914" t="s">
        <v>19985</v>
      </c>
      <c r="D7914" t="s">
        <v>19984</v>
      </c>
      <c r="E7914" s="2" t="s">
        <v>481</v>
      </c>
      <c r="F7914" t="s">
        <v>1097</v>
      </c>
      <c r="G7914" t="str">
        <f>HYPERLINK("http://www.knnews.co.kr/news/articleView.php?idxno=1422773")</f>
        <v>http://www.knnews.co.kr/news/articleView.php?idxno=1422773</v>
      </c>
      <c r="H7914">
        <v>0.32400000000000001</v>
      </c>
    </row>
    <row r="7915" spans="1:8" x14ac:dyDescent="0.3">
      <c r="A7915" t="s">
        <v>18176</v>
      </c>
      <c r="B7915" t="s">
        <v>26951</v>
      </c>
      <c r="C7915" t="s">
        <v>19988</v>
      </c>
      <c r="D7915" t="s">
        <v>19987</v>
      </c>
      <c r="E7915" s="2" t="s">
        <v>481</v>
      </c>
      <c r="F7915" t="s">
        <v>19986</v>
      </c>
      <c r="G7915" t="str">
        <f>HYPERLINK("http://www.mygoyang.com/news/articleView.html?idxno=84519")</f>
        <v>http://www.mygoyang.com/news/articleView.html?idxno=84519</v>
      </c>
      <c r="H7915">
        <v>0.878</v>
      </c>
    </row>
    <row r="7916" spans="1:8" x14ac:dyDescent="0.3">
      <c r="A7916" t="s">
        <v>18176</v>
      </c>
      <c r="B7916" t="s">
        <v>26951</v>
      </c>
      <c r="C7916" t="s">
        <v>19990</v>
      </c>
      <c r="D7916" t="s">
        <v>19989</v>
      </c>
      <c r="E7916" s="2" t="s">
        <v>481</v>
      </c>
      <c r="F7916" t="s">
        <v>11733</v>
      </c>
      <c r="G7916" t="str">
        <f>HYPERLINK("https://www.ggilbo.com/news/articleView.html?idxno=1095062")</f>
        <v>https://www.ggilbo.com/news/articleView.html?idxno=1095062</v>
      </c>
      <c r="H7916">
        <v>0.54500000000000004</v>
      </c>
    </row>
    <row r="7917" spans="1:8" x14ac:dyDescent="0.3">
      <c r="A7917" t="s">
        <v>18176</v>
      </c>
      <c r="B7917" t="s">
        <v>26951</v>
      </c>
      <c r="C7917" t="s">
        <v>19992</v>
      </c>
      <c r="D7917" t="s">
        <v>19991</v>
      </c>
      <c r="E7917" s="2" t="s">
        <v>481</v>
      </c>
      <c r="F7917" t="s">
        <v>18656</v>
      </c>
      <c r="G7917" t="str">
        <f>HYPERLINK("http://www.economytalk.kr/news/articleView.html?idxno=406874")</f>
        <v>http://www.economytalk.kr/news/articleView.html?idxno=406874</v>
      </c>
      <c r="H7917">
        <v>0.59799999999999998</v>
      </c>
    </row>
    <row r="7918" spans="1:8" x14ac:dyDescent="0.3">
      <c r="A7918" t="s">
        <v>18176</v>
      </c>
      <c r="B7918" t="s">
        <v>26951</v>
      </c>
      <c r="C7918" t="s">
        <v>19994</v>
      </c>
      <c r="D7918" t="s">
        <v>19993</v>
      </c>
      <c r="E7918" s="2" t="s">
        <v>481</v>
      </c>
      <c r="F7918" t="s">
        <v>19669</v>
      </c>
      <c r="G7918" t="str">
        <f>HYPERLINK("http://jmagazine.joins.com/monthly/view/312965")</f>
        <v>http://jmagazine.joins.com/monthly/view/312965</v>
      </c>
      <c r="H7918">
        <v>0.58099999999999996</v>
      </c>
    </row>
    <row r="7919" spans="1:8" x14ac:dyDescent="0.3">
      <c r="A7919" t="s">
        <v>18176</v>
      </c>
      <c r="B7919" t="s">
        <v>26951</v>
      </c>
      <c r="C7919" t="s">
        <v>19996</v>
      </c>
      <c r="D7919" t="s">
        <v>19995</v>
      </c>
      <c r="E7919" s="2" t="s">
        <v>481</v>
      </c>
      <c r="F7919" t="s">
        <v>10317</v>
      </c>
      <c r="G7919" t="str">
        <f>HYPERLINK("http://www.finomy.com/news/articleView.html?idxno=231464")</f>
        <v>http://www.finomy.com/news/articleView.html?idxno=231464</v>
      </c>
      <c r="H7919">
        <v>0.57999999999999996</v>
      </c>
    </row>
    <row r="7920" spans="1:8" x14ac:dyDescent="0.3">
      <c r="A7920" t="s">
        <v>18176</v>
      </c>
      <c r="B7920" t="s">
        <v>26951</v>
      </c>
      <c r="C7920" t="s">
        <v>19998</v>
      </c>
      <c r="D7920" t="s">
        <v>19997</v>
      </c>
      <c r="E7920" s="2" t="s">
        <v>481</v>
      </c>
      <c r="F7920" t="s">
        <v>14359</v>
      </c>
      <c r="G7920" t="str">
        <f>HYPERLINK("http://www.smedaily.co.kr/news/articleView.html?idxno=304597")</f>
        <v>http://www.smedaily.co.kr/news/articleView.html?idxno=304597</v>
      </c>
      <c r="H7920">
        <v>0.38300000000000001</v>
      </c>
    </row>
    <row r="7921" spans="1:8" x14ac:dyDescent="0.3">
      <c r="A7921" t="s">
        <v>18176</v>
      </c>
      <c r="B7921" t="s">
        <v>26951</v>
      </c>
      <c r="C7921" t="s">
        <v>20001</v>
      </c>
      <c r="D7921" t="s">
        <v>20000</v>
      </c>
      <c r="E7921" s="2" t="s">
        <v>481</v>
      </c>
      <c r="F7921" t="s">
        <v>19999</v>
      </c>
      <c r="G7921" t="str">
        <f>HYPERLINK("https://n.news.naver.com/mnews/article/056/0011878692?sid=101")</f>
        <v>https://n.news.naver.com/mnews/article/056/0011878692?sid=101</v>
      </c>
      <c r="H7921">
        <v>0.26600000000000001</v>
      </c>
    </row>
    <row r="7922" spans="1:8" x14ac:dyDescent="0.3">
      <c r="A7922" t="s">
        <v>18176</v>
      </c>
      <c r="B7922" t="s">
        <v>26951</v>
      </c>
      <c r="C7922" t="s">
        <v>20003</v>
      </c>
      <c r="D7922" t="s">
        <v>20002</v>
      </c>
      <c r="E7922" s="2" t="s">
        <v>481</v>
      </c>
      <c r="F7922" t="s">
        <v>10471</v>
      </c>
      <c r="G7922" t="str">
        <f>HYPERLINK("http://www.dtnews24.com/news/article.html?no=435342")</f>
        <v>http://www.dtnews24.com/news/article.html?no=435342</v>
      </c>
      <c r="H7922">
        <v>0.49199999999999999</v>
      </c>
    </row>
    <row r="7923" spans="1:8" x14ac:dyDescent="0.3">
      <c r="A7923" t="s">
        <v>18176</v>
      </c>
      <c r="B7923" t="s">
        <v>26951</v>
      </c>
      <c r="C7923" t="s">
        <v>20005</v>
      </c>
      <c r="D7923" t="s">
        <v>20004</v>
      </c>
      <c r="E7923" s="2" t="s">
        <v>481</v>
      </c>
      <c r="F7923" t="s">
        <v>10471</v>
      </c>
      <c r="G7923" t="str">
        <f>HYPERLINK("https://www.ggilbo.com/news/articleView.html?idxno=1095062")</f>
        <v>https://www.ggilbo.com/news/articleView.html?idxno=1095062</v>
      </c>
      <c r="H7923">
        <v>0.63800000000000001</v>
      </c>
    </row>
    <row r="7924" spans="1:8" x14ac:dyDescent="0.3">
      <c r="A7924" t="s">
        <v>18176</v>
      </c>
      <c r="B7924" t="s">
        <v>26951</v>
      </c>
      <c r="C7924" t="s">
        <v>20008</v>
      </c>
      <c r="D7924" t="s">
        <v>20007</v>
      </c>
      <c r="E7924" s="2" t="s">
        <v>481</v>
      </c>
      <c r="F7924" t="s">
        <v>20006</v>
      </c>
      <c r="G7924" t="str">
        <f>HYPERLINK("https://n.news.naver.com/mnews/article/056/0011966756?sid=103")</f>
        <v>https://n.news.naver.com/mnews/article/056/0011966756?sid=103</v>
      </c>
      <c r="H7924">
        <v>0.34300000000000003</v>
      </c>
    </row>
    <row r="7925" spans="1:8" x14ac:dyDescent="0.3">
      <c r="A7925" t="s">
        <v>18176</v>
      </c>
      <c r="B7925" t="s">
        <v>26951</v>
      </c>
      <c r="C7925" t="s">
        <v>20010</v>
      </c>
      <c r="D7925" t="s">
        <v>20009</v>
      </c>
      <c r="E7925" s="2" t="s">
        <v>481</v>
      </c>
      <c r="F7925" t="s">
        <v>12553</v>
      </c>
      <c r="G7925" t="str">
        <f>HYPERLINK("https://n.news.naver.com/mnews/article/081/0002619738?sid=103")</f>
        <v>https://n.news.naver.com/mnews/article/081/0002619738?sid=103</v>
      </c>
      <c r="H7925">
        <v>0.14699999999999999</v>
      </c>
    </row>
    <row r="7926" spans="1:8" x14ac:dyDescent="0.3">
      <c r="A7926" t="s">
        <v>18176</v>
      </c>
      <c r="B7926" t="s">
        <v>26951</v>
      </c>
      <c r="C7926" t="s">
        <v>20012</v>
      </c>
      <c r="D7926" t="s">
        <v>20011</v>
      </c>
      <c r="E7926" s="2" t="s">
        <v>481</v>
      </c>
      <c r="F7926" t="s">
        <v>7449</v>
      </c>
      <c r="G7926" t="str">
        <f>HYPERLINK("https://n.news.naver.com/mnews/article/002/0001943036?sid=103")</f>
        <v>https://n.news.naver.com/mnews/article/002/0001943036?sid=103</v>
      </c>
      <c r="H7926">
        <v>0.29599999999999999</v>
      </c>
    </row>
    <row r="7927" spans="1:8" x14ac:dyDescent="0.3">
      <c r="A7927" t="s">
        <v>18176</v>
      </c>
      <c r="B7927" t="s">
        <v>26951</v>
      </c>
      <c r="C7927" t="s">
        <v>20015</v>
      </c>
      <c r="D7927" t="s">
        <v>20014</v>
      </c>
      <c r="E7927" s="2" t="s">
        <v>481</v>
      </c>
      <c r="F7927" t="s">
        <v>20013</v>
      </c>
      <c r="G7927" t="str">
        <f>HYPERLINK("http://www.ksilbo.co.kr/news/articleView.html?idxno=584137")</f>
        <v>http://www.ksilbo.co.kr/news/articleView.html?idxno=584137</v>
      </c>
      <c r="H7927">
        <v>0.34100000000000003</v>
      </c>
    </row>
    <row r="7928" spans="1:8" x14ac:dyDescent="0.3">
      <c r="A7928" t="s">
        <v>18176</v>
      </c>
      <c r="B7928" t="s">
        <v>26951</v>
      </c>
      <c r="C7928" t="s">
        <v>20017</v>
      </c>
      <c r="D7928" t="s">
        <v>20016</v>
      </c>
      <c r="E7928" s="2" t="s">
        <v>481</v>
      </c>
      <c r="F7928" t="s">
        <v>7143</v>
      </c>
      <c r="G7928" t="str">
        <f>HYPERLINK("https://n.news.naver.com/mnews/article/032/0003378758?sid=103")</f>
        <v>https://n.news.naver.com/mnews/article/032/0003378758?sid=103</v>
      </c>
      <c r="H7928">
        <v>0.182</v>
      </c>
    </row>
    <row r="7929" spans="1:8" x14ac:dyDescent="0.3">
      <c r="A7929" t="s">
        <v>18176</v>
      </c>
      <c r="B7929" t="s">
        <v>26951</v>
      </c>
      <c r="C7929" t="s">
        <v>20020</v>
      </c>
      <c r="D7929" t="s">
        <v>20019</v>
      </c>
      <c r="E7929" s="2" t="s">
        <v>481</v>
      </c>
      <c r="F7929" t="s">
        <v>20018</v>
      </c>
      <c r="G7929" t="str">
        <f>HYPERLINK("https://www.newsmin.co.kr/news/113194/")</f>
        <v>https://www.newsmin.co.kr/news/113194/</v>
      </c>
      <c r="H7929">
        <v>0.378</v>
      </c>
    </row>
    <row r="7930" spans="1:8" x14ac:dyDescent="0.3">
      <c r="A7930" t="s">
        <v>18176</v>
      </c>
      <c r="B7930" t="s">
        <v>26951</v>
      </c>
      <c r="C7930" t="s">
        <v>20023</v>
      </c>
      <c r="D7930" t="s">
        <v>20022</v>
      </c>
      <c r="E7930" s="2" t="s">
        <v>481</v>
      </c>
      <c r="F7930" t="s">
        <v>20021</v>
      </c>
      <c r="G7930" t="str">
        <f>HYPERLINK("http://www.sctoday.co.kr/news/articleView.html?idxno=45290")</f>
        <v>http://www.sctoday.co.kr/news/articleView.html?idxno=45290</v>
      </c>
      <c r="H7930">
        <v>0.60599999999999998</v>
      </c>
    </row>
    <row r="7931" spans="1:8" x14ac:dyDescent="0.3">
      <c r="A7931" t="s">
        <v>18176</v>
      </c>
      <c r="B7931" t="s">
        <v>26951</v>
      </c>
      <c r="C7931" t="s">
        <v>20026</v>
      </c>
      <c r="D7931" t="s">
        <v>20025</v>
      </c>
      <c r="E7931" s="2" t="s">
        <v>481</v>
      </c>
      <c r="F7931" t="s">
        <v>20024</v>
      </c>
      <c r="G7931" t="str">
        <f>HYPERLINK("https://n.news.naver.com/mnews/article/666/0000076022?sid=103")</f>
        <v>https://n.news.naver.com/mnews/article/666/0000076022?sid=103</v>
      </c>
      <c r="H7931">
        <v>2E-3</v>
      </c>
    </row>
    <row r="7932" spans="1:8" x14ac:dyDescent="0.3">
      <c r="A7932" t="s">
        <v>18176</v>
      </c>
      <c r="B7932" t="s">
        <v>26951</v>
      </c>
      <c r="C7932" t="s">
        <v>20028</v>
      </c>
      <c r="D7932" t="s">
        <v>20027</v>
      </c>
      <c r="E7932" s="2" t="s">
        <v>481</v>
      </c>
      <c r="F7932" t="s">
        <v>14289</v>
      </c>
      <c r="G7932" t="str">
        <f>HYPERLINK("https://www.vogue.co.kr/2020/11/30/%ec%82%ac%ea%b3%84%ec%a0%88%ec%9d%98-%ec%9d%b4%ec%8a%88-%ec%8a%a4%eb%ac%b4-%ea%b0%80%ec%a7%80-2/?utm_source=naver&amp;utm_medium=partnership")</f>
        <v>https://www.vogue.co.kr/2020/11/30/%ec%82%ac%ea%b3%84%ec%a0%88%ec%9d%98-%ec%9d%b4%ec%8a%88-%ec%8a%a4%eb%ac%b4-%ea%b0%80%ec%a7%80-2/?utm_source=naver&amp;utm_medium=partnership</v>
      </c>
      <c r="H7932">
        <v>0.63200000000000001</v>
      </c>
    </row>
    <row r="7933" spans="1:8" x14ac:dyDescent="0.3">
      <c r="A7933" t="s">
        <v>18176</v>
      </c>
      <c r="B7933" t="s">
        <v>26951</v>
      </c>
      <c r="C7933" t="s">
        <v>20031</v>
      </c>
      <c r="D7933" t="s">
        <v>20030</v>
      </c>
      <c r="E7933" s="2" t="s">
        <v>502</v>
      </c>
      <c r="F7933" t="s">
        <v>20029</v>
      </c>
      <c r="G7933" t="str">
        <f>HYPERLINK("http://www.sctoday.co.kr/news/articleView.html?idxno=44702")</f>
        <v>http://www.sctoday.co.kr/news/articleView.html?idxno=44702</v>
      </c>
      <c r="H7933">
        <v>0.65300000000000002</v>
      </c>
    </row>
    <row r="7934" spans="1:8" x14ac:dyDescent="0.3">
      <c r="A7934" t="s">
        <v>18176</v>
      </c>
      <c r="B7934" t="s">
        <v>26951</v>
      </c>
      <c r="C7934" t="s">
        <v>20033</v>
      </c>
      <c r="D7934" t="s">
        <v>20032</v>
      </c>
      <c r="E7934" s="2" t="s">
        <v>502</v>
      </c>
      <c r="F7934" t="s">
        <v>10010</v>
      </c>
      <c r="G7934" t="str">
        <f>HYPERLINK("https://www.etoday.co.kr/news/view/2350451")</f>
        <v>https://www.etoday.co.kr/news/view/2350451</v>
      </c>
      <c r="H7934">
        <v>0.48799999999999999</v>
      </c>
    </row>
    <row r="7935" spans="1:8" x14ac:dyDescent="0.3">
      <c r="A7935" t="s">
        <v>18176</v>
      </c>
      <c r="B7935" t="s">
        <v>26951</v>
      </c>
      <c r="C7935" t="s">
        <v>20036</v>
      </c>
      <c r="D7935" t="s">
        <v>20035</v>
      </c>
      <c r="E7935" s="2" t="s">
        <v>502</v>
      </c>
      <c r="F7935" t="s">
        <v>20034</v>
      </c>
      <c r="G7935" t="str">
        <f>HYPERLINK("https://n.news.naver.com/mnews/article/277/0005539963?sid=101")</f>
        <v>https://n.news.naver.com/mnews/article/277/0005539963?sid=101</v>
      </c>
      <c r="H7935">
        <v>0.18099999999999999</v>
      </c>
    </row>
    <row r="7936" spans="1:8" x14ac:dyDescent="0.3">
      <c r="A7936" t="s">
        <v>18176</v>
      </c>
      <c r="B7936" t="s">
        <v>26951</v>
      </c>
      <c r="C7936" t="s">
        <v>20039</v>
      </c>
      <c r="D7936" t="s">
        <v>20038</v>
      </c>
      <c r="E7936" s="2" t="s">
        <v>502</v>
      </c>
      <c r="F7936" t="s">
        <v>18371</v>
      </c>
      <c r="G7936" t="str">
        <f>HYPERLINK("https://n.news.naver.com/mnews/article/018/0005003317?sid=103")</f>
        <v>https://n.news.naver.com/mnews/article/018/0005003317?sid=103</v>
      </c>
      <c r="H7936">
        <v>0.30299999999999999</v>
      </c>
    </row>
    <row r="7937" spans="1:8" x14ac:dyDescent="0.3">
      <c r="A7937" t="s">
        <v>18176</v>
      </c>
      <c r="B7937" t="s">
        <v>26951</v>
      </c>
      <c r="C7937" t="s">
        <v>20041</v>
      </c>
      <c r="D7937" t="s">
        <v>20040</v>
      </c>
      <c r="E7937" s="2" t="s">
        <v>502</v>
      </c>
      <c r="F7937" t="s">
        <v>18666</v>
      </c>
      <c r="G7937" t="str">
        <f>HYPERLINK("http://www.docdocdoc.co.kr/news/articleView.html?idxno=3029201")</f>
        <v>http://www.docdocdoc.co.kr/news/articleView.html?idxno=3029201</v>
      </c>
      <c r="H7937">
        <v>0.45500000000000002</v>
      </c>
    </row>
    <row r="7938" spans="1:8" x14ac:dyDescent="0.3">
      <c r="A7938" t="s">
        <v>18176</v>
      </c>
      <c r="B7938" t="s">
        <v>26951</v>
      </c>
      <c r="C7938" t="s">
        <v>20043</v>
      </c>
      <c r="D7938" t="s">
        <v>20042</v>
      </c>
      <c r="E7938" s="2" t="s">
        <v>502</v>
      </c>
      <c r="F7938" t="s">
        <v>4119</v>
      </c>
      <c r="G7938" t="str">
        <f>HYPERLINK("http://www.greened.kr/news/articleView.html?idxno=299629")</f>
        <v>http://www.greened.kr/news/articleView.html?idxno=299629</v>
      </c>
      <c r="H7938">
        <v>0.65600000000000003</v>
      </c>
    </row>
    <row r="7939" spans="1:8" x14ac:dyDescent="0.3">
      <c r="A7939" t="s">
        <v>18176</v>
      </c>
      <c r="B7939" t="s">
        <v>26951</v>
      </c>
      <c r="C7939" t="s">
        <v>20045</v>
      </c>
      <c r="D7939" t="s">
        <v>20044</v>
      </c>
      <c r="E7939" s="2" t="s">
        <v>502</v>
      </c>
      <c r="F7939" t="s">
        <v>18689</v>
      </c>
      <c r="G7939" t="str">
        <f>HYPERLINK("https://sports.hankooki.com/news/articleView.html?idxno=6900142")</f>
        <v>https://sports.hankooki.com/news/articleView.html?idxno=6900142</v>
      </c>
      <c r="H7939">
        <v>0.222</v>
      </c>
    </row>
    <row r="7940" spans="1:8" x14ac:dyDescent="0.3">
      <c r="A7940" t="s">
        <v>18176</v>
      </c>
      <c r="B7940" t="s">
        <v>26951</v>
      </c>
      <c r="C7940" t="s">
        <v>20047</v>
      </c>
      <c r="D7940" t="s">
        <v>20046</v>
      </c>
      <c r="E7940" s="2" t="s">
        <v>502</v>
      </c>
      <c r="F7940" t="s">
        <v>10471</v>
      </c>
      <c r="G7940" t="str">
        <f>HYPERLINK("https://www.sisamagazine.co.kr/news/articleView.html?idxno=501175")</f>
        <v>https://www.sisamagazine.co.kr/news/articleView.html?idxno=501175</v>
      </c>
      <c r="H7940">
        <v>0.503</v>
      </c>
    </row>
    <row r="7941" spans="1:8" x14ac:dyDescent="0.3">
      <c r="A7941" t="s">
        <v>18176</v>
      </c>
      <c r="B7941" t="s">
        <v>26951</v>
      </c>
      <c r="C7941" t="s">
        <v>20050</v>
      </c>
      <c r="D7941" t="s">
        <v>20049</v>
      </c>
      <c r="E7941" s="2" t="s">
        <v>502</v>
      </c>
      <c r="F7941" t="s">
        <v>20048</v>
      </c>
      <c r="G7941" t="str">
        <f>HYPERLINK("http://www.sisamagazine.co.kr/news/articleView.html?idxno=425271")</f>
        <v>http://www.sisamagazine.co.kr/news/articleView.html?idxno=425271</v>
      </c>
      <c r="H7941">
        <v>0.14499999999999999</v>
      </c>
    </row>
    <row r="7942" spans="1:8" x14ac:dyDescent="0.3">
      <c r="A7942" t="s">
        <v>18176</v>
      </c>
      <c r="B7942" t="s">
        <v>26951</v>
      </c>
      <c r="C7942" t="s">
        <v>20052</v>
      </c>
      <c r="D7942" t="s">
        <v>20051</v>
      </c>
      <c r="E7942" s="2" t="s">
        <v>502</v>
      </c>
      <c r="F7942" t="s">
        <v>10471</v>
      </c>
      <c r="G7942" t="str">
        <f>HYPERLINK("https://sports.hankooki.com/news/articleView.html?idxno=6884236")</f>
        <v>https://sports.hankooki.com/news/articleView.html?idxno=6884236</v>
      </c>
      <c r="H7942">
        <v>0.496</v>
      </c>
    </row>
    <row r="7943" spans="1:8" x14ac:dyDescent="0.3">
      <c r="A7943" t="s">
        <v>18176</v>
      </c>
      <c r="B7943" t="s">
        <v>26951</v>
      </c>
      <c r="C7943" t="s">
        <v>20055</v>
      </c>
      <c r="D7943" t="s">
        <v>20054</v>
      </c>
      <c r="E7943" s="2" t="s">
        <v>502</v>
      </c>
      <c r="F7943" t="s">
        <v>20053</v>
      </c>
      <c r="G7943" t="str">
        <f>HYPERLINK("http://www.gqkorea.co.kr/2019/10/23/%ec%b7%a8%ed%96%a5-%ec%a2%8b%ec%9d%80-11%ec%9d%b8%ec%9d%b4-%ea%bc%bd%ec%9d%80-%ec%b5%9c%ec%95%a0-%eb%a6%ac%ec%8a%a4%ed%8a%b8/?utm_source=Naver&amp;utm_medium=partnership")</f>
        <v>http://www.gqkorea.co.kr/2019/10/23/%ec%b7%a8%ed%96%a5-%ec%a2%8b%ec%9d%80-11%ec%9d%b8%ec%9d%b4-%ea%bc%bd%ec%9d%80-%ec%b5%9c%ec%95%a0-%eb%a6%ac%ec%8a%a4%ed%8a%b8/?utm_source=Naver&amp;utm_medium=partnership</v>
      </c>
      <c r="H7943">
        <v>0.71099999999999997</v>
      </c>
    </row>
    <row r="7944" spans="1:8" x14ac:dyDescent="0.3">
      <c r="A7944" t="s">
        <v>18176</v>
      </c>
      <c r="B7944" t="s">
        <v>26951</v>
      </c>
      <c r="C7944" t="s">
        <v>20059</v>
      </c>
      <c r="D7944" t="s">
        <v>20058</v>
      </c>
      <c r="E7944" s="2" t="s">
        <v>502</v>
      </c>
      <c r="F7944" t="s">
        <v>20057</v>
      </c>
      <c r="G7944" t="str">
        <f>HYPERLINK("https://www.sisamagazine.co.kr/news/articleView.html?idxno=510013")</f>
        <v>https://www.sisamagazine.co.kr/news/articleView.html?idxno=510013</v>
      </c>
      <c r="H7944">
        <v>0.18</v>
      </c>
    </row>
    <row r="7945" spans="1:8" x14ac:dyDescent="0.3">
      <c r="A7945" t="s">
        <v>18176</v>
      </c>
      <c r="B7945" t="s">
        <v>26951</v>
      </c>
      <c r="C7945" t="s">
        <v>20061</v>
      </c>
      <c r="D7945" t="s">
        <v>20060</v>
      </c>
      <c r="E7945" s="2" t="s">
        <v>502</v>
      </c>
      <c r="F7945" t="s">
        <v>9944</v>
      </c>
      <c r="G7945" t="str">
        <f>HYPERLINK("https://n.news.naver.com/mnews/article/016/0002467086?sid=103")</f>
        <v>https://n.news.naver.com/mnews/article/016/0002467086?sid=103</v>
      </c>
      <c r="H7945">
        <v>0.251</v>
      </c>
    </row>
    <row r="7946" spans="1:8" x14ac:dyDescent="0.3">
      <c r="A7946" t="s">
        <v>18176</v>
      </c>
      <c r="B7946" t="s">
        <v>26951</v>
      </c>
      <c r="C7946" t="s">
        <v>20064</v>
      </c>
      <c r="D7946" t="s">
        <v>20063</v>
      </c>
      <c r="E7946" s="2" t="s">
        <v>502</v>
      </c>
      <c r="F7946" t="s">
        <v>20062</v>
      </c>
      <c r="G7946" t="str">
        <f>HYPERLINK("https://www.greened.kr/news/articleView.html?idxno=309418")</f>
        <v>https://www.greened.kr/news/articleView.html?idxno=309418</v>
      </c>
      <c r="H7946">
        <v>0.36</v>
      </c>
    </row>
    <row r="7947" spans="1:8" x14ac:dyDescent="0.3">
      <c r="A7947" t="s">
        <v>18176</v>
      </c>
      <c r="B7947" t="s">
        <v>26951</v>
      </c>
      <c r="C7947" t="s">
        <v>20067</v>
      </c>
      <c r="D7947" t="s">
        <v>20066</v>
      </c>
      <c r="E7947" s="2" t="s">
        <v>502</v>
      </c>
      <c r="F7947" t="s">
        <v>20065</v>
      </c>
      <c r="G7947" t="str">
        <f>HYPERLINK("https://n.news.naver.com/mnews/article/028/0002430221?sid=103")</f>
        <v>https://n.news.naver.com/mnews/article/028/0002430221?sid=103</v>
      </c>
      <c r="H7947">
        <v>0.29699999999999999</v>
      </c>
    </row>
    <row r="7948" spans="1:8" x14ac:dyDescent="0.3">
      <c r="A7948" t="s">
        <v>18176</v>
      </c>
      <c r="B7948" t="s">
        <v>26951</v>
      </c>
      <c r="C7948" t="s">
        <v>20069</v>
      </c>
      <c r="D7948" t="s">
        <v>20068</v>
      </c>
      <c r="E7948" s="2" t="s">
        <v>502</v>
      </c>
      <c r="F7948" t="s">
        <v>1101</v>
      </c>
      <c r="G7948" t="str">
        <f>HYPERLINK("https://www.sciencetimes.co.kr/news/sn/260382")</f>
        <v>https://www.sciencetimes.co.kr/news/sn/260382</v>
      </c>
      <c r="H7948">
        <v>0.60399999999999998</v>
      </c>
    </row>
    <row r="7949" spans="1:8" x14ac:dyDescent="0.3">
      <c r="A7949" t="s">
        <v>18176</v>
      </c>
      <c r="B7949" t="s">
        <v>26951</v>
      </c>
      <c r="C7949" t="s">
        <v>20071</v>
      </c>
      <c r="D7949" t="s">
        <v>20070</v>
      </c>
      <c r="E7949" s="2" t="s">
        <v>502</v>
      </c>
      <c r="F7949" t="s">
        <v>16637</v>
      </c>
      <c r="G7949" t="str">
        <f>HYPERLINK("https://n.news.naver.com/mnews/article/057/0001893362?sid=100")</f>
        <v>https://n.news.naver.com/mnews/article/057/0001893362?sid=100</v>
      </c>
      <c r="H7949">
        <v>0.22500000000000001</v>
      </c>
    </row>
    <row r="7950" spans="1:8" x14ac:dyDescent="0.3">
      <c r="A7950" t="s">
        <v>18176</v>
      </c>
      <c r="B7950" t="s">
        <v>26951</v>
      </c>
      <c r="C7950" t="s">
        <v>20074</v>
      </c>
      <c r="D7950" t="s">
        <v>20073</v>
      </c>
      <c r="E7950" s="2" t="s">
        <v>502</v>
      </c>
      <c r="F7950" t="s">
        <v>20072</v>
      </c>
      <c r="G7950" t="str">
        <f>HYPERLINK("https://www.kbmaeil.com/article/20250617500075")</f>
        <v>https://www.kbmaeil.com/article/20250617500075</v>
      </c>
      <c r="H7950">
        <v>0.51900000000000002</v>
      </c>
    </row>
    <row r="7951" spans="1:8" x14ac:dyDescent="0.3">
      <c r="A7951" t="s">
        <v>18176</v>
      </c>
      <c r="B7951" t="s">
        <v>26951</v>
      </c>
      <c r="C7951" t="s">
        <v>12018</v>
      </c>
      <c r="D7951" t="s">
        <v>12017</v>
      </c>
      <c r="E7951" s="2" t="s">
        <v>502</v>
      </c>
      <c r="F7951" t="s">
        <v>12016</v>
      </c>
      <c r="G7951" t="str">
        <f>HYPERLINK("https://n.news.naver.com/mnews/article/016/0002484906?sid=103")</f>
        <v>https://n.news.naver.com/mnews/article/016/0002484906?sid=103</v>
      </c>
      <c r="H7951">
        <v>0.19600000000000001</v>
      </c>
    </row>
    <row r="7952" spans="1:8" x14ac:dyDescent="0.3">
      <c r="A7952" t="s">
        <v>18176</v>
      </c>
      <c r="B7952" t="s">
        <v>26951</v>
      </c>
      <c r="C7952" t="s">
        <v>20077</v>
      </c>
      <c r="D7952" t="s">
        <v>20076</v>
      </c>
      <c r="E7952" s="2" t="s">
        <v>502</v>
      </c>
      <c r="F7952" t="s">
        <v>20075</v>
      </c>
      <c r="G7952" t="str">
        <f>HYPERLINK("http://www.beopbo.com/news/articleView.html?idxno=94348")</f>
        <v>http://www.beopbo.com/news/articleView.html?idxno=94348</v>
      </c>
      <c r="H7952">
        <v>0.47299999999999998</v>
      </c>
    </row>
    <row r="7953" spans="1:8" x14ac:dyDescent="0.3">
      <c r="A7953" t="s">
        <v>18176</v>
      </c>
      <c r="B7953" t="s">
        <v>26951</v>
      </c>
      <c r="C7953" t="s">
        <v>20079</v>
      </c>
      <c r="D7953" t="s">
        <v>20078</v>
      </c>
      <c r="E7953" s="2" t="s">
        <v>502</v>
      </c>
      <c r="F7953" t="s">
        <v>10471</v>
      </c>
      <c r="G7953" t="str">
        <f>HYPERLINK("http://www.lecturernews.com/news/articleView.html?idxno=94923")</f>
        <v>http://www.lecturernews.com/news/articleView.html?idxno=94923</v>
      </c>
      <c r="H7953">
        <v>0.49299999999999999</v>
      </c>
    </row>
    <row r="7954" spans="1:8" x14ac:dyDescent="0.3">
      <c r="A7954" t="s">
        <v>18176</v>
      </c>
      <c r="B7954" t="s">
        <v>26951</v>
      </c>
      <c r="C7954" t="s">
        <v>20082</v>
      </c>
      <c r="D7954" t="s">
        <v>20081</v>
      </c>
      <c r="E7954" s="2" t="s">
        <v>502</v>
      </c>
      <c r="F7954" t="s">
        <v>17958</v>
      </c>
      <c r="G7954" t="str">
        <f>HYPERLINK("https://www.lecturernews.com/news/articleView.html?idxno=180248")</f>
        <v>https://www.lecturernews.com/news/articleView.html?idxno=180248</v>
      </c>
      <c r="H7954">
        <v>0.78900000000000003</v>
      </c>
    </row>
    <row r="7955" spans="1:8" x14ac:dyDescent="0.3">
      <c r="A7955" t="s">
        <v>18176</v>
      </c>
      <c r="B7955" t="s">
        <v>26951</v>
      </c>
      <c r="C7955" t="s">
        <v>20084</v>
      </c>
      <c r="D7955" t="s">
        <v>20083</v>
      </c>
      <c r="E7955" s="2" t="s">
        <v>502</v>
      </c>
      <c r="F7955" t="s">
        <v>1378</v>
      </c>
      <c r="G7955" t="str">
        <f>HYPERLINK("https://n.news.naver.com/mnews/article/008/0004004560?sid=103")</f>
        <v>https://n.news.naver.com/mnews/article/008/0004004560?sid=103</v>
      </c>
      <c r="H7955">
        <v>0.27700000000000002</v>
      </c>
    </row>
    <row r="7956" spans="1:8" x14ac:dyDescent="0.3">
      <c r="A7956" t="s">
        <v>18176</v>
      </c>
      <c r="B7956" t="s">
        <v>26951</v>
      </c>
      <c r="C7956" t="s">
        <v>20087</v>
      </c>
      <c r="D7956" t="s">
        <v>20086</v>
      </c>
      <c r="E7956" s="2" t="s">
        <v>502</v>
      </c>
      <c r="F7956" t="s">
        <v>20085</v>
      </c>
      <c r="G7956" t="str">
        <f>HYPERLINK("https://www.beopbo.com/news/articleView.html?idxno=330003")</f>
        <v>https://www.beopbo.com/news/articleView.html?idxno=330003</v>
      </c>
      <c r="H7956">
        <v>0.159</v>
      </c>
    </row>
    <row r="7957" spans="1:8" x14ac:dyDescent="0.3">
      <c r="A7957" t="s">
        <v>18176</v>
      </c>
      <c r="B7957" t="s">
        <v>26951</v>
      </c>
      <c r="C7957" t="s">
        <v>20090</v>
      </c>
      <c r="D7957" t="s">
        <v>20089</v>
      </c>
      <c r="E7957" s="2" t="s">
        <v>502</v>
      </c>
      <c r="F7957" t="s">
        <v>20088</v>
      </c>
      <c r="G7957" t="str">
        <f>HYPERLINK("https://n.news.naver.com/mnews/article/056/0011936816?sid=103")</f>
        <v>https://n.news.naver.com/mnews/article/056/0011936816?sid=103</v>
      </c>
      <c r="H7957">
        <v>0.186</v>
      </c>
    </row>
    <row r="7958" spans="1:8" x14ac:dyDescent="0.3">
      <c r="A7958" t="s">
        <v>18176</v>
      </c>
      <c r="B7958" t="s">
        <v>26951</v>
      </c>
      <c r="C7958" t="s">
        <v>20093</v>
      </c>
      <c r="D7958" t="s">
        <v>20092</v>
      </c>
      <c r="E7958" s="2" t="s">
        <v>502</v>
      </c>
      <c r="F7958" t="s">
        <v>20091</v>
      </c>
      <c r="G7958" t="str">
        <f>HYPERLINK("https://www.nbntv.co.kr/news/articleView.html?idxno=3037423")</f>
        <v>https://www.nbntv.co.kr/news/articleView.html?idxno=3037423</v>
      </c>
      <c r="H7958">
        <v>0.41599999999999998</v>
      </c>
    </row>
    <row r="7959" spans="1:8" x14ac:dyDescent="0.3">
      <c r="A7959" t="s">
        <v>18176</v>
      </c>
      <c r="B7959" t="s">
        <v>26951</v>
      </c>
      <c r="C7959" t="s">
        <v>20096</v>
      </c>
      <c r="D7959" t="s">
        <v>20095</v>
      </c>
      <c r="E7959" s="2" t="s">
        <v>502</v>
      </c>
      <c r="F7959" t="s">
        <v>20094</v>
      </c>
      <c r="G7959" t="str">
        <f>HYPERLINK("http://www.interview365.com/news/articleView.html?idxno=109861")</f>
        <v>http://www.interview365.com/news/articleView.html?idxno=109861</v>
      </c>
      <c r="H7959">
        <v>0.45500000000000002</v>
      </c>
    </row>
    <row r="7960" spans="1:8" x14ac:dyDescent="0.3">
      <c r="A7960" t="s">
        <v>18176</v>
      </c>
      <c r="B7960" t="s">
        <v>26951</v>
      </c>
      <c r="C7960" t="s">
        <v>20098</v>
      </c>
      <c r="D7960" t="s">
        <v>20097</v>
      </c>
      <c r="E7960" s="2" t="s">
        <v>502</v>
      </c>
      <c r="F7960" t="s">
        <v>9878</v>
      </c>
      <c r="G7960" t="str">
        <f>HYPERLINK("http://www.dailysportshankook.co.kr/news/articleView.html?idxno=221665")</f>
        <v>http://www.dailysportshankook.co.kr/news/articleView.html?idxno=221665</v>
      </c>
      <c r="H7960">
        <v>0.48399999999999999</v>
      </c>
    </row>
    <row r="7961" spans="1:8" x14ac:dyDescent="0.3">
      <c r="A7961" t="s">
        <v>18176</v>
      </c>
      <c r="B7961" t="s">
        <v>26951</v>
      </c>
      <c r="C7961" t="s">
        <v>20101</v>
      </c>
      <c r="D7961" t="s">
        <v>20100</v>
      </c>
      <c r="E7961" s="2" t="s">
        <v>502</v>
      </c>
      <c r="F7961" t="s">
        <v>20099</v>
      </c>
      <c r="G7961" t="str">
        <f>HYPERLINK("http://www.metroseoul.co.kr/article/20250520500462")</f>
        <v>http://www.metroseoul.co.kr/article/20250520500462</v>
      </c>
      <c r="H7961">
        <v>0.36499999999999999</v>
      </c>
    </row>
    <row r="7962" spans="1:8" x14ac:dyDescent="0.3">
      <c r="A7962" t="s">
        <v>18176</v>
      </c>
      <c r="B7962" t="s">
        <v>26951</v>
      </c>
      <c r="C7962" t="s">
        <v>20103</v>
      </c>
      <c r="D7962" t="s">
        <v>20102</v>
      </c>
      <c r="E7962" s="2" t="s">
        <v>502</v>
      </c>
      <c r="F7962" t="s">
        <v>13809</v>
      </c>
      <c r="G7962" t="str">
        <f>HYPERLINK("http://jmagazine.joins.com/forbes/view/335939")</f>
        <v>http://jmagazine.joins.com/forbes/view/335939</v>
      </c>
      <c r="H7962">
        <v>0.20300000000000001</v>
      </c>
    </row>
    <row r="7963" spans="1:8" x14ac:dyDescent="0.3">
      <c r="A7963" t="s">
        <v>18176</v>
      </c>
      <c r="B7963" t="s">
        <v>26951</v>
      </c>
      <c r="C7963" t="s">
        <v>20106</v>
      </c>
      <c r="D7963" t="s">
        <v>20105</v>
      </c>
      <c r="E7963" s="2" t="s">
        <v>502</v>
      </c>
      <c r="F7963" t="s">
        <v>20104</v>
      </c>
      <c r="G7963" t="str">
        <f>HYPERLINK("https://www.mediajeju.com/news/articleView.html?idxno=358927")</f>
        <v>https://www.mediajeju.com/news/articleView.html?idxno=358927</v>
      </c>
      <c r="H7963">
        <v>0.46600000000000003</v>
      </c>
    </row>
    <row r="7964" spans="1:8" x14ac:dyDescent="0.3">
      <c r="A7964" t="s">
        <v>18176</v>
      </c>
      <c r="B7964" t="s">
        <v>26951</v>
      </c>
      <c r="C7964" t="s">
        <v>20108</v>
      </c>
      <c r="D7964" t="s">
        <v>20107</v>
      </c>
      <c r="E7964" s="2" t="s">
        <v>502</v>
      </c>
      <c r="F7964" t="s">
        <v>16557</v>
      </c>
      <c r="G7964" t="str">
        <f>HYPERLINK("http://www.handmk.com/news/articleView.html?idxno=27473")</f>
        <v>http://www.handmk.com/news/articleView.html?idxno=27473</v>
      </c>
      <c r="H7964">
        <v>0.66100000000000003</v>
      </c>
    </row>
    <row r="7965" spans="1:8" x14ac:dyDescent="0.3">
      <c r="A7965" t="s">
        <v>18176</v>
      </c>
      <c r="B7965" t="s">
        <v>26951</v>
      </c>
      <c r="C7965" t="s">
        <v>20110</v>
      </c>
      <c r="D7965" t="s">
        <v>20109</v>
      </c>
      <c r="E7965" s="2" t="s">
        <v>502</v>
      </c>
      <c r="F7965" t="s">
        <v>14359</v>
      </c>
      <c r="G7965" t="str">
        <f>HYPERLINK("https://n.news.naver.com/mnews/article/277/0004988075?sid=102")</f>
        <v>https://n.news.naver.com/mnews/article/277/0004988075?sid=102</v>
      </c>
      <c r="H7965">
        <v>0.221</v>
      </c>
    </row>
    <row r="7966" spans="1:8" x14ac:dyDescent="0.3">
      <c r="A7966" t="s">
        <v>18176</v>
      </c>
      <c r="B7966" t="s">
        <v>26951</v>
      </c>
      <c r="C7966" t="s">
        <v>20113</v>
      </c>
      <c r="D7966" t="s">
        <v>20112</v>
      </c>
      <c r="E7966" s="2" t="s">
        <v>502</v>
      </c>
      <c r="F7966" t="s">
        <v>20111</v>
      </c>
      <c r="G7966" t="str">
        <f>HYPERLINK("http://www.ifs.or.kr/bbs/board.php?bo_table=News&amp;wr_id=55093")</f>
        <v>http://www.ifs.or.kr/bbs/board.php?bo_table=News&amp;wr_id=55093</v>
      </c>
      <c r="H7966">
        <v>0.54500000000000004</v>
      </c>
    </row>
    <row r="7967" spans="1:8" x14ac:dyDescent="0.3">
      <c r="A7967" t="s">
        <v>18176</v>
      </c>
      <c r="B7967" t="s">
        <v>26951</v>
      </c>
      <c r="C7967" t="s">
        <v>16344</v>
      </c>
      <c r="D7967" t="s">
        <v>16343</v>
      </c>
      <c r="E7967" s="2" t="s">
        <v>502</v>
      </c>
      <c r="F7967" t="s">
        <v>3420</v>
      </c>
      <c r="G7967" t="str">
        <f>HYPERLINK("https://n.news.naver.com/mnews/article/056/0011384917?sid=100")</f>
        <v>https://n.news.naver.com/mnews/article/056/0011384917?sid=100</v>
      </c>
      <c r="H7967">
        <v>0.26</v>
      </c>
    </row>
    <row r="7968" spans="1:8" x14ac:dyDescent="0.3">
      <c r="A7968" t="s">
        <v>18176</v>
      </c>
      <c r="B7968" t="s">
        <v>26951</v>
      </c>
      <c r="C7968" t="s">
        <v>20116</v>
      </c>
      <c r="D7968" t="s">
        <v>20115</v>
      </c>
      <c r="E7968" s="2" t="s">
        <v>502</v>
      </c>
      <c r="F7968" t="s">
        <v>20114</v>
      </c>
      <c r="G7968" t="str">
        <f>HYPERLINK("https://www.kgnews.co.kr/news/article.html?no=851521")</f>
        <v>https://www.kgnews.co.kr/news/article.html?no=851521</v>
      </c>
      <c r="H7968">
        <v>0.158</v>
      </c>
    </row>
    <row r="7969" spans="1:8" x14ac:dyDescent="0.3">
      <c r="A7969" t="s">
        <v>18176</v>
      </c>
      <c r="B7969" t="s">
        <v>26951</v>
      </c>
      <c r="C7969" t="s">
        <v>20119</v>
      </c>
      <c r="D7969" t="s">
        <v>20118</v>
      </c>
      <c r="E7969" s="2" t="s">
        <v>502</v>
      </c>
      <c r="F7969" t="s">
        <v>20117</v>
      </c>
      <c r="G7969" t="str">
        <f>HYPERLINK("https://www.hapt.co.kr/news/articleView.html?idxno=165712")</f>
        <v>https://www.hapt.co.kr/news/articleView.html?idxno=165712</v>
      </c>
      <c r="H7969">
        <v>0.66700000000000004</v>
      </c>
    </row>
    <row r="7970" spans="1:8" x14ac:dyDescent="0.3">
      <c r="A7970" t="s">
        <v>18176</v>
      </c>
      <c r="B7970" t="s">
        <v>26951</v>
      </c>
      <c r="C7970" t="s">
        <v>20122</v>
      </c>
      <c r="D7970" t="s">
        <v>20121</v>
      </c>
      <c r="E7970" s="2" t="s">
        <v>502</v>
      </c>
      <c r="F7970" t="s">
        <v>4119</v>
      </c>
      <c r="G7970" t="str">
        <f>HYPERLINK("http://www.handmk.com/news/articleView.html?idxno=27473")</f>
        <v>http://www.handmk.com/news/articleView.html?idxno=27473</v>
      </c>
      <c r="H7970">
        <v>0.55600000000000005</v>
      </c>
    </row>
    <row r="7971" spans="1:8" x14ac:dyDescent="0.3">
      <c r="A7971" t="s">
        <v>18176</v>
      </c>
      <c r="B7971" t="s">
        <v>26951</v>
      </c>
      <c r="C7971" t="s">
        <v>20125</v>
      </c>
      <c r="D7971" t="s">
        <v>20124</v>
      </c>
      <c r="E7971" s="2" t="s">
        <v>502</v>
      </c>
      <c r="F7971" t="s">
        <v>20123</v>
      </c>
      <c r="G7971" t="str">
        <f>HYPERLINK("https://n.news.naver.com/mnews/article/056/0011946550?sid=103")</f>
        <v>https://n.news.naver.com/mnews/article/056/0011946550?sid=103</v>
      </c>
      <c r="H7971">
        <v>0.13900000000000001</v>
      </c>
    </row>
    <row r="7972" spans="1:8" x14ac:dyDescent="0.3">
      <c r="A7972" t="s">
        <v>18176</v>
      </c>
      <c r="B7972" t="s">
        <v>26951</v>
      </c>
      <c r="C7972" t="s">
        <v>20127</v>
      </c>
      <c r="D7972" t="s">
        <v>20126</v>
      </c>
      <c r="E7972" s="2" t="s">
        <v>502</v>
      </c>
      <c r="F7972" t="s">
        <v>14926</v>
      </c>
      <c r="G7972" t="str">
        <f>HYPERLINK("https://weekly.hankooki.com/news/articleView.html?idxno=7110034")</f>
        <v>https://weekly.hankooki.com/news/articleView.html?idxno=7110034</v>
      </c>
      <c r="H7972">
        <v>0.214</v>
      </c>
    </row>
    <row r="7973" spans="1:8" x14ac:dyDescent="0.3">
      <c r="A7973" t="s">
        <v>18176</v>
      </c>
      <c r="B7973" t="s">
        <v>26951</v>
      </c>
      <c r="C7973" t="s">
        <v>20129</v>
      </c>
      <c r="D7973" t="s">
        <v>20128</v>
      </c>
      <c r="E7973" s="2" t="s">
        <v>502</v>
      </c>
      <c r="F7973" t="s">
        <v>7606</v>
      </c>
      <c r="G7973" t="str">
        <f>HYPERLINK("https://www.christiantoday.co.kr/news/368984")</f>
        <v>https://www.christiantoday.co.kr/news/368984</v>
      </c>
      <c r="H7973">
        <v>0.20599999999999999</v>
      </c>
    </row>
    <row r="7974" spans="1:8" x14ac:dyDescent="0.3">
      <c r="A7974" t="s">
        <v>18176</v>
      </c>
      <c r="B7974" t="s">
        <v>26951</v>
      </c>
      <c r="C7974" t="s">
        <v>20131</v>
      </c>
      <c r="D7974" t="s">
        <v>20130</v>
      </c>
      <c r="E7974" s="2" t="s">
        <v>502</v>
      </c>
      <c r="F7974" t="s">
        <v>19480</v>
      </c>
      <c r="G7974" t="str">
        <f>HYPERLINK("https://n.news.naver.com/mnews/article/056/0011978137?sid=100")</f>
        <v>https://n.news.naver.com/mnews/article/056/0011978137?sid=100</v>
      </c>
      <c r="H7974">
        <v>0.223</v>
      </c>
    </row>
    <row r="7975" spans="1:8" x14ac:dyDescent="0.3">
      <c r="A7975" t="s">
        <v>18176</v>
      </c>
      <c r="B7975" t="s">
        <v>26951</v>
      </c>
      <c r="C7975" t="s">
        <v>20134</v>
      </c>
      <c r="D7975" t="s">
        <v>20133</v>
      </c>
      <c r="E7975" s="2" t="s">
        <v>502</v>
      </c>
      <c r="F7975" t="s">
        <v>20132</v>
      </c>
      <c r="G7975" t="str">
        <f>HYPERLINK("https://www.pennmike.com/news/articleView.html?idxno=102324")</f>
        <v>https://www.pennmike.com/news/articleView.html?idxno=102324</v>
      </c>
      <c r="H7975">
        <v>0.126</v>
      </c>
    </row>
    <row r="7976" spans="1:8" x14ac:dyDescent="0.3">
      <c r="A7976" t="s">
        <v>18176</v>
      </c>
      <c r="B7976" t="s">
        <v>26951</v>
      </c>
      <c r="C7976" t="s">
        <v>20136</v>
      </c>
      <c r="D7976" t="s">
        <v>20135</v>
      </c>
      <c r="E7976" s="2" t="s">
        <v>502</v>
      </c>
      <c r="F7976" t="s">
        <v>10296</v>
      </c>
      <c r="G7976" t="str">
        <f>HYPERLINK("https://n.news.naver.com/mnews/article/079/0004040099?sid=100")</f>
        <v>https://n.news.naver.com/mnews/article/079/0004040099?sid=100</v>
      </c>
      <c r="H7976">
        <v>0.216</v>
      </c>
    </row>
    <row r="7977" spans="1:8" x14ac:dyDescent="0.3">
      <c r="A7977" t="s">
        <v>18176</v>
      </c>
      <c r="B7977" t="s">
        <v>26951</v>
      </c>
      <c r="C7977" t="s">
        <v>20138</v>
      </c>
      <c r="D7977" t="s">
        <v>20137</v>
      </c>
      <c r="E7977" s="2" t="s">
        <v>502</v>
      </c>
      <c r="F7977" t="s">
        <v>10605</v>
      </c>
      <c r="G7977" t="str">
        <f>HYPERLINK("https://n.news.naver.com/mnews/article/016/0000921837?sid=101")</f>
        <v>https://n.news.naver.com/mnews/article/016/0000921837?sid=101</v>
      </c>
      <c r="H7977">
        <v>0.38200000000000001</v>
      </c>
    </row>
    <row r="7978" spans="1:8" x14ac:dyDescent="0.3">
      <c r="A7978" t="s">
        <v>18176</v>
      </c>
      <c r="B7978" t="s">
        <v>26951</v>
      </c>
      <c r="C7978" t="s">
        <v>20141</v>
      </c>
      <c r="D7978" t="s">
        <v>20140</v>
      </c>
      <c r="E7978" s="2" t="s">
        <v>502</v>
      </c>
      <c r="F7978" t="s">
        <v>20139</v>
      </c>
      <c r="G7978" t="str">
        <f>HYPERLINK("https://n.news.naver.com/mnews/article/028/0002753795?sid=104")</f>
        <v>https://n.news.naver.com/mnews/article/028/0002753795?sid=104</v>
      </c>
      <c r="H7978">
        <v>0.28100000000000003</v>
      </c>
    </row>
    <row r="7979" spans="1:8" x14ac:dyDescent="0.3">
      <c r="A7979" t="s">
        <v>18176</v>
      </c>
      <c r="B7979" t="s">
        <v>26951</v>
      </c>
      <c r="C7979" t="s">
        <v>20143</v>
      </c>
      <c r="D7979" t="s">
        <v>20142</v>
      </c>
      <c r="E7979" s="2" t="s">
        <v>517</v>
      </c>
      <c r="F7979" t="s">
        <v>18937</v>
      </c>
      <c r="G7979" t="str">
        <f>HYPERLINK("http://www.economytalk.kr/news/articleView.html?idxno=406874")</f>
        <v>http://www.economytalk.kr/news/articleView.html?idxno=406874</v>
      </c>
      <c r="H7979">
        <v>0.46500000000000002</v>
      </c>
    </row>
    <row r="7980" spans="1:8" x14ac:dyDescent="0.3">
      <c r="A7980" t="s">
        <v>18176</v>
      </c>
      <c r="B7980" t="s">
        <v>26951</v>
      </c>
      <c r="C7980" t="s">
        <v>20146</v>
      </c>
      <c r="D7980" t="s">
        <v>20145</v>
      </c>
      <c r="E7980" s="2" t="s">
        <v>517</v>
      </c>
      <c r="F7980" t="s">
        <v>20144</v>
      </c>
      <c r="G7980" t="str">
        <f>HYPERLINK("https://www.pdjournal.com/news/articleView.html?idxno=80819")</f>
        <v>https://www.pdjournal.com/news/articleView.html?idxno=80819</v>
      </c>
      <c r="H7980">
        <v>0.34699999999999998</v>
      </c>
    </row>
    <row r="7981" spans="1:8" x14ac:dyDescent="0.3">
      <c r="A7981" t="s">
        <v>18176</v>
      </c>
      <c r="B7981" t="s">
        <v>26951</v>
      </c>
      <c r="C7981" t="s">
        <v>20149</v>
      </c>
      <c r="D7981" t="s">
        <v>20148</v>
      </c>
      <c r="E7981" s="2" t="s">
        <v>517</v>
      </c>
      <c r="F7981" t="s">
        <v>20147</v>
      </c>
      <c r="G7981" t="str">
        <f>HYPERLINK("http://jmagazine.joins.com/monthly/view/339417")</f>
        <v>http://jmagazine.joins.com/monthly/view/339417</v>
      </c>
      <c r="H7981">
        <v>0.45</v>
      </c>
    </row>
    <row r="7982" spans="1:8" x14ac:dyDescent="0.3">
      <c r="A7982" t="s">
        <v>18176</v>
      </c>
      <c r="B7982" t="s">
        <v>26951</v>
      </c>
      <c r="C7982" t="s">
        <v>20152</v>
      </c>
      <c r="D7982" t="s">
        <v>20151</v>
      </c>
      <c r="E7982" s="2" t="s">
        <v>517</v>
      </c>
      <c r="F7982" t="s">
        <v>20150</v>
      </c>
      <c r="G7982" t="str">
        <f>HYPERLINK("https://radio.ytn.co.kr/program/?f=2&amp;id=98048&amp;s_mcd=0433&amp;s_hcd=01")</f>
        <v>https://radio.ytn.co.kr/program/?f=2&amp;id=98048&amp;s_mcd=0433&amp;s_hcd=01</v>
      </c>
      <c r="H7982">
        <v>0.34799999999999998</v>
      </c>
    </row>
    <row r="7983" spans="1:8" x14ac:dyDescent="0.3">
      <c r="A7983" t="s">
        <v>18176</v>
      </c>
      <c r="B7983" t="s">
        <v>26951</v>
      </c>
      <c r="C7983" t="s">
        <v>20155</v>
      </c>
      <c r="D7983" t="s">
        <v>20154</v>
      </c>
      <c r="E7983" s="2" t="s">
        <v>517</v>
      </c>
      <c r="F7983" t="s">
        <v>20153</v>
      </c>
      <c r="G7983" t="str">
        <f>HYPERLINK("https://n.news.naver.com/mnews/article/082/0001212208?sid=103")</f>
        <v>https://n.news.naver.com/mnews/article/082/0001212208?sid=103</v>
      </c>
      <c r="H7983">
        <v>0.30099999999999999</v>
      </c>
    </row>
    <row r="7984" spans="1:8" x14ac:dyDescent="0.3">
      <c r="A7984" t="s">
        <v>18176</v>
      </c>
      <c r="B7984" t="s">
        <v>26951</v>
      </c>
      <c r="C7984" t="s">
        <v>20157</v>
      </c>
      <c r="D7984" t="s">
        <v>20156</v>
      </c>
      <c r="E7984" s="2" t="s">
        <v>517</v>
      </c>
      <c r="F7984" t="s">
        <v>10178</v>
      </c>
      <c r="G7984" t="str">
        <f>HYPERLINK("http://www.pdjournal.com/news/articleView.html?idxno=15592")</f>
        <v>http://www.pdjournal.com/news/articleView.html?idxno=15592</v>
      </c>
      <c r="H7984">
        <v>0.55300000000000005</v>
      </c>
    </row>
    <row r="7985" spans="1:8" x14ac:dyDescent="0.3">
      <c r="A7985" t="s">
        <v>18176</v>
      </c>
      <c r="B7985" t="s">
        <v>26951</v>
      </c>
      <c r="C7985" t="s">
        <v>20160</v>
      </c>
      <c r="D7985" t="s">
        <v>20159</v>
      </c>
      <c r="E7985" s="2" t="s">
        <v>517</v>
      </c>
      <c r="F7985" t="s">
        <v>20158</v>
      </c>
      <c r="G7985" t="str">
        <f>HYPERLINK("https://www.thedrive.co.kr/news/newsview.php?ncode=1065588029667977")</f>
        <v>https://www.thedrive.co.kr/news/newsview.php?ncode=1065588029667977</v>
      </c>
      <c r="H7985">
        <v>0.26400000000000001</v>
      </c>
    </row>
    <row r="7986" spans="1:8" x14ac:dyDescent="0.3">
      <c r="A7986" t="s">
        <v>18176</v>
      </c>
      <c r="B7986" t="s">
        <v>26951</v>
      </c>
      <c r="C7986" t="s">
        <v>20163</v>
      </c>
      <c r="D7986" t="s">
        <v>20162</v>
      </c>
      <c r="E7986" s="2" t="s">
        <v>517</v>
      </c>
      <c r="F7986" t="s">
        <v>20161</v>
      </c>
      <c r="G7986" t="str">
        <f>HYPERLINK("http://daily.hankooki.com/news/articleView.html?idxno=837123")</f>
        <v>http://daily.hankooki.com/news/articleView.html?idxno=837123</v>
      </c>
      <c r="H7986">
        <v>0.37</v>
      </c>
    </row>
    <row r="7987" spans="1:8" x14ac:dyDescent="0.3">
      <c r="A7987" t="s">
        <v>18176</v>
      </c>
      <c r="B7987" t="s">
        <v>26951</v>
      </c>
      <c r="C7987" t="s">
        <v>20165</v>
      </c>
      <c r="D7987" t="s">
        <v>20164</v>
      </c>
      <c r="E7987" s="2" t="s">
        <v>517</v>
      </c>
      <c r="F7987" t="s">
        <v>10588</v>
      </c>
      <c r="G7987" t="str">
        <f>HYPERLINK("http://www.sisaon.co.kr/news/articleView.html?idxno=169496")</f>
        <v>http://www.sisaon.co.kr/news/articleView.html?idxno=169496</v>
      </c>
      <c r="H7987">
        <v>0.57899999999999996</v>
      </c>
    </row>
    <row r="7988" spans="1:8" x14ac:dyDescent="0.3">
      <c r="A7988" t="s">
        <v>18176</v>
      </c>
      <c r="B7988" t="s">
        <v>26951</v>
      </c>
      <c r="C7988" t="s">
        <v>20167</v>
      </c>
      <c r="D7988" t="s">
        <v>20166</v>
      </c>
      <c r="E7988" s="2" t="s">
        <v>517</v>
      </c>
      <c r="F7988" t="s">
        <v>119</v>
      </c>
      <c r="G7988" t="str">
        <f>HYPERLINK("https://www.dailysportshankook.co.kr/news/articleView.html?idxno=408072")</f>
        <v>https://www.dailysportshankook.co.kr/news/articleView.html?idxno=408072</v>
      </c>
      <c r="H7988">
        <v>0.53500000000000003</v>
      </c>
    </row>
    <row r="7989" spans="1:8" x14ac:dyDescent="0.3">
      <c r="A7989" t="s">
        <v>18176</v>
      </c>
      <c r="B7989" t="s">
        <v>26951</v>
      </c>
      <c r="C7989" t="s">
        <v>20170</v>
      </c>
      <c r="D7989" t="s">
        <v>20169</v>
      </c>
      <c r="E7989" s="2" t="s">
        <v>517</v>
      </c>
      <c r="F7989" t="s">
        <v>20168</v>
      </c>
      <c r="G7989" t="str">
        <f>HYPERLINK("https://www.ftimes.kr/news/articleView.html?idxno=27515")</f>
        <v>https://www.ftimes.kr/news/articleView.html?idxno=27515</v>
      </c>
      <c r="H7989">
        <v>0.95099999999999996</v>
      </c>
    </row>
    <row r="7990" spans="1:8" x14ac:dyDescent="0.3">
      <c r="A7990" t="s">
        <v>18176</v>
      </c>
      <c r="B7990" t="s">
        <v>26951</v>
      </c>
      <c r="C7990" t="s">
        <v>20172</v>
      </c>
      <c r="D7990" t="s">
        <v>20171</v>
      </c>
      <c r="E7990" s="2" t="s">
        <v>517</v>
      </c>
      <c r="F7990" t="s">
        <v>16946</v>
      </c>
      <c r="G7990" t="str">
        <f>HYPERLINK("http://www.namdonews.com/news/articleView.html?idxno=715138")</f>
        <v>http://www.namdonews.com/news/articleView.html?idxno=715138</v>
      </c>
      <c r="H7990">
        <v>0.36099999999999999</v>
      </c>
    </row>
    <row r="7991" spans="1:8" x14ac:dyDescent="0.3">
      <c r="A7991" t="s">
        <v>18176</v>
      </c>
      <c r="B7991" t="s">
        <v>26951</v>
      </c>
      <c r="C7991" t="s">
        <v>20174</v>
      </c>
      <c r="D7991" t="s">
        <v>20173</v>
      </c>
      <c r="E7991" s="2" t="s">
        <v>517</v>
      </c>
      <c r="F7991" t="s">
        <v>9922</v>
      </c>
      <c r="G7991" t="str">
        <f>HYPERLINK("https://www.foodneconomy.com/news/articleView.html?idxno=327112")</f>
        <v>https://www.foodneconomy.com/news/articleView.html?idxno=327112</v>
      </c>
      <c r="H7991">
        <v>0.34200000000000003</v>
      </c>
    </row>
    <row r="7992" spans="1:8" x14ac:dyDescent="0.3">
      <c r="A7992" t="s">
        <v>18176</v>
      </c>
      <c r="B7992" t="s">
        <v>26951</v>
      </c>
      <c r="C7992" t="s">
        <v>20176</v>
      </c>
      <c r="D7992" t="s">
        <v>20175</v>
      </c>
      <c r="E7992" s="2" t="s">
        <v>517</v>
      </c>
      <c r="F7992" t="s">
        <v>2555</v>
      </c>
      <c r="G7992" t="str">
        <f>HYPERLINK("http://www.outdoornews.co.kr/news/articleView.html?idxno=12272")</f>
        <v>http://www.outdoornews.co.kr/news/articleView.html?idxno=12272</v>
      </c>
      <c r="H7992">
        <v>0.434</v>
      </c>
    </row>
    <row r="7993" spans="1:8" x14ac:dyDescent="0.3">
      <c r="A7993" t="s">
        <v>18176</v>
      </c>
      <c r="B7993" t="s">
        <v>26951</v>
      </c>
      <c r="C7993" t="s">
        <v>20179</v>
      </c>
      <c r="D7993" t="s">
        <v>20178</v>
      </c>
      <c r="E7993" s="2" t="s">
        <v>517</v>
      </c>
      <c r="F7993" t="s">
        <v>20177</v>
      </c>
      <c r="G7993" t="str">
        <f>HYPERLINK("https://www.smartfn.co.kr/news/articleView.html?idxno=112280")</f>
        <v>https://www.smartfn.co.kr/news/articleView.html?idxno=112280</v>
      </c>
      <c r="H7993">
        <v>0.55600000000000005</v>
      </c>
    </row>
    <row r="7994" spans="1:8" x14ac:dyDescent="0.3">
      <c r="A7994" t="s">
        <v>18176</v>
      </c>
      <c r="B7994" t="s">
        <v>26951</v>
      </c>
      <c r="C7994" t="s">
        <v>20181</v>
      </c>
      <c r="D7994" t="s">
        <v>20180</v>
      </c>
      <c r="E7994" s="2" t="s">
        <v>517</v>
      </c>
      <c r="F7994" t="s">
        <v>15066</v>
      </c>
      <c r="G7994" t="str">
        <f>HYPERLINK("http://www.domin.co.kr/news/articleView.html?idxno=1518636")</f>
        <v>http://www.domin.co.kr/news/articleView.html?idxno=1518636</v>
      </c>
      <c r="H7994">
        <v>0.66400000000000003</v>
      </c>
    </row>
    <row r="7995" spans="1:8" x14ac:dyDescent="0.3">
      <c r="A7995" t="s">
        <v>18176</v>
      </c>
      <c r="B7995" t="s">
        <v>26951</v>
      </c>
      <c r="C7995" t="s">
        <v>20184</v>
      </c>
      <c r="D7995" t="s">
        <v>20183</v>
      </c>
      <c r="E7995" s="2" t="s">
        <v>517</v>
      </c>
      <c r="F7995" t="s">
        <v>20182</v>
      </c>
      <c r="G7995" t="str">
        <f>HYPERLINK("https://www.newspim.com/news/view/20250630001136")</f>
        <v>https://www.newspim.com/news/view/20250630001136</v>
      </c>
      <c r="H7995">
        <v>0.127</v>
      </c>
    </row>
    <row r="7996" spans="1:8" x14ac:dyDescent="0.3">
      <c r="A7996" t="s">
        <v>18176</v>
      </c>
      <c r="B7996" t="s">
        <v>26951</v>
      </c>
      <c r="C7996" t="s">
        <v>20187</v>
      </c>
      <c r="D7996" t="s">
        <v>20186</v>
      </c>
      <c r="E7996" s="2" t="s">
        <v>517</v>
      </c>
      <c r="F7996" t="s">
        <v>20185</v>
      </c>
      <c r="G7996" t="str">
        <f>HYPERLINK("https://n.news.naver.com/mnews/article/056/0011816795?sid=103")</f>
        <v>https://n.news.naver.com/mnews/article/056/0011816795?sid=103</v>
      </c>
      <c r="H7996">
        <v>0.21199999999999999</v>
      </c>
    </row>
    <row r="7997" spans="1:8" x14ac:dyDescent="0.3">
      <c r="A7997" t="s">
        <v>18176</v>
      </c>
      <c r="B7997" t="s">
        <v>26951</v>
      </c>
      <c r="C7997" t="s">
        <v>20189</v>
      </c>
      <c r="D7997" t="s">
        <v>20188</v>
      </c>
      <c r="E7997" s="2" t="s">
        <v>517</v>
      </c>
      <c r="F7997" t="s">
        <v>9755</v>
      </c>
      <c r="G7997" t="str">
        <f>HYPERLINK("https://www.etoday.co.kr/news/view/2478452")</f>
        <v>https://www.etoday.co.kr/news/view/2478452</v>
      </c>
      <c r="H7997">
        <v>0.65500000000000003</v>
      </c>
    </row>
    <row r="7998" spans="1:8" x14ac:dyDescent="0.3">
      <c r="A7998" t="s">
        <v>18176</v>
      </c>
      <c r="B7998" t="s">
        <v>26951</v>
      </c>
      <c r="C7998" t="s">
        <v>20192</v>
      </c>
      <c r="D7998" t="s">
        <v>20191</v>
      </c>
      <c r="E7998" s="2" t="s">
        <v>517</v>
      </c>
      <c r="F7998" t="s">
        <v>20190</v>
      </c>
      <c r="G7998" t="str">
        <f>HYPERLINK("http://www.ktsketch.co.kr/news/articleView.html?idxno=2906")</f>
        <v>http://www.ktsketch.co.kr/news/articleView.html?idxno=2906</v>
      </c>
      <c r="H7998">
        <v>0.80200000000000005</v>
      </c>
    </row>
    <row r="7999" spans="1:8" x14ac:dyDescent="0.3">
      <c r="A7999" t="s">
        <v>18176</v>
      </c>
      <c r="B7999" t="s">
        <v>26951</v>
      </c>
      <c r="C7999" t="s">
        <v>20195</v>
      </c>
      <c r="D7999" t="s">
        <v>20194</v>
      </c>
      <c r="E7999" s="2" t="s">
        <v>517</v>
      </c>
      <c r="F7999" t="s">
        <v>20193</v>
      </c>
      <c r="G7999" t="str">
        <f>HYPERLINK("http://www.etoday.co.kr/news/section/newsview.php?idxno=1383725")</f>
        <v>http://www.etoday.co.kr/news/section/newsview.php?idxno=1383725</v>
      </c>
      <c r="H7999">
        <v>0.16700000000000001</v>
      </c>
    </row>
    <row r="8000" spans="1:8" x14ac:dyDescent="0.3">
      <c r="A8000" t="s">
        <v>18176</v>
      </c>
      <c r="B8000" t="s">
        <v>26951</v>
      </c>
      <c r="C8000" t="s">
        <v>20197</v>
      </c>
      <c r="D8000" t="s">
        <v>20196</v>
      </c>
      <c r="E8000" s="2" t="s">
        <v>517</v>
      </c>
      <c r="F8000" t="s">
        <v>171</v>
      </c>
      <c r="G8000" t="str">
        <f>HYPERLINK("https://www.ggilbo.com/news/articleView.html?idxno=1095062")</f>
        <v>https://www.ggilbo.com/news/articleView.html?idxno=1095062</v>
      </c>
      <c r="H8000">
        <v>0.69599999999999995</v>
      </c>
    </row>
    <row r="8001" spans="1:8" x14ac:dyDescent="0.3">
      <c r="A8001" t="s">
        <v>18176</v>
      </c>
      <c r="B8001" t="s">
        <v>26951</v>
      </c>
      <c r="C8001" t="s">
        <v>20200</v>
      </c>
      <c r="D8001" t="s">
        <v>20199</v>
      </c>
      <c r="E8001" s="2" t="s">
        <v>517</v>
      </c>
      <c r="F8001" t="s">
        <v>20198</v>
      </c>
      <c r="G8001" t="str">
        <f>HYPERLINK("http://www.kbiznews.co.kr/news/articleView.html?idxno=87995")</f>
        <v>http://www.kbiznews.co.kr/news/articleView.html?idxno=87995</v>
      </c>
      <c r="H8001">
        <v>0.53800000000000003</v>
      </c>
    </row>
    <row r="8002" spans="1:8" x14ac:dyDescent="0.3">
      <c r="A8002" t="s">
        <v>18176</v>
      </c>
      <c r="B8002" t="s">
        <v>26951</v>
      </c>
      <c r="C8002" t="s">
        <v>20203</v>
      </c>
      <c r="D8002" t="s">
        <v>20202</v>
      </c>
      <c r="E8002" s="2" t="s">
        <v>517</v>
      </c>
      <c r="F8002" t="s">
        <v>20201</v>
      </c>
      <c r="G8002" t="str">
        <f>HYPERLINK("https://n.news.naver.com/mnews/article/056/0011979300?sid=101")</f>
        <v>https://n.news.naver.com/mnews/article/056/0011979300?sid=101</v>
      </c>
      <c r="H8002">
        <v>0.184</v>
      </c>
    </row>
    <row r="8003" spans="1:8" x14ac:dyDescent="0.3">
      <c r="A8003" t="s">
        <v>18176</v>
      </c>
      <c r="B8003" t="s">
        <v>26951</v>
      </c>
      <c r="C8003" t="s">
        <v>20206</v>
      </c>
      <c r="D8003" t="s">
        <v>20205</v>
      </c>
      <c r="E8003" s="2" t="s">
        <v>517</v>
      </c>
      <c r="F8003" t="s">
        <v>20204</v>
      </c>
      <c r="G8003" t="str">
        <f>HYPERLINK("http://www.economytalk.kr/news/articleView.html?idxno=406874")</f>
        <v>http://www.economytalk.kr/news/articleView.html?idxno=406874</v>
      </c>
      <c r="H8003">
        <v>0.35799999999999998</v>
      </c>
    </row>
    <row r="8004" spans="1:8" x14ac:dyDescent="0.3">
      <c r="A8004" t="s">
        <v>18176</v>
      </c>
      <c r="B8004" t="s">
        <v>26951</v>
      </c>
      <c r="C8004" t="s">
        <v>20208</v>
      </c>
      <c r="D8004" t="s">
        <v>19018</v>
      </c>
      <c r="E8004" s="2" t="s">
        <v>517</v>
      </c>
      <c r="F8004" t="s">
        <v>20207</v>
      </c>
      <c r="G8004" t="str">
        <f>HYPERLINK("http://www.asiaa.co.kr/news/articleView.html?idxno=96782")</f>
        <v>http://www.asiaa.co.kr/news/articleView.html?idxno=96782</v>
      </c>
      <c r="H8004">
        <v>0.34399999999999997</v>
      </c>
    </row>
    <row r="8005" spans="1:8" x14ac:dyDescent="0.3">
      <c r="A8005" t="s">
        <v>18176</v>
      </c>
      <c r="B8005" t="s">
        <v>26951</v>
      </c>
      <c r="C8005" t="s">
        <v>20211</v>
      </c>
      <c r="D8005" t="s">
        <v>20210</v>
      </c>
      <c r="E8005" s="2" t="s">
        <v>517</v>
      </c>
      <c r="F8005" t="s">
        <v>20209</v>
      </c>
      <c r="G8005" t="str">
        <f>HYPERLINK("https://news.bbsi.co.kr/news/articleView.html?idxno=4017068")</f>
        <v>https://news.bbsi.co.kr/news/articleView.html?idxno=4017068</v>
      </c>
      <c r="H8005">
        <v>0.309</v>
      </c>
    </row>
    <row r="8006" spans="1:8" x14ac:dyDescent="0.3">
      <c r="A8006" t="s">
        <v>18176</v>
      </c>
      <c r="B8006" t="s">
        <v>26951</v>
      </c>
      <c r="C8006" t="s">
        <v>20213</v>
      </c>
      <c r="D8006" t="s">
        <v>20212</v>
      </c>
      <c r="E8006" s="2" t="s">
        <v>517</v>
      </c>
      <c r="F8006" t="s">
        <v>5548</v>
      </c>
      <c r="G8006" t="str">
        <f>HYPERLINK("https://www.ggilbo.com/news/articleView.html?idxno=1095062")</f>
        <v>https://www.ggilbo.com/news/articleView.html?idxno=1095062</v>
      </c>
      <c r="H8006">
        <v>0.61399999999999999</v>
      </c>
    </row>
    <row r="8007" spans="1:8" x14ac:dyDescent="0.3">
      <c r="A8007" t="s">
        <v>18176</v>
      </c>
      <c r="B8007" t="s">
        <v>26951</v>
      </c>
      <c r="C8007" t="s">
        <v>20216</v>
      </c>
      <c r="D8007" t="s">
        <v>20215</v>
      </c>
      <c r="E8007" s="2" t="s">
        <v>517</v>
      </c>
      <c r="F8007" t="s">
        <v>20214</v>
      </c>
      <c r="G8007" t="str">
        <f>HYPERLINK("https://n.news.naver.com/mnews/article/022/0002349638?sid=102")</f>
        <v>https://n.news.naver.com/mnews/article/022/0002349638?sid=102</v>
      </c>
      <c r="H8007">
        <v>0.52100000000000002</v>
      </c>
    </row>
    <row r="8008" spans="1:8" x14ac:dyDescent="0.3">
      <c r="A8008" t="s">
        <v>18176</v>
      </c>
      <c r="B8008" t="s">
        <v>26951</v>
      </c>
      <c r="C8008" t="s">
        <v>20218</v>
      </c>
      <c r="D8008" t="s">
        <v>20217</v>
      </c>
      <c r="E8008" s="2" t="s">
        <v>517</v>
      </c>
      <c r="F8008" t="s">
        <v>7049</v>
      </c>
      <c r="G8008" t="str">
        <f>HYPERLINK("http://www.civicnews.com/news/articleView.html?idxno=37660")</f>
        <v>http://www.civicnews.com/news/articleView.html?idxno=37660</v>
      </c>
      <c r="H8008">
        <v>0.66400000000000003</v>
      </c>
    </row>
    <row r="8009" spans="1:8" x14ac:dyDescent="0.3">
      <c r="A8009" t="s">
        <v>18176</v>
      </c>
      <c r="B8009" t="s">
        <v>26951</v>
      </c>
      <c r="C8009" t="s">
        <v>20221</v>
      </c>
      <c r="D8009" t="s">
        <v>20220</v>
      </c>
      <c r="E8009" s="2" t="s">
        <v>517</v>
      </c>
      <c r="F8009" t="s">
        <v>20219</v>
      </c>
      <c r="G8009" t="str">
        <f>HYPERLINK("https://n.news.naver.com/mnews/article/082/0001212208?sid=103")</f>
        <v>https://n.news.naver.com/mnews/article/082/0001212208?sid=103</v>
      </c>
      <c r="H8009">
        <v>0.32900000000000001</v>
      </c>
    </row>
    <row r="8010" spans="1:8" x14ac:dyDescent="0.3">
      <c r="A8010" t="s">
        <v>18176</v>
      </c>
      <c r="B8010" t="s">
        <v>26951</v>
      </c>
      <c r="C8010" t="s">
        <v>20224</v>
      </c>
      <c r="D8010" t="s">
        <v>20223</v>
      </c>
      <c r="E8010" s="2" t="s">
        <v>517</v>
      </c>
      <c r="F8010" t="s">
        <v>20222</v>
      </c>
      <c r="G8010" t="str">
        <f>HYPERLINK("https://www.greened.kr/news/articleView.html?idxno=314611")</f>
        <v>https://www.greened.kr/news/articleView.html?idxno=314611</v>
      </c>
      <c r="H8010">
        <v>0.38600000000000001</v>
      </c>
    </row>
    <row r="8011" spans="1:8" x14ac:dyDescent="0.3">
      <c r="A8011" t="s">
        <v>18176</v>
      </c>
      <c r="B8011" t="s">
        <v>26951</v>
      </c>
      <c r="C8011" t="s">
        <v>20226</v>
      </c>
      <c r="D8011" t="s">
        <v>20225</v>
      </c>
      <c r="E8011" s="2" t="s">
        <v>517</v>
      </c>
      <c r="F8011" t="s">
        <v>19131</v>
      </c>
      <c r="G8011" t="str">
        <f>HYPERLINK("https://n.news.naver.com/mnews/article/056/0011977799?sid=101")</f>
        <v>https://n.news.naver.com/mnews/article/056/0011977799?sid=101</v>
      </c>
      <c r="H8011">
        <v>0.17599999999999999</v>
      </c>
    </row>
    <row r="8012" spans="1:8" x14ac:dyDescent="0.3">
      <c r="A8012" t="s">
        <v>18176</v>
      </c>
      <c r="B8012" t="s">
        <v>26951</v>
      </c>
      <c r="C8012" t="s">
        <v>20228</v>
      </c>
      <c r="D8012" t="s">
        <v>20227</v>
      </c>
      <c r="E8012" s="2" t="s">
        <v>517</v>
      </c>
      <c r="F8012" t="s">
        <v>10539</v>
      </c>
      <c r="G8012" t="str">
        <f>HYPERLINK("https://www.vogue.co.kr/2017/02/21/%eb%b9%a0%ec%a0%b8%eb%8f%84-%ec%a2%8b%ec%8a%b5%eb%8b%88%ea%b9%8c/?utm_source=naver&amp;utm_medium=partnership")</f>
        <v>https://www.vogue.co.kr/2017/02/21/%eb%b9%a0%ec%a0%b8%eb%8f%84-%ec%a2%8b%ec%8a%b5%eb%8b%88%ea%b9%8c/?utm_source=naver&amp;utm_medium=partnership</v>
      </c>
      <c r="H8012">
        <v>0.39500000000000002</v>
      </c>
    </row>
    <row r="8013" spans="1:8" x14ac:dyDescent="0.3">
      <c r="A8013" t="s">
        <v>18176</v>
      </c>
      <c r="B8013" t="s">
        <v>26951</v>
      </c>
      <c r="C8013" t="s">
        <v>20230</v>
      </c>
      <c r="D8013" t="s">
        <v>20229</v>
      </c>
      <c r="E8013" s="2" t="s">
        <v>517</v>
      </c>
      <c r="F8013" t="s">
        <v>10605</v>
      </c>
      <c r="G8013" t="str">
        <f>HYPERLINK("https://n.news.naver.com/mnews/article/036/0000048860?sid=102")</f>
        <v>https://n.news.naver.com/mnews/article/036/0000048860?sid=102</v>
      </c>
      <c r="H8013">
        <v>0.26300000000000001</v>
      </c>
    </row>
    <row r="8014" spans="1:8" x14ac:dyDescent="0.3">
      <c r="A8014" t="s">
        <v>18176</v>
      </c>
      <c r="B8014" t="s">
        <v>26951</v>
      </c>
      <c r="C8014" t="s">
        <v>20233</v>
      </c>
      <c r="D8014" t="s">
        <v>20232</v>
      </c>
      <c r="E8014" s="2" t="s">
        <v>517</v>
      </c>
      <c r="F8014" t="s">
        <v>20231</v>
      </c>
      <c r="G8014" t="str">
        <f>HYPERLINK("https://www.kbmaeil.com/article/20250617500097")</f>
        <v>https://www.kbmaeil.com/article/20250617500097</v>
      </c>
      <c r="H8014">
        <v>0.44800000000000001</v>
      </c>
    </row>
    <row r="8015" spans="1:8" x14ac:dyDescent="0.3">
      <c r="A8015" t="s">
        <v>18176</v>
      </c>
      <c r="B8015" t="s">
        <v>26951</v>
      </c>
      <c r="C8015" t="s">
        <v>5852</v>
      </c>
      <c r="D8015" t="s">
        <v>5851</v>
      </c>
      <c r="E8015" s="2" t="s">
        <v>517</v>
      </c>
      <c r="F8015" t="s">
        <v>89</v>
      </c>
      <c r="G8015" t="str">
        <f>HYPERLINK("https://n.news.naver.com/mnews/article/056/0010527731?sid=100")</f>
        <v>https://n.news.naver.com/mnews/article/056/0010527731?sid=100</v>
      </c>
      <c r="H8015">
        <v>0.20100000000000001</v>
      </c>
    </row>
    <row r="8016" spans="1:8" x14ac:dyDescent="0.3">
      <c r="A8016" t="s">
        <v>18176</v>
      </c>
      <c r="B8016" t="s">
        <v>26951</v>
      </c>
      <c r="C8016" t="s">
        <v>20236</v>
      </c>
      <c r="D8016" t="s">
        <v>20235</v>
      </c>
      <c r="E8016" s="2" t="s">
        <v>517</v>
      </c>
      <c r="F8016" t="s">
        <v>20234</v>
      </c>
      <c r="G8016" t="str">
        <f>HYPERLINK("https://www.sejungilbo.com/news/articleView.html?idxno=44275")</f>
        <v>https://www.sejungilbo.com/news/articleView.html?idxno=44275</v>
      </c>
      <c r="H8016">
        <v>0.55600000000000005</v>
      </c>
    </row>
    <row r="8017" spans="1:8" x14ac:dyDescent="0.3">
      <c r="A8017" t="s">
        <v>18176</v>
      </c>
      <c r="B8017" t="s">
        <v>26951</v>
      </c>
      <c r="C8017" t="s">
        <v>20239</v>
      </c>
      <c r="D8017" t="s">
        <v>20238</v>
      </c>
      <c r="E8017" s="2" t="s">
        <v>517</v>
      </c>
      <c r="F8017" t="s">
        <v>20237</v>
      </c>
      <c r="G8017" t="str">
        <f>HYPERLINK("https://n.news.naver.com/mnews/article/006/0000130677?sid=100")</f>
        <v>https://n.news.naver.com/mnews/article/006/0000130677?sid=100</v>
      </c>
      <c r="H8017">
        <v>0.33600000000000002</v>
      </c>
    </row>
    <row r="8018" spans="1:8" x14ac:dyDescent="0.3">
      <c r="A8018" t="s">
        <v>18176</v>
      </c>
      <c r="B8018" t="s">
        <v>26951</v>
      </c>
      <c r="C8018" t="s">
        <v>20241</v>
      </c>
      <c r="D8018" t="s">
        <v>20240</v>
      </c>
      <c r="E8018" s="2" t="s">
        <v>517</v>
      </c>
      <c r="F8018" t="s">
        <v>10184</v>
      </c>
      <c r="G8018" t="str">
        <f>HYPERLINK("http://www.breaknews.com/833189")</f>
        <v>http://www.breaknews.com/833189</v>
      </c>
      <c r="H8018">
        <v>0.51</v>
      </c>
    </row>
    <row r="8019" spans="1:8" x14ac:dyDescent="0.3">
      <c r="A8019" t="s">
        <v>18176</v>
      </c>
      <c r="B8019" t="s">
        <v>26951</v>
      </c>
      <c r="C8019" t="s">
        <v>12204</v>
      </c>
      <c r="D8019" t="s">
        <v>12203</v>
      </c>
      <c r="E8019" s="2" t="s">
        <v>517</v>
      </c>
      <c r="F8019" t="s">
        <v>10184</v>
      </c>
      <c r="G8019" t="str">
        <f>HYPERLINK("https://www.lecturernews.com/news/articleView.html?idxno=152853")</f>
        <v>https://www.lecturernews.com/news/articleView.html?idxno=152853</v>
      </c>
      <c r="H8019">
        <v>0.35799999999999998</v>
      </c>
    </row>
    <row r="8020" spans="1:8" x14ac:dyDescent="0.3">
      <c r="A8020" t="s">
        <v>18176</v>
      </c>
      <c r="B8020" t="s">
        <v>26951</v>
      </c>
      <c r="C8020" t="s">
        <v>20244</v>
      </c>
      <c r="D8020" t="s">
        <v>20243</v>
      </c>
      <c r="E8020" s="2" t="s">
        <v>517</v>
      </c>
      <c r="F8020" t="s">
        <v>20242</v>
      </c>
      <c r="G8020" t="str">
        <f>HYPERLINK("http://gamefocus.co.kr/detail.php?number=166888")</f>
        <v>http://gamefocus.co.kr/detail.php?number=166888</v>
      </c>
      <c r="H8020">
        <v>0.221</v>
      </c>
    </row>
    <row r="8021" spans="1:8" x14ac:dyDescent="0.3">
      <c r="A8021" t="s">
        <v>18176</v>
      </c>
      <c r="B8021" t="s">
        <v>26951</v>
      </c>
      <c r="C8021" t="s">
        <v>20247</v>
      </c>
      <c r="D8021" t="s">
        <v>20246</v>
      </c>
      <c r="E8021" s="2" t="s">
        <v>517</v>
      </c>
      <c r="F8021" t="s">
        <v>20245</v>
      </c>
      <c r="G8021" t="str">
        <f>HYPERLINK("https://www.ccreview.co.kr/news/articleView.html?idxno=331354")</f>
        <v>https://www.ccreview.co.kr/news/articleView.html?idxno=331354</v>
      </c>
      <c r="H8021">
        <v>0.94</v>
      </c>
    </row>
    <row r="8022" spans="1:8" x14ac:dyDescent="0.3">
      <c r="A8022" t="s">
        <v>18176</v>
      </c>
      <c r="B8022" t="s">
        <v>26951</v>
      </c>
      <c r="C8022" t="s">
        <v>20249</v>
      </c>
      <c r="D8022" t="s">
        <v>20248</v>
      </c>
      <c r="E8022" s="2" t="s">
        <v>517</v>
      </c>
      <c r="F8022" t="s">
        <v>18735</v>
      </c>
      <c r="G8022" t="str">
        <f>HYPERLINK("http://www.incheontoday.com/news/articleView.html?idxno=265823")</f>
        <v>http://www.incheontoday.com/news/articleView.html?idxno=265823</v>
      </c>
      <c r="H8022">
        <v>0.185</v>
      </c>
    </row>
    <row r="8023" spans="1:8" x14ac:dyDescent="0.3">
      <c r="A8023" t="s">
        <v>18176</v>
      </c>
      <c r="B8023" t="s">
        <v>26951</v>
      </c>
      <c r="C8023" t="s">
        <v>20251</v>
      </c>
      <c r="D8023" t="s">
        <v>20250</v>
      </c>
      <c r="E8023" s="2" t="s">
        <v>517</v>
      </c>
      <c r="F8023" t="s">
        <v>2594</v>
      </c>
      <c r="G8023" t="str">
        <f>HYPERLINK("https://n.news.naver.com/mnews/article/056/0011961977?sid=100")</f>
        <v>https://n.news.naver.com/mnews/article/056/0011961977?sid=100</v>
      </c>
      <c r="H8023">
        <v>0.13</v>
      </c>
    </row>
    <row r="8024" spans="1:8" x14ac:dyDescent="0.3">
      <c r="A8024" t="s">
        <v>18176</v>
      </c>
      <c r="B8024" t="s">
        <v>26951</v>
      </c>
      <c r="C8024" t="s">
        <v>20254</v>
      </c>
      <c r="D8024" t="s">
        <v>20253</v>
      </c>
      <c r="E8024" s="2" t="s">
        <v>517</v>
      </c>
      <c r="F8024" t="s">
        <v>20252</v>
      </c>
      <c r="G8024" t="str">
        <f>HYPERLINK("https://www.irobotnews.com/news/articleView.html?idxno=40876")</f>
        <v>https://www.irobotnews.com/news/articleView.html?idxno=40876</v>
      </c>
      <c r="H8024">
        <v>0.54300000000000004</v>
      </c>
    </row>
    <row r="8025" spans="1:8" x14ac:dyDescent="0.3">
      <c r="A8025" t="s">
        <v>18176</v>
      </c>
      <c r="B8025" t="s">
        <v>26951</v>
      </c>
      <c r="C8025" t="s">
        <v>20257</v>
      </c>
      <c r="D8025" t="s">
        <v>20256</v>
      </c>
      <c r="E8025" s="2" t="s">
        <v>517</v>
      </c>
      <c r="F8025" t="s">
        <v>20255</v>
      </c>
      <c r="G8025" t="str">
        <f>HYPERLINK("http://withinnews.co.kr/news/view.html?section=148&amp;category=149&amp;item=&amp;no=16298")</f>
        <v>http://withinnews.co.kr/news/view.html?section=148&amp;category=149&amp;item=&amp;no=16298</v>
      </c>
      <c r="H8025">
        <v>0.63600000000000001</v>
      </c>
    </row>
    <row r="8026" spans="1:8" x14ac:dyDescent="0.3">
      <c r="A8026" t="s">
        <v>18176</v>
      </c>
      <c r="B8026" t="s">
        <v>26951</v>
      </c>
      <c r="C8026" t="s">
        <v>20259</v>
      </c>
      <c r="D8026" t="s">
        <v>20258</v>
      </c>
      <c r="E8026" s="2" t="s">
        <v>517</v>
      </c>
      <c r="F8026" t="s">
        <v>10010</v>
      </c>
      <c r="G8026" t="str">
        <f>HYPERLINK("https://www.nbntv.co.kr/news/articleView.html?idxno=3001682")</f>
        <v>https://www.nbntv.co.kr/news/articleView.html?idxno=3001682</v>
      </c>
      <c r="H8026">
        <v>0.44500000000000001</v>
      </c>
    </row>
    <row r="8027" spans="1:8" x14ac:dyDescent="0.3">
      <c r="A8027" t="s">
        <v>18176</v>
      </c>
      <c r="B8027" t="s">
        <v>26951</v>
      </c>
      <c r="C8027" t="s">
        <v>20261</v>
      </c>
      <c r="D8027" t="s">
        <v>20260</v>
      </c>
      <c r="E8027" s="2" t="s">
        <v>517</v>
      </c>
      <c r="F8027" t="s">
        <v>7468</v>
      </c>
      <c r="G8027" t="str">
        <f>HYPERLINK("http://www.dynews.co.kr/news/articleView.html?idxno=806542")</f>
        <v>http://www.dynews.co.kr/news/articleView.html?idxno=806542</v>
      </c>
      <c r="H8027">
        <v>0.80600000000000005</v>
      </c>
    </row>
    <row r="8028" spans="1:8" x14ac:dyDescent="0.3">
      <c r="A8028" t="s">
        <v>18176</v>
      </c>
      <c r="B8028" t="s">
        <v>26951</v>
      </c>
      <c r="C8028" t="s">
        <v>20263</v>
      </c>
      <c r="D8028" t="s">
        <v>20262</v>
      </c>
      <c r="E8028" s="2" t="s">
        <v>517</v>
      </c>
      <c r="F8028" t="s">
        <v>2074</v>
      </c>
      <c r="G8028" t="str">
        <f>HYPERLINK("https://n.news.naver.com/mnews/article/082/0001331980?sid=103")</f>
        <v>https://n.news.naver.com/mnews/article/082/0001331980?sid=103</v>
      </c>
      <c r="H8028">
        <v>0.29499999999999998</v>
      </c>
    </row>
    <row r="8029" spans="1:8" x14ac:dyDescent="0.3">
      <c r="A8029" t="s">
        <v>18176</v>
      </c>
      <c r="B8029" t="s">
        <v>26951</v>
      </c>
      <c r="C8029" t="s">
        <v>20265</v>
      </c>
      <c r="D8029" t="s">
        <v>20264</v>
      </c>
      <c r="E8029" s="2" t="s">
        <v>517</v>
      </c>
      <c r="F8029" t="s">
        <v>10506</v>
      </c>
      <c r="G8029" t="str">
        <f>HYPERLINK("https://www.gokorea.kr/news/articleView.html?idxno=831040")</f>
        <v>https://www.gokorea.kr/news/articleView.html?idxno=831040</v>
      </c>
      <c r="H8029">
        <v>0.104</v>
      </c>
    </row>
    <row r="8030" spans="1:8" x14ac:dyDescent="0.3">
      <c r="A8030" t="s">
        <v>18176</v>
      </c>
      <c r="B8030" t="s">
        <v>26951</v>
      </c>
      <c r="C8030" t="s">
        <v>20267</v>
      </c>
      <c r="D8030" t="s">
        <v>20266</v>
      </c>
      <c r="E8030" s="2" t="s">
        <v>517</v>
      </c>
      <c r="F8030" t="s">
        <v>1799</v>
      </c>
      <c r="G8030" t="str">
        <f>HYPERLINK("https://n.news.naver.com/mnews/article/666/0000075402?sid=004")</f>
        <v>https://n.news.naver.com/mnews/article/666/0000075402?sid=004</v>
      </c>
      <c r="H8030">
        <v>0.22</v>
      </c>
    </row>
    <row r="8031" spans="1:8" x14ac:dyDescent="0.3">
      <c r="A8031" t="s">
        <v>18176</v>
      </c>
      <c r="B8031" t="s">
        <v>26951</v>
      </c>
      <c r="C8031" t="s">
        <v>20270</v>
      </c>
      <c r="D8031" t="s">
        <v>20269</v>
      </c>
      <c r="E8031" s="2" t="s">
        <v>517</v>
      </c>
      <c r="F8031" t="s">
        <v>20268</v>
      </c>
      <c r="G8031" t="str">
        <f>HYPERLINK("https://n.news.naver.com/mnews/article/658/0000111905?sid=103")</f>
        <v>https://n.news.naver.com/mnews/article/658/0000111905?sid=103</v>
      </c>
      <c r="H8031">
        <v>0.17799999999999999</v>
      </c>
    </row>
    <row r="8032" spans="1:8" x14ac:dyDescent="0.3">
      <c r="A8032" t="s">
        <v>18176</v>
      </c>
      <c r="B8032" t="s">
        <v>26951</v>
      </c>
      <c r="C8032" t="s">
        <v>20273</v>
      </c>
      <c r="D8032" t="s">
        <v>20272</v>
      </c>
      <c r="E8032" s="2" t="s">
        <v>517</v>
      </c>
      <c r="F8032" t="s">
        <v>20271</v>
      </c>
      <c r="G8032" t="str">
        <f>HYPERLINK("https://www.siminilbo.co.kr/news/newsview.php?ncode=1160274203164498")</f>
        <v>https://www.siminilbo.co.kr/news/newsview.php?ncode=1160274203164498</v>
      </c>
      <c r="H8032">
        <v>0.39600000000000002</v>
      </c>
    </row>
    <row r="8033" spans="1:8" x14ac:dyDescent="0.3">
      <c r="A8033" t="s">
        <v>18176</v>
      </c>
      <c r="B8033" t="s">
        <v>26951</v>
      </c>
      <c r="C8033" t="s">
        <v>20275</v>
      </c>
      <c r="D8033" t="s">
        <v>20274</v>
      </c>
      <c r="E8033" s="2" t="s">
        <v>517</v>
      </c>
      <c r="F8033" t="s">
        <v>12999</v>
      </c>
      <c r="G8033" t="str">
        <f>HYPERLINK("https://n.news.naver.com/mnews/article/011/0002290347?sid=103")</f>
        <v>https://n.news.naver.com/mnews/article/011/0002290347?sid=103</v>
      </c>
      <c r="H8033">
        <v>0.38</v>
      </c>
    </row>
    <row r="8034" spans="1:8" x14ac:dyDescent="0.3">
      <c r="A8034" t="s">
        <v>18176</v>
      </c>
      <c r="B8034" t="s">
        <v>26951</v>
      </c>
      <c r="C8034" t="s">
        <v>20278</v>
      </c>
      <c r="D8034" t="s">
        <v>20277</v>
      </c>
      <c r="E8034" s="2" t="s">
        <v>517</v>
      </c>
      <c r="F8034" t="s">
        <v>20276</v>
      </c>
      <c r="G8034" t="str">
        <f>HYPERLINK("http://www.economytalk.kr/news/articleView.html?idxno=406874")</f>
        <v>http://www.economytalk.kr/news/articleView.html?idxno=406874</v>
      </c>
      <c r="H8034">
        <v>0.49</v>
      </c>
    </row>
    <row r="8035" spans="1:8" x14ac:dyDescent="0.3">
      <c r="A8035" t="s">
        <v>18176</v>
      </c>
      <c r="B8035" t="s">
        <v>26951</v>
      </c>
      <c r="C8035" t="s">
        <v>20280</v>
      </c>
      <c r="D8035" t="s">
        <v>20279</v>
      </c>
      <c r="E8035" s="2" t="s">
        <v>517</v>
      </c>
      <c r="F8035" t="s">
        <v>18777</v>
      </c>
      <c r="G8035" t="str">
        <f>HYPERLINK("http://withinnews.co.kr/news/view.html?section=148&amp;category=149&amp;item=&amp;no=16298")</f>
        <v>http://withinnews.co.kr/news/view.html?section=148&amp;category=149&amp;item=&amp;no=16298</v>
      </c>
      <c r="H8035">
        <v>0.5</v>
      </c>
    </row>
    <row r="8036" spans="1:8" x14ac:dyDescent="0.3">
      <c r="A8036" t="s">
        <v>18176</v>
      </c>
      <c r="B8036" t="s">
        <v>26951</v>
      </c>
      <c r="C8036" t="s">
        <v>20283</v>
      </c>
      <c r="D8036" t="s">
        <v>20282</v>
      </c>
      <c r="E8036" s="2" t="s">
        <v>517</v>
      </c>
      <c r="F8036" t="s">
        <v>20281</v>
      </c>
      <c r="G8036" t="str">
        <f>HYPERLINK("http://www.sctoday.co.kr/news/articleView.html?idxno=35266")</f>
        <v>http://www.sctoday.co.kr/news/articleView.html?idxno=35266</v>
      </c>
      <c r="H8036">
        <v>0.33600000000000002</v>
      </c>
    </row>
    <row r="8037" spans="1:8" x14ac:dyDescent="0.3">
      <c r="A8037" t="s">
        <v>18176</v>
      </c>
      <c r="B8037" t="s">
        <v>26951</v>
      </c>
      <c r="C8037" t="s">
        <v>20285</v>
      </c>
      <c r="D8037" t="s">
        <v>20284</v>
      </c>
      <c r="E8037" s="2" t="s">
        <v>517</v>
      </c>
      <c r="F8037" t="s">
        <v>17767</v>
      </c>
      <c r="G8037" t="str">
        <f>HYPERLINK("http://withinnews.co.kr/news/view.html?section=148&amp;category=149&amp;item=&amp;no=16298")</f>
        <v>http://withinnews.co.kr/news/view.html?section=148&amp;category=149&amp;item=&amp;no=16298</v>
      </c>
      <c r="H8037">
        <v>0.56999999999999995</v>
      </c>
    </row>
    <row r="8038" spans="1:8" x14ac:dyDescent="0.3">
      <c r="A8038" t="s">
        <v>18176</v>
      </c>
      <c r="B8038" t="s">
        <v>26951</v>
      </c>
      <c r="C8038" t="s">
        <v>20287</v>
      </c>
      <c r="D8038" t="s">
        <v>20286</v>
      </c>
      <c r="E8038" s="2" t="s">
        <v>517</v>
      </c>
      <c r="F8038" t="s">
        <v>15554</v>
      </c>
      <c r="G8038" t="str">
        <f>HYPERLINK("http://www.ilemonde.com/news/articleView.html?idxno=18592")</f>
        <v>http://www.ilemonde.com/news/articleView.html?idxno=18592</v>
      </c>
      <c r="H8038">
        <v>0.54600000000000004</v>
      </c>
    </row>
    <row r="8039" spans="1:8" x14ac:dyDescent="0.3">
      <c r="A8039" t="s">
        <v>18176</v>
      </c>
      <c r="B8039" t="s">
        <v>26951</v>
      </c>
      <c r="C8039" t="s">
        <v>20290</v>
      </c>
      <c r="D8039" t="s">
        <v>20289</v>
      </c>
      <c r="E8039" s="2" t="s">
        <v>538</v>
      </c>
      <c r="F8039" t="s">
        <v>20288</v>
      </c>
      <c r="G8039" t="str">
        <f>HYPERLINK("http://www.economytalk.kr/news/articleView.html?idxno=406874")</f>
        <v>http://www.economytalk.kr/news/articleView.html?idxno=406874</v>
      </c>
      <c r="H8039">
        <v>0.309</v>
      </c>
    </row>
    <row r="8040" spans="1:8" x14ac:dyDescent="0.3">
      <c r="A8040" t="s">
        <v>18176</v>
      </c>
      <c r="B8040" t="s">
        <v>26951</v>
      </c>
      <c r="C8040" t="s">
        <v>20292</v>
      </c>
      <c r="D8040" t="s">
        <v>20291</v>
      </c>
      <c r="E8040" s="2" t="s">
        <v>538</v>
      </c>
      <c r="F8040" t="s">
        <v>18505</v>
      </c>
      <c r="G8040" t="str">
        <f>HYPERLINK("https://n.news.naver.com/mnews/article/087/0000065385?sid=102")</f>
        <v>https://n.news.naver.com/mnews/article/087/0000065385?sid=102</v>
      </c>
      <c r="H8040">
        <v>0.21299999999999999</v>
      </c>
    </row>
    <row r="8041" spans="1:8" x14ac:dyDescent="0.3">
      <c r="A8041" t="s">
        <v>18176</v>
      </c>
      <c r="B8041" t="s">
        <v>26951</v>
      </c>
      <c r="C8041" t="s">
        <v>20295</v>
      </c>
      <c r="D8041" t="s">
        <v>20294</v>
      </c>
      <c r="E8041" s="2" t="s">
        <v>538</v>
      </c>
      <c r="F8041" t="s">
        <v>20293</v>
      </c>
      <c r="G8041" t="str">
        <f>HYPERLINK("https://www.lecturernews.com/news/articleView.html?idxno=180248")</f>
        <v>https://www.lecturernews.com/news/articleView.html?idxno=180248</v>
      </c>
      <c r="H8041">
        <v>0.51700000000000002</v>
      </c>
    </row>
    <row r="8042" spans="1:8" x14ac:dyDescent="0.3">
      <c r="A8042" t="s">
        <v>18176</v>
      </c>
      <c r="B8042" t="s">
        <v>26951</v>
      </c>
      <c r="C8042" t="s">
        <v>20298</v>
      </c>
      <c r="D8042" t="s">
        <v>20297</v>
      </c>
      <c r="E8042" s="2" t="s">
        <v>538</v>
      </c>
      <c r="F8042" t="s">
        <v>20296</v>
      </c>
      <c r="G8042" t="str">
        <f>HYPERLINK("https://n.news.naver.com/mnews/article/008/0005214793?sid=101")</f>
        <v>https://n.news.naver.com/mnews/article/008/0005214793?sid=101</v>
      </c>
      <c r="H8042">
        <v>0.27</v>
      </c>
    </row>
    <row r="8043" spans="1:8" x14ac:dyDescent="0.3">
      <c r="A8043" t="s">
        <v>18176</v>
      </c>
      <c r="B8043" t="s">
        <v>26951</v>
      </c>
      <c r="C8043" t="s">
        <v>20300</v>
      </c>
      <c r="D8043" t="s">
        <v>20299</v>
      </c>
      <c r="E8043" s="2" t="s">
        <v>538</v>
      </c>
      <c r="F8043" t="s">
        <v>12600</v>
      </c>
      <c r="G8043" t="str">
        <f>HYPERLINK("https://www.yeongnam.com/web/view.php?key=20250616028496144")</f>
        <v>https://www.yeongnam.com/web/view.php?key=20250616028496144</v>
      </c>
      <c r="H8043">
        <v>0.224</v>
      </c>
    </row>
    <row r="8044" spans="1:8" x14ac:dyDescent="0.3">
      <c r="A8044" t="s">
        <v>18176</v>
      </c>
      <c r="B8044" t="s">
        <v>26951</v>
      </c>
      <c r="C8044" t="s">
        <v>20303</v>
      </c>
      <c r="D8044" t="s">
        <v>20302</v>
      </c>
      <c r="E8044" s="2" t="s">
        <v>538</v>
      </c>
      <c r="F8044" t="s">
        <v>20301</v>
      </c>
      <c r="G8044" t="str">
        <f>HYPERLINK("http://www.ifs.or.kr/bbs/board.php?bo_table=research&amp;wr_id=973")</f>
        <v>http://www.ifs.or.kr/bbs/board.php?bo_table=research&amp;wr_id=973</v>
      </c>
      <c r="H8044">
        <v>0.16600000000000001</v>
      </c>
    </row>
    <row r="8045" spans="1:8" x14ac:dyDescent="0.3">
      <c r="A8045" t="s">
        <v>18176</v>
      </c>
      <c r="B8045" t="s">
        <v>26951</v>
      </c>
      <c r="C8045" t="s">
        <v>20305</v>
      </c>
      <c r="D8045" t="s">
        <v>20304</v>
      </c>
      <c r="E8045" s="2" t="s">
        <v>538</v>
      </c>
      <c r="F8045" t="s">
        <v>18962</v>
      </c>
      <c r="G8045" t="str">
        <f>HYPERLINK("https://www.dkilbo.com/news/articleView.html?idxno=501041")</f>
        <v>https://www.dkilbo.com/news/articleView.html?idxno=501041</v>
      </c>
      <c r="H8045">
        <v>0.254</v>
      </c>
    </row>
    <row r="8046" spans="1:8" x14ac:dyDescent="0.3">
      <c r="A8046" t="s">
        <v>18176</v>
      </c>
      <c r="B8046" t="s">
        <v>26951</v>
      </c>
      <c r="C8046" t="s">
        <v>20307</v>
      </c>
      <c r="D8046" t="s">
        <v>20306</v>
      </c>
      <c r="E8046" s="2" t="s">
        <v>538</v>
      </c>
      <c r="F8046" t="s">
        <v>1327</v>
      </c>
      <c r="G8046" t="str">
        <f>HYPERLINK("https://n.news.naver.com/mnews/article/052/0002204910?sid=104")</f>
        <v>https://n.news.naver.com/mnews/article/052/0002204910?sid=104</v>
      </c>
      <c r="H8046">
        <v>0.18099999999999999</v>
      </c>
    </row>
    <row r="8047" spans="1:8" x14ac:dyDescent="0.3">
      <c r="A8047" t="s">
        <v>18176</v>
      </c>
      <c r="B8047" t="s">
        <v>26951</v>
      </c>
      <c r="C8047" t="s">
        <v>20310</v>
      </c>
      <c r="D8047" t="s">
        <v>20309</v>
      </c>
      <c r="E8047" s="2" t="s">
        <v>538</v>
      </c>
      <c r="F8047" t="s">
        <v>20308</v>
      </c>
      <c r="G8047" t="str">
        <f>HYPERLINK("https://www.m-economynews.com/news/article.html?no=55663")</f>
        <v>https://www.m-economynews.com/news/article.html?no=55663</v>
      </c>
      <c r="H8047">
        <v>0.23200000000000001</v>
      </c>
    </row>
    <row r="8048" spans="1:8" x14ac:dyDescent="0.3">
      <c r="A8048" t="s">
        <v>18176</v>
      </c>
      <c r="B8048" t="s">
        <v>26951</v>
      </c>
      <c r="C8048" t="s">
        <v>20313</v>
      </c>
      <c r="D8048" t="s">
        <v>20312</v>
      </c>
      <c r="E8048" s="2" t="s">
        <v>538</v>
      </c>
      <c r="F8048" t="s">
        <v>20311</v>
      </c>
      <c r="G8048" t="str">
        <f>HYPERLINK("https://www.ftimes.kr/news/articleView.html?idxno=31337")</f>
        <v>https://www.ftimes.kr/news/articleView.html?idxno=31337</v>
      </c>
      <c r="H8048">
        <v>0.64800000000000002</v>
      </c>
    </row>
    <row r="8049" spans="1:8" x14ac:dyDescent="0.3">
      <c r="A8049" t="s">
        <v>18176</v>
      </c>
      <c r="B8049" t="s">
        <v>26951</v>
      </c>
      <c r="C8049" t="s">
        <v>20316</v>
      </c>
      <c r="D8049" t="s">
        <v>20315</v>
      </c>
      <c r="E8049" s="2" t="s">
        <v>538</v>
      </c>
      <c r="F8049" t="s">
        <v>20314</v>
      </c>
      <c r="G8049" t="str">
        <f>HYPERLINK("http://www.m-economynews.com/news/article.html?no=12905")</f>
        <v>http://www.m-economynews.com/news/article.html?no=12905</v>
      </c>
      <c r="H8049">
        <v>0.68100000000000005</v>
      </c>
    </row>
    <row r="8050" spans="1:8" x14ac:dyDescent="0.3">
      <c r="A8050" t="s">
        <v>18176</v>
      </c>
      <c r="B8050" t="s">
        <v>26951</v>
      </c>
      <c r="C8050" t="s">
        <v>20319</v>
      </c>
      <c r="D8050" t="s">
        <v>20318</v>
      </c>
      <c r="E8050" s="2" t="s">
        <v>538</v>
      </c>
      <c r="F8050" t="s">
        <v>20317</v>
      </c>
      <c r="G8050" t="str">
        <f>HYPERLINK("https://www.lecturernews.com/news/articleView.html?idxno=170107")</f>
        <v>https://www.lecturernews.com/news/articleView.html?idxno=170107</v>
      </c>
      <c r="H8050">
        <v>0.10299999999999999</v>
      </c>
    </row>
    <row r="8051" spans="1:8" x14ac:dyDescent="0.3">
      <c r="A8051" t="s">
        <v>18176</v>
      </c>
      <c r="B8051" t="s">
        <v>26951</v>
      </c>
      <c r="C8051" t="s">
        <v>20321</v>
      </c>
      <c r="D8051" t="s">
        <v>20320</v>
      </c>
      <c r="E8051" s="2" t="s">
        <v>538</v>
      </c>
      <c r="F8051" t="s">
        <v>18666</v>
      </c>
      <c r="G8051" t="str">
        <f>HYPERLINK("https://www.lecturernews.com/news/articleView.html?idxno=119568")</f>
        <v>https://www.lecturernews.com/news/articleView.html?idxno=119568</v>
      </c>
      <c r="H8051">
        <v>0.34499999999999997</v>
      </c>
    </row>
    <row r="8052" spans="1:8" x14ac:dyDescent="0.3">
      <c r="A8052" t="s">
        <v>18176</v>
      </c>
      <c r="B8052" t="s">
        <v>26951</v>
      </c>
      <c r="C8052" t="s">
        <v>20323</v>
      </c>
      <c r="D8052" t="s">
        <v>20322</v>
      </c>
      <c r="E8052" s="2" t="s">
        <v>538</v>
      </c>
      <c r="F8052" t="s">
        <v>11615</v>
      </c>
      <c r="G8052" t="str">
        <f>HYPERLINK("https://www.joongangenews.com/news/articleView.html?idxno=430310")</f>
        <v>https://www.joongangenews.com/news/articleView.html?idxno=430310</v>
      </c>
      <c r="H8052">
        <v>0.60299999999999998</v>
      </c>
    </row>
    <row r="8053" spans="1:8" x14ac:dyDescent="0.3">
      <c r="A8053" t="s">
        <v>18176</v>
      </c>
      <c r="B8053" t="s">
        <v>26951</v>
      </c>
      <c r="C8053" t="s">
        <v>20326</v>
      </c>
      <c r="D8053" t="s">
        <v>20325</v>
      </c>
      <c r="E8053" s="2" t="s">
        <v>538</v>
      </c>
      <c r="F8053" t="s">
        <v>20324</v>
      </c>
      <c r="G8053" t="str">
        <f>HYPERLINK("http://www.kbmaeil.com/news/articleView.html?idxno=820602")</f>
        <v>http://www.kbmaeil.com/news/articleView.html?idxno=820602</v>
      </c>
      <c r="H8053">
        <v>0.57899999999999996</v>
      </c>
    </row>
    <row r="8054" spans="1:8" x14ac:dyDescent="0.3">
      <c r="A8054" t="s">
        <v>18176</v>
      </c>
      <c r="B8054" t="s">
        <v>26951</v>
      </c>
      <c r="C8054" t="s">
        <v>20328</v>
      </c>
      <c r="D8054" t="s">
        <v>20327</v>
      </c>
      <c r="E8054" s="2" t="s">
        <v>538</v>
      </c>
      <c r="F8054" t="s">
        <v>10470</v>
      </c>
      <c r="G8054" t="str">
        <f>HYPERLINK("https://www.jemin.com/news/articleView.html?idxno=812490")</f>
        <v>https://www.jemin.com/news/articleView.html?idxno=812490</v>
      </c>
      <c r="H8054">
        <v>0.55800000000000005</v>
      </c>
    </row>
    <row r="8055" spans="1:8" x14ac:dyDescent="0.3">
      <c r="A8055" t="s">
        <v>18176</v>
      </c>
      <c r="B8055" t="s">
        <v>26951</v>
      </c>
      <c r="C8055" t="s">
        <v>20331</v>
      </c>
      <c r="D8055" t="s">
        <v>20330</v>
      </c>
      <c r="E8055" s="2" t="s">
        <v>538</v>
      </c>
      <c r="F8055" t="s">
        <v>20329</v>
      </c>
      <c r="G8055" t="str">
        <f>HYPERLINK("https://n.news.naver.com/mnews/article/028/0002043697?sid=102")</f>
        <v>https://n.news.naver.com/mnews/article/028/0002043697?sid=102</v>
      </c>
      <c r="H8055">
        <v>0.35</v>
      </c>
    </row>
    <row r="8056" spans="1:8" x14ac:dyDescent="0.3">
      <c r="A8056" t="s">
        <v>18176</v>
      </c>
      <c r="B8056" t="s">
        <v>26951</v>
      </c>
      <c r="C8056" t="s">
        <v>20334</v>
      </c>
      <c r="D8056" t="s">
        <v>20333</v>
      </c>
      <c r="E8056" s="2" t="s">
        <v>538</v>
      </c>
      <c r="F8056" t="s">
        <v>20332</v>
      </c>
      <c r="G8056" t="str">
        <f>HYPERLINK("https://www.foodneconomy.com/news/articleView.html?idxno=324324")</f>
        <v>https://www.foodneconomy.com/news/articleView.html?idxno=324324</v>
      </c>
      <c r="H8056">
        <v>0.255</v>
      </c>
    </row>
    <row r="8057" spans="1:8" x14ac:dyDescent="0.3">
      <c r="A8057" t="s">
        <v>18176</v>
      </c>
      <c r="B8057" t="s">
        <v>26951</v>
      </c>
      <c r="C8057" t="s">
        <v>20336</v>
      </c>
      <c r="D8057" t="s">
        <v>20335</v>
      </c>
      <c r="E8057" s="2" t="s">
        <v>538</v>
      </c>
      <c r="F8057" t="s">
        <v>11071</v>
      </c>
      <c r="G8057" t="str">
        <f>HYPERLINK("https://www.newspim.com/news/view/20250612000519")</f>
        <v>https://www.newspim.com/news/view/20250612000519</v>
      </c>
      <c r="H8057">
        <v>0.44800000000000001</v>
      </c>
    </row>
    <row r="8058" spans="1:8" x14ac:dyDescent="0.3">
      <c r="A8058" t="s">
        <v>18176</v>
      </c>
      <c r="B8058" t="s">
        <v>26951</v>
      </c>
      <c r="C8058" t="s">
        <v>20338</v>
      </c>
      <c r="D8058" t="s">
        <v>20337</v>
      </c>
      <c r="E8058" s="2" t="s">
        <v>538</v>
      </c>
      <c r="F8058" t="s">
        <v>7602</v>
      </c>
      <c r="G8058" t="str">
        <f>HYPERLINK("https://n.news.naver.com/mnews/article/214/0001425992?sid=154")</f>
        <v>https://n.news.naver.com/mnews/article/214/0001425992?sid=154</v>
      </c>
      <c r="H8058">
        <v>0.161</v>
      </c>
    </row>
    <row r="8059" spans="1:8" x14ac:dyDescent="0.3">
      <c r="A8059" t="s">
        <v>18176</v>
      </c>
      <c r="B8059" t="s">
        <v>26951</v>
      </c>
      <c r="C8059" t="s">
        <v>20340</v>
      </c>
      <c r="D8059" t="s">
        <v>20339</v>
      </c>
      <c r="E8059" s="2" t="s">
        <v>538</v>
      </c>
      <c r="F8059" t="s">
        <v>5398</v>
      </c>
      <c r="G8059" t="str">
        <f>HYPERLINK("http://www.lecturernews.com/news/articleView.html?idxno=69051")</f>
        <v>http://www.lecturernews.com/news/articleView.html?idxno=69051</v>
      </c>
      <c r="H8059">
        <v>0.246</v>
      </c>
    </row>
    <row r="8060" spans="1:8" x14ac:dyDescent="0.3">
      <c r="A8060" t="s">
        <v>18176</v>
      </c>
      <c r="B8060" t="s">
        <v>26951</v>
      </c>
      <c r="C8060" t="s">
        <v>20342</v>
      </c>
      <c r="D8060" t="s">
        <v>20341</v>
      </c>
      <c r="E8060" s="2" t="s">
        <v>538</v>
      </c>
      <c r="F8060" t="s">
        <v>171</v>
      </c>
      <c r="G8060" t="str">
        <f>HYPERLINK("https://www.jemin.com/news/articleView.html?idxno=812719")</f>
        <v>https://www.jemin.com/news/articleView.html?idxno=812719</v>
      </c>
      <c r="H8060">
        <v>0.76100000000000001</v>
      </c>
    </row>
    <row r="8061" spans="1:8" x14ac:dyDescent="0.3">
      <c r="A8061" t="s">
        <v>18176</v>
      </c>
      <c r="B8061" t="s">
        <v>26951</v>
      </c>
      <c r="C8061" t="s">
        <v>20345</v>
      </c>
      <c r="D8061" t="s">
        <v>20344</v>
      </c>
      <c r="E8061" s="2" t="s">
        <v>538</v>
      </c>
      <c r="F8061" t="s">
        <v>20343</v>
      </c>
      <c r="G8061" t="str">
        <f>HYPERLINK("http://www.joongdo.co.kr/web/view.php?key=20230730010004956")</f>
        <v>http://www.joongdo.co.kr/web/view.php?key=20230730010004956</v>
      </c>
      <c r="H8061">
        <v>0.28100000000000003</v>
      </c>
    </row>
    <row r="8062" spans="1:8" x14ac:dyDescent="0.3">
      <c r="A8062" t="s">
        <v>18176</v>
      </c>
      <c r="B8062" t="s">
        <v>26951</v>
      </c>
      <c r="C8062" t="s">
        <v>20347</v>
      </c>
      <c r="D8062" t="s">
        <v>20346</v>
      </c>
      <c r="E8062" s="2" t="s">
        <v>538</v>
      </c>
      <c r="F8062" t="s">
        <v>18655</v>
      </c>
      <c r="G8062" t="str">
        <f>HYPERLINK("http://jmagazine.joins.com/monthly/view/305533")</f>
        <v>http://jmagazine.joins.com/monthly/view/305533</v>
      </c>
      <c r="H8062">
        <v>0.61699999999999999</v>
      </c>
    </row>
    <row r="8063" spans="1:8" x14ac:dyDescent="0.3">
      <c r="A8063" t="s">
        <v>18176</v>
      </c>
      <c r="B8063" t="s">
        <v>26951</v>
      </c>
      <c r="C8063" t="s">
        <v>20349</v>
      </c>
      <c r="D8063" t="s">
        <v>20348</v>
      </c>
      <c r="E8063" s="2" t="s">
        <v>538</v>
      </c>
      <c r="F8063" t="s">
        <v>9944</v>
      </c>
      <c r="G8063" t="str">
        <f>HYPERLINK("http://www.jejusori.net/?mod=news&amp;act=articleView&amp;idxno=145527")</f>
        <v>http://www.jejusori.net/?mod=news&amp;act=articleView&amp;idxno=145527</v>
      </c>
      <c r="H8063">
        <v>0.58499999999999996</v>
      </c>
    </row>
    <row r="8064" spans="1:8" x14ac:dyDescent="0.3">
      <c r="A8064" t="s">
        <v>18176</v>
      </c>
      <c r="B8064" t="s">
        <v>26951</v>
      </c>
      <c r="C8064" t="s">
        <v>20352</v>
      </c>
      <c r="D8064" t="s">
        <v>20351</v>
      </c>
      <c r="E8064" s="2" t="s">
        <v>538</v>
      </c>
      <c r="F8064" t="s">
        <v>20350</v>
      </c>
      <c r="G8064" t="str">
        <f>HYPERLINK("http://www.doctorstimes.com/news/articleView.html?idxno=224729")</f>
        <v>http://www.doctorstimes.com/news/articleView.html?idxno=224729</v>
      </c>
      <c r="H8064">
        <v>0.42799999999999999</v>
      </c>
    </row>
    <row r="8065" spans="1:8" x14ac:dyDescent="0.3">
      <c r="A8065" t="s">
        <v>18176</v>
      </c>
      <c r="B8065" t="s">
        <v>26951</v>
      </c>
      <c r="C8065" t="s">
        <v>20355</v>
      </c>
      <c r="D8065" t="s">
        <v>20354</v>
      </c>
      <c r="E8065" s="2" t="s">
        <v>538</v>
      </c>
      <c r="F8065" t="s">
        <v>20353</v>
      </c>
      <c r="G8065" t="str">
        <f>HYPERLINK("https://www.kmaeil.com/news/articleView.html?idxno=511245")</f>
        <v>https://www.kmaeil.com/news/articleView.html?idxno=511245</v>
      </c>
      <c r="H8065">
        <v>0.31</v>
      </c>
    </row>
    <row r="8066" spans="1:8" x14ac:dyDescent="0.3">
      <c r="A8066" t="s">
        <v>18176</v>
      </c>
      <c r="B8066" t="s">
        <v>26951</v>
      </c>
      <c r="C8066" t="s">
        <v>20358</v>
      </c>
      <c r="D8066" t="s">
        <v>20357</v>
      </c>
      <c r="E8066" s="2" t="s">
        <v>538</v>
      </c>
      <c r="F8066" t="s">
        <v>20356</v>
      </c>
      <c r="G8066" t="str">
        <f>HYPERLINK("https://www.lecturernews.com/news/articleView.html?idxno=165082")</f>
        <v>https://www.lecturernews.com/news/articleView.html?idxno=165082</v>
      </c>
      <c r="H8066">
        <v>0.38</v>
      </c>
    </row>
    <row r="8067" spans="1:8" x14ac:dyDescent="0.3">
      <c r="A8067" t="s">
        <v>18176</v>
      </c>
      <c r="B8067" t="s">
        <v>26951</v>
      </c>
      <c r="C8067" t="s">
        <v>20360</v>
      </c>
      <c r="D8067" t="s">
        <v>20359</v>
      </c>
      <c r="E8067" s="2" t="s">
        <v>538</v>
      </c>
      <c r="F8067" t="s">
        <v>20350</v>
      </c>
      <c r="G8067" t="str">
        <f>HYPERLINK("https://www.kukinews.com/article/view/kuk202506300191")</f>
        <v>https://www.kukinews.com/article/view/kuk202506300191</v>
      </c>
      <c r="H8067">
        <v>0.38800000000000001</v>
      </c>
    </row>
    <row r="8068" spans="1:8" x14ac:dyDescent="0.3">
      <c r="A8068" t="s">
        <v>18176</v>
      </c>
      <c r="B8068" t="s">
        <v>26951</v>
      </c>
      <c r="C8068" t="s">
        <v>20363</v>
      </c>
      <c r="D8068" t="s">
        <v>20362</v>
      </c>
      <c r="E8068" s="2" t="s">
        <v>538</v>
      </c>
      <c r="F8068" t="s">
        <v>20361</v>
      </c>
      <c r="G8068" t="str">
        <f>HYPERLINK("https://www.jungle.co.kr/magazine/206743")</f>
        <v>https://www.jungle.co.kr/magazine/206743</v>
      </c>
      <c r="H8068">
        <v>0.626</v>
      </c>
    </row>
    <row r="8069" spans="1:8" x14ac:dyDescent="0.3">
      <c r="A8069" t="s">
        <v>18176</v>
      </c>
      <c r="B8069" t="s">
        <v>26951</v>
      </c>
      <c r="C8069" t="s">
        <v>20365</v>
      </c>
      <c r="D8069" t="s">
        <v>20364</v>
      </c>
      <c r="E8069" s="2" t="s">
        <v>538</v>
      </c>
      <c r="F8069" t="s">
        <v>19063</v>
      </c>
      <c r="G8069" t="str">
        <f>HYPERLINK("http://www.newsmp.com/news/articleView.html?idxno=219418")</f>
        <v>http://www.newsmp.com/news/articleView.html?idxno=219418</v>
      </c>
      <c r="H8069">
        <v>0.46100000000000002</v>
      </c>
    </row>
    <row r="8070" spans="1:8" x14ac:dyDescent="0.3">
      <c r="A8070" t="s">
        <v>18176</v>
      </c>
      <c r="B8070" t="s">
        <v>26951</v>
      </c>
      <c r="C8070" t="s">
        <v>20368</v>
      </c>
      <c r="D8070" t="s">
        <v>20367</v>
      </c>
      <c r="E8070" s="2" t="s">
        <v>538</v>
      </c>
      <c r="F8070" t="s">
        <v>20366</v>
      </c>
      <c r="G8070" t="str">
        <f>HYPERLINK("https://www.pdjournal.com/news/articleView.html?idxno=80819")</f>
        <v>https://www.pdjournal.com/news/articleView.html?idxno=80819</v>
      </c>
      <c r="H8070">
        <v>0.33900000000000002</v>
      </c>
    </row>
    <row r="8071" spans="1:8" x14ac:dyDescent="0.3">
      <c r="A8071" t="s">
        <v>18176</v>
      </c>
      <c r="B8071" t="s">
        <v>26951</v>
      </c>
      <c r="C8071" t="s">
        <v>20370</v>
      </c>
      <c r="D8071" t="s">
        <v>20369</v>
      </c>
      <c r="E8071" s="2" t="s">
        <v>538</v>
      </c>
      <c r="F8071" t="s">
        <v>19771</v>
      </c>
      <c r="G8071" t="str">
        <f>HYPERLINK("http://www.fntoday.co.kr/news/articleView.html?idxno=354016")</f>
        <v>http://www.fntoday.co.kr/news/articleView.html?idxno=354016</v>
      </c>
      <c r="H8071">
        <v>0.83199999999999996</v>
      </c>
    </row>
    <row r="8072" spans="1:8" x14ac:dyDescent="0.3">
      <c r="A8072" t="s">
        <v>18176</v>
      </c>
      <c r="B8072" t="s">
        <v>26951</v>
      </c>
      <c r="C8072" t="s">
        <v>20373</v>
      </c>
      <c r="D8072" t="s">
        <v>20372</v>
      </c>
      <c r="E8072" s="2" t="s">
        <v>538</v>
      </c>
      <c r="F8072" t="s">
        <v>20371</v>
      </c>
      <c r="G8072" t="str">
        <f>HYPERLINK("https://n.news.naver.com/mnews/article/036/0000047886?sid=103")</f>
        <v>https://n.news.naver.com/mnews/article/036/0000047886?sid=103</v>
      </c>
      <c r="H8072">
        <v>0.19500000000000001</v>
      </c>
    </row>
    <row r="8073" spans="1:8" x14ac:dyDescent="0.3">
      <c r="A8073" t="s">
        <v>18176</v>
      </c>
      <c r="B8073" t="s">
        <v>26951</v>
      </c>
      <c r="C8073" t="s">
        <v>20376</v>
      </c>
      <c r="D8073" t="s">
        <v>20375</v>
      </c>
      <c r="E8073" s="2" t="s">
        <v>538</v>
      </c>
      <c r="F8073" t="s">
        <v>20374</v>
      </c>
      <c r="G8073" t="str">
        <f>HYPERLINK("http://www.netongs.com/news/articleView.html?idxno=326354")</f>
        <v>http://www.netongs.com/news/articleView.html?idxno=326354</v>
      </c>
      <c r="H8073">
        <v>0.94599999999999995</v>
      </c>
    </row>
    <row r="8074" spans="1:8" x14ac:dyDescent="0.3">
      <c r="A8074" t="s">
        <v>18176</v>
      </c>
      <c r="B8074" t="s">
        <v>26951</v>
      </c>
      <c r="C8074" t="s">
        <v>20378</v>
      </c>
      <c r="D8074" t="s">
        <v>20377</v>
      </c>
      <c r="E8074" s="2" t="s">
        <v>538</v>
      </c>
      <c r="F8074" t="s">
        <v>235</v>
      </c>
      <c r="G8074" t="str">
        <f>HYPERLINK("https://www.m-joongang.com/news/articleView.html?idxno=401295")</f>
        <v>https://www.m-joongang.com/news/articleView.html?idxno=401295</v>
      </c>
      <c r="H8074">
        <v>0.28299999999999997</v>
      </c>
    </row>
    <row r="8075" spans="1:8" x14ac:dyDescent="0.3">
      <c r="A8075" t="s">
        <v>18176</v>
      </c>
      <c r="B8075" t="s">
        <v>26951</v>
      </c>
      <c r="C8075" t="s">
        <v>20380</v>
      </c>
      <c r="D8075" t="s">
        <v>20379</v>
      </c>
      <c r="E8075" s="2" t="s">
        <v>538</v>
      </c>
      <c r="F8075" t="s">
        <v>10471</v>
      </c>
      <c r="G8075" t="str">
        <f>HYPERLINK("https://www.medipana.com/article/view.php?news_idx=335999&amp;sch_cate=A")</f>
        <v>https://www.medipana.com/article/view.php?news_idx=335999&amp;sch_cate=A</v>
      </c>
      <c r="H8075">
        <v>0.46200000000000002</v>
      </c>
    </row>
    <row r="8076" spans="1:8" x14ac:dyDescent="0.3">
      <c r="A8076" t="s">
        <v>18176</v>
      </c>
      <c r="B8076" t="s">
        <v>26951</v>
      </c>
      <c r="C8076" t="s">
        <v>20383</v>
      </c>
      <c r="D8076" t="s">
        <v>20382</v>
      </c>
      <c r="E8076" s="2" t="s">
        <v>538</v>
      </c>
      <c r="F8076" t="s">
        <v>20381</v>
      </c>
      <c r="G8076" t="str">
        <f>HYPERLINK("https://news.bbsi.co.kr/news/articleView.html?idxno=4033078")</f>
        <v>https://news.bbsi.co.kr/news/articleView.html?idxno=4033078</v>
      </c>
      <c r="H8076">
        <v>0.47699999999999998</v>
      </c>
    </row>
    <row r="8077" spans="1:8" x14ac:dyDescent="0.3">
      <c r="A8077" t="s">
        <v>18176</v>
      </c>
      <c r="B8077" t="s">
        <v>26951</v>
      </c>
      <c r="C8077" t="s">
        <v>20385</v>
      </c>
      <c r="D8077" t="s">
        <v>20384</v>
      </c>
      <c r="E8077" s="2" t="s">
        <v>538</v>
      </c>
      <c r="F8077" t="s">
        <v>13406</v>
      </c>
      <c r="G8077" t="str">
        <f>HYPERLINK("http://www.civicnews.com/news/articleView.html?idxno=9412")</f>
        <v>http://www.civicnews.com/news/articleView.html?idxno=9412</v>
      </c>
      <c r="H8077">
        <v>0.501</v>
      </c>
    </row>
    <row r="8078" spans="1:8" x14ac:dyDescent="0.3">
      <c r="A8078" t="s">
        <v>18176</v>
      </c>
      <c r="B8078" t="s">
        <v>26951</v>
      </c>
      <c r="C8078" t="s">
        <v>20387</v>
      </c>
      <c r="D8078" t="s">
        <v>20386</v>
      </c>
      <c r="E8078" s="2" t="s">
        <v>538</v>
      </c>
      <c r="F8078" t="s">
        <v>4119</v>
      </c>
      <c r="G8078" t="str">
        <f>HYPERLINK("https://n.news.naver.com/mnews/article/088/0000173548?sid=102")</f>
        <v>https://n.news.naver.com/mnews/article/088/0000173548?sid=102</v>
      </c>
      <c r="H8078">
        <v>0.28399999999999997</v>
      </c>
    </row>
    <row r="8079" spans="1:8" x14ac:dyDescent="0.3">
      <c r="A8079" t="s">
        <v>18176</v>
      </c>
      <c r="B8079" t="s">
        <v>26951</v>
      </c>
      <c r="C8079" t="s">
        <v>20390</v>
      </c>
      <c r="D8079" t="s">
        <v>20389</v>
      </c>
      <c r="E8079" s="2" t="s">
        <v>538</v>
      </c>
      <c r="F8079" t="s">
        <v>20388</v>
      </c>
      <c r="G8079" t="str">
        <f>HYPERLINK("http://www.sctoday.co.kr/news/articleView.html?idxno=44185")</f>
        <v>http://www.sctoday.co.kr/news/articleView.html?idxno=44185</v>
      </c>
      <c r="H8079">
        <v>0.57299999999999995</v>
      </c>
    </row>
    <row r="8080" spans="1:8" x14ac:dyDescent="0.3">
      <c r="A8080" t="s">
        <v>18176</v>
      </c>
      <c r="B8080" t="s">
        <v>26951</v>
      </c>
      <c r="C8080" t="s">
        <v>20392</v>
      </c>
      <c r="D8080" t="s">
        <v>20391</v>
      </c>
      <c r="E8080" s="2" t="s">
        <v>538</v>
      </c>
      <c r="F8080" t="s">
        <v>20080</v>
      </c>
      <c r="G8080" t="str">
        <f>HYPERLINK("https://n.news.naver.com/mnews/article/008/0005207773?sid=102")</f>
        <v>https://n.news.naver.com/mnews/article/008/0005207773?sid=102</v>
      </c>
      <c r="H8080">
        <v>0.22700000000000001</v>
      </c>
    </row>
    <row r="8081" spans="1:8" x14ac:dyDescent="0.3">
      <c r="A8081" t="s">
        <v>18176</v>
      </c>
      <c r="B8081" t="s">
        <v>26951</v>
      </c>
      <c r="C8081" t="s">
        <v>20394</v>
      </c>
      <c r="D8081" t="s">
        <v>20393</v>
      </c>
      <c r="E8081" s="2" t="s">
        <v>538</v>
      </c>
      <c r="F8081" t="s">
        <v>10412</v>
      </c>
      <c r="G8081" t="str">
        <f>HYPERLINK("http://www.jejusori.net/?mod=news&amp;act=articleView&amp;idxno=145527")</f>
        <v>http://www.jejusori.net/?mod=news&amp;act=articleView&amp;idxno=145527</v>
      </c>
      <c r="H8081">
        <v>0.44800000000000001</v>
      </c>
    </row>
    <row r="8082" spans="1:8" x14ac:dyDescent="0.3">
      <c r="A8082" t="s">
        <v>18176</v>
      </c>
      <c r="B8082" t="s">
        <v>26951</v>
      </c>
      <c r="C8082" t="s">
        <v>20397</v>
      </c>
      <c r="D8082" t="s">
        <v>20396</v>
      </c>
      <c r="E8082" s="2" t="s">
        <v>538</v>
      </c>
      <c r="F8082" t="s">
        <v>20395</v>
      </c>
      <c r="G8082" t="str">
        <f>HYPERLINK("https://bravo.etoday.co.kr/view/atc_view/16368")</f>
        <v>https://bravo.etoday.co.kr/view/atc_view/16368</v>
      </c>
      <c r="H8082">
        <v>0.56200000000000006</v>
      </c>
    </row>
    <row r="8083" spans="1:8" x14ac:dyDescent="0.3">
      <c r="A8083" t="s">
        <v>18176</v>
      </c>
      <c r="B8083" t="s">
        <v>26951</v>
      </c>
      <c r="C8083" t="s">
        <v>20401</v>
      </c>
      <c r="D8083" t="s">
        <v>20400</v>
      </c>
      <c r="E8083" s="2" t="s">
        <v>538</v>
      </c>
      <c r="F8083" t="s">
        <v>1038</v>
      </c>
      <c r="G8083" t="str">
        <f>HYPERLINK("http://www.biztribune.co.kr/news/articleView.html?idxno=334958")</f>
        <v>http://www.biztribune.co.kr/news/articleView.html?idxno=334958</v>
      </c>
      <c r="H8083">
        <v>0.52600000000000002</v>
      </c>
    </row>
    <row r="8084" spans="1:8" x14ac:dyDescent="0.3">
      <c r="A8084" t="s">
        <v>18176</v>
      </c>
      <c r="B8084" t="s">
        <v>26951</v>
      </c>
      <c r="C8084" t="s">
        <v>20404</v>
      </c>
      <c r="D8084" t="s">
        <v>20403</v>
      </c>
      <c r="E8084" s="2" t="s">
        <v>538</v>
      </c>
      <c r="F8084" t="s">
        <v>20402</v>
      </c>
      <c r="G8084" t="str">
        <f>HYPERLINK("https://www.getnews.co.kr/news/articleView.html?idxno=825566")</f>
        <v>https://www.getnews.co.kr/news/articleView.html?idxno=825566</v>
      </c>
      <c r="H8084">
        <v>0.81100000000000005</v>
      </c>
    </row>
    <row r="8085" spans="1:8" x14ac:dyDescent="0.3">
      <c r="A8085" t="s">
        <v>18176</v>
      </c>
      <c r="B8085" t="s">
        <v>26951</v>
      </c>
      <c r="C8085" t="s">
        <v>20407</v>
      </c>
      <c r="D8085" t="s">
        <v>20406</v>
      </c>
      <c r="E8085" s="2" t="s">
        <v>538</v>
      </c>
      <c r="F8085" t="s">
        <v>20405</v>
      </c>
      <c r="G8085" t="str">
        <f>HYPERLINK("https://daily.hankooki.com/news/articleView.html?idxno=1073108")</f>
        <v>https://daily.hankooki.com/news/articleView.html?idxno=1073108</v>
      </c>
      <c r="H8085">
        <v>0.53400000000000003</v>
      </c>
    </row>
    <row r="8086" spans="1:8" x14ac:dyDescent="0.3">
      <c r="A8086" t="s">
        <v>18176</v>
      </c>
      <c r="B8086" t="s">
        <v>26951</v>
      </c>
      <c r="C8086" t="s">
        <v>20409</v>
      </c>
      <c r="D8086" t="s">
        <v>20408</v>
      </c>
      <c r="E8086" s="2" t="s">
        <v>538</v>
      </c>
      <c r="F8086" t="s">
        <v>1378</v>
      </c>
      <c r="G8086" t="str">
        <f>HYPERLINK("https://n.news.naver.com/mnews/article/008/0004004560?sid=103")</f>
        <v>https://n.news.naver.com/mnews/article/008/0004004560?sid=103</v>
      </c>
      <c r="H8086">
        <v>0.223</v>
      </c>
    </row>
    <row r="8087" spans="1:8" x14ac:dyDescent="0.3">
      <c r="A8087" t="s">
        <v>18176</v>
      </c>
      <c r="B8087" t="s">
        <v>26951</v>
      </c>
      <c r="C8087" t="s">
        <v>20411</v>
      </c>
      <c r="D8087" t="s">
        <v>20410</v>
      </c>
      <c r="E8087" s="2" t="s">
        <v>538</v>
      </c>
      <c r="F8087" t="s">
        <v>14816</v>
      </c>
      <c r="G8087" t="str">
        <f>HYPERLINK("https://ilyo.co.kr/?ac=article_view&amp;entry_id=493018")</f>
        <v>https://ilyo.co.kr/?ac=article_view&amp;entry_id=493018</v>
      </c>
      <c r="H8087">
        <v>6.8000000000000005E-2</v>
      </c>
    </row>
    <row r="8088" spans="1:8" x14ac:dyDescent="0.3">
      <c r="A8088" t="s">
        <v>18176</v>
      </c>
      <c r="B8088" t="s">
        <v>26951</v>
      </c>
      <c r="C8088" t="s">
        <v>20413</v>
      </c>
      <c r="D8088" t="s">
        <v>20412</v>
      </c>
      <c r="E8088" s="2" t="s">
        <v>538</v>
      </c>
      <c r="F8088" t="s">
        <v>10506</v>
      </c>
      <c r="G8088" t="str">
        <f>HYPERLINK("https://www.lecturernews.com/news/articleView.html?idxno=171405")</f>
        <v>https://www.lecturernews.com/news/articleView.html?idxno=171405</v>
      </c>
      <c r="H8088">
        <v>0.26600000000000001</v>
      </c>
    </row>
    <row r="8089" spans="1:8" x14ac:dyDescent="0.3">
      <c r="A8089" t="s">
        <v>18176</v>
      </c>
      <c r="B8089" t="s">
        <v>26951</v>
      </c>
      <c r="C8089" t="s">
        <v>20415</v>
      </c>
      <c r="D8089" t="s">
        <v>20414</v>
      </c>
      <c r="E8089" s="2" t="s">
        <v>538</v>
      </c>
      <c r="F8089" t="s">
        <v>10471</v>
      </c>
      <c r="G8089" t="str">
        <f>HYPERLINK("https://n.news.naver.com/mnews/article/079/0003898453?sid=102")</f>
        <v>https://n.news.naver.com/mnews/article/079/0003898453?sid=102</v>
      </c>
      <c r="H8089">
        <v>0.23400000000000001</v>
      </c>
    </row>
    <row r="8090" spans="1:8" x14ac:dyDescent="0.3">
      <c r="A8090" t="s">
        <v>18176</v>
      </c>
      <c r="B8090" t="s">
        <v>26951</v>
      </c>
      <c r="C8090" t="s">
        <v>20418</v>
      </c>
      <c r="D8090" t="s">
        <v>20417</v>
      </c>
      <c r="E8090" s="2" t="s">
        <v>538</v>
      </c>
      <c r="F8090" t="s">
        <v>20416</v>
      </c>
      <c r="G8090" t="str">
        <f>HYPERLINK("https://www.jungle.co.kr/magazine/206105")</f>
        <v>https://www.jungle.co.kr/magazine/206105</v>
      </c>
      <c r="H8090">
        <v>0.496</v>
      </c>
    </row>
    <row r="8091" spans="1:8" x14ac:dyDescent="0.3">
      <c r="A8091" t="s">
        <v>18176</v>
      </c>
      <c r="B8091" t="s">
        <v>26951</v>
      </c>
      <c r="C8091" t="s">
        <v>20420</v>
      </c>
      <c r="D8091" t="s">
        <v>20419</v>
      </c>
      <c r="E8091" s="2" t="s">
        <v>538</v>
      </c>
      <c r="F8091" t="s">
        <v>10471</v>
      </c>
      <c r="G8091" t="str">
        <f>HYPERLINK("http://www.newsmaker.or.kr/news/articleView.html?idxno=98090")</f>
        <v>http://www.newsmaker.or.kr/news/articleView.html?idxno=98090</v>
      </c>
      <c r="H8091">
        <v>1.0999999999999999E-2</v>
      </c>
    </row>
    <row r="8092" spans="1:8" x14ac:dyDescent="0.3">
      <c r="A8092" t="s">
        <v>18176</v>
      </c>
      <c r="B8092" t="s">
        <v>26951</v>
      </c>
      <c r="C8092" t="s">
        <v>20423</v>
      </c>
      <c r="D8092" t="s">
        <v>20422</v>
      </c>
      <c r="E8092" s="2" t="s">
        <v>538</v>
      </c>
      <c r="F8092" t="s">
        <v>20421</v>
      </c>
      <c r="G8092" t="str">
        <f>HYPERLINK("https://n.news.naver.com/mnews/article/056/0011297942?sid=100")</f>
        <v>https://n.news.naver.com/mnews/article/056/0011297942?sid=100</v>
      </c>
      <c r="H8092">
        <v>0.254</v>
      </c>
    </row>
    <row r="8093" spans="1:8" x14ac:dyDescent="0.3">
      <c r="A8093" t="s">
        <v>18176</v>
      </c>
      <c r="B8093" t="s">
        <v>26951</v>
      </c>
      <c r="C8093" t="s">
        <v>20425</v>
      </c>
      <c r="D8093" t="s">
        <v>20424</v>
      </c>
      <c r="E8093" s="2" t="s">
        <v>538</v>
      </c>
      <c r="F8093" t="s">
        <v>13207</v>
      </c>
      <c r="G8093" t="str">
        <f>HYPERLINK("https://www.apnews.kr/news/articleView.html?idxno=3014108")</f>
        <v>https://www.apnews.kr/news/articleView.html?idxno=3014108</v>
      </c>
      <c r="H8093">
        <v>0.38900000000000001</v>
      </c>
    </row>
    <row r="8094" spans="1:8" x14ac:dyDescent="0.3">
      <c r="A8094" t="s">
        <v>18176</v>
      </c>
      <c r="B8094" t="s">
        <v>26951</v>
      </c>
      <c r="C8094" t="s">
        <v>20428</v>
      </c>
      <c r="D8094" t="s">
        <v>20427</v>
      </c>
      <c r="E8094" s="2" t="s">
        <v>538</v>
      </c>
      <c r="F8094" t="s">
        <v>20426</v>
      </c>
      <c r="G8094" t="str">
        <f>HYPERLINK("https://www.newscj.com/news/articleView.html?idxno=3257262")</f>
        <v>https://www.newscj.com/news/articleView.html?idxno=3257262</v>
      </c>
      <c r="H8094">
        <v>0.73099999999999998</v>
      </c>
    </row>
    <row r="8095" spans="1:8" x14ac:dyDescent="0.3">
      <c r="A8095" t="s">
        <v>18176</v>
      </c>
      <c r="B8095" t="s">
        <v>26951</v>
      </c>
      <c r="C8095" t="s">
        <v>20430</v>
      </c>
      <c r="D8095" t="s">
        <v>20429</v>
      </c>
      <c r="E8095" s="2" t="s">
        <v>538</v>
      </c>
      <c r="F8095" t="s">
        <v>13085</v>
      </c>
      <c r="G8095" t="str">
        <f>HYPERLINK("https://newscham.net/articles/110607")</f>
        <v>https://newscham.net/articles/110607</v>
      </c>
      <c r="H8095">
        <v>2.1000000000000001E-2</v>
      </c>
    </row>
    <row r="8096" spans="1:8" x14ac:dyDescent="0.3">
      <c r="A8096" t="s">
        <v>18176</v>
      </c>
      <c r="B8096" t="s">
        <v>26951</v>
      </c>
      <c r="C8096" t="s">
        <v>20432</v>
      </c>
      <c r="D8096" t="s">
        <v>20431</v>
      </c>
      <c r="E8096" s="2" t="s">
        <v>538</v>
      </c>
      <c r="F8096" t="s">
        <v>817</v>
      </c>
      <c r="G8096" t="str">
        <f>HYPERLINK("https://n.news.naver.com/mnews/article/243/0000080534?sid=101")</f>
        <v>https://n.news.naver.com/mnews/article/243/0000080534?sid=101</v>
      </c>
      <c r="H8096">
        <v>0.26600000000000001</v>
      </c>
    </row>
    <row r="8097" spans="1:8" x14ac:dyDescent="0.3">
      <c r="A8097" t="s">
        <v>18176</v>
      </c>
      <c r="B8097" t="s">
        <v>26951</v>
      </c>
      <c r="C8097" t="s">
        <v>20434</v>
      </c>
      <c r="D8097" t="s">
        <v>20433</v>
      </c>
      <c r="E8097" s="2" t="s">
        <v>538</v>
      </c>
      <c r="F8097" t="s">
        <v>12408</v>
      </c>
      <c r="G8097" t="str">
        <f>HYPERLINK("http://www.ggilbo.com/news/articleView.html?idxno=510086")</f>
        <v>http://www.ggilbo.com/news/articleView.html?idxno=510086</v>
      </c>
      <c r="H8097">
        <v>0.40500000000000003</v>
      </c>
    </row>
    <row r="8098" spans="1:8" x14ac:dyDescent="0.3">
      <c r="A8098" t="s">
        <v>18176</v>
      </c>
      <c r="B8098" t="s">
        <v>26951</v>
      </c>
      <c r="C8098" t="s">
        <v>20436</v>
      </c>
      <c r="D8098" t="s">
        <v>20435</v>
      </c>
      <c r="E8098" s="2" t="s">
        <v>538</v>
      </c>
      <c r="F8098" t="s">
        <v>5548</v>
      </c>
      <c r="G8098" t="str">
        <f>HYPERLINK("https://sports.hankooki.com/news/articleView.html?idxno=6886832")</f>
        <v>https://sports.hankooki.com/news/articleView.html?idxno=6886832</v>
      </c>
      <c r="H8098">
        <v>0.41799999999999998</v>
      </c>
    </row>
    <row r="8099" spans="1:8" x14ac:dyDescent="0.3">
      <c r="A8099" t="s">
        <v>18176</v>
      </c>
      <c r="B8099" t="s">
        <v>26951</v>
      </c>
      <c r="C8099" t="s">
        <v>20439</v>
      </c>
      <c r="D8099" t="s">
        <v>20438</v>
      </c>
      <c r="E8099" s="2" t="s">
        <v>538</v>
      </c>
      <c r="F8099" t="s">
        <v>20437</v>
      </c>
      <c r="G8099" t="str">
        <f>HYPERLINK("http://www.handmk.com/news/articleView.html?idxno=27473")</f>
        <v>http://www.handmk.com/news/articleView.html?idxno=27473</v>
      </c>
      <c r="H8099">
        <v>0.64900000000000002</v>
      </c>
    </row>
    <row r="8100" spans="1:8" x14ac:dyDescent="0.3">
      <c r="A8100" t="s">
        <v>18176</v>
      </c>
      <c r="B8100" t="s">
        <v>26951</v>
      </c>
      <c r="C8100" t="s">
        <v>20441</v>
      </c>
      <c r="D8100" t="s">
        <v>20440</v>
      </c>
      <c r="E8100" s="2" t="s">
        <v>538</v>
      </c>
      <c r="F8100" t="s">
        <v>10397</v>
      </c>
      <c r="G8100" t="str">
        <f>HYPERLINK("https://www.nbntv.co.kr/news/articleView.html?idxno=4003085")</f>
        <v>https://www.nbntv.co.kr/news/articleView.html?idxno=4003085</v>
      </c>
      <c r="H8100">
        <v>0.53600000000000003</v>
      </c>
    </row>
    <row r="8101" spans="1:8" x14ac:dyDescent="0.3">
      <c r="A8101" t="s">
        <v>18176</v>
      </c>
      <c r="B8101" t="s">
        <v>26951</v>
      </c>
      <c r="C8101" t="s">
        <v>20444</v>
      </c>
      <c r="D8101" t="s">
        <v>20443</v>
      </c>
      <c r="E8101" s="2" t="s">
        <v>538</v>
      </c>
      <c r="F8101" t="s">
        <v>20442</v>
      </c>
      <c r="G8101" t="str">
        <f>HYPERLINK("https://radio.ytn.co.kr/program/?f=2&amp;id=79682&amp;s_mcd=0452&amp;s_hcd=01")</f>
        <v>https://radio.ytn.co.kr/program/?f=2&amp;id=79682&amp;s_mcd=0452&amp;s_hcd=01</v>
      </c>
      <c r="H8101">
        <v>0.318</v>
      </c>
    </row>
    <row r="8102" spans="1:8" x14ac:dyDescent="0.3">
      <c r="A8102" t="s">
        <v>18176</v>
      </c>
      <c r="B8102" t="s">
        <v>26951</v>
      </c>
      <c r="C8102" t="s">
        <v>20447</v>
      </c>
      <c r="D8102" t="s">
        <v>20446</v>
      </c>
      <c r="E8102" s="2" t="s">
        <v>538</v>
      </c>
      <c r="F8102" t="s">
        <v>20445</v>
      </c>
      <c r="G8102" t="str">
        <f>HYPERLINK("https://n.news.naver.com/mnews/article/056/0011975242?sid=101")</f>
        <v>https://n.news.naver.com/mnews/article/056/0011975242?sid=101</v>
      </c>
      <c r="H8102">
        <v>0.20300000000000001</v>
      </c>
    </row>
    <row r="8103" spans="1:8" x14ac:dyDescent="0.3">
      <c r="A8103" t="s">
        <v>18176</v>
      </c>
      <c r="B8103" t="s">
        <v>26951</v>
      </c>
      <c r="C8103" t="s">
        <v>20449</v>
      </c>
      <c r="D8103" t="s">
        <v>20448</v>
      </c>
      <c r="E8103" s="2" t="s">
        <v>394</v>
      </c>
      <c r="F8103" t="s">
        <v>2891</v>
      </c>
      <c r="G8103" t="str">
        <f>HYPERLINK("https://www.christiantoday.co.kr/news/368984")</f>
        <v>https://www.christiantoday.co.kr/news/368984</v>
      </c>
      <c r="H8103">
        <v>0.38800000000000001</v>
      </c>
    </row>
    <row r="8104" spans="1:8" x14ac:dyDescent="0.3">
      <c r="A8104" t="s">
        <v>18176</v>
      </c>
      <c r="B8104" t="s">
        <v>26951</v>
      </c>
      <c r="C8104" t="s">
        <v>20452</v>
      </c>
      <c r="D8104" t="s">
        <v>20451</v>
      </c>
      <c r="E8104" s="2" t="s">
        <v>394</v>
      </c>
      <c r="F8104" t="s">
        <v>20450</v>
      </c>
      <c r="G8104" t="str">
        <f>HYPERLINK("https://n.news.naver.com/mnews/article/052/0001775012?sid=100")</f>
        <v>https://n.news.naver.com/mnews/article/052/0001775012?sid=100</v>
      </c>
      <c r="H8104">
        <v>0.251</v>
      </c>
    </row>
    <row r="8105" spans="1:8" x14ac:dyDescent="0.3">
      <c r="A8105" t="s">
        <v>18176</v>
      </c>
      <c r="B8105" t="s">
        <v>26951</v>
      </c>
      <c r="C8105" t="s">
        <v>20455</v>
      </c>
      <c r="D8105" t="s">
        <v>20454</v>
      </c>
      <c r="E8105" s="2" t="s">
        <v>394</v>
      </c>
      <c r="F8105" t="s">
        <v>20453</v>
      </c>
      <c r="G8105" t="str">
        <f>HYPERLINK("https://www.kidshankook.kr/news/articleView.html?idxno=14104")</f>
        <v>https://www.kidshankook.kr/news/articleView.html?idxno=14104</v>
      </c>
      <c r="H8105">
        <v>0.34200000000000003</v>
      </c>
    </row>
    <row r="8106" spans="1:8" x14ac:dyDescent="0.3">
      <c r="A8106" t="s">
        <v>18176</v>
      </c>
      <c r="B8106" t="s">
        <v>26951</v>
      </c>
      <c r="C8106" t="s">
        <v>20457</v>
      </c>
      <c r="D8106" t="s">
        <v>20456</v>
      </c>
      <c r="E8106" s="2" t="s">
        <v>394</v>
      </c>
      <c r="F8106" t="s">
        <v>2661</v>
      </c>
      <c r="G8106" t="str">
        <f>HYPERLINK("https://n.news.naver.com/mnews/article/008/0005163757?sid=102")</f>
        <v>https://n.news.naver.com/mnews/article/008/0005163757?sid=102</v>
      </c>
      <c r="H8106">
        <v>0.29899999999999999</v>
      </c>
    </row>
    <row r="8107" spans="1:8" x14ac:dyDescent="0.3">
      <c r="A8107" t="s">
        <v>18176</v>
      </c>
      <c r="B8107" t="s">
        <v>26951</v>
      </c>
      <c r="C8107" t="s">
        <v>20459</v>
      </c>
      <c r="D8107" t="s">
        <v>20458</v>
      </c>
      <c r="E8107" s="2" t="s">
        <v>394</v>
      </c>
      <c r="F8107" t="s">
        <v>15464</v>
      </c>
      <c r="G8107" t="str">
        <f>HYPERLINK("http://www.newsmp.com/news/articleView.html?idxno=243382")</f>
        <v>http://www.newsmp.com/news/articleView.html?idxno=243382</v>
      </c>
      <c r="H8107">
        <v>0.28999999999999998</v>
      </c>
    </row>
    <row r="8108" spans="1:8" x14ac:dyDescent="0.3">
      <c r="A8108" t="s">
        <v>18176</v>
      </c>
      <c r="B8108" t="s">
        <v>26951</v>
      </c>
      <c r="C8108" t="s">
        <v>20463</v>
      </c>
      <c r="D8108" t="s">
        <v>20462</v>
      </c>
      <c r="E8108" s="2" t="s">
        <v>394</v>
      </c>
      <c r="F8108" t="s">
        <v>20461</v>
      </c>
      <c r="G8108" t="str">
        <f>HYPERLINK("https://n.news.naver.com/mnews/article/056/0010202925?sid=115")</f>
        <v>https://n.news.naver.com/mnews/article/056/0010202925?sid=115</v>
      </c>
      <c r="H8108">
        <v>0.154</v>
      </c>
    </row>
    <row r="8109" spans="1:8" x14ac:dyDescent="0.3">
      <c r="A8109" t="s">
        <v>18176</v>
      </c>
      <c r="B8109" t="s">
        <v>26951</v>
      </c>
      <c r="C8109" t="s">
        <v>20466</v>
      </c>
      <c r="D8109" t="s">
        <v>20465</v>
      </c>
      <c r="E8109" s="2" t="s">
        <v>394</v>
      </c>
      <c r="F8109" t="s">
        <v>20464</v>
      </c>
      <c r="G8109" t="str">
        <f>HYPERLINK("http://www.ggilbo.com/news/articleView.html?idxno=750390")</f>
        <v>http://www.ggilbo.com/news/articleView.html?idxno=750390</v>
      </c>
      <c r="H8109">
        <v>0.59</v>
      </c>
    </row>
    <row r="8110" spans="1:8" x14ac:dyDescent="0.3">
      <c r="A8110" t="s">
        <v>18176</v>
      </c>
      <c r="B8110" t="s">
        <v>26951</v>
      </c>
      <c r="C8110" t="s">
        <v>20469</v>
      </c>
      <c r="D8110" t="s">
        <v>20468</v>
      </c>
      <c r="E8110" s="2" t="s">
        <v>394</v>
      </c>
      <c r="F8110" t="s">
        <v>20467</v>
      </c>
      <c r="G8110" t="str">
        <f>HYPERLINK("https://www.travie.com/news/articleView.html?idxno=53074")</f>
        <v>https://www.travie.com/news/articleView.html?idxno=53074</v>
      </c>
      <c r="H8110">
        <v>0.34599999999999997</v>
      </c>
    </row>
    <row r="8111" spans="1:8" x14ac:dyDescent="0.3">
      <c r="A8111" t="s">
        <v>18176</v>
      </c>
      <c r="B8111" t="s">
        <v>26951</v>
      </c>
      <c r="C8111" t="s">
        <v>20472</v>
      </c>
      <c r="D8111" t="s">
        <v>20471</v>
      </c>
      <c r="E8111" s="2" t="s">
        <v>394</v>
      </c>
      <c r="F8111" t="s">
        <v>20470</v>
      </c>
      <c r="G8111" t="str">
        <f>HYPERLINK("http://www.incheonin.com/news/articleView.html?idxno=100730")</f>
        <v>http://www.incheonin.com/news/articleView.html?idxno=100730</v>
      </c>
      <c r="H8111">
        <v>0.44900000000000001</v>
      </c>
    </row>
    <row r="8112" spans="1:8" x14ac:dyDescent="0.3">
      <c r="A8112" t="s">
        <v>18176</v>
      </c>
      <c r="B8112" t="s">
        <v>26951</v>
      </c>
      <c r="C8112" t="s">
        <v>20474</v>
      </c>
      <c r="D8112" t="s">
        <v>20473</v>
      </c>
      <c r="E8112" s="2" t="s">
        <v>394</v>
      </c>
      <c r="F8112" t="s">
        <v>7665</v>
      </c>
      <c r="G8112" t="str">
        <f>HYPERLINK("http://www.impacton.net/news/articleView.html?idxno=7193")</f>
        <v>http://www.impacton.net/news/articleView.html?idxno=7193</v>
      </c>
      <c r="H8112">
        <v>0.57299999999999995</v>
      </c>
    </row>
    <row r="8113" spans="1:8" x14ac:dyDescent="0.3">
      <c r="A8113" t="s">
        <v>18176</v>
      </c>
      <c r="B8113" t="s">
        <v>26951</v>
      </c>
      <c r="C8113" t="s">
        <v>20476</v>
      </c>
      <c r="D8113" t="s">
        <v>20475</v>
      </c>
      <c r="E8113" s="2" t="s">
        <v>394</v>
      </c>
      <c r="F8113" t="s">
        <v>19136</v>
      </c>
      <c r="G8113" t="str">
        <f>HYPERLINK("http://apnews.kr/View.aspx?No=1406125")</f>
        <v>http://apnews.kr/View.aspx?No=1406125</v>
      </c>
      <c r="H8113">
        <v>0.13300000000000001</v>
      </c>
    </row>
    <row r="8114" spans="1:8" x14ac:dyDescent="0.3">
      <c r="A8114" t="s">
        <v>18176</v>
      </c>
      <c r="B8114" t="s">
        <v>26951</v>
      </c>
      <c r="C8114" t="s">
        <v>20478</v>
      </c>
      <c r="D8114" t="s">
        <v>20477</v>
      </c>
      <c r="E8114" s="2" t="s">
        <v>394</v>
      </c>
      <c r="F8114" t="s">
        <v>12458</v>
      </c>
      <c r="G8114" t="str">
        <f>HYPERLINK("https://www.greened.kr/news/articleView.html?idxno=316232")</f>
        <v>https://www.greened.kr/news/articleView.html?idxno=316232</v>
      </c>
      <c r="H8114">
        <v>0.59899999999999998</v>
      </c>
    </row>
    <row r="8115" spans="1:8" x14ac:dyDescent="0.3">
      <c r="A8115" t="s">
        <v>18176</v>
      </c>
      <c r="B8115" t="s">
        <v>26951</v>
      </c>
      <c r="C8115" t="s">
        <v>20481</v>
      </c>
      <c r="D8115" t="s">
        <v>20480</v>
      </c>
      <c r="E8115" s="2" t="s">
        <v>394</v>
      </c>
      <c r="F8115" t="s">
        <v>20479</v>
      </c>
      <c r="G8115" t="str">
        <f>HYPERLINK("https://www.cnbnews.com/news/article.html?no=729514")</f>
        <v>https://www.cnbnews.com/news/article.html?no=729514</v>
      </c>
      <c r="H8115">
        <v>0.37</v>
      </c>
    </row>
    <row r="8116" spans="1:8" x14ac:dyDescent="0.3">
      <c r="A8116" t="s">
        <v>18176</v>
      </c>
      <c r="B8116" t="s">
        <v>26951</v>
      </c>
      <c r="C8116" t="s">
        <v>20483</v>
      </c>
      <c r="D8116" t="s">
        <v>20482</v>
      </c>
      <c r="E8116" s="2" t="s">
        <v>394</v>
      </c>
      <c r="F8116" t="s">
        <v>12458</v>
      </c>
      <c r="G8116" t="str">
        <f>HYPERLINK("http://www.etoday.co.kr/news/section/newsview.php?idxno=1640952")</f>
        <v>http://www.etoday.co.kr/news/section/newsview.php?idxno=1640952</v>
      </c>
      <c r="H8116">
        <v>0.38800000000000001</v>
      </c>
    </row>
    <row r="8117" spans="1:8" x14ac:dyDescent="0.3">
      <c r="A8117" t="s">
        <v>18176</v>
      </c>
      <c r="B8117" t="s">
        <v>26951</v>
      </c>
      <c r="C8117" t="s">
        <v>20485</v>
      </c>
      <c r="D8117" t="s">
        <v>20484</v>
      </c>
      <c r="E8117" s="2" t="s">
        <v>394</v>
      </c>
      <c r="F8117" t="s">
        <v>19136</v>
      </c>
      <c r="G8117" t="str">
        <f>HYPERLINK("https://www.geconomy.co.kr/news/article.html?no=301276")</f>
        <v>https://www.geconomy.co.kr/news/article.html?no=301276</v>
      </c>
      <c r="H8117">
        <v>0.252</v>
      </c>
    </row>
    <row r="8118" spans="1:8" x14ac:dyDescent="0.3">
      <c r="A8118" t="s">
        <v>18176</v>
      </c>
      <c r="B8118" t="s">
        <v>26951</v>
      </c>
      <c r="C8118" t="s">
        <v>20487</v>
      </c>
      <c r="D8118" t="s">
        <v>20486</v>
      </c>
      <c r="E8118" s="2" t="s">
        <v>394</v>
      </c>
      <c r="F8118" t="s">
        <v>19136</v>
      </c>
      <c r="G8118" t="str">
        <f>HYPERLINK("https://www.cctoday.co.kr/news/articleView.html?idxno=2213954")</f>
        <v>https://www.cctoday.co.kr/news/articleView.html?idxno=2213954</v>
      </c>
      <c r="H8118">
        <v>0.71</v>
      </c>
    </row>
    <row r="8119" spans="1:8" x14ac:dyDescent="0.3">
      <c r="A8119" t="s">
        <v>18176</v>
      </c>
      <c r="B8119" t="s">
        <v>26951</v>
      </c>
      <c r="C8119" t="s">
        <v>20489</v>
      </c>
      <c r="D8119" t="s">
        <v>20488</v>
      </c>
      <c r="E8119" s="2" t="s">
        <v>394</v>
      </c>
      <c r="F8119" t="s">
        <v>2378</v>
      </c>
      <c r="G8119" t="str">
        <f>HYPERLINK("http://www.pdjournal.com/news/articleView.html?idxno=18958")</f>
        <v>http://www.pdjournal.com/news/articleView.html?idxno=18958</v>
      </c>
      <c r="H8119">
        <v>0.64</v>
      </c>
    </row>
    <row r="8120" spans="1:8" x14ac:dyDescent="0.3">
      <c r="A8120" t="s">
        <v>18176</v>
      </c>
      <c r="B8120" t="s">
        <v>26951</v>
      </c>
      <c r="C8120" t="s">
        <v>20491</v>
      </c>
      <c r="D8120" t="s">
        <v>20490</v>
      </c>
      <c r="E8120" s="2" t="s">
        <v>394</v>
      </c>
      <c r="F8120" t="s">
        <v>19136</v>
      </c>
      <c r="G8120" t="str">
        <f>HYPERLINK("https://n.news.naver.com/mnews/article/056/0011971355?sid=102")</f>
        <v>https://n.news.naver.com/mnews/article/056/0011971355?sid=102</v>
      </c>
      <c r="H8120">
        <v>0.16</v>
      </c>
    </row>
    <row r="8121" spans="1:8" x14ac:dyDescent="0.3">
      <c r="A8121" t="s">
        <v>18176</v>
      </c>
      <c r="B8121" t="s">
        <v>26951</v>
      </c>
      <c r="C8121" t="s">
        <v>20493</v>
      </c>
      <c r="D8121" t="s">
        <v>20492</v>
      </c>
      <c r="E8121" s="2" t="s">
        <v>394</v>
      </c>
      <c r="F8121" t="s">
        <v>1327</v>
      </c>
      <c r="G8121" t="str">
        <f>HYPERLINK("https://www.danbinews.com/news/articleView.html?idxno=30751")</f>
        <v>https://www.danbinews.com/news/articleView.html?idxno=30751</v>
      </c>
      <c r="H8121">
        <v>0.34300000000000003</v>
      </c>
    </row>
    <row r="8122" spans="1:8" x14ac:dyDescent="0.3">
      <c r="A8122" t="s">
        <v>18176</v>
      </c>
      <c r="B8122" t="s">
        <v>26951</v>
      </c>
      <c r="C8122" t="s">
        <v>20496</v>
      </c>
      <c r="D8122" t="s">
        <v>20495</v>
      </c>
      <c r="E8122" s="2" t="s">
        <v>394</v>
      </c>
      <c r="F8122" t="s">
        <v>20494</v>
      </c>
      <c r="G8122" t="str">
        <f>HYPERLINK("http://www.pdjournal.com/news/articleView.html?idxno=24583")</f>
        <v>http://www.pdjournal.com/news/articleView.html?idxno=24583</v>
      </c>
      <c r="H8122">
        <v>0.56200000000000006</v>
      </c>
    </row>
    <row r="8123" spans="1:8" x14ac:dyDescent="0.3">
      <c r="A8123" t="s">
        <v>18176</v>
      </c>
      <c r="B8123" t="s">
        <v>26951</v>
      </c>
      <c r="C8123" t="s">
        <v>20500</v>
      </c>
      <c r="D8123" t="s">
        <v>20499</v>
      </c>
      <c r="E8123" s="2" t="s">
        <v>394</v>
      </c>
      <c r="F8123" t="s">
        <v>20498</v>
      </c>
      <c r="G8123" t="str">
        <f>HYPERLINK("http://www.handmk.com/news/articleView.html?idxno=27473")</f>
        <v>http://www.handmk.com/news/articleView.html?idxno=27473</v>
      </c>
      <c r="H8123">
        <v>0.45</v>
      </c>
    </row>
    <row r="8124" spans="1:8" x14ac:dyDescent="0.3">
      <c r="A8124" t="s">
        <v>18176</v>
      </c>
      <c r="B8124" t="s">
        <v>26951</v>
      </c>
      <c r="C8124" t="s">
        <v>20503</v>
      </c>
      <c r="D8124" t="s">
        <v>20502</v>
      </c>
      <c r="E8124" s="2" t="s">
        <v>394</v>
      </c>
      <c r="F8124" t="s">
        <v>20501</v>
      </c>
      <c r="G8124" t="str">
        <f>HYPERLINK("https://n.news.naver.com/mnews/article/052/0001043183?sid=103")</f>
        <v>https://n.news.naver.com/mnews/article/052/0001043183?sid=103</v>
      </c>
      <c r="H8124">
        <v>0.255</v>
      </c>
    </row>
    <row r="8125" spans="1:8" x14ac:dyDescent="0.3">
      <c r="A8125" t="s">
        <v>18176</v>
      </c>
      <c r="B8125" t="s">
        <v>26951</v>
      </c>
      <c r="C8125" t="s">
        <v>20506</v>
      </c>
      <c r="D8125" t="s">
        <v>20505</v>
      </c>
      <c r="E8125" s="2" t="s">
        <v>394</v>
      </c>
      <c r="F8125" t="s">
        <v>20504</v>
      </c>
      <c r="G8125" t="str">
        <f>HYPERLINK("http://gamefocus.co.kr/detail.php?number=166497")</f>
        <v>http://gamefocus.co.kr/detail.php?number=166497</v>
      </c>
      <c r="H8125">
        <v>0.74399999999999999</v>
      </c>
    </row>
    <row r="8126" spans="1:8" x14ac:dyDescent="0.3">
      <c r="A8126" t="s">
        <v>18176</v>
      </c>
      <c r="B8126" t="s">
        <v>26951</v>
      </c>
      <c r="C8126" t="s">
        <v>20509</v>
      </c>
      <c r="D8126" t="s">
        <v>20508</v>
      </c>
      <c r="E8126" s="2" t="s">
        <v>394</v>
      </c>
      <c r="F8126" t="s">
        <v>20507</v>
      </c>
      <c r="G8126" t="str">
        <f>HYPERLINK("http://www.siminsori.com/news/articleView.html?idxno=291159")</f>
        <v>http://www.siminsori.com/news/articleView.html?idxno=291159</v>
      </c>
      <c r="H8126">
        <v>0.16500000000000001</v>
      </c>
    </row>
    <row r="8127" spans="1:8" x14ac:dyDescent="0.3">
      <c r="A8127" t="s">
        <v>18176</v>
      </c>
      <c r="B8127" t="s">
        <v>26951</v>
      </c>
      <c r="C8127" t="s">
        <v>20512</v>
      </c>
      <c r="D8127" t="s">
        <v>20511</v>
      </c>
      <c r="E8127" s="2" t="s">
        <v>394</v>
      </c>
      <c r="F8127" t="s">
        <v>20510</v>
      </c>
      <c r="G8127" t="str">
        <f>HYPERLINK("https://n.news.naver.com/mnews/article/656/0000137160?sid=004")</f>
        <v>https://n.news.naver.com/mnews/article/656/0000137160?sid=004</v>
      </c>
      <c r="H8127">
        <v>0.2</v>
      </c>
    </row>
    <row r="8128" spans="1:8" x14ac:dyDescent="0.3">
      <c r="A8128" t="s">
        <v>18176</v>
      </c>
      <c r="B8128" t="s">
        <v>26951</v>
      </c>
      <c r="C8128" t="s">
        <v>20515</v>
      </c>
      <c r="D8128" t="s">
        <v>20514</v>
      </c>
      <c r="E8128" s="2" t="s">
        <v>394</v>
      </c>
      <c r="F8128" t="s">
        <v>20513</v>
      </c>
      <c r="G8128" t="str">
        <f>HYPERLINK("https://n.news.naver.com/mnews/article/022/0004048196?sid=102")</f>
        <v>https://n.news.naver.com/mnews/article/022/0004048196?sid=102</v>
      </c>
      <c r="H8128">
        <v>0.29899999999999999</v>
      </c>
    </row>
    <row r="8129" spans="1:8" x14ac:dyDescent="0.3">
      <c r="A8129" t="s">
        <v>18176</v>
      </c>
      <c r="B8129" t="s">
        <v>26951</v>
      </c>
      <c r="C8129" t="s">
        <v>20518</v>
      </c>
      <c r="D8129" t="s">
        <v>20517</v>
      </c>
      <c r="E8129" s="2" t="s">
        <v>394</v>
      </c>
      <c r="F8129" t="s">
        <v>20516</v>
      </c>
      <c r="G8129" t="str">
        <f>HYPERLINK("https://www.newspim.com/news/view/20250617000240")</f>
        <v>https://www.newspim.com/news/view/20250617000240</v>
      </c>
      <c r="H8129">
        <v>0.69799999999999995</v>
      </c>
    </row>
    <row r="8130" spans="1:8" x14ac:dyDescent="0.3">
      <c r="A8130" t="s">
        <v>18176</v>
      </c>
      <c r="B8130" t="s">
        <v>26951</v>
      </c>
      <c r="C8130" t="s">
        <v>20521</v>
      </c>
      <c r="D8130" t="s">
        <v>20520</v>
      </c>
      <c r="E8130" s="2" t="s">
        <v>394</v>
      </c>
      <c r="F8130" t="s">
        <v>20519</v>
      </c>
      <c r="G8130" t="str">
        <f>HYPERLINK("http://apnews.kr/View.aspx?No=1998040")</f>
        <v>http://apnews.kr/View.aspx?No=1998040</v>
      </c>
      <c r="H8130">
        <v>0.45</v>
      </c>
    </row>
    <row r="8131" spans="1:8" x14ac:dyDescent="0.3">
      <c r="A8131" t="s">
        <v>18176</v>
      </c>
      <c r="B8131" t="s">
        <v>26951</v>
      </c>
      <c r="C8131" t="s">
        <v>20524</v>
      </c>
      <c r="D8131" t="s">
        <v>20523</v>
      </c>
      <c r="E8131" s="2" t="s">
        <v>394</v>
      </c>
      <c r="F8131" t="s">
        <v>20522</v>
      </c>
      <c r="G8131" t="str">
        <f>HYPERLINK("https://n.news.naver.com/mnews/article/081/0002350011?sid=004")</f>
        <v>https://n.news.naver.com/mnews/article/081/0002350011?sid=004</v>
      </c>
      <c r="H8131">
        <v>0.191</v>
      </c>
    </row>
    <row r="8132" spans="1:8" x14ac:dyDescent="0.3">
      <c r="A8132" t="s">
        <v>18176</v>
      </c>
      <c r="B8132" t="s">
        <v>26951</v>
      </c>
      <c r="C8132" t="s">
        <v>20527</v>
      </c>
      <c r="D8132" t="s">
        <v>20526</v>
      </c>
      <c r="E8132" s="2" t="s">
        <v>394</v>
      </c>
      <c r="F8132" t="s">
        <v>20525</v>
      </c>
      <c r="G8132" t="str">
        <f>HYPERLINK("https://www.m-economynews.com/news/article.html?no=52947")</f>
        <v>https://www.m-economynews.com/news/article.html?no=52947</v>
      </c>
      <c r="H8132">
        <v>0.34</v>
      </c>
    </row>
    <row r="8133" spans="1:8" x14ac:dyDescent="0.3">
      <c r="A8133" t="s">
        <v>18176</v>
      </c>
      <c r="B8133" t="s">
        <v>26951</v>
      </c>
      <c r="C8133" t="s">
        <v>20530</v>
      </c>
      <c r="D8133" t="s">
        <v>20529</v>
      </c>
      <c r="E8133" s="2" t="s">
        <v>394</v>
      </c>
      <c r="F8133" t="s">
        <v>20528</v>
      </c>
      <c r="G8133" t="str">
        <f>HYPERLINK("https://www.golfjournal.co.kr/news/articleView.html?idxno=10276")</f>
        <v>https://www.golfjournal.co.kr/news/articleView.html?idxno=10276</v>
      </c>
      <c r="H8133">
        <v>0.249</v>
      </c>
    </row>
    <row r="8134" spans="1:8" x14ac:dyDescent="0.3">
      <c r="A8134" t="s">
        <v>18176</v>
      </c>
      <c r="B8134" t="s">
        <v>26951</v>
      </c>
      <c r="C8134" t="s">
        <v>20532</v>
      </c>
      <c r="D8134" t="s">
        <v>20531</v>
      </c>
      <c r="E8134" s="2" t="s">
        <v>394</v>
      </c>
      <c r="F8134" t="s">
        <v>817</v>
      </c>
      <c r="G8134" t="str">
        <f>HYPERLINK("https://www.jemin.com/news/articleView.html?idxno=816284")</f>
        <v>https://www.jemin.com/news/articleView.html?idxno=816284</v>
      </c>
      <c r="H8134">
        <v>0.81499999999999995</v>
      </c>
    </row>
    <row r="8135" spans="1:8" x14ac:dyDescent="0.3">
      <c r="A8135" t="s">
        <v>18176</v>
      </c>
      <c r="B8135" t="s">
        <v>26951</v>
      </c>
      <c r="C8135" t="s">
        <v>20534</v>
      </c>
      <c r="D8135" t="s">
        <v>20533</v>
      </c>
      <c r="E8135" s="2" t="s">
        <v>394</v>
      </c>
      <c r="F8135" t="s">
        <v>10140</v>
      </c>
      <c r="G8135" t="str">
        <f>HYPERLINK("http://www.sisaon.co.kr/news/articleView.html?idxno=172703")</f>
        <v>http://www.sisaon.co.kr/news/articleView.html?idxno=172703</v>
      </c>
      <c r="H8135">
        <v>0.499</v>
      </c>
    </row>
    <row r="8136" spans="1:8" x14ac:dyDescent="0.3">
      <c r="A8136" t="s">
        <v>18176</v>
      </c>
      <c r="B8136" t="s">
        <v>26951</v>
      </c>
      <c r="C8136" t="s">
        <v>20537</v>
      </c>
      <c r="D8136" t="s">
        <v>20536</v>
      </c>
      <c r="E8136" s="2" t="s">
        <v>394</v>
      </c>
      <c r="F8136" t="s">
        <v>20535</v>
      </c>
      <c r="G8136" t="str">
        <f>HYPERLINK("https://www.kbmaeil.com/article/20250616500249")</f>
        <v>https://www.kbmaeil.com/article/20250616500249</v>
      </c>
      <c r="H8136">
        <v>0.44500000000000001</v>
      </c>
    </row>
    <row r="8137" spans="1:8" x14ac:dyDescent="0.3">
      <c r="A8137" t="s">
        <v>18176</v>
      </c>
      <c r="B8137" t="s">
        <v>26951</v>
      </c>
      <c r="C8137" t="s">
        <v>20539</v>
      </c>
      <c r="D8137" t="s">
        <v>20538</v>
      </c>
      <c r="E8137" s="2" t="s">
        <v>394</v>
      </c>
      <c r="F8137" t="s">
        <v>18400</v>
      </c>
      <c r="G8137" t="str">
        <f>HYPERLINK("http://www.headlinejeju.co.kr/news/articleView.html?idxno=571684")</f>
        <v>http://www.headlinejeju.co.kr/news/articleView.html?idxno=571684</v>
      </c>
      <c r="H8137">
        <v>0.76200000000000001</v>
      </c>
    </row>
    <row r="8138" spans="1:8" x14ac:dyDescent="0.3">
      <c r="A8138" t="s">
        <v>18176</v>
      </c>
      <c r="B8138" t="s">
        <v>26951</v>
      </c>
      <c r="C8138" t="s">
        <v>16546</v>
      </c>
      <c r="D8138" t="s">
        <v>16545</v>
      </c>
      <c r="E8138" s="2" t="s">
        <v>394</v>
      </c>
      <c r="F8138" t="s">
        <v>10184</v>
      </c>
      <c r="G8138" t="str">
        <f>HYPERLINK("http://www.obsnews.co.kr/news/articleView.html?idxno=697595")</f>
        <v>http://www.obsnews.co.kr/news/articleView.html?idxno=697595</v>
      </c>
      <c r="H8138">
        <v>0.57499999999999996</v>
      </c>
    </row>
    <row r="8139" spans="1:8" x14ac:dyDescent="0.3">
      <c r="A8139" t="s">
        <v>18176</v>
      </c>
      <c r="B8139" t="s">
        <v>26951</v>
      </c>
      <c r="C8139" t="s">
        <v>20541</v>
      </c>
      <c r="D8139" t="s">
        <v>20540</v>
      </c>
      <c r="E8139" s="2" t="s">
        <v>394</v>
      </c>
      <c r="F8139" t="s">
        <v>19044</v>
      </c>
      <c r="G8139" t="str">
        <f>HYPERLINK("http://www.bizwnews.com/news/articleView.html?idxno=104522")</f>
        <v>http://www.bizwnews.com/news/articleView.html?idxno=104522</v>
      </c>
      <c r="H8139">
        <v>0.45800000000000002</v>
      </c>
    </row>
    <row r="8140" spans="1:8" x14ac:dyDescent="0.3">
      <c r="A8140" t="s">
        <v>18176</v>
      </c>
      <c r="B8140" t="s">
        <v>26951</v>
      </c>
      <c r="C8140" t="s">
        <v>20543</v>
      </c>
      <c r="D8140" t="s">
        <v>20542</v>
      </c>
      <c r="E8140" s="2" t="s">
        <v>394</v>
      </c>
      <c r="F8140" t="s">
        <v>12531</v>
      </c>
      <c r="G8140" t="str">
        <f>HYPERLINK("http://www.dailysmart.co.kr/news/articleView.html?idxno=102933")</f>
        <v>http://www.dailysmart.co.kr/news/articleView.html?idxno=102933</v>
      </c>
      <c r="H8140">
        <v>0.65600000000000003</v>
      </c>
    </row>
    <row r="8141" spans="1:8" x14ac:dyDescent="0.3">
      <c r="A8141" t="s">
        <v>18176</v>
      </c>
      <c r="B8141" t="s">
        <v>26951</v>
      </c>
      <c r="C8141" t="s">
        <v>20546</v>
      </c>
      <c r="D8141" t="s">
        <v>20545</v>
      </c>
      <c r="E8141" s="2" t="s">
        <v>394</v>
      </c>
      <c r="F8141" t="s">
        <v>20544</v>
      </c>
      <c r="G8141" t="str">
        <f>HYPERLINK("http://www.readersnews.com/news/articleView.html?idxno=115483")</f>
        <v>http://www.readersnews.com/news/articleView.html?idxno=115483</v>
      </c>
      <c r="H8141">
        <v>0.73099999999999998</v>
      </c>
    </row>
    <row r="8142" spans="1:8" x14ac:dyDescent="0.3">
      <c r="A8142" t="s">
        <v>18176</v>
      </c>
      <c r="B8142" t="s">
        <v>26951</v>
      </c>
      <c r="C8142" t="s">
        <v>20549</v>
      </c>
      <c r="D8142" t="s">
        <v>20548</v>
      </c>
      <c r="E8142" s="2" t="s">
        <v>394</v>
      </c>
      <c r="F8142" t="s">
        <v>20547</v>
      </c>
      <c r="G8142" t="str">
        <f>HYPERLINK("http://www.greened.kr/news/articleView.html?idxno=298781")</f>
        <v>http://www.greened.kr/news/articleView.html?idxno=298781</v>
      </c>
      <c r="H8142">
        <v>0.55700000000000005</v>
      </c>
    </row>
    <row r="8143" spans="1:8" x14ac:dyDescent="0.3">
      <c r="A8143" t="s">
        <v>18176</v>
      </c>
      <c r="B8143" t="s">
        <v>26951</v>
      </c>
      <c r="C8143" t="s">
        <v>20551</v>
      </c>
      <c r="D8143" t="s">
        <v>20550</v>
      </c>
      <c r="E8143" s="2" t="s">
        <v>394</v>
      </c>
      <c r="F8143" t="s">
        <v>12391</v>
      </c>
      <c r="G8143" t="str">
        <f>HYPERLINK("https://www.etoday.co.kr/news/view/2479595")</f>
        <v>https://www.etoday.co.kr/news/view/2479595</v>
      </c>
      <c r="H8143">
        <v>0.32900000000000001</v>
      </c>
    </row>
    <row r="8144" spans="1:8" x14ac:dyDescent="0.3">
      <c r="A8144" t="s">
        <v>18176</v>
      </c>
      <c r="B8144" t="s">
        <v>26951</v>
      </c>
      <c r="C8144" t="s">
        <v>20552</v>
      </c>
      <c r="D8144" t="s">
        <v>7628</v>
      </c>
      <c r="E8144" s="2" t="s">
        <v>394</v>
      </c>
      <c r="F8144" t="s">
        <v>7627</v>
      </c>
      <c r="G8144" t="str">
        <f>HYPERLINK("https://www.apnews.kr/news/articleView.html?idxno=3028169")</f>
        <v>https://www.apnews.kr/news/articleView.html?idxno=3028169</v>
      </c>
      <c r="H8144">
        <v>0.19500000000000001</v>
      </c>
    </row>
    <row r="8145" spans="1:8" x14ac:dyDescent="0.3">
      <c r="A8145" t="s">
        <v>18176</v>
      </c>
      <c r="B8145" t="s">
        <v>26951</v>
      </c>
      <c r="C8145" t="s">
        <v>20554</v>
      </c>
      <c r="D8145" t="s">
        <v>20553</v>
      </c>
      <c r="E8145" s="2" t="s">
        <v>394</v>
      </c>
      <c r="F8145" t="s">
        <v>14873</v>
      </c>
      <c r="G8145" t="str">
        <f>HYPERLINK("https://n.news.naver.com/mnews/article/022/0004047762?sid=100")</f>
        <v>https://n.news.naver.com/mnews/article/022/0004047762?sid=100</v>
      </c>
      <c r="H8145">
        <v>0.26100000000000001</v>
      </c>
    </row>
    <row r="8146" spans="1:8" x14ac:dyDescent="0.3">
      <c r="A8146" t="s">
        <v>18176</v>
      </c>
      <c r="B8146" t="s">
        <v>26951</v>
      </c>
      <c r="C8146" t="s">
        <v>20556</v>
      </c>
      <c r="D8146" t="s">
        <v>20555</v>
      </c>
      <c r="E8146" s="2" t="s">
        <v>394</v>
      </c>
      <c r="F8146" t="s">
        <v>9738</v>
      </c>
      <c r="G8146" t="str">
        <f>HYPERLINK("https://www.newspim.com/news/view/20250627000869")</f>
        <v>https://www.newspim.com/news/view/20250627000869</v>
      </c>
      <c r="H8146">
        <v>0.56200000000000006</v>
      </c>
    </row>
    <row r="8147" spans="1:8" x14ac:dyDescent="0.3">
      <c r="A8147" t="s">
        <v>18176</v>
      </c>
      <c r="B8147" t="s">
        <v>26951</v>
      </c>
      <c r="C8147" t="s">
        <v>20559</v>
      </c>
      <c r="D8147" t="s">
        <v>20558</v>
      </c>
      <c r="E8147" s="2" t="s">
        <v>394</v>
      </c>
      <c r="F8147" t="s">
        <v>20557</v>
      </c>
      <c r="G8147" t="str">
        <f>HYPERLINK("http://www.seoulfn.com/news/articleView.html?idxno=523646")</f>
        <v>http://www.seoulfn.com/news/articleView.html?idxno=523646</v>
      </c>
      <c r="H8147">
        <v>0.56000000000000005</v>
      </c>
    </row>
    <row r="8148" spans="1:8" x14ac:dyDescent="0.3">
      <c r="A8148" t="s">
        <v>18176</v>
      </c>
      <c r="B8148" t="s">
        <v>26951</v>
      </c>
      <c r="C8148" t="s">
        <v>20561</v>
      </c>
      <c r="D8148" t="s">
        <v>20560</v>
      </c>
      <c r="E8148" s="2" t="s">
        <v>394</v>
      </c>
      <c r="F8148" t="s">
        <v>14721</v>
      </c>
      <c r="G8148" t="str">
        <f>HYPERLINK("https://n.news.naver.com/mnews/article/082/0001330968?sid=103")</f>
        <v>https://n.news.naver.com/mnews/article/082/0001330968?sid=103</v>
      </c>
      <c r="H8148">
        <v>0.17399999999999999</v>
      </c>
    </row>
    <row r="8149" spans="1:8" x14ac:dyDescent="0.3">
      <c r="A8149" t="s">
        <v>18176</v>
      </c>
      <c r="B8149" t="s">
        <v>26951</v>
      </c>
      <c r="C8149" t="s">
        <v>20563</v>
      </c>
      <c r="D8149" t="s">
        <v>20562</v>
      </c>
      <c r="E8149" s="2" t="s">
        <v>394</v>
      </c>
      <c r="F8149" t="s">
        <v>10845</v>
      </c>
      <c r="G8149" t="str">
        <f>HYPERLINK("https://www.etoday.co.kr/news/view/2479712")</f>
        <v>https://www.etoday.co.kr/news/view/2479712</v>
      </c>
      <c r="H8149">
        <v>0.80200000000000005</v>
      </c>
    </row>
    <row r="8150" spans="1:8" x14ac:dyDescent="0.3">
      <c r="A8150" t="s">
        <v>18176</v>
      </c>
      <c r="B8150" t="s">
        <v>26951</v>
      </c>
      <c r="C8150" t="s">
        <v>20566</v>
      </c>
      <c r="D8150" t="s">
        <v>20565</v>
      </c>
      <c r="E8150" s="2" t="s">
        <v>394</v>
      </c>
      <c r="F8150" t="s">
        <v>20564</v>
      </c>
      <c r="G8150" t="str">
        <f>HYPERLINK("https://n.news.naver.com/mnews/article/056/0011178933?sid=100")</f>
        <v>https://n.news.naver.com/mnews/article/056/0011178933?sid=100</v>
      </c>
      <c r="H8150">
        <v>0.27200000000000002</v>
      </c>
    </row>
    <row r="8151" spans="1:8" x14ac:dyDescent="0.3">
      <c r="A8151" t="s">
        <v>18176</v>
      </c>
      <c r="B8151" t="s">
        <v>26951</v>
      </c>
      <c r="C8151" t="s">
        <v>20568</v>
      </c>
      <c r="D8151" t="s">
        <v>20567</v>
      </c>
      <c r="E8151" s="2" t="s">
        <v>394</v>
      </c>
      <c r="F8151" t="s">
        <v>7621</v>
      </c>
      <c r="G8151" t="str">
        <f>HYPERLINK("http://www.lawleader.co.kr/news/articleView.html?idxno=15991")</f>
        <v>http://www.lawleader.co.kr/news/articleView.html?idxno=15991</v>
      </c>
      <c r="H8151">
        <v>0.21299999999999999</v>
      </c>
    </row>
    <row r="8152" spans="1:8" x14ac:dyDescent="0.3">
      <c r="A8152" t="s">
        <v>18176</v>
      </c>
      <c r="B8152" t="s">
        <v>26951</v>
      </c>
      <c r="C8152" t="s">
        <v>20570</v>
      </c>
      <c r="D8152" t="s">
        <v>20569</v>
      </c>
      <c r="E8152" s="2" t="s">
        <v>394</v>
      </c>
      <c r="F8152" t="s">
        <v>10506</v>
      </c>
      <c r="G8152" t="str">
        <f>HYPERLINK("http://www.dailynk.com/korean/read.php?cataId=nk04503&amp;num=109148")</f>
        <v>http://www.dailynk.com/korean/read.php?cataId=nk04503&amp;num=109148</v>
      </c>
      <c r="H8152">
        <v>4.8000000000000001E-2</v>
      </c>
    </row>
    <row r="8153" spans="1:8" x14ac:dyDescent="0.3">
      <c r="A8153" t="s">
        <v>18176</v>
      </c>
      <c r="B8153" t="s">
        <v>26951</v>
      </c>
      <c r="C8153" t="s">
        <v>20572</v>
      </c>
      <c r="D8153" t="s">
        <v>20571</v>
      </c>
      <c r="E8153" s="2" t="s">
        <v>394</v>
      </c>
      <c r="F8153" t="s">
        <v>5342</v>
      </c>
      <c r="G8153" t="str">
        <f>HYPERLINK("https://n.news.naver.com/mnews/article/469/0000685879?sid=102")</f>
        <v>https://n.news.naver.com/mnews/article/469/0000685879?sid=102</v>
      </c>
      <c r="H8153">
        <v>0.27900000000000003</v>
      </c>
    </row>
    <row r="8154" spans="1:8" x14ac:dyDescent="0.3">
      <c r="A8154" t="s">
        <v>18176</v>
      </c>
      <c r="B8154" t="s">
        <v>26951</v>
      </c>
      <c r="C8154" t="s">
        <v>20574</v>
      </c>
      <c r="D8154" t="s">
        <v>20573</v>
      </c>
      <c r="E8154" s="2" t="s">
        <v>394</v>
      </c>
      <c r="F8154" t="s">
        <v>10228</v>
      </c>
      <c r="G8154" t="str">
        <f>HYPERLINK("https://www.jemin.com/news/articleView.html?idxno=816089")</f>
        <v>https://www.jemin.com/news/articleView.html?idxno=816089</v>
      </c>
      <c r="H8154">
        <v>0.68799999999999994</v>
      </c>
    </row>
    <row r="8155" spans="1:8" x14ac:dyDescent="0.3">
      <c r="A8155" t="s">
        <v>18176</v>
      </c>
      <c r="B8155" t="s">
        <v>26951</v>
      </c>
      <c r="C8155" t="s">
        <v>20576</v>
      </c>
      <c r="D8155" t="s">
        <v>20575</v>
      </c>
      <c r="E8155" s="2" t="s">
        <v>394</v>
      </c>
      <c r="F8155" t="s">
        <v>7635</v>
      </c>
      <c r="G8155" t="str">
        <f>HYPERLINK("http://www.jbsori.com/news/articleView.html?idxno=14368")</f>
        <v>http://www.jbsori.com/news/articleView.html?idxno=14368</v>
      </c>
      <c r="H8155">
        <v>0.26</v>
      </c>
    </row>
    <row r="8156" spans="1:8" x14ac:dyDescent="0.3">
      <c r="A8156" t="s">
        <v>18176</v>
      </c>
      <c r="B8156" t="s">
        <v>26951</v>
      </c>
      <c r="C8156" t="s">
        <v>20579</v>
      </c>
      <c r="D8156" t="s">
        <v>20578</v>
      </c>
      <c r="E8156" s="2" t="s">
        <v>394</v>
      </c>
      <c r="F8156" t="s">
        <v>20577</v>
      </c>
      <c r="G8156" t="str">
        <f>HYPERLINK("http://www.lecturernews.com/news/articleView.html?idxno=98092")</f>
        <v>http://www.lecturernews.com/news/articleView.html?idxno=98092</v>
      </c>
      <c r="H8156">
        <v>0.46300000000000002</v>
      </c>
    </row>
    <row r="8157" spans="1:8" x14ac:dyDescent="0.3">
      <c r="A8157" t="s">
        <v>18176</v>
      </c>
      <c r="B8157" t="s">
        <v>26951</v>
      </c>
      <c r="C8157" t="s">
        <v>20581</v>
      </c>
      <c r="D8157" t="s">
        <v>20580</v>
      </c>
      <c r="E8157" s="2" t="s">
        <v>394</v>
      </c>
      <c r="F8157" t="s">
        <v>10678</v>
      </c>
      <c r="G8157" t="str">
        <f>HYPERLINK("http://fpn119.co.kr/sub_read.html?uid=34568&amp;section=sc115")</f>
        <v>http://fpn119.co.kr/sub_read.html?uid=34568&amp;section=sc115</v>
      </c>
      <c r="H8157">
        <v>8.9999999999999993E-3</v>
      </c>
    </row>
    <row r="8158" spans="1:8" x14ac:dyDescent="0.3">
      <c r="A8158" t="s">
        <v>18176</v>
      </c>
      <c r="B8158" t="s">
        <v>26951</v>
      </c>
      <c r="C8158" t="s">
        <v>20584</v>
      </c>
      <c r="D8158" t="s">
        <v>20583</v>
      </c>
      <c r="E8158" s="2" t="s">
        <v>394</v>
      </c>
      <c r="F8158" t="s">
        <v>20582</v>
      </c>
      <c r="G8158" t="str">
        <f>HYPERLINK("https://n.news.naver.com/mnews/article/079/0003675394?sid=102")</f>
        <v>https://n.news.naver.com/mnews/article/079/0003675394?sid=102</v>
      </c>
      <c r="H8158">
        <v>0.16800000000000001</v>
      </c>
    </row>
    <row r="8159" spans="1:8" x14ac:dyDescent="0.3">
      <c r="A8159" t="s">
        <v>18176</v>
      </c>
      <c r="B8159" t="s">
        <v>26951</v>
      </c>
      <c r="C8159" t="s">
        <v>20587</v>
      </c>
      <c r="D8159" t="s">
        <v>20586</v>
      </c>
      <c r="E8159" s="2" t="s">
        <v>394</v>
      </c>
      <c r="F8159" t="s">
        <v>20585</v>
      </c>
      <c r="G8159" t="str">
        <f>HYPERLINK("https://www.goodnews1.com/news/articleView.html?idxno=405526")</f>
        <v>https://www.goodnews1.com/news/articleView.html?idxno=405526</v>
      </c>
      <c r="H8159">
        <v>0.25700000000000001</v>
      </c>
    </row>
    <row r="8160" spans="1:8" x14ac:dyDescent="0.3">
      <c r="A8160" t="s">
        <v>18176</v>
      </c>
      <c r="B8160" t="s">
        <v>26951</v>
      </c>
      <c r="C8160" t="s">
        <v>20590</v>
      </c>
      <c r="D8160" t="s">
        <v>20589</v>
      </c>
      <c r="E8160" s="2" t="s">
        <v>418</v>
      </c>
      <c r="F8160" t="s">
        <v>20588</v>
      </c>
      <c r="G8160" t="str">
        <f>HYPERLINK("https://radio.ytn.co.kr/program/?f=2&amp;id=103346&amp;s_mcd=0214&amp;s_hcd=01")</f>
        <v>https://radio.ytn.co.kr/program/?f=2&amp;id=103346&amp;s_mcd=0214&amp;s_hcd=01</v>
      </c>
      <c r="H8160">
        <v>0.496</v>
      </c>
    </row>
    <row r="8161" spans="1:8" x14ac:dyDescent="0.3">
      <c r="A8161" t="s">
        <v>18176</v>
      </c>
      <c r="B8161" t="s">
        <v>26951</v>
      </c>
      <c r="C8161" t="s">
        <v>20593</v>
      </c>
      <c r="D8161" t="s">
        <v>20592</v>
      </c>
      <c r="E8161" s="2" t="s">
        <v>418</v>
      </c>
      <c r="F8161" t="s">
        <v>20591</v>
      </c>
      <c r="G8161" t="str">
        <f>HYPERLINK("http://www.doctorstimes.com/news/articleView.html?idxno=233047")</f>
        <v>http://www.doctorstimes.com/news/articleView.html?idxno=233047</v>
      </c>
      <c r="H8161">
        <v>0.47599999999999998</v>
      </c>
    </row>
    <row r="8162" spans="1:8" x14ac:dyDescent="0.3">
      <c r="A8162" t="s">
        <v>18176</v>
      </c>
      <c r="B8162" t="s">
        <v>26951</v>
      </c>
      <c r="C8162" t="s">
        <v>20595</v>
      </c>
      <c r="D8162" t="s">
        <v>20594</v>
      </c>
      <c r="E8162" s="2" t="s">
        <v>418</v>
      </c>
      <c r="F8162" t="s">
        <v>846</v>
      </c>
      <c r="G8162" t="str">
        <f>HYPERLINK("http://www.metroseoul.co.kr/article/20250616500293")</f>
        <v>http://www.metroseoul.co.kr/article/20250616500293</v>
      </c>
      <c r="H8162">
        <v>0.316</v>
      </c>
    </row>
    <row r="8163" spans="1:8" x14ac:dyDescent="0.3">
      <c r="A8163" t="s">
        <v>18176</v>
      </c>
      <c r="B8163" t="s">
        <v>26951</v>
      </c>
      <c r="C8163" t="s">
        <v>20598</v>
      </c>
      <c r="D8163" t="s">
        <v>20597</v>
      </c>
      <c r="E8163" s="2" t="s">
        <v>418</v>
      </c>
      <c r="F8163" t="s">
        <v>20596</v>
      </c>
      <c r="G8163" t="str">
        <f>HYPERLINK("http://www.danbinews.com/news/articleView.html?idxno=27750")</f>
        <v>http://www.danbinews.com/news/articleView.html?idxno=27750</v>
      </c>
      <c r="H8163">
        <v>0.71099999999999997</v>
      </c>
    </row>
    <row r="8164" spans="1:8" x14ac:dyDescent="0.3">
      <c r="A8164" t="s">
        <v>18176</v>
      </c>
      <c r="B8164" t="s">
        <v>26951</v>
      </c>
      <c r="C8164" t="s">
        <v>20601</v>
      </c>
      <c r="D8164" t="s">
        <v>20600</v>
      </c>
      <c r="E8164" s="2" t="s">
        <v>418</v>
      </c>
      <c r="F8164" t="s">
        <v>20599</v>
      </c>
      <c r="G8164" t="str">
        <f>HYPERLINK("http://www.ggilbo.com/news/articleView.html?idxno=194311")</f>
        <v>http://www.ggilbo.com/news/articleView.html?idxno=194311</v>
      </c>
      <c r="H8164">
        <v>0.41299999999999998</v>
      </c>
    </row>
    <row r="8165" spans="1:8" x14ac:dyDescent="0.3">
      <c r="A8165" t="s">
        <v>18176</v>
      </c>
      <c r="B8165" t="s">
        <v>26951</v>
      </c>
      <c r="C8165" t="s">
        <v>20604</v>
      </c>
      <c r="D8165" t="s">
        <v>20603</v>
      </c>
      <c r="E8165" s="2" t="s">
        <v>418</v>
      </c>
      <c r="F8165" t="s">
        <v>20602</v>
      </c>
      <c r="G8165" t="str">
        <f>HYPERLINK("http://www.knnews.co.kr/news/articleView.php?idxno=1426275")</f>
        <v>http://www.knnews.co.kr/news/articleView.php?idxno=1426275</v>
      </c>
      <c r="H8165">
        <v>0.18</v>
      </c>
    </row>
    <row r="8166" spans="1:8" x14ac:dyDescent="0.3">
      <c r="A8166" t="s">
        <v>18176</v>
      </c>
      <c r="B8166" t="s">
        <v>26951</v>
      </c>
      <c r="C8166" t="s">
        <v>20606</v>
      </c>
      <c r="D8166" t="s">
        <v>20605</v>
      </c>
      <c r="E8166" s="2" t="s">
        <v>418</v>
      </c>
      <c r="F8166" t="s">
        <v>9657</v>
      </c>
      <c r="G8166" t="str">
        <f>HYPERLINK("https://n.news.naver.com/mnews/article/057/0001854307?sid=103")</f>
        <v>https://n.news.naver.com/mnews/article/057/0001854307?sid=103</v>
      </c>
      <c r="H8166">
        <v>0.16700000000000001</v>
      </c>
    </row>
    <row r="8167" spans="1:8" x14ac:dyDescent="0.3">
      <c r="A8167" t="s">
        <v>18176</v>
      </c>
      <c r="B8167" t="s">
        <v>26951</v>
      </c>
      <c r="C8167" t="s">
        <v>20609</v>
      </c>
      <c r="D8167" t="s">
        <v>20608</v>
      </c>
      <c r="E8167" s="2" t="s">
        <v>418</v>
      </c>
      <c r="F8167" t="s">
        <v>20607</v>
      </c>
      <c r="G8167" t="str">
        <f>HYPERLINK("http://www.asiatoday.co.kr/view.php?key=20150222010011410")</f>
        <v>http://www.asiatoday.co.kr/view.php?key=20150222010011410</v>
      </c>
      <c r="H8167">
        <v>7.8E-2</v>
      </c>
    </row>
    <row r="8168" spans="1:8" x14ac:dyDescent="0.3">
      <c r="A8168" t="s">
        <v>18176</v>
      </c>
      <c r="B8168" t="s">
        <v>26951</v>
      </c>
      <c r="C8168" t="s">
        <v>20612</v>
      </c>
      <c r="D8168" t="s">
        <v>20611</v>
      </c>
      <c r="E8168" s="2" t="s">
        <v>418</v>
      </c>
      <c r="F8168" t="s">
        <v>20610</v>
      </c>
      <c r="G8168" t="str">
        <f>HYPERLINK("https://www.cnbnews.com/news/article.html?no=734111")</f>
        <v>https://www.cnbnews.com/news/article.html?no=734111</v>
      </c>
      <c r="H8168">
        <v>0.40400000000000003</v>
      </c>
    </row>
    <row r="8169" spans="1:8" x14ac:dyDescent="0.3">
      <c r="A8169" t="s">
        <v>18176</v>
      </c>
      <c r="B8169" t="s">
        <v>26951</v>
      </c>
      <c r="C8169" t="s">
        <v>20614</v>
      </c>
      <c r="D8169" t="s">
        <v>20613</v>
      </c>
      <c r="E8169" s="2" t="s">
        <v>418</v>
      </c>
      <c r="F8169" t="s">
        <v>16340</v>
      </c>
      <c r="G8169" t="str">
        <f>HYPERLINK("http://www.gndomin.com/news/articleView.html?idxno=179924")</f>
        <v>http://www.gndomin.com/news/articleView.html?idxno=179924</v>
      </c>
      <c r="H8169">
        <v>0.28999999999999998</v>
      </c>
    </row>
    <row r="8170" spans="1:8" x14ac:dyDescent="0.3">
      <c r="A8170" t="s">
        <v>18176</v>
      </c>
      <c r="B8170" t="s">
        <v>26951</v>
      </c>
      <c r="C8170" t="s">
        <v>20616</v>
      </c>
      <c r="D8170" t="s">
        <v>20615</v>
      </c>
      <c r="E8170" s="2" t="s">
        <v>418</v>
      </c>
      <c r="F8170" t="s">
        <v>20314</v>
      </c>
      <c r="G8170" t="str">
        <f>HYPERLINK("https://ppss.kr/archives/247727")</f>
        <v>https://ppss.kr/archives/247727</v>
      </c>
      <c r="H8170">
        <v>0.628</v>
      </c>
    </row>
    <row r="8171" spans="1:8" x14ac:dyDescent="0.3">
      <c r="A8171" t="s">
        <v>18176</v>
      </c>
      <c r="B8171" t="s">
        <v>26951</v>
      </c>
      <c r="C8171" t="s">
        <v>20619</v>
      </c>
      <c r="D8171" t="s">
        <v>20618</v>
      </c>
      <c r="E8171" s="2" t="s">
        <v>418</v>
      </c>
      <c r="F8171" t="s">
        <v>20617</v>
      </c>
      <c r="G8171" t="str">
        <f>HYPERLINK("https://www.jemin.com/news/articleView.html?idxno=813911")</f>
        <v>https://www.jemin.com/news/articleView.html?idxno=813911</v>
      </c>
      <c r="H8171">
        <v>0.20799999999999999</v>
      </c>
    </row>
    <row r="8172" spans="1:8" x14ac:dyDescent="0.3">
      <c r="A8172" t="s">
        <v>18176</v>
      </c>
      <c r="B8172" t="s">
        <v>26951</v>
      </c>
      <c r="C8172" t="s">
        <v>20621</v>
      </c>
      <c r="D8172" t="s">
        <v>20620</v>
      </c>
      <c r="E8172" s="2" t="s">
        <v>418</v>
      </c>
      <c r="F8172" t="s">
        <v>7177</v>
      </c>
      <c r="G8172" t="str">
        <f>HYPERLINK("http://www.ccnnews.co.kr/news/articleView.html?idxno=374920")</f>
        <v>http://www.ccnnews.co.kr/news/articleView.html?idxno=374920</v>
      </c>
      <c r="H8172">
        <v>0.878</v>
      </c>
    </row>
    <row r="8173" spans="1:8" x14ac:dyDescent="0.3">
      <c r="A8173" t="s">
        <v>18176</v>
      </c>
      <c r="B8173" t="s">
        <v>26951</v>
      </c>
      <c r="C8173" t="s">
        <v>20623</v>
      </c>
      <c r="D8173" t="s">
        <v>20622</v>
      </c>
      <c r="E8173" s="2" t="s">
        <v>418</v>
      </c>
      <c r="F8173" t="s">
        <v>19136</v>
      </c>
      <c r="G8173" t="str">
        <f>HYPERLINK("http://www.travelitoday.com/read/contentsView/18507/41")</f>
        <v>http://www.travelitoday.com/read/contentsView/18507/41</v>
      </c>
      <c r="H8173">
        <v>0.28899999999999998</v>
      </c>
    </row>
    <row r="8174" spans="1:8" x14ac:dyDescent="0.3">
      <c r="A8174" t="s">
        <v>18176</v>
      </c>
      <c r="B8174" t="s">
        <v>26951</v>
      </c>
      <c r="C8174" t="s">
        <v>20625</v>
      </c>
      <c r="D8174" t="s">
        <v>20624</v>
      </c>
      <c r="E8174" s="2" t="s">
        <v>418</v>
      </c>
      <c r="F8174" t="s">
        <v>10997</v>
      </c>
      <c r="G8174" t="str">
        <f>HYPERLINK("http://www.lecturernews.com/news/articleView.html?idxno=107053")</f>
        <v>http://www.lecturernews.com/news/articleView.html?idxno=107053</v>
      </c>
      <c r="H8174">
        <v>0.42299999999999999</v>
      </c>
    </row>
    <row r="8175" spans="1:8" x14ac:dyDescent="0.3">
      <c r="A8175" t="s">
        <v>18176</v>
      </c>
      <c r="B8175" t="s">
        <v>26951</v>
      </c>
      <c r="C8175" t="s">
        <v>20628</v>
      </c>
      <c r="D8175" t="s">
        <v>20627</v>
      </c>
      <c r="E8175" s="2" t="s">
        <v>418</v>
      </c>
      <c r="F8175" t="s">
        <v>20626</v>
      </c>
      <c r="G8175" t="str">
        <f>HYPERLINK("http://www.safetimes.co.kr/news/articleView.html?idxno=97107")</f>
        <v>http://www.safetimes.co.kr/news/articleView.html?idxno=97107</v>
      </c>
      <c r="H8175">
        <v>3.4000000000000002E-2</v>
      </c>
    </row>
    <row r="8176" spans="1:8" x14ac:dyDescent="0.3">
      <c r="A8176" t="s">
        <v>18176</v>
      </c>
      <c r="B8176" t="s">
        <v>26951</v>
      </c>
      <c r="C8176" t="s">
        <v>20630</v>
      </c>
      <c r="D8176" t="s">
        <v>20629</v>
      </c>
      <c r="E8176" s="2" t="s">
        <v>418</v>
      </c>
      <c r="F8176" t="s">
        <v>19136</v>
      </c>
      <c r="G8176" t="str">
        <f>HYPERLINK("https://www.ekn.kr/web/view.php?key=20250310020224565")</f>
        <v>https://www.ekn.kr/web/view.php?key=20250310020224565</v>
      </c>
      <c r="H8176">
        <v>0.53500000000000003</v>
      </c>
    </row>
    <row r="8177" spans="1:8" x14ac:dyDescent="0.3">
      <c r="A8177" t="s">
        <v>18176</v>
      </c>
      <c r="B8177" t="s">
        <v>26951</v>
      </c>
      <c r="C8177" t="s">
        <v>20632</v>
      </c>
      <c r="D8177" t="s">
        <v>20631</v>
      </c>
      <c r="E8177" s="2" t="s">
        <v>418</v>
      </c>
      <c r="F8177" t="s">
        <v>2320</v>
      </c>
      <c r="G8177" t="str">
        <f>HYPERLINK("https://n.news.naver.com/mnews/article/082/0000407253?sid=102")</f>
        <v>https://n.news.naver.com/mnews/article/082/0000407253?sid=102</v>
      </c>
      <c r="H8177">
        <v>0.106</v>
      </c>
    </row>
    <row r="8178" spans="1:8" x14ac:dyDescent="0.3">
      <c r="A8178" t="s">
        <v>18176</v>
      </c>
      <c r="B8178" t="s">
        <v>26951</v>
      </c>
      <c r="C8178" t="s">
        <v>20634</v>
      </c>
      <c r="D8178" t="s">
        <v>20633</v>
      </c>
      <c r="E8178" s="2" t="s">
        <v>418</v>
      </c>
      <c r="F8178" t="s">
        <v>19136</v>
      </c>
      <c r="G8178" t="str">
        <f>HYPERLINK("http://www.dtnews24.com/news/articleView.html?idxno=792598")</f>
        <v>http://www.dtnews24.com/news/articleView.html?idxno=792598</v>
      </c>
      <c r="H8178">
        <v>0.72799999999999998</v>
      </c>
    </row>
    <row r="8179" spans="1:8" x14ac:dyDescent="0.3">
      <c r="A8179" t="s">
        <v>18176</v>
      </c>
      <c r="B8179" t="s">
        <v>26951</v>
      </c>
      <c r="C8179" t="s">
        <v>20637</v>
      </c>
      <c r="D8179" t="s">
        <v>20636</v>
      </c>
      <c r="E8179" s="2" t="s">
        <v>418</v>
      </c>
      <c r="F8179" t="s">
        <v>13584</v>
      </c>
      <c r="G8179" t="str">
        <f>HYPERLINK("http://www.bosa.co.kr/news/articleView.html?idxno=2251138")</f>
        <v>http://www.bosa.co.kr/news/articleView.html?idxno=2251138</v>
      </c>
      <c r="H8179">
        <v>0.89500000000000002</v>
      </c>
    </row>
    <row r="8180" spans="1:8" x14ac:dyDescent="0.3">
      <c r="A8180" t="s">
        <v>18176</v>
      </c>
      <c r="B8180" t="s">
        <v>26951</v>
      </c>
      <c r="C8180" t="s">
        <v>20640</v>
      </c>
      <c r="D8180" t="s">
        <v>20639</v>
      </c>
      <c r="E8180" s="2" t="s">
        <v>418</v>
      </c>
      <c r="F8180" t="s">
        <v>20638</v>
      </c>
      <c r="G8180" t="str">
        <f>HYPERLINK("https://n.news.naver.com/mnews/article/032/0002017458?sid=103")</f>
        <v>https://n.news.naver.com/mnews/article/032/0002017458?sid=103</v>
      </c>
      <c r="H8180">
        <v>0.22900000000000001</v>
      </c>
    </row>
    <row r="8181" spans="1:8" x14ac:dyDescent="0.3">
      <c r="A8181" t="s">
        <v>18176</v>
      </c>
      <c r="B8181" t="s">
        <v>26951</v>
      </c>
      <c r="C8181" t="s">
        <v>20642</v>
      </c>
      <c r="D8181" t="s">
        <v>20641</v>
      </c>
      <c r="E8181" s="2" t="s">
        <v>418</v>
      </c>
      <c r="F8181" t="s">
        <v>4963</v>
      </c>
      <c r="G8181" t="str">
        <f>HYPERLINK("http://www.domin.co.kr/news/articleView.html?idxno=1518636")</f>
        <v>http://www.domin.co.kr/news/articleView.html?idxno=1518636</v>
      </c>
      <c r="H8181">
        <v>0.98399999999999999</v>
      </c>
    </row>
    <row r="8182" spans="1:8" x14ac:dyDescent="0.3">
      <c r="A8182" t="s">
        <v>18176</v>
      </c>
      <c r="B8182" t="s">
        <v>26951</v>
      </c>
      <c r="C8182" t="s">
        <v>20644</v>
      </c>
      <c r="D8182" t="s">
        <v>20643</v>
      </c>
      <c r="E8182" s="2" t="s">
        <v>418</v>
      </c>
      <c r="F8182" t="s">
        <v>5909</v>
      </c>
      <c r="G8182" t="str">
        <f>HYPERLINK("https://www.kpinews.kr/newsView/1065585204730274")</f>
        <v>https://www.kpinews.kr/newsView/1065585204730274</v>
      </c>
      <c r="H8182">
        <v>0.82099999999999995</v>
      </c>
    </row>
    <row r="8183" spans="1:8" x14ac:dyDescent="0.3">
      <c r="A8183" t="s">
        <v>18176</v>
      </c>
      <c r="B8183" t="s">
        <v>26951</v>
      </c>
      <c r="C8183" t="s">
        <v>20646</v>
      </c>
      <c r="D8183" t="s">
        <v>20645</v>
      </c>
      <c r="E8183" s="2" t="s">
        <v>418</v>
      </c>
      <c r="F8183" t="s">
        <v>1722</v>
      </c>
      <c r="G8183" t="str">
        <f>HYPERLINK("https://n.news.naver.com/mnews/article/056/0011802979?sid=102")</f>
        <v>https://n.news.naver.com/mnews/article/056/0011802979?sid=102</v>
      </c>
      <c r="H8183">
        <v>0.30099999999999999</v>
      </c>
    </row>
    <row r="8184" spans="1:8" x14ac:dyDescent="0.3">
      <c r="A8184" t="s">
        <v>18176</v>
      </c>
      <c r="B8184" t="s">
        <v>26951</v>
      </c>
      <c r="C8184" t="s">
        <v>20648</v>
      </c>
      <c r="D8184" t="s">
        <v>20647</v>
      </c>
      <c r="E8184" s="2" t="s">
        <v>418</v>
      </c>
      <c r="F8184" t="s">
        <v>4387</v>
      </c>
      <c r="G8184" t="str">
        <f>HYPERLINK("http://www.ikld.kr/news/articleView.html?idxno=52006")</f>
        <v>http://www.ikld.kr/news/articleView.html?idxno=52006</v>
      </c>
      <c r="H8184">
        <v>0.28100000000000003</v>
      </c>
    </row>
    <row r="8185" spans="1:8" x14ac:dyDescent="0.3">
      <c r="A8185" t="s">
        <v>18176</v>
      </c>
      <c r="B8185" t="s">
        <v>26951</v>
      </c>
      <c r="C8185" t="s">
        <v>20650</v>
      </c>
      <c r="D8185" t="s">
        <v>20649</v>
      </c>
      <c r="E8185" s="2" t="s">
        <v>418</v>
      </c>
      <c r="F8185" t="s">
        <v>96</v>
      </c>
      <c r="G8185" t="str">
        <f>HYPERLINK("https://n.news.naver.com/mnews/article/014/0005370741?sid=101")</f>
        <v>https://n.news.naver.com/mnews/article/014/0005370741?sid=101</v>
      </c>
      <c r="H8185">
        <v>0.189</v>
      </c>
    </row>
    <row r="8186" spans="1:8" x14ac:dyDescent="0.3">
      <c r="A8186" t="s">
        <v>18176</v>
      </c>
      <c r="B8186" t="s">
        <v>26951</v>
      </c>
      <c r="C8186" t="s">
        <v>20652</v>
      </c>
      <c r="D8186" t="s">
        <v>20651</v>
      </c>
      <c r="E8186" s="2" t="s">
        <v>418</v>
      </c>
      <c r="F8186" t="s">
        <v>438</v>
      </c>
      <c r="G8186" t="str">
        <f>HYPERLINK("http://www.sctoday.co.kr/news/articleView.html?idxno=44386")</f>
        <v>http://www.sctoday.co.kr/news/articleView.html?idxno=44386</v>
      </c>
      <c r="H8186">
        <v>0.53800000000000003</v>
      </c>
    </row>
    <row r="8187" spans="1:8" x14ac:dyDescent="0.3">
      <c r="A8187" t="s">
        <v>18176</v>
      </c>
      <c r="B8187" t="s">
        <v>26951</v>
      </c>
      <c r="C8187" t="s">
        <v>20655</v>
      </c>
      <c r="D8187" t="s">
        <v>20654</v>
      </c>
      <c r="E8187" s="2" t="s">
        <v>418</v>
      </c>
      <c r="F8187" t="s">
        <v>20653</v>
      </c>
      <c r="G8187" t="str">
        <f>HYPERLINK("http://www.topdaily.kr/news/articleView.html?idxno=81803")</f>
        <v>http://www.topdaily.kr/news/articleView.html?idxno=81803</v>
      </c>
      <c r="H8187">
        <v>0.26500000000000001</v>
      </c>
    </row>
    <row r="8188" spans="1:8" x14ac:dyDescent="0.3">
      <c r="A8188" t="s">
        <v>18176</v>
      </c>
      <c r="B8188" t="s">
        <v>26951</v>
      </c>
      <c r="C8188" t="s">
        <v>20657</v>
      </c>
      <c r="D8188" t="s">
        <v>20656</v>
      </c>
      <c r="E8188" s="2" t="s">
        <v>418</v>
      </c>
      <c r="F8188" t="s">
        <v>9025</v>
      </c>
      <c r="G8188" t="str">
        <f>HYPERLINK("https://n.news.naver.com/mnews/article/006/0000130417?sid=103")</f>
        <v>https://n.news.naver.com/mnews/article/006/0000130417?sid=103</v>
      </c>
      <c r="H8188">
        <v>0.20300000000000001</v>
      </c>
    </row>
    <row r="8189" spans="1:8" x14ac:dyDescent="0.3">
      <c r="A8189" t="s">
        <v>18176</v>
      </c>
      <c r="B8189" t="s">
        <v>26951</v>
      </c>
      <c r="C8189" t="s">
        <v>20659</v>
      </c>
      <c r="D8189" t="s">
        <v>20658</v>
      </c>
      <c r="E8189" s="2" t="s">
        <v>418</v>
      </c>
      <c r="F8189" t="s">
        <v>9134</v>
      </c>
      <c r="G8189" t="str">
        <f>HYPERLINK("http://www.namdonews.com/news/articleView.html?idxno=486097")</f>
        <v>http://www.namdonews.com/news/articleView.html?idxno=486097</v>
      </c>
      <c r="H8189">
        <v>0.43099999999999999</v>
      </c>
    </row>
    <row r="8190" spans="1:8" x14ac:dyDescent="0.3">
      <c r="A8190" t="s">
        <v>18176</v>
      </c>
      <c r="B8190" t="s">
        <v>26951</v>
      </c>
      <c r="C8190" t="s">
        <v>20662</v>
      </c>
      <c r="D8190" t="s">
        <v>20661</v>
      </c>
      <c r="E8190" s="2" t="s">
        <v>418</v>
      </c>
      <c r="F8190" t="s">
        <v>20660</v>
      </c>
      <c r="G8190" t="str">
        <f>HYPERLINK("https://www.gametoc.co.kr/news/articleView.html?idxno=84631")</f>
        <v>https://www.gametoc.co.kr/news/articleView.html?idxno=84631</v>
      </c>
      <c r="H8190">
        <v>0.58899999999999997</v>
      </c>
    </row>
    <row r="8191" spans="1:8" x14ac:dyDescent="0.3">
      <c r="A8191" t="s">
        <v>18176</v>
      </c>
      <c r="B8191" t="s">
        <v>26951</v>
      </c>
      <c r="C8191" t="s">
        <v>20665</v>
      </c>
      <c r="D8191" t="s">
        <v>20664</v>
      </c>
      <c r="E8191" s="2" t="s">
        <v>418</v>
      </c>
      <c r="F8191" t="s">
        <v>20663</v>
      </c>
      <c r="G8191" t="str">
        <f>HYPERLINK("http://www.biztribune.co.kr/news/articleView.html?idxno=333772")</f>
        <v>http://www.biztribune.co.kr/news/articleView.html?idxno=333772</v>
      </c>
      <c r="H8191">
        <v>0.38900000000000001</v>
      </c>
    </row>
    <row r="8192" spans="1:8" x14ac:dyDescent="0.3">
      <c r="A8192" t="s">
        <v>18176</v>
      </c>
      <c r="B8192" t="s">
        <v>26951</v>
      </c>
      <c r="C8192" t="s">
        <v>20668</v>
      </c>
      <c r="D8192" t="s">
        <v>20667</v>
      </c>
      <c r="E8192" s="2" t="s">
        <v>418</v>
      </c>
      <c r="F8192" t="s">
        <v>20666</v>
      </c>
      <c r="G8192" t="str">
        <f>HYPERLINK("http://www.interview365.com/news/articleView.html?idxno=109250")</f>
        <v>http://www.interview365.com/news/articleView.html?idxno=109250</v>
      </c>
      <c r="H8192">
        <v>0.41099999999999998</v>
      </c>
    </row>
    <row r="8193" spans="1:8" x14ac:dyDescent="0.3">
      <c r="A8193" t="s">
        <v>18176</v>
      </c>
      <c r="B8193" t="s">
        <v>26951</v>
      </c>
      <c r="C8193" t="s">
        <v>20671</v>
      </c>
      <c r="D8193" t="s">
        <v>20670</v>
      </c>
      <c r="E8193" s="2" t="s">
        <v>418</v>
      </c>
      <c r="F8193" t="s">
        <v>20669</v>
      </c>
      <c r="G8193" t="str">
        <f>HYPERLINK("http://www.jejunews.com/news/articleView.html?idxno=2219109")</f>
        <v>http://www.jejunews.com/news/articleView.html?idxno=2219109</v>
      </c>
      <c r="H8193">
        <v>0.27100000000000002</v>
      </c>
    </row>
    <row r="8194" spans="1:8" x14ac:dyDescent="0.3">
      <c r="A8194" t="s">
        <v>18176</v>
      </c>
      <c r="B8194" t="s">
        <v>26951</v>
      </c>
      <c r="C8194" t="s">
        <v>20674</v>
      </c>
      <c r="D8194" t="s">
        <v>20673</v>
      </c>
      <c r="E8194" s="2" t="s">
        <v>418</v>
      </c>
      <c r="F8194" t="s">
        <v>20672</v>
      </c>
      <c r="G8194" t="str">
        <f>HYPERLINK("https://www.viva100.com/article/20250626500833")</f>
        <v>https://www.viva100.com/article/20250626500833</v>
      </c>
      <c r="H8194">
        <v>0.50700000000000001</v>
      </c>
    </row>
    <row r="8195" spans="1:8" x14ac:dyDescent="0.3">
      <c r="A8195" t="s">
        <v>18176</v>
      </c>
      <c r="B8195" t="s">
        <v>26951</v>
      </c>
      <c r="C8195" t="s">
        <v>20676</v>
      </c>
      <c r="D8195" t="s">
        <v>20675</v>
      </c>
      <c r="E8195" s="2" t="s">
        <v>418</v>
      </c>
      <c r="F8195" t="s">
        <v>12082</v>
      </c>
      <c r="G8195" t="str">
        <f>HYPERLINK("https://www.lecturernews.com/news/articleView.html?idxno=158064")</f>
        <v>https://www.lecturernews.com/news/articleView.html?idxno=158064</v>
      </c>
      <c r="H8195">
        <v>0.56000000000000005</v>
      </c>
    </row>
    <row r="8196" spans="1:8" x14ac:dyDescent="0.3">
      <c r="A8196" t="s">
        <v>18176</v>
      </c>
      <c r="B8196" t="s">
        <v>26951</v>
      </c>
      <c r="C8196" t="s">
        <v>20679</v>
      </c>
      <c r="D8196" t="s">
        <v>20678</v>
      </c>
      <c r="E8196" s="2" t="s">
        <v>418</v>
      </c>
      <c r="F8196" t="s">
        <v>20677</v>
      </c>
      <c r="G8196" t="str">
        <f>HYPERLINK("http://www.breaknews.com/1125402")</f>
        <v>http://www.breaknews.com/1125402</v>
      </c>
      <c r="H8196">
        <v>0.36099999999999999</v>
      </c>
    </row>
    <row r="8197" spans="1:8" x14ac:dyDescent="0.3">
      <c r="A8197" t="s">
        <v>18176</v>
      </c>
      <c r="B8197" t="s">
        <v>26951</v>
      </c>
      <c r="C8197" t="s">
        <v>20681</v>
      </c>
      <c r="D8197" t="s">
        <v>20680</v>
      </c>
      <c r="E8197" s="2" t="s">
        <v>418</v>
      </c>
      <c r="F8197" t="s">
        <v>14873</v>
      </c>
      <c r="G8197" t="str">
        <f>HYPERLINK("https://n.news.naver.com/mnews/article/022/0004047762?sid=100")</f>
        <v>https://n.news.naver.com/mnews/article/022/0004047762?sid=100</v>
      </c>
      <c r="H8197">
        <v>0.255</v>
      </c>
    </row>
    <row r="8198" spans="1:8" x14ac:dyDescent="0.3">
      <c r="A8198" t="s">
        <v>18176</v>
      </c>
      <c r="B8198" t="s">
        <v>26951</v>
      </c>
      <c r="C8198" t="s">
        <v>20683</v>
      </c>
      <c r="D8198" t="s">
        <v>20682</v>
      </c>
      <c r="E8198" s="2" t="s">
        <v>418</v>
      </c>
      <c r="F8198" t="s">
        <v>18102</v>
      </c>
      <c r="G8198" t="str">
        <f>HYPERLINK("http://www.00news.co.kr/news/articleView.html?idxno=94112")</f>
        <v>http://www.00news.co.kr/news/articleView.html?idxno=94112</v>
      </c>
      <c r="H8198">
        <v>0.41399999999999998</v>
      </c>
    </row>
    <row r="8199" spans="1:8" x14ac:dyDescent="0.3">
      <c r="A8199" t="s">
        <v>18176</v>
      </c>
      <c r="B8199" t="s">
        <v>26951</v>
      </c>
      <c r="C8199" t="s">
        <v>20686</v>
      </c>
      <c r="D8199" t="s">
        <v>20685</v>
      </c>
      <c r="E8199" s="2" t="s">
        <v>418</v>
      </c>
      <c r="F8199" t="s">
        <v>20684</v>
      </c>
      <c r="G8199" t="str">
        <f>HYPERLINK("http://www.kbmaeil.com/news/articleView.html?idxno=341714")</f>
        <v>http://www.kbmaeil.com/news/articleView.html?idxno=341714</v>
      </c>
      <c r="H8199">
        <v>0.71499999999999997</v>
      </c>
    </row>
    <row r="8200" spans="1:8" x14ac:dyDescent="0.3">
      <c r="A8200" t="s">
        <v>18176</v>
      </c>
      <c r="B8200" t="s">
        <v>26951</v>
      </c>
      <c r="C8200" t="s">
        <v>20688</v>
      </c>
      <c r="D8200" t="s">
        <v>20687</v>
      </c>
      <c r="E8200" s="2" t="s">
        <v>418</v>
      </c>
      <c r="F8200" t="s">
        <v>18400</v>
      </c>
      <c r="G8200" t="str">
        <f>HYPERLINK("https://n.news.naver.com/mnews/article/005/0001783770?sid=102")</f>
        <v>https://n.news.naver.com/mnews/article/005/0001783770?sid=102</v>
      </c>
      <c r="H8200">
        <v>0.30399999999999999</v>
      </c>
    </row>
    <row r="8201" spans="1:8" x14ac:dyDescent="0.3">
      <c r="A8201" t="s">
        <v>18176</v>
      </c>
      <c r="B8201" t="s">
        <v>26951</v>
      </c>
      <c r="C8201" t="s">
        <v>20691</v>
      </c>
      <c r="D8201" t="s">
        <v>20690</v>
      </c>
      <c r="E8201" s="2" t="s">
        <v>418</v>
      </c>
      <c r="F8201" t="s">
        <v>20689</v>
      </c>
      <c r="G8201" t="str">
        <f>HYPERLINK("https://ilyo.co.kr/?ac=article_view&amp;entry_id=479171")</f>
        <v>https://ilyo.co.kr/?ac=article_view&amp;entry_id=479171</v>
      </c>
      <c r="H8201">
        <v>7.1999999999999995E-2</v>
      </c>
    </row>
    <row r="8202" spans="1:8" x14ac:dyDescent="0.3">
      <c r="A8202" t="s">
        <v>18176</v>
      </c>
      <c r="B8202" t="s">
        <v>26951</v>
      </c>
      <c r="C8202" t="s">
        <v>20693</v>
      </c>
      <c r="D8202" t="s">
        <v>20692</v>
      </c>
      <c r="E8202" s="2" t="s">
        <v>418</v>
      </c>
      <c r="F8202" t="s">
        <v>119</v>
      </c>
      <c r="G8202" t="str">
        <f>HYPERLINK("https://weekly.cnbnews.com/news/article.html?no=180173")</f>
        <v>https://weekly.cnbnews.com/news/article.html?no=180173</v>
      </c>
      <c r="H8202">
        <v>0.97299999999999998</v>
      </c>
    </row>
    <row r="8203" spans="1:8" x14ac:dyDescent="0.3">
      <c r="A8203" t="s">
        <v>18176</v>
      </c>
      <c r="B8203" t="s">
        <v>26951</v>
      </c>
      <c r="C8203" t="s">
        <v>20694</v>
      </c>
      <c r="D8203" t="s">
        <v>2334</v>
      </c>
      <c r="E8203" s="2" t="s">
        <v>418</v>
      </c>
      <c r="F8203" t="s">
        <v>2333</v>
      </c>
      <c r="G8203" t="str">
        <f>HYPERLINK("https://www.gasnews.com/news/articleView.html?idxno=117842")</f>
        <v>https://www.gasnews.com/news/articleView.html?idxno=117842</v>
      </c>
      <c r="H8203">
        <v>0.32</v>
      </c>
    </row>
    <row r="8204" spans="1:8" x14ac:dyDescent="0.3">
      <c r="A8204" t="s">
        <v>18176</v>
      </c>
      <c r="B8204" t="s">
        <v>26951</v>
      </c>
      <c r="C8204" t="s">
        <v>20696</v>
      </c>
      <c r="D8204" t="s">
        <v>20695</v>
      </c>
      <c r="E8204" s="2" t="s">
        <v>418</v>
      </c>
      <c r="F8204" t="s">
        <v>12082</v>
      </c>
      <c r="G8204" t="str">
        <f>HYPERLINK("https://n.news.naver.com/mnews/article/079/0003730373?sid=102")</f>
        <v>https://n.news.naver.com/mnews/article/079/0003730373?sid=102</v>
      </c>
      <c r="H8204">
        <v>0.33900000000000002</v>
      </c>
    </row>
    <row r="8205" spans="1:8" x14ac:dyDescent="0.3">
      <c r="A8205" t="s">
        <v>18176</v>
      </c>
      <c r="B8205" t="s">
        <v>26951</v>
      </c>
      <c r="C8205" t="s">
        <v>20698</v>
      </c>
      <c r="D8205" t="s">
        <v>20697</v>
      </c>
      <c r="E8205" s="2" t="s">
        <v>418</v>
      </c>
      <c r="F8205" t="s">
        <v>18756</v>
      </c>
      <c r="G8205" t="str">
        <f>HYPERLINK("http://www.pdjournal.com/news/articleView.html?idxno=52292")</f>
        <v>http://www.pdjournal.com/news/articleView.html?idxno=52292</v>
      </c>
      <c r="H8205">
        <v>0.379</v>
      </c>
    </row>
    <row r="8206" spans="1:8" x14ac:dyDescent="0.3">
      <c r="A8206" t="s">
        <v>18176</v>
      </c>
      <c r="B8206" t="s">
        <v>26951</v>
      </c>
      <c r="C8206" t="s">
        <v>20701</v>
      </c>
      <c r="D8206" t="s">
        <v>20700</v>
      </c>
      <c r="E8206" s="2" t="s">
        <v>418</v>
      </c>
      <c r="F8206" t="s">
        <v>20699</v>
      </c>
      <c r="G8206" t="str">
        <f>HYPERLINK("https://www.ngetnews.com/news/articleView.html?idxno=510959")</f>
        <v>https://www.ngetnews.com/news/articleView.html?idxno=510959</v>
      </c>
      <c r="H8206">
        <v>0.28699999999999998</v>
      </c>
    </row>
    <row r="8207" spans="1:8" x14ac:dyDescent="0.3">
      <c r="A8207" t="s">
        <v>18176</v>
      </c>
      <c r="B8207" t="s">
        <v>26951</v>
      </c>
      <c r="C8207" t="s">
        <v>20704</v>
      </c>
      <c r="D8207" t="s">
        <v>20703</v>
      </c>
      <c r="E8207" s="2" t="s">
        <v>418</v>
      </c>
      <c r="F8207" t="s">
        <v>20702</v>
      </c>
      <c r="G8207" t="str">
        <f>HYPERLINK("http://www.kyongbuk.co.kr/news/articleView.html?idxno=2088683")</f>
        <v>http://www.kyongbuk.co.kr/news/articleView.html?idxno=2088683</v>
      </c>
      <c r="H8207">
        <v>0.51200000000000001</v>
      </c>
    </row>
    <row r="8208" spans="1:8" x14ac:dyDescent="0.3">
      <c r="A8208" t="s">
        <v>18176</v>
      </c>
      <c r="B8208" t="s">
        <v>26951</v>
      </c>
      <c r="C8208" t="s">
        <v>20706</v>
      </c>
      <c r="D8208" t="s">
        <v>20705</v>
      </c>
      <c r="E8208" s="2" t="s">
        <v>418</v>
      </c>
      <c r="F8208" t="s">
        <v>15554</v>
      </c>
      <c r="G8208" t="str">
        <f>HYPERLINK("https://www.etoday.co.kr/news/view/2443918")</f>
        <v>https://www.etoday.co.kr/news/view/2443918</v>
      </c>
      <c r="H8208">
        <v>0.436</v>
      </c>
    </row>
    <row r="8209" spans="1:8" x14ac:dyDescent="0.3">
      <c r="A8209" t="s">
        <v>18176</v>
      </c>
      <c r="B8209" t="s">
        <v>26951</v>
      </c>
      <c r="C8209" t="s">
        <v>20709</v>
      </c>
      <c r="D8209" t="s">
        <v>20708</v>
      </c>
      <c r="E8209" s="2" t="s">
        <v>418</v>
      </c>
      <c r="F8209" t="s">
        <v>20707</v>
      </c>
      <c r="G8209" t="str">
        <f>HYPERLINK("https://n.news.naver.com/mnews/article/016/0002487773?sid=101")</f>
        <v>https://n.news.naver.com/mnews/article/016/0002487773?sid=101</v>
      </c>
      <c r="H8209">
        <v>0.27600000000000002</v>
      </c>
    </row>
    <row r="8210" spans="1:8" x14ac:dyDescent="0.3">
      <c r="A8210" t="s">
        <v>18176</v>
      </c>
      <c r="B8210" t="s">
        <v>26951</v>
      </c>
      <c r="C8210" t="s">
        <v>20712</v>
      </c>
      <c r="D8210" t="s">
        <v>20711</v>
      </c>
      <c r="E8210" s="2" t="s">
        <v>418</v>
      </c>
      <c r="F8210" t="s">
        <v>20710</v>
      </c>
      <c r="G8210" t="str">
        <f>HYPERLINK("http://ch.yes24.com/Article/View/45687")</f>
        <v>http://ch.yes24.com/Article/View/45687</v>
      </c>
      <c r="H8210">
        <v>0.308</v>
      </c>
    </row>
    <row r="8211" spans="1:8" x14ac:dyDescent="0.3">
      <c r="A8211" t="s">
        <v>18176</v>
      </c>
      <c r="B8211" t="s">
        <v>26951</v>
      </c>
      <c r="C8211" t="s">
        <v>20715</v>
      </c>
      <c r="D8211" t="s">
        <v>20714</v>
      </c>
      <c r="E8211" s="2" t="s">
        <v>418</v>
      </c>
      <c r="F8211" t="s">
        <v>20713</v>
      </c>
      <c r="G8211" t="str">
        <f>HYPERLINK("https://www.jjan.kr/article/20250101580129")</f>
        <v>https://www.jjan.kr/article/20250101580129</v>
      </c>
      <c r="H8211">
        <v>0.41799999999999998</v>
      </c>
    </row>
    <row r="8212" spans="1:8" x14ac:dyDescent="0.3">
      <c r="A8212" t="s">
        <v>18176</v>
      </c>
      <c r="B8212" t="s">
        <v>26951</v>
      </c>
      <c r="C8212" t="s">
        <v>20718</v>
      </c>
      <c r="D8212" t="s">
        <v>20717</v>
      </c>
      <c r="E8212" s="2" t="s">
        <v>452</v>
      </c>
      <c r="F8212" t="s">
        <v>20716</v>
      </c>
      <c r="G8212" t="str">
        <f>HYPERLINK("http://www.topdaily.kr/news/articleView.html?idxno=80422")</f>
        <v>http://www.topdaily.kr/news/articleView.html?idxno=80422</v>
      </c>
      <c r="H8212">
        <v>0.28999999999999998</v>
      </c>
    </row>
    <row r="8213" spans="1:8" x14ac:dyDescent="0.3">
      <c r="A8213" t="s">
        <v>18176</v>
      </c>
      <c r="B8213" t="s">
        <v>26951</v>
      </c>
      <c r="C8213" t="s">
        <v>20721</v>
      </c>
      <c r="D8213" t="s">
        <v>20720</v>
      </c>
      <c r="E8213" s="2" t="s">
        <v>452</v>
      </c>
      <c r="F8213" t="s">
        <v>20719</v>
      </c>
      <c r="G8213" t="str">
        <f>HYPERLINK("https://n.news.naver.com/mnews/article/011/0004503086?sid=105")</f>
        <v>https://n.news.naver.com/mnews/article/011/0004503086?sid=105</v>
      </c>
      <c r="H8213">
        <v>0.26700000000000002</v>
      </c>
    </row>
    <row r="8214" spans="1:8" x14ac:dyDescent="0.3">
      <c r="A8214" t="s">
        <v>18176</v>
      </c>
      <c r="B8214" t="s">
        <v>26951</v>
      </c>
      <c r="C8214" t="s">
        <v>20724</v>
      </c>
      <c r="D8214" t="s">
        <v>20723</v>
      </c>
      <c r="E8214" s="2" t="s">
        <v>452</v>
      </c>
      <c r="F8214" t="s">
        <v>20722</v>
      </c>
      <c r="G8214" t="str">
        <f>HYPERLINK("https://www.etoday.co.kr/news/view/2478465")</f>
        <v>https://www.etoday.co.kr/news/view/2478465</v>
      </c>
      <c r="H8214">
        <v>0.48799999999999999</v>
      </c>
    </row>
    <row r="8215" spans="1:8" x14ac:dyDescent="0.3">
      <c r="A8215" t="s">
        <v>18176</v>
      </c>
      <c r="B8215" t="s">
        <v>26951</v>
      </c>
      <c r="C8215" t="s">
        <v>20726</v>
      </c>
      <c r="D8215" t="s">
        <v>20725</v>
      </c>
      <c r="E8215" s="2" t="s">
        <v>452</v>
      </c>
      <c r="F8215" t="s">
        <v>961</v>
      </c>
      <c r="G8215" t="str">
        <f>HYPERLINK("https://n.news.naver.com/mnews/article/022/0004043898?sid=100")</f>
        <v>https://n.news.naver.com/mnews/article/022/0004043898?sid=100</v>
      </c>
      <c r="H8215">
        <v>0.20499999999999999</v>
      </c>
    </row>
    <row r="8216" spans="1:8" x14ac:dyDescent="0.3">
      <c r="A8216" t="s">
        <v>18176</v>
      </c>
      <c r="B8216" t="s">
        <v>26951</v>
      </c>
      <c r="C8216" t="s">
        <v>20728</v>
      </c>
      <c r="D8216" t="s">
        <v>20727</v>
      </c>
      <c r="E8216" s="2" t="s">
        <v>452</v>
      </c>
      <c r="F8216" t="s">
        <v>11764</v>
      </c>
      <c r="G8216" t="str">
        <f>HYPERLINK("http://www.esquirekorea.co.kr/article/44279")</f>
        <v>http://www.esquirekorea.co.kr/article/44279</v>
      </c>
      <c r="H8216">
        <v>0.20100000000000001</v>
      </c>
    </row>
    <row r="8217" spans="1:8" x14ac:dyDescent="0.3">
      <c r="A8217" t="s">
        <v>18176</v>
      </c>
      <c r="B8217" t="s">
        <v>26951</v>
      </c>
      <c r="C8217" t="s">
        <v>20731</v>
      </c>
      <c r="D8217" t="s">
        <v>20730</v>
      </c>
      <c r="E8217" s="2" t="s">
        <v>452</v>
      </c>
      <c r="F8217" t="s">
        <v>20729</v>
      </c>
      <c r="G8217" t="str">
        <f>HYPERLINK("https://www.ksilbo.co.kr/news/articleView.html?idxno=1014251")</f>
        <v>https://www.ksilbo.co.kr/news/articleView.html?idxno=1014251</v>
      </c>
      <c r="H8217">
        <v>0.50600000000000001</v>
      </c>
    </row>
    <row r="8218" spans="1:8" x14ac:dyDescent="0.3">
      <c r="A8218" t="s">
        <v>18176</v>
      </c>
      <c r="B8218" t="s">
        <v>26951</v>
      </c>
      <c r="C8218" t="s">
        <v>20734</v>
      </c>
      <c r="D8218" t="s">
        <v>20733</v>
      </c>
      <c r="E8218" s="2" t="s">
        <v>452</v>
      </c>
      <c r="F8218" t="s">
        <v>20732</v>
      </c>
      <c r="G8218" t="str">
        <f>HYPERLINK("https://www.foodneconomy.com/news/articleView.html?idxno=319735")</f>
        <v>https://www.foodneconomy.com/news/articleView.html?idxno=319735</v>
      </c>
      <c r="H8218">
        <v>0.28399999999999997</v>
      </c>
    </row>
    <row r="8219" spans="1:8" x14ac:dyDescent="0.3">
      <c r="A8219" t="s">
        <v>18176</v>
      </c>
      <c r="B8219" t="s">
        <v>26951</v>
      </c>
      <c r="C8219" t="s">
        <v>20737</v>
      </c>
      <c r="D8219" t="s">
        <v>20736</v>
      </c>
      <c r="E8219" s="2" t="s">
        <v>452</v>
      </c>
      <c r="F8219" t="s">
        <v>20735</v>
      </c>
      <c r="G8219" t="str">
        <f>HYPERLINK("http://www.mediapen.com/news/articleView.html?idxno=86536")</f>
        <v>http://www.mediapen.com/news/articleView.html?idxno=86536</v>
      </c>
      <c r="H8219">
        <v>0.72799999999999998</v>
      </c>
    </row>
    <row r="8220" spans="1:8" x14ac:dyDescent="0.3">
      <c r="A8220" t="s">
        <v>18176</v>
      </c>
      <c r="B8220" t="s">
        <v>26951</v>
      </c>
      <c r="C8220" t="s">
        <v>20740</v>
      </c>
      <c r="D8220" t="s">
        <v>20739</v>
      </c>
      <c r="E8220" s="2" t="s">
        <v>452</v>
      </c>
      <c r="F8220" t="s">
        <v>20738</v>
      </c>
      <c r="G8220" t="str">
        <f>HYPERLINK("http://www.kyosu.net/news/articleView.html?idxno=105993")</f>
        <v>http://www.kyosu.net/news/articleView.html?idxno=105993</v>
      </c>
      <c r="H8220">
        <v>0.59099999999999997</v>
      </c>
    </row>
    <row r="8221" spans="1:8" x14ac:dyDescent="0.3">
      <c r="A8221" t="s">
        <v>18176</v>
      </c>
      <c r="B8221" t="s">
        <v>26951</v>
      </c>
      <c r="C8221" t="s">
        <v>20743</v>
      </c>
      <c r="D8221" t="s">
        <v>20742</v>
      </c>
      <c r="E8221" s="2" t="s">
        <v>452</v>
      </c>
      <c r="F8221" t="s">
        <v>20741</v>
      </c>
      <c r="G8221" t="str">
        <f>HYPERLINK("https://n.news.naver.com/mnews/article/056/0010860281?sid=100")</f>
        <v>https://n.news.naver.com/mnews/article/056/0010860281?sid=100</v>
      </c>
      <c r="H8221">
        <v>0.25800000000000001</v>
      </c>
    </row>
    <row r="8222" spans="1:8" x14ac:dyDescent="0.3">
      <c r="A8222" t="s">
        <v>18176</v>
      </c>
      <c r="B8222" t="s">
        <v>26951</v>
      </c>
      <c r="C8222" t="s">
        <v>20745</v>
      </c>
      <c r="E8222" s="2" t="s">
        <v>452</v>
      </c>
      <c r="F8222" t="s">
        <v>20744</v>
      </c>
      <c r="G8222" t="str">
        <f>HYPERLINK("https://n.news.naver.com/mnews/article/018/0006053974?sid=100")</f>
        <v>https://n.news.naver.com/mnews/article/018/0006053974?sid=100</v>
      </c>
      <c r="H8222">
        <v>0.06</v>
      </c>
    </row>
    <row r="8223" spans="1:8" x14ac:dyDescent="0.3">
      <c r="A8223" t="s">
        <v>18176</v>
      </c>
      <c r="B8223" t="s">
        <v>26951</v>
      </c>
      <c r="C8223" t="s">
        <v>20747</v>
      </c>
      <c r="D8223" t="s">
        <v>20746</v>
      </c>
      <c r="E8223" s="2" t="s">
        <v>452</v>
      </c>
      <c r="F8223" t="s">
        <v>19835</v>
      </c>
      <c r="G8223" t="str">
        <f>HYPERLINK("https://n.news.naver.com/mnews/article/016/0002483428?sid=103")</f>
        <v>https://n.news.naver.com/mnews/article/016/0002483428?sid=103</v>
      </c>
      <c r="H8223">
        <v>0.246</v>
      </c>
    </row>
    <row r="8224" spans="1:8" x14ac:dyDescent="0.3">
      <c r="A8224" t="s">
        <v>18176</v>
      </c>
      <c r="B8224" t="s">
        <v>26951</v>
      </c>
      <c r="C8224" t="s">
        <v>20749</v>
      </c>
      <c r="D8224" t="s">
        <v>20748</v>
      </c>
      <c r="E8224" s="2" t="s">
        <v>452</v>
      </c>
      <c r="F8224" t="s">
        <v>18505</v>
      </c>
      <c r="G8224" t="str">
        <f>HYPERLINK("https://www.travie.com/news/articleView.html?idxno=50787")</f>
        <v>https://www.travie.com/news/articleView.html?idxno=50787</v>
      </c>
      <c r="H8224">
        <v>0.22500000000000001</v>
      </c>
    </row>
    <row r="8225" spans="1:8" x14ac:dyDescent="0.3">
      <c r="A8225" t="s">
        <v>18176</v>
      </c>
      <c r="B8225" t="s">
        <v>26951</v>
      </c>
      <c r="C8225" t="s">
        <v>20752</v>
      </c>
      <c r="D8225" t="s">
        <v>20751</v>
      </c>
      <c r="E8225" s="2" t="s">
        <v>452</v>
      </c>
      <c r="F8225" t="s">
        <v>20750</v>
      </c>
      <c r="G8225" t="str">
        <f>HYPERLINK("https://n.news.naver.com/mnews/article/056/0010670422?sid=101")</f>
        <v>https://n.news.naver.com/mnews/article/056/0010670422?sid=101</v>
      </c>
      <c r="H8225">
        <v>0.161</v>
      </c>
    </row>
    <row r="8226" spans="1:8" x14ac:dyDescent="0.3">
      <c r="A8226" t="s">
        <v>18176</v>
      </c>
      <c r="B8226" t="s">
        <v>26951</v>
      </c>
      <c r="C8226" t="s">
        <v>20754</v>
      </c>
      <c r="D8226" t="s">
        <v>20753</v>
      </c>
      <c r="E8226" s="2" t="s">
        <v>452</v>
      </c>
      <c r="F8226" t="s">
        <v>9912</v>
      </c>
      <c r="G8226" t="str">
        <f>HYPERLINK("http://www.pdjournal.com/news/articleView.html?idxno=36118")</f>
        <v>http://www.pdjournal.com/news/articleView.html?idxno=36118</v>
      </c>
      <c r="H8226">
        <v>0.495</v>
      </c>
    </row>
    <row r="8227" spans="1:8" x14ac:dyDescent="0.3">
      <c r="A8227" t="s">
        <v>18176</v>
      </c>
      <c r="B8227" t="s">
        <v>26951</v>
      </c>
      <c r="C8227" t="s">
        <v>20756</v>
      </c>
      <c r="D8227" t="s">
        <v>20755</v>
      </c>
      <c r="E8227" s="2" t="s">
        <v>452</v>
      </c>
      <c r="F8227" t="s">
        <v>1378</v>
      </c>
      <c r="G8227" t="str">
        <f>HYPERLINK("https://n.news.naver.com/mnews/article/008/0004004560?sid=103")</f>
        <v>https://n.news.naver.com/mnews/article/008/0004004560?sid=103</v>
      </c>
      <c r="H8227">
        <v>0.26100000000000001</v>
      </c>
    </row>
    <row r="8228" spans="1:8" x14ac:dyDescent="0.3">
      <c r="A8228" t="s">
        <v>18176</v>
      </c>
      <c r="B8228" t="s">
        <v>26951</v>
      </c>
      <c r="C8228" t="s">
        <v>20758</v>
      </c>
      <c r="D8228" t="s">
        <v>20757</v>
      </c>
      <c r="E8228" s="2" t="s">
        <v>452</v>
      </c>
      <c r="F8228" t="s">
        <v>10471</v>
      </c>
      <c r="G8228" t="str">
        <f>HYPERLINK("https://www.foodneconomy.com/news/articleView.html?idxno=228022")</f>
        <v>https://www.foodneconomy.com/news/articleView.html?idxno=228022</v>
      </c>
      <c r="H8228">
        <v>0.25900000000000001</v>
      </c>
    </row>
    <row r="8229" spans="1:8" x14ac:dyDescent="0.3">
      <c r="A8229" t="s">
        <v>18176</v>
      </c>
      <c r="B8229" t="s">
        <v>26951</v>
      </c>
      <c r="C8229" t="s">
        <v>20761</v>
      </c>
      <c r="D8229" t="s">
        <v>20760</v>
      </c>
      <c r="E8229" s="2" t="s">
        <v>452</v>
      </c>
      <c r="F8229" t="s">
        <v>20759</v>
      </c>
      <c r="G8229" t="str">
        <f>HYPERLINK("https://n.news.naver.com/mnews/article/088/0000165709?sid=102")</f>
        <v>https://n.news.naver.com/mnews/article/088/0000165709?sid=102</v>
      </c>
      <c r="H8229">
        <v>0.32700000000000001</v>
      </c>
    </row>
    <row r="8230" spans="1:8" x14ac:dyDescent="0.3">
      <c r="A8230" t="s">
        <v>18176</v>
      </c>
      <c r="B8230" t="s">
        <v>26951</v>
      </c>
      <c r="C8230" t="s">
        <v>20763</v>
      </c>
      <c r="D8230" t="s">
        <v>20762</v>
      </c>
      <c r="E8230" s="2" t="s">
        <v>452</v>
      </c>
      <c r="F8230" t="s">
        <v>9141</v>
      </c>
      <c r="G8230" t="str">
        <f>HYPERLINK("https://n.news.naver.com/mnews/article/088/0000094908?sid=102")</f>
        <v>https://n.news.naver.com/mnews/article/088/0000094908?sid=102</v>
      </c>
      <c r="H8230">
        <v>0.26300000000000001</v>
      </c>
    </row>
    <row r="8231" spans="1:8" x14ac:dyDescent="0.3">
      <c r="A8231" t="s">
        <v>18176</v>
      </c>
      <c r="B8231" t="s">
        <v>26951</v>
      </c>
      <c r="C8231" t="s">
        <v>12828</v>
      </c>
      <c r="D8231" t="s">
        <v>12827</v>
      </c>
      <c r="E8231" s="2" t="s">
        <v>452</v>
      </c>
      <c r="F8231" t="s">
        <v>10471</v>
      </c>
      <c r="G8231" t="str">
        <f>HYPERLINK("https://ilyo.co.kr/?ac=article_view&amp;entry_id=486740")</f>
        <v>https://ilyo.co.kr/?ac=article_view&amp;entry_id=486740</v>
      </c>
      <c r="H8231">
        <v>0.08</v>
      </c>
    </row>
    <row r="8232" spans="1:8" x14ac:dyDescent="0.3">
      <c r="A8232" t="s">
        <v>18176</v>
      </c>
      <c r="B8232" t="s">
        <v>26951</v>
      </c>
      <c r="C8232" t="s">
        <v>20765</v>
      </c>
      <c r="D8232" t="s">
        <v>20764</v>
      </c>
      <c r="E8232" s="2" t="s">
        <v>452</v>
      </c>
      <c r="F8232" t="s">
        <v>18918</v>
      </c>
      <c r="G8232" t="str">
        <f>HYPERLINK("http://www.enewstoday.co.kr/news/articleView.html?idxno=2288215")</f>
        <v>http://www.enewstoday.co.kr/news/articleView.html?idxno=2288215</v>
      </c>
      <c r="H8232">
        <v>0.248</v>
      </c>
    </row>
    <row r="8233" spans="1:8" x14ac:dyDescent="0.3">
      <c r="A8233" t="s">
        <v>18176</v>
      </c>
      <c r="B8233" t="s">
        <v>26951</v>
      </c>
      <c r="C8233" t="s">
        <v>20768</v>
      </c>
      <c r="D8233" t="s">
        <v>20767</v>
      </c>
      <c r="E8233" s="2" t="s">
        <v>452</v>
      </c>
      <c r="F8233" t="s">
        <v>20766</v>
      </c>
      <c r="G8233" t="str">
        <f>HYPERLINK("http://www.etoday.co.kr/news/section/newsview.php?idxno=1152128")</f>
        <v>http://www.etoday.co.kr/news/section/newsview.php?idxno=1152128</v>
      </c>
      <c r="H8233">
        <v>0.45</v>
      </c>
    </row>
    <row r="8234" spans="1:8" x14ac:dyDescent="0.3">
      <c r="A8234" t="s">
        <v>18176</v>
      </c>
      <c r="B8234" t="s">
        <v>26951</v>
      </c>
      <c r="C8234" t="s">
        <v>20771</v>
      </c>
      <c r="D8234" t="s">
        <v>20770</v>
      </c>
      <c r="E8234" s="2" t="s">
        <v>452</v>
      </c>
      <c r="F8234" t="s">
        <v>20769</v>
      </c>
      <c r="G8234" t="str">
        <f>HYPERLINK("https://n.news.naver.com/mnews/article/008/0005205889?sid=103")</f>
        <v>https://n.news.naver.com/mnews/article/008/0005205889?sid=103</v>
      </c>
      <c r="H8234">
        <v>0.23799999999999999</v>
      </c>
    </row>
    <row r="8235" spans="1:8" x14ac:dyDescent="0.3">
      <c r="A8235" t="s">
        <v>18176</v>
      </c>
      <c r="B8235" t="s">
        <v>26951</v>
      </c>
      <c r="C8235" t="s">
        <v>20773</v>
      </c>
      <c r="D8235" t="s">
        <v>20772</v>
      </c>
      <c r="E8235" s="2" t="s">
        <v>452</v>
      </c>
      <c r="F8235" t="s">
        <v>19136</v>
      </c>
      <c r="G8235" t="str">
        <f>HYPERLINK("http://www.ccdailynews.com/news/articleView.html?idxno=876514")</f>
        <v>http://www.ccdailynews.com/news/articleView.html?idxno=876514</v>
      </c>
      <c r="H8235">
        <v>0.53600000000000003</v>
      </c>
    </row>
    <row r="8236" spans="1:8" x14ac:dyDescent="0.3">
      <c r="A8236" t="s">
        <v>18176</v>
      </c>
      <c r="B8236" t="s">
        <v>26951</v>
      </c>
      <c r="C8236" t="s">
        <v>20776</v>
      </c>
      <c r="D8236" t="s">
        <v>20775</v>
      </c>
      <c r="E8236" s="2" t="s">
        <v>452</v>
      </c>
      <c r="F8236" t="s">
        <v>20774</v>
      </c>
      <c r="G8236" t="str">
        <f>HYPERLINK("https://sports.hankooki.com/news/articleView.html?idxno=6880020")</f>
        <v>https://sports.hankooki.com/news/articleView.html?idxno=6880020</v>
      </c>
      <c r="H8236">
        <v>0.60599999999999998</v>
      </c>
    </row>
    <row r="8237" spans="1:8" x14ac:dyDescent="0.3">
      <c r="A8237" t="s">
        <v>18176</v>
      </c>
      <c r="B8237" t="s">
        <v>26951</v>
      </c>
      <c r="C8237" t="s">
        <v>20779</v>
      </c>
      <c r="D8237" t="s">
        <v>20778</v>
      </c>
      <c r="E8237" s="2" t="s">
        <v>452</v>
      </c>
      <c r="F8237" t="s">
        <v>20777</v>
      </c>
      <c r="G8237" t="str">
        <f>HYPERLINK("https://www.greened.kr/news/articleView.html?idxno=312999")</f>
        <v>https://www.greened.kr/news/articleView.html?idxno=312999</v>
      </c>
      <c r="H8237">
        <v>0.44</v>
      </c>
    </row>
    <row r="8238" spans="1:8" x14ac:dyDescent="0.3">
      <c r="A8238" t="s">
        <v>18176</v>
      </c>
      <c r="B8238" t="s">
        <v>26951</v>
      </c>
      <c r="C8238" t="s">
        <v>20781</v>
      </c>
      <c r="D8238" t="s">
        <v>20780</v>
      </c>
      <c r="E8238" s="2" t="s">
        <v>452</v>
      </c>
      <c r="F8238" t="s">
        <v>12730</v>
      </c>
      <c r="G8238" t="str">
        <f>HYPERLINK("http://www.jjan.kr/news/articleView.html?idxno=2087691")</f>
        <v>http://www.jjan.kr/news/articleView.html?idxno=2087691</v>
      </c>
      <c r="H8238">
        <v>0.63</v>
      </c>
    </row>
    <row r="8239" spans="1:8" x14ac:dyDescent="0.3">
      <c r="A8239" t="s">
        <v>18176</v>
      </c>
      <c r="B8239" t="s">
        <v>26951</v>
      </c>
      <c r="C8239" t="s">
        <v>20784</v>
      </c>
      <c r="D8239" t="s">
        <v>20783</v>
      </c>
      <c r="E8239" s="2" t="s">
        <v>452</v>
      </c>
      <c r="F8239" t="s">
        <v>20782</v>
      </c>
      <c r="G8239" t="str">
        <f>HYPERLINK("http://www.domin.co.kr/news/articleView.html?idxno=1274818")</f>
        <v>http://www.domin.co.kr/news/articleView.html?idxno=1274818</v>
      </c>
      <c r="H8239">
        <v>0.25900000000000001</v>
      </c>
    </row>
    <row r="8240" spans="1:8" x14ac:dyDescent="0.3">
      <c r="A8240" t="s">
        <v>18176</v>
      </c>
      <c r="B8240" t="s">
        <v>26951</v>
      </c>
      <c r="C8240" t="s">
        <v>20787</v>
      </c>
      <c r="D8240" t="s">
        <v>20786</v>
      </c>
      <c r="E8240" s="2" t="s">
        <v>452</v>
      </c>
      <c r="F8240" t="s">
        <v>20785</v>
      </c>
      <c r="G8240" t="str">
        <f>HYPERLINK("http://www.greened.kr/news/articleView.html?idxno=298452")</f>
        <v>http://www.greened.kr/news/articleView.html?idxno=298452</v>
      </c>
      <c r="H8240">
        <v>0.46400000000000002</v>
      </c>
    </row>
    <row r="8241" spans="1:8" x14ac:dyDescent="0.3">
      <c r="A8241" t="s">
        <v>18176</v>
      </c>
      <c r="B8241" t="s">
        <v>26951</v>
      </c>
      <c r="C8241" t="s">
        <v>20789</v>
      </c>
      <c r="D8241" t="s">
        <v>20788</v>
      </c>
      <c r="E8241" s="2" t="s">
        <v>452</v>
      </c>
      <c r="F8241" t="s">
        <v>3501</v>
      </c>
      <c r="G8241" t="str">
        <f>HYPERLINK("https://www.smartfn.co.kr/news/articleView.html?idxno=112152")</f>
        <v>https://www.smartfn.co.kr/news/articleView.html?idxno=112152</v>
      </c>
      <c r="H8241">
        <v>0.745</v>
      </c>
    </row>
    <row r="8242" spans="1:8" x14ac:dyDescent="0.3">
      <c r="A8242" t="s">
        <v>18176</v>
      </c>
      <c r="B8242" t="s">
        <v>26951</v>
      </c>
      <c r="C8242" t="s">
        <v>20792</v>
      </c>
      <c r="D8242" t="s">
        <v>20791</v>
      </c>
      <c r="E8242" s="2" t="s">
        <v>452</v>
      </c>
      <c r="F8242" t="s">
        <v>20790</v>
      </c>
      <c r="G8242" t="str">
        <f>HYPERLINK("https://n.news.naver.com/mnews/article/082/0000216677?sid=102")</f>
        <v>https://n.news.naver.com/mnews/article/082/0000216677?sid=102</v>
      </c>
      <c r="H8242">
        <v>0.48899999999999999</v>
      </c>
    </row>
    <row r="8243" spans="1:8" x14ac:dyDescent="0.3">
      <c r="A8243" t="s">
        <v>18176</v>
      </c>
      <c r="B8243" t="s">
        <v>26951</v>
      </c>
      <c r="C8243" t="s">
        <v>20795</v>
      </c>
      <c r="D8243" t="s">
        <v>20794</v>
      </c>
      <c r="E8243" s="2" t="s">
        <v>452</v>
      </c>
      <c r="F8243" t="s">
        <v>20793</v>
      </c>
      <c r="G8243" t="str">
        <f>HYPERLINK("http://www.econovill.com/news/articleView.html?idxno=328308")</f>
        <v>http://www.econovill.com/news/articleView.html?idxno=328308</v>
      </c>
      <c r="H8243">
        <v>0.48199999999999998</v>
      </c>
    </row>
    <row r="8244" spans="1:8" x14ac:dyDescent="0.3">
      <c r="A8244" t="s">
        <v>18176</v>
      </c>
      <c r="B8244" t="s">
        <v>26951</v>
      </c>
      <c r="C8244" t="s">
        <v>20798</v>
      </c>
      <c r="D8244" t="s">
        <v>20797</v>
      </c>
      <c r="E8244" s="2" t="s">
        <v>452</v>
      </c>
      <c r="F8244" t="s">
        <v>20796</v>
      </c>
      <c r="G8244" t="str">
        <f>HYPERLINK("https://n.news.naver.com/mnews/article/087/0001098085?sid=102")</f>
        <v>https://n.news.naver.com/mnews/article/087/0001098085?sid=102</v>
      </c>
      <c r="H8244">
        <v>0.35699999999999998</v>
      </c>
    </row>
    <row r="8245" spans="1:8" x14ac:dyDescent="0.3">
      <c r="A8245" t="s">
        <v>18176</v>
      </c>
      <c r="B8245" t="s">
        <v>26951</v>
      </c>
      <c r="C8245" t="s">
        <v>20800</v>
      </c>
      <c r="D8245" t="s">
        <v>20799</v>
      </c>
      <c r="E8245" s="2" t="s">
        <v>452</v>
      </c>
      <c r="F8245" t="s">
        <v>1705</v>
      </c>
      <c r="G8245" t="str">
        <f>HYPERLINK("http://www.opinionnews.co.kr/news/articleView.html?idxno=119120")</f>
        <v>http://www.opinionnews.co.kr/news/articleView.html?idxno=119120</v>
      </c>
      <c r="H8245">
        <v>0.47299999999999998</v>
      </c>
    </row>
    <row r="8246" spans="1:8" x14ac:dyDescent="0.3">
      <c r="A8246" t="s">
        <v>18176</v>
      </c>
      <c r="B8246" t="s">
        <v>26951</v>
      </c>
      <c r="C8246" t="s">
        <v>20803</v>
      </c>
      <c r="D8246" t="s">
        <v>20802</v>
      </c>
      <c r="E8246" s="2" t="s">
        <v>452</v>
      </c>
      <c r="F8246" t="s">
        <v>20801</v>
      </c>
      <c r="G8246" t="str">
        <f>HYPERLINK("http://www.jnilbo.com/read.php3?aid=1436367600473198333")</f>
        <v>http://www.jnilbo.com/read.php3?aid=1436367600473198333</v>
      </c>
      <c r="H8246">
        <v>9.2999999999999999E-2</v>
      </c>
    </row>
    <row r="8247" spans="1:8" x14ac:dyDescent="0.3">
      <c r="A8247" t="s">
        <v>18176</v>
      </c>
      <c r="B8247" t="s">
        <v>26951</v>
      </c>
      <c r="C8247" t="s">
        <v>20806</v>
      </c>
      <c r="D8247" t="s">
        <v>20805</v>
      </c>
      <c r="E8247" s="2" t="s">
        <v>452</v>
      </c>
      <c r="F8247" t="s">
        <v>20804</v>
      </c>
      <c r="G8247" t="str">
        <f>HYPERLINK("https://n.news.naver.com/mnews/article/056/0011941301?sid=102")</f>
        <v>https://n.news.naver.com/mnews/article/056/0011941301?sid=102</v>
      </c>
      <c r="H8247">
        <v>0.29899999999999999</v>
      </c>
    </row>
    <row r="8248" spans="1:8" x14ac:dyDescent="0.3">
      <c r="A8248" t="s">
        <v>18176</v>
      </c>
      <c r="B8248" t="s">
        <v>26951</v>
      </c>
      <c r="C8248" t="s">
        <v>20808</v>
      </c>
      <c r="D8248" t="s">
        <v>20807</v>
      </c>
      <c r="E8248" s="2" t="s">
        <v>452</v>
      </c>
      <c r="F8248" t="s">
        <v>15722</v>
      </c>
      <c r="G8248" t="str">
        <f>HYPERLINK("http://www.breaknews.com/1125402")</f>
        <v>http://www.breaknews.com/1125402</v>
      </c>
      <c r="H8248">
        <v>0.29199999999999998</v>
      </c>
    </row>
    <row r="8249" spans="1:8" x14ac:dyDescent="0.3">
      <c r="A8249" t="s">
        <v>18176</v>
      </c>
      <c r="B8249" t="s">
        <v>26951</v>
      </c>
      <c r="C8249" t="s">
        <v>20811</v>
      </c>
      <c r="D8249" t="s">
        <v>20810</v>
      </c>
      <c r="E8249" s="2" t="s">
        <v>452</v>
      </c>
      <c r="F8249" t="s">
        <v>20809</v>
      </c>
      <c r="G8249" t="str">
        <f>HYPERLINK("https://n.news.naver.com/mnews/article/056/0011978236?sid=104")</f>
        <v>https://n.news.naver.com/mnews/article/056/0011978236?sid=104</v>
      </c>
      <c r="H8249">
        <v>0.23699999999999999</v>
      </c>
    </row>
    <row r="8250" spans="1:8" x14ac:dyDescent="0.3">
      <c r="A8250" t="s">
        <v>18176</v>
      </c>
      <c r="B8250" t="s">
        <v>26951</v>
      </c>
      <c r="C8250" t="s">
        <v>20813</v>
      </c>
      <c r="D8250" t="s">
        <v>20812</v>
      </c>
      <c r="E8250" s="2" t="s">
        <v>452</v>
      </c>
      <c r="F8250" t="s">
        <v>11282</v>
      </c>
      <c r="G8250" t="str">
        <f>HYPERLINK("http://www.e-platform.net/news/articleView.html?idxno=94030")</f>
        <v>http://www.e-platform.net/news/articleView.html?idxno=94030</v>
      </c>
      <c r="H8250">
        <v>0.96499999999999997</v>
      </c>
    </row>
    <row r="8251" spans="1:8" x14ac:dyDescent="0.3">
      <c r="A8251" t="s">
        <v>18176</v>
      </c>
      <c r="B8251" t="s">
        <v>26951</v>
      </c>
      <c r="C8251" t="s">
        <v>20816</v>
      </c>
      <c r="D8251" t="s">
        <v>20815</v>
      </c>
      <c r="E8251" s="2" t="s">
        <v>452</v>
      </c>
      <c r="F8251" t="s">
        <v>20814</v>
      </c>
      <c r="G8251" t="str">
        <f>HYPERLINK("https://www.discoverynews.kr/news/articleView.html?idxno=1065844")</f>
        <v>https://www.discoverynews.kr/news/articleView.html?idxno=1065844</v>
      </c>
      <c r="H8251">
        <v>0.88300000000000001</v>
      </c>
    </row>
    <row r="8252" spans="1:8" x14ac:dyDescent="0.3">
      <c r="A8252" t="s">
        <v>18176</v>
      </c>
      <c r="B8252" t="s">
        <v>26951</v>
      </c>
      <c r="C8252" t="s">
        <v>20819</v>
      </c>
      <c r="D8252" t="s">
        <v>20818</v>
      </c>
      <c r="E8252" s="2" t="s">
        <v>452</v>
      </c>
      <c r="F8252" t="s">
        <v>20817</v>
      </c>
      <c r="G8252" t="str">
        <f>HYPERLINK("https://www.lecturernews.com/news/articleView.html?idxno=179863")</f>
        <v>https://www.lecturernews.com/news/articleView.html?idxno=179863</v>
      </c>
      <c r="H8252">
        <v>0.376</v>
      </c>
    </row>
    <row r="8253" spans="1:8" x14ac:dyDescent="0.3">
      <c r="A8253" t="s">
        <v>18176</v>
      </c>
      <c r="B8253" t="s">
        <v>26951</v>
      </c>
      <c r="C8253" t="s">
        <v>20822</v>
      </c>
      <c r="D8253" t="s">
        <v>20821</v>
      </c>
      <c r="E8253" s="2" t="s">
        <v>452</v>
      </c>
      <c r="F8253" t="s">
        <v>20820</v>
      </c>
      <c r="G8253" t="str">
        <f>HYPERLINK("https://www.dkilbo.com/news/articleView.html?idxno=501035")</f>
        <v>https://www.dkilbo.com/news/articleView.html?idxno=501035</v>
      </c>
      <c r="H8253">
        <v>0.82199999999999995</v>
      </c>
    </row>
    <row r="8254" spans="1:8" x14ac:dyDescent="0.3">
      <c r="A8254" t="s">
        <v>18176</v>
      </c>
      <c r="B8254" t="s">
        <v>26951</v>
      </c>
      <c r="C8254" t="s">
        <v>12842</v>
      </c>
      <c r="D8254" t="s">
        <v>12841</v>
      </c>
      <c r="E8254" s="2" t="s">
        <v>452</v>
      </c>
      <c r="F8254" t="s">
        <v>12840</v>
      </c>
      <c r="G8254" t="str">
        <f>HYPERLINK("https://www.gnnews.co.kr/news/articleView.html?idxno=613040")</f>
        <v>https://www.gnnews.co.kr/news/articleView.html?idxno=613040</v>
      </c>
      <c r="H8254">
        <v>0.19900000000000001</v>
      </c>
    </row>
    <row r="8255" spans="1:8" x14ac:dyDescent="0.3">
      <c r="A8255" t="s">
        <v>18176</v>
      </c>
      <c r="B8255" t="s">
        <v>26951</v>
      </c>
      <c r="C8255" t="s">
        <v>20825</v>
      </c>
      <c r="D8255" t="s">
        <v>20824</v>
      </c>
      <c r="E8255" s="2" t="s">
        <v>452</v>
      </c>
      <c r="F8255" t="s">
        <v>20823</v>
      </c>
      <c r="G8255" t="str">
        <f>HYPERLINK("http://www.veritas-a.com/news/articleView.html?idxno=467265")</f>
        <v>http://www.veritas-a.com/news/articleView.html?idxno=467265</v>
      </c>
      <c r="H8255">
        <v>0.313</v>
      </c>
    </row>
    <row r="8256" spans="1:8" x14ac:dyDescent="0.3">
      <c r="A8256" t="s">
        <v>18176</v>
      </c>
      <c r="B8256" t="s">
        <v>26951</v>
      </c>
      <c r="C8256" t="s">
        <v>20827</v>
      </c>
      <c r="D8256" t="s">
        <v>20826</v>
      </c>
      <c r="E8256" s="2" t="s">
        <v>452</v>
      </c>
      <c r="F8256" t="s">
        <v>12252</v>
      </c>
      <c r="G8256" t="str">
        <f>HYPERLINK("https://n.news.naver.com/mnews/article/032/0003218973?sid=101")</f>
        <v>https://n.news.naver.com/mnews/article/032/0003218973?sid=101</v>
      </c>
      <c r="H8256">
        <v>0.122</v>
      </c>
    </row>
    <row r="8257" spans="1:8" x14ac:dyDescent="0.3">
      <c r="A8257" t="s">
        <v>18176</v>
      </c>
      <c r="B8257" t="s">
        <v>26951</v>
      </c>
      <c r="C8257" t="s">
        <v>20830</v>
      </c>
      <c r="D8257" t="s">
        <v>20829</v>
      </c>
      <c r="E8257" s="2" t="s">
        <v>452</v>
      </c>
      <c r="F8257" t="s">
        <v>20828</v>
      </c>
      <c r="G8257" t="str">
        <f>HYPERLINK("http://ch.yes24.com/Article/View/27134")</f>
        <v>http://ch.yes24.com/Article/View/27134</v>
      </c>
      <c r="H8257">
        <v>0.58399999999999996</v>
      </c>
    </row>
    <row r="8258" spans="1:8" x14ac:dyDescent="0.3">
      <c r="A8258" t="s">
        <v>18176</v>
      </c>
      <c r="B8258" t="s">
        <v>26951</v>
      </c>
      <c r="C8258" t="s">
        <v>20833</v>
      </c>
      <c r="D8258" t="s">
        <v>20832</v>
      </c>
      <c r="E8258" s="2" t="s">
        <v>452</v>
      </c>
      <c r="F8258" t="s">
        <v>20831</v>
      </c>
      <c r="G8258" t="str">
        <f>HYPERLINK("https://www.apnews.kr/news/articleView.html?idxno=3027808")</f>
        <v>https://www.apnews.kr/news/articleView.html?idxno=3027808</v>
      </c>
      <c r="H8258">
        <v>0.32200000000000001</v>
      </c>
    </row>
    <row r="8259" spans="1:8" x14ac:dyDescent="0.3">
      <c r="A8259" t="s">
        <v>18176</v>
      </c>
      <c r="B8259" t="s">
        <v>26951</v>
      </c>
      <c r="C8259" t="s">
        <v>20836</v>
      </c>
      <c r="D8259" t="s">
        <v>20835</v>
      </c>
      <c r="E8259" s="2" t="s">
        <v>452</v>
      </c>
      <c r="F8259" t="s">
        <v>20834</v>
      </c>
      <c r="G8259" t="str">
        <f>HYPERLINK("https://n.news.naver.com/mnews/article/056/0011772818?sid=104")</f>
        <v>https://n.news.naver.com/mnews/article/056/0011772818?sid=104</v>
      </c>
      <c r="H8259">
        <v>0.32100000000000001</v>
      </c>
    </row>
    <row r="8260" spans="1:8" x14ac:dyDescent="0.3">
      <c r="A8260" t="s">
        <v>18176</v>
      </c>
      <c r="B8260" t="s">
        <v>26951</v>
      </c>
      <c r="C8260" t="s">
        <v>3253</v>
      </c>
      <c r="D8260" t="s">
        <v>3252</v>
      </c>
      <c r="E8260" s="2" t="s">
        <v>452</v>
      </c>
      <c r="F8260" t="s">
        <v>1722</v>
      </c>
      <c r="G8260" t="str">
        <f>HYPERLINK("http://www.dynews.co.kr/news/articleView.html?idxno=343729")</f>
        <v>http://www.dynews.co.kr/news/articleView.html?idxno=343729</v>
      </c>
      <c r="H8260">
        <v>0.61899999999999999</v>
      </c>
    </row>
    <row r="8261" spans="1:8" x14ac:dyDescent="0.3">
      <c r="A8261" t="s">
        <v>18176</v>
      </c>
      <c r="B8261" t="s">
        <v>26951</v>
      </c>
      <c r="C8261" t="s">
        <v>20838</v>
      </c>
      <c r="D8261" t="s">
        <v>20837</v>
      </c>
      <c r="E8261" s="2" t="s">
        <v>452</v>
      </c>
      <c r="F8261" t="s">
        <v>17966</v>
      </c>
      <c r="G8261" t="str">
        <f>HYPERLINK("https://n.news.naver.com/mnews/article/014/0002480284?sid=103")</f>
        <v>https://n.news.naver.com/mnews/article/014/0002480284?sid=103</v>
      </c>
      <c r="H8261">
        <v>0.16600000000000001</v>
      </c>
    </row>
    <row r="8262" spans="1:8" x14ac:dyDescent="0.3">
      <c r="A8262" t="s">
        <v>18176</v>
      </c>
      <c r="B8262" t="s">
        <v>26951</v>
      </c>
      <c r="C8262" t="s">
        <v>20840</v>
      </c>
      <c r="D8262" t="s">
        <v>20839</v>
      </c>
      <c r="E8262" s="2" t="s">
        <v>452</v>
      </c>
      <c r="F8262" t="s">
        <v>2868</v>
      </c>
      <c r="G8262" t="str">
        <f>HYPERLINK("https://n.news.naver.com/mnews/article/014/0005363183?sid=102")</f>
        <v>https://n.news.naver.com/mnews/article/014/0005363183?sid=102</v>
      </c>
      <c r="H8262">
        <v>0.27100000000000002</v>
      </c>
    </row>
    <row r="8263" spans="1:8" x14ac:dyDescent="0.3">
      <c r="A8263" t="s">
        <v>18176</v>
      </c>
      <c r="B8263" t="s">
        <v>26951</v>
      </c>
      <c r="C8263" t="s">
        <v>20843</v>
      </c>
      <c r="D8263" t="s">
        <v>20842</v>
      </c>
      <c r="E8263" s="2" t="s">
        <v>452</v>
      </c>
      <c r="F8263" t="s">
        <v>20841</v>
      </c>
      <c r="G8263" t="str">
        <f>HYPERLINK("http://www.veritas-a.com/news/articleView.html?idxno=536437")</f>
        <v>http://www.veritas-a.com/news/articleView.html?idxno=536437</v>
      </c>
      <c r="H8263">
        <v>0.14099999999999999</v>
      </c>
    </row>
    <row r="8264" spans="1:8" x14ac:dyDescent="0.3">
      <c r="A8264" t="s">
        <v>18176</v>
      </c>
      <c r="B8264" t="s">
        <v>26951</v>
      </c>
      <c r="C8264" t="s">
        <v>12871</v>
      </c>
      <c r="D8264" t="s">
        <v>12870</v>
      </c>
      <c r="E8264" s="2" t="s">
        <v>452</v>
      </c>
      <c r="F8264" t="s">
        <v>12869</v>
      </c>
      <c r="G8264" t="str">
        <f>HYPERLINK("http://www.sctoday.co.kr/news/articleView.html?idxno=37445")</f>
        <v>http://www.sctoday.co.kr/news/articleView.html?idxno=37445</v>
      </c>
      <c r="H8264">
        <v>0.52100000000000002</v>
      </c>
    </row>
    <row r="8265" spans="1:8" x14ac:dyDescent="0.3">
      <c r="A8265" t="s">
        <v>18176</v>
      </c>
      <c r="B8265" t="s">
        <v>26951</v>
      </c>
      <c r="C8265" t="s">
        <v>20845</v>
      </c>
      <c r="D8265" t="s">
        <v>20844</v>
      </c>
      <c r="E8265" s="2" t="s">
        <v>452</v>
      </c>
      <c r="F8265" t="s">
        <v>9786</v>
      </c>
      <c r="G8265" t="str">
        <f>HYPERLINK("https://ppss.kr/archives/229583")</f>
        <v>https://ppss.kr/archives/229583</v>
      </c>
      <c r="H8265">
        <v>0.19</v>
      </c>
    </row>
    <row r="8266" spans="1:8" x14ac:dyDescent="0.3">
      <c r="A8266" t="s">
        <v>18176</v>
      </c>
      <c r="B8266" t="s">
        <v>26951</v>
      </c>
      <c r="C8266" t="s">
        <v>20848</v>
      </c>
      <c r="D8266" t="s">
        <v>20847</v>
      </c>
      <c r="E8266" s="2" t="s">
        <v>452</v>
      </c>
      <c r="F8266" t="s">
        <v>20846</v>
      </c>
      <c r="G8266" t="str">
        <f>HYPERLINK("https://www.etoday.co.kr/news/view/2478858")</f>
        <v>https://www.etoday.co.kr/news/view/2478858</v>
      </c>
      <c r="H8266">
        <v>0.39500000000000002</v>
      </c>
    </row>
    <row r="8267" spans="1:8" x14ac:dyDescent="0.3">
      <c r="A8267" t="s">
        <v>18176</v>
      </c>
      <c r="B8267" t="s">
        <v>26951</v>
      </c>
      <c r="C8267" t="s">
        <v>20851</v>
      </c>
      <c r="D8267" t="s">
        <v>20850</v>
      </c>
      <c r="E8267" s="2" t="s">
        <v>452</v>
      </c>
      <c r="F8267" t="s">
        <v>20849</v>
      </c>
      <c r="G8267" t="str">
        <f>HYPERLINK("http://www.sctoday.co.kr/news/articleView.html?idxno=44185")</f>
        <v>http://www.sctoday.co.kr/news/articleView.html?idxno=44185</v>
      </c>
      <c r="H8267">
        <v>0.38900000000000001</v>
      </c>
    </row>
    <row r="8268" spans="1:8" x14ac:dyDescent="0.3">
      <c r="A8268" t="s">
        <v>18176</v>
      </c>
      <c r="B8268" t="s">
        <v>26951</v>
      </c>
      <c r="C8268" t="s">
        <v>20853</v>
      </c>
      <c r="D8268" t="s">
        <v>20852</v>
      </c>
      <c r="E8268" s="2" t="s">
        <v>452</v>
      </c>
      <c r="F8268" t="s">
        <v>9039</v>
      </c>
      <c r="G8268" t="str">
        <f>HYPERLINK("https://www.aitimes.kr/news/articleView.html?idxno=35262")</f>
        <v>https://www.aitimes.kr/news/articleView.html?idxno=35262</v>
      </c>
      <c r="H8268">
        <v>0.98899999999999999</v>
      </c>
    </row>
    <row r="8269" spans="1:8" x14ac:dyDescent="0.3">
      <c r="A8269" t="s">
        <v>18176</v>
      </c>
      <c r="B8269" t="s">
        <v>26951</v>
      </c>
      <c r="C8269" t="s">
        <v>20855</v>
      </c>
      <c r="D8269" t="s">
        <v>20854</v>
      </c>
      <c r="E8269" s="2" t="s">
        <v>452</v>
      </c>
      <c r="F8269" t="s">
        <v>11394</v>
      </c>
      <c r="G8269" t="str">
        <f>HYPERLINK("https://www.catholicnews.co.kr/news/articleView.html?idxno=34268")</f>
        <v>https://www.catholicnews.co.kr/news/articleView.html?idxno=34268</v>
      </c>
      <c r="H8269">
        <v>0.39800000000000002</v>
      </c>
    </row>
    <row r="8270" spans="1:8" x14ac:dyDescent="0.3">
      <c r="A8270" t="s">
        <v>18176</v>
      </c>
      <c r="B8270" t="s">
        <v>26951</v>
      </c>
      <c r="C8270" t="s">
        <v>20857</v>
      </c>
      <c r="D8270" t="s">
        <v>20856</v>
      </c>
      <c r="E8270" s="2" t="s">
        <v>452</v>
      </c>
      <c r="F8270" t="s">
        <v>5087</v>
      </c>
      <c r="G8270" t="str">
        <f>HYPERLINK("https://n.news.naver.com/mnews/article/082/0001214473?sid=103")</f>
        <v>https://n.news.naver.com/mnews/article/082/0001214473?sid=103</v>
      </c>
      <c r="H8270">
        <v>0.27</v>
      </c>
    </row>
    <row r="8271" spans="1:8" x14ac:dyDescent="0.3">
      <c r="A8271" t="s">
        <v>18176</v>
      </c>
      <c r="B8271" t="s">
        <v>26951</v>
      </c>
      <c r="C8271" t="s">
        <v>20860</v>
      </c>
      <c r="D8271" t="s">
        <v>20859</v>
      </c>
      <c r="E8271" s="2" t="s">
        <v>452</v>
      </c>
      <c r="F8271" t="s">
        <v>20858</v>
      </c>
      <c r="G8271" t="str">
        <f>HYPERLINK("http://www.pennmike.com/news/articleView.html?idxno=39042")</f>
        <v>http://www.pennmike.com/news/articleView.html?idxno=39042</v>
      </c>
      <c r="H8271">
        <v>0.34799999999999998</v>
      </c>
    </row>
    <row r="8272" spans="1:8" x14ac:dyDescent="0.3">
      <c r="A8272" t="s">
        <v>18176</v>
      </c>
      <c r="B8272" t="s">
        <v>26951</v>
      </c>
      <c r="C8272" t="s">
        <v>20862</v>
      </c>
      <c r="D8272" t="s">
        <v>20861</v>
      </c>
      <c r="E8272" s="2" t="s">
        <v>452</v>
      </c>
      <c r="F8272" t="s">
        <v>9897</v>
      </c>
      <c r="G8272" t="str">
        <f>HYPERLINK("https://n.news.naver.com/mnews/article/056/0011970165?sid=100")</f>
        <v>https://n.news.naver.com/mnews/article/056/0011970165?sid=100</v>
      </c>
      <c r="H8272">
        <v>0.23499999999999999</v>
      </c>
    </row>
    <row r="8273" spans="1:8" x14ac:dyDescent="0.3">
      <c r="A8273" t="s">
        <v>18176</v>
      </c>
      <c r="B8273" t="s">
        <v>26951</v>
      </c>
      <c r="C8273" t="s">
        <v>20865</v>
      </c>
      <c r="D8273" t="s">
        <v>20864</v>
      </c>
      <c r="E8273" s="2" t="s">
        <v>452</v>
      </c>
      <c r="F8273" t="s">
        <v>20863</v>
      </c>
      <c r="G8273" t="str">
        <f>HYPERLINK("https://n.news.naver.com/mnews/article/014/0002927130?sid=101")</f>
        <v>https://n.news.naver.com/mnews/article/014/0002927130?sid=101</v>
      </c>
      <c r="H8273">
        <v>0.27300000000000002</v>
      </c>
    </row>
    <row r="8274" spans="1:8" x14ac:dyDescent="0.3">
      <c r="A8274" t="s">
        <v>18176</v>
      </c>
      <c r="B8274" t="s">
        <v>26951</v>
      </c>
      <c r="C8274" t="s">
        <v>20867</v>
      </c>
      <c r="D8274" t="s">
        <v>20866</v>
      </c>
      <c r="E8274" s="2" t="s">
        <v>452</v>
      </c>
      <c r="F8274" t="s">
        <v>14326</v>
      </c>
      <c r="G8274" t="str">
        <f>HYPERLINK("http://www.chungnamilbo.co.kr/news/articleView.html?idxno=783812")</f>
        <v>http://www.chungnamilbo.co.kr/news/articleView.html?idxno=783812</v>
      </c>
      <c r="H8274">
        <v>0.29099999999999998</v>
      </c>
    </row>
    <row r="8275" spans="1:8" x14ac:dyDescent="0.3">
      <c r="A8275" t="s">
        <v>18176</v>
      </c>
      <c r="B8275" t="s">
        <v>26951</v>
      </c>
      <c r="C8275" t="s">
        <v>20870</v>
      </c>
      <c r="D8275" t="s">
        <v>20869</v>
      </c>
      <c r="E8275" s="2" t="s">
        <v>452</v>
      </c>
      <c r="F8275" t="s">
        <v>20868</v>
      </c>
      <c r="G8275" t="str">
        <f>HYPERLINK("https://news.bbsi.co.kr/news/articleView.html?idxno=4036624")</f>
        <v>https://news.bbsi.co.kr/news/articleView.html?idxno=4036624</v>
      </c>
      <c r="H8275">
        <v>0.61</v>
      </c>
    </row>
    <row r="8276" spans="1:8" x14ac:dyDescent="0.3">
      <c r="A8276" t="s">
        <v>18176</v>
      </c>
      <c r="B8276" t="s">
        <v>26951</v>
      </c>
      <c r="C8276" t="s">
        <v>20873</v>
      </c>
      <c r="D8276" t="s">
        <v>20872</v>
      </c>
      <c r="E8276" s="2" t="s">
        <v>452</v>
      </c>
      <c r="F8276" t="s">
        <v>20871</v>
      </c>
      <c r="G8276" t="str">
        <f>HYPERLINK("https://bravo.etoday.co.kr/view/atc_view/14707")</f>
        <v>https://bravo.etoday.co.kr/view/atc_view/14707</v>
      </c>
      <c r="H8276">
        <v>0.41199999999999998</v>
      </c>
    </row>
    <row r="8277" spans="1:8" x14ac:dyDescent="0.3">
      <c r="A8277" t="s">
        <v>18176</v>
      </c>
      <c r="B8277" t="s">
        <v>26951</v>
      </c>
      <c r="C8277" t="s">
        <v>20875</v>
      </c>
      <c r="D8277" t="s">
        <v>20874</v>
      </c>
      <c r="E8277" s="2" t="s">
        <v>452</v>
      </c>
      <c r="F8277" t="s">
        <v>12741</v>
      </c>
      <c r="G8277" t="str">
        <f>HYPERLINK("http://www.pdjournal.com/news/articleView.html?idxno=57307")</f>
        <v>http://www.pdjournal.com/news/articleView.html?idxno=57307</v>
      </c>
      <c r="H8277">
        <v>0.35299999999999998</v>
      </c>
    </row>
    <row r="8278" spans="1:8" x14ac:dyDescent="0.3">
      <c r="A8278" t="s">
        <v>18176</v>
      </c>
      <c r="B8278" t="s">
        <v>26951</v>
      </c>
      <c r="C8278" t="s">
        <v>20878</v>
      </c>
      <c r="D8278" t="s">
        <v>20877</v>
      </c>
      <c r="E8278" s="2" t="s">
        <v>452</v>
      </c>
      <c r="F8278" t="s">
        <v>20876</v>
      </c>
      <c r="G8278" t="str">
        <f>HYPERLINK("https://sports.hankooki.com/news/articleView.html?idxno=6901664")</f>
        <v>https://sports.hankooki.com/news/articleView.html?idxno=6901664</v>
      </c>
      <c r="H8278">
        <v>0.40400000000000003</v>
      </c>
    </row>
    <row r="8279" spans="1:8" x14ac:dyDescent="0.3">
      <c r="A8279" t="s">
        <v>18176</v>
      </c>
      <c r="B8279" t="s">
        <v>26951</v>
      </c>
      <c r="C8279" t="s">
        <v>20880</v>
      </c>
      <c r="D8279" t="s">
        <v>20879</v>
      </c>
      <c r="E8279" s="2" t="s">
        <v>452</v>
      </c>
      <c r="F8279" t="s">
        <v>12082</v>
      </c>
      <c r="G8279" t="str">
        <f>HYPERLINK("http://www.newsway.co.kr/view.php?tp=1&amp;ud=2014121213495689746")</f>
        <v>http://www.newsway.co.kr/view.php?tp=1&amp;ud=2014121213495689746</v>
      </c>
      <c r="H8279">
        <v>0.40699999999999997</v>
      </c>
    </row>
    <row r="8280" spans="1:8" x14ac:dyDescent="0.3">
      <c r="A8280" t="s">
        <v>18176</v>
      </c>
      <c r="B8280" t="s">
        <v>26951</v>
      </c>
      <c r="C8280" t="s">
        <v>20882</v>
      </c>
      <c r="D8280" t="s">
        <v>20881</v>
      </c>
      <c r="E8280" s="2" t="s">
        <v>452</v>
      </c>
      <c r="F8280" t="s">
        <v>10506</v>
      </c>
      <c r="G8280" t="str">
        <f>HYPERLINK("http://www.lecturernews.com/news/articleView.html?idxno=58274")</f>
        <v>http://www.lecturernews.com/news/articleView.html?idxno=58274</v>
      </c>
      <c r="H8280">
        <v>0.254</v>
      </c>
    </row>
    <row r="8281" spans="1:8" x14ac:dyDescent="0.3">
      <c r="A8281" t="s">
        <v>18176</v>
      </c>
      <c r="B8281" t="s">
        <v>26951</v>
      </c>
      <c r="C8281" t="s">
        <v>20884</v>
      </c>
      <c r="D8281" t="s">
        <v>20883</v>
      </c>
      <c r="E8281" s="2" t="s">
        <v>452</v>
      </c>
      <c r="F8281" t="s">
        <v>12964</v>
      </c>
      <c r="G8281" t="str">
        <f>HYPERLINK("http://www.breaknews.com/1128529")</f>
        <v>http://www.breaknews.com/1128529</v>
      </c>
      <c r="H8281">
        <v>0.19900000000000001</v>
      </c>
    </row>
    <row r="8282" spans="1:8" x14ac:dyDescent="0.3">
      <c r="A8282" t="s">
        <v>18176</v>
      </c>
      <c r="B8282" t="s">
        <v>26951</v>
      </c>
      <c r="C8282" t="s">
        <v>20887</v>
      </c>
      <c r="D8282" t="s">
        <v>20886</v>
      </c>
      <c r="E8282" s="2" t="s">
        <v>452</v>
      </c>
      <c r="F8282" t="s">
        <v>20885</v>
      </c>
      <c r="G8282" t="str">
        <f>HYPERLINK("https://n.news.naver.com/mnews/article/081/0003554107?sid=100")</f>
        <v>https://n.news.naver.com/mnews/article/081/0003554107?sid=100</v>
      </c>
      <c r="H8282">
        <v>0.312</v>
      </c>
    </row>
    <row r="8283" spans="1:8" x14ac:dyDescent="0.3">
      <c r="A8283" t="s">
        <v>18176</v>
      </c>
      <c r="B8283" t="s">
        <v>26951</v>
      </c>
      <c r="C8283" t="s">
        <v>20889</v>
      </c>
      <c r="D8283" t="s">
        <v>20888</v>
      </c>
      <c r="E8283" s="2" t="s">
        <v>452</v>
      </c>
      <c r="F8283" t="s">
        <v>20421</v>
      </c>
      <c r="G8283" t="str">
        <f>HYPERLINK("http://www.biztribune.co.kr/news/articleView.html?idxno=331894")</f>
        <v>http://www.biztribune.co.kr/news/articleView.html?idxno=331894</v>
      </c>
      <c r="H8283">
        <v>0.35299999999999998</v>
      </c>
    </row>
    <row r="8284" spans="1:8" x14ac:dyDescent="0.3">
      <c r="A8284" t="s">
        <v>18176</v>
      </c>
      <c r="B8284" t="s">
        <v>26951</v>
      </c>
      <c r="C8284" t="s">
        <v>20892</v>
      </c>
      <c r="D8284" t="s">
        <v>20891</v>
      </c>
      <c r="E8284" s="2" t="s">
        <v>452</v>
      </c>
      <c r="F8284" t="s">
        <v>20890</v>
      </c>
      <c r="G8284" t="str">
        <f>HYPERLINK("https://n.news.naver.com/mnews/article/056/0011969415?sid=101")</f>
        <v>https://n.news.naver.com/mnews/article/056/0011969415?sid=101</v>
      </c>
      <c r="H8284">
        <v>0.26100000000000001</v>
      </c>
    </row>
    <row r="8285" spans="1:8" x14ac:dyDescent="0.3">
      <c r="A8285" t="s">
        <v>18176</v>
      </c>
      <c r="B8285" t="s">
        <v>26951</v>
      </c>
      <c r="C8285" t="s">
        <v>20895</v>
      </c>
      <c r="D8285" t="s">
        <v>20894</v>
      </c>
      <c r="E8285" s="2" t="s">
        <v>452</v>
      </c>
      <c r="F8285" t="s">
        <v>20893</v>
      </c>
      <c r="G8285" t="str">
        <f>HYPERLINK("https://www.theguru.co.kr/news/article.html?no=78619")</f>
        <v>https://www.theguru.co.kr/news/article.html?no=78619</v>
      </c>
      <c r="H8285">
        <v>0.39900000000000002</v>
      </c>
    </row>
    <row r="8286" spans="1:8" x14ac:dyDescent="0.3">
      <c r="A8286" t="s">
        <v>18176</v>
      </c>
      <c r="B8286" t="s">
        <v>26951</v>
      </c>
      <c r="C8286" t="s">
        <v>20898</v>
      </c>
      <c r="D8286" t="s">
        <v>20897</v>
      </c>
      <c r="E8286" s="2" t="s">
        <v>452</v>
      </c>
      <c r="F8286" t="s">
        <v>20896</v>
      </c>
      <c r="G8286" t="str">
        <f>HYPERLINK("https://www.ntoday.co.kr/news/articleView.html?idxno=105195")</f>
        <v>https://www.ntoday.co.kr/news/articleView.html?idxno=105195</v>
      </c>
      <c r="H8286">
        <v>0.19400000000000001</v>
      </c>
    </row>
    <row r="8287" spans="1:8" x14ac:dyDescent="0.3">
      <c r="A8287" t="s">
        <v>18176</v>
      </c>
      <c r="B8287" t="s">
        <v>26951</v>
      </c>
      <c r="C8287" t="s">
        <v>20900</v>
      </c>
      <c r="D8287" t="s">
        <v>20899</v>
      </c>
      <c r="E8287" s="2" t="s">
        <v>452</v>
      </c>
      <c r="F8287" t="s">
        <v>7066</v>
      </c>
      <c r="G8287" t="str">
        <f>HYPERLINK("https://n.news.naver.com/mnews/article/277/0005526655?sid=103")</f>
        <v>https://n.news.naver.com/mnews/article/277/0005526655?sid=103</v>
      </c>
      <c r="H8287">
        <v>0.218</v>
      </c>
    </row>
    <row r="8288" spans="1:8" x14ac:dyDescent="0.3">
      <c r="A8288" t="s">
        <v>18176</v>
      </c>
      <c r="B8288" t="s">
        <v>26951</v>
      </c>
      <c r="C8288" t="s">
        <v>20903</v>
      </c>
      <c r="D8288" t="s">
        <v>20902</v>
      </c>
      <c r="E8288" s="2" t="s">
        <v>452</v>
      </c>
      <c r="F8288" t="s">
        <v>20901</v>
      </c>
      <c r="G8288" t="str">
        <f>HYPERLINK("https://n.news.naver.com/mnews/article/055/0000757035?sid=102")</f>
        <v>https://n.news.naver.com/mnews/article/055/0000757035?sid=102</v>
      </c>
      <c r="H8288">
        <v>0.29399999999999998</v>
      </c>
    </row>
    <row r="8289" spans="1:8" x14ac:dyDescent="0.3">
      <c r="A8289" t="s">
        <v>18176</v>
      </c>
      <c r="B8289" t="s">
        <v>26951</v>
      </c>
      <c r="C8289" t="s">
        <v>20906</v>
      </c>
      <c r="D8289" t="s">
        <v>20905</v>
      </c>
      <c r="E8289" s="2" t="s">
        <v>452</v>
      </c>
      <c r="F8289" t="s">
        <v>20904</v>
      </c>
      <c r="G8289" t="str">
        <f>HYPERLINK("https://sports.hankooki.com/news/articleView.html?idxno=6902310")</f>
        <v>https://sports.hankooki.com/news/articleView.html?idxno=6902310</v>
      </c>
      <c r="H8289">
        <v>0.505</v>
      </c>
    </row>
    <row r="8290" spans="1:8" x14ac:dyDescent="0.3">
      <c r="A8290" t="s">
        <v>18176</v>
      </c>
      <c r="B8290" t="s">
        <v>26951</v>
      </c>
      <c r="C8290" t="s">
        <v>20909</v>
      </c>
      <c r="D8290" t="s">
        <v>20908</v>
      </c>
      <c r="E8290" s="2" t="s">
        <v>267</v>
      </c>
      <c r="F8290" t="s">
        <v>20907</v>
      </c>
      <c r="G8290" t="str">
        <f>HYPERLINK("https://radio.ytn.co.kr/program/?f=2&amp;id=95795&amp;s_mcd=0452&amp;s_hcd=01")</f>
        <v>https://radio.ytn.co.kr/program/?f=2&amp;id=95795&amp;s_mcd=0452&amp;s_hcd=01</v>
      </c>
      <c r="H8290">
        <v>0.27600000000000002</v>
      </c>
    </row>
    <row r="8291" spans="1:8" x14ac:dyDescent="0.3">
      <c r="A8291" t="s">
        <v>18176</v>
      </c>
      <c r="B8291" t="s">
        <v>26951</v>
      </c>
      <c r="C8291" t="s">
        <v>20912</v>
      </c>
      <c r="D8291" t="s">
        <v>20911</v>
      </c>
      <c r="E8291" s="2" t="s">
        <v>267</v>
      </c>
      <c r="F8291" t="s">
        <v>20910</v>
      </c>
      <c r="G8291" t="str">
        <f>HYPERLINK("http://www.starnewsk.com/news/articleView.html?idxno=39634")</f>
        <v>http://www.starnewsk.com/news/articleView.html?idxno=39634</v>
      </c>
      <c r="H8291">
        <v>0.34899999999999998</v>
      </c>
    </row>
    <row r="8292" spans="1:8" x14ac:dyDescent="0.3">
      <c r="A8292" t="s">
        <v>18176</v>
      </c>
      <c r="B8292" t="s">
        <v>26951</v>
      </c>
      <c r="C8292" t="s">
        <v>20915</v>
      </c>
      <c r="D8292" t="s">
        <v>20914</v>
      </c>
      <c r="E8292" s="2" t="s">
        <v>267</v>
      </c>
      <c r="F8292" t="s">
        <v>20913</v>
      </c>
      <c r="G8292" t="str">
        <f>HYPERLINK("https://n.news.naver.com/mnews/article/082/0001307123?sid=103")</f>
        <v>https://n.news.naver.com/mnews/article/082/0001307123?sid=103</v>
      </c>
      <c r="H8292">
        <v>0.245</v>
      </c>
    </row>
    <row r="8293" spans="1:8" x14ac:dyDescent="0.3">
      <c r="A8293" t="s">
        <v>18176</v>
      </c>
      <c r="B8293" t="s">
        <v>26951</v>
      </c>
      <c r="C8293" t="s">
        <v>20918</v>
      </c>
      <c r="D8293" t="s">
        <v>20917</v>
      </c>
      <c r="E8293" s="2" t="s">
        <v>267</v>
      </c>
      <c r="F8293" t="s">
        <v>20916</v>
      </c>
      <c r="G8293" t="str">
        <f>HYPERLINK("https://www.dkilbo.com/news/articleView.html?idxno=503359")</f>
        <v>https://www.dkilbo.com/news/articleView.html?idxno=503359</v>
      </c>
      <c r="H8293">
        <v>0.38600000000000001</v>
      </c>
    </row>
    <row r="8294" spans="1:8" x14ac:dyDescent="0.3">
      <c r="A8294" t="s">
        <v>18176</v>
      </c>
      <c r="B8294" t="s">
        <v>26951</v>
      </c>
      <c r="C8294" t="s">
        <v>20920</v>
      </c>
      <c r="D8294" t="s">
        <v>20919</v>
      </c>
      <c r="E8294" s="2" t="s">
        <v>267</v>
      </c>
      <c r="F8294" t="s">
        <v>10287</v>
      </c>
      <c r="G8294" t="str">
        <f>HYPERLINK("http://www.banronbodo.com/news/articleView.html?idxno=23361")</f>
        <v>http://www.banronbodo.com/news/articleView.html?idxno=23361</v>
      </c>
      <c r="H8294">
        <v>0.124</v>
      </c>
    </row>
    <row r="8295" spans="1:8" x14ac:dyDescent="0.3">
      <c r="A8295" t="s">
        <v>18176</v>
      </c>
      <c r="B8295" t="s">
        <v>26951</v>
      </c>
      <c r="C8295" t="s">
        <v>20922</v>
      </c>
      <c r="D8295" t="s">
        <v>20921</v>
      </c>
      <c r="E8295" s="2" t="s">
        <v>267</v>
      </c>
      <c r="F8295" t="s">
        <v>19344</v>
      </c>
      <c r="G8295" t="str">
        <f>HYPERLINK("http://www.travelitoday.com/read/contentsView/10974/41")</f>
        <v>http://www.travelitoday.com/read/contentsView/10974/41</v>
      </c>
      <c r="H8295">
        <v>0.27500000000000002</v>
      </c>
    </row>
    <row r="8296" spans="1:8" x14ac:dyDescent="0.3">
      <c r="A8296" t="s">
        <v>18176</v>
      </c>
      <c r="B8296" t="s">
        <v>26951</v>
      </c>
      <c r="C8296" t="s">
        <v>20925</v>
      </c>
      <c r="D8296" t="s">
        <v>20924</v>
      </c>
      <c r="E8296" s="2" t="s">
        <v>267</v>
      </c>
      <c r="F8296" t="s">
        <v>20923</v>
      </c>
      <c r="G8296" t="str">
        <f>HYPERLINK("https://n.news.naver.com/mnews/article/005/0000861898?sid=103")</f>
        <v>https://n.news.naver.com/mnews/article/005/0000861898?sid=103</v>
      </c>
      <c r="H8296">
        <v>0.26500000000000001</v>
      </c>
    </row>
    <row r="8297" spans="1:8" x14ac:dyDescent="0.3">
      <c r="A8297" t="s">
        <v>18176</v>
      </c>
      <c r="B8297" t="s">
        <v>26951</v>
      </c>
      <c r="C8297" t="s">
        <v>20928</v>
      </c>
      <c r="D8297" t="s">
        <v>20927</v>
      </c>
      <c r="E8297" s="2" t="s">
        <v>267</v>
      </c>
      <c r="F8297" t="s">
        <v>20926</v>
      </c>
      <c r="G8297" t="str">
        <f>HYPERLINK("https://weekly.cnbnews.com/news/article.html?no=174151")</f>
        <v>https://weekly.cnbnews.com/news/article.html?no=174151</v>
      </c>
      <c r="H8297">
        <v>0.192</v>
      </c>
    </row>
    <row r="8298" spans="1:8" x14ac:dyDescent="0.3">
      <c r="A8298" t="s">
        <v>18176</v>
      </c>
      <c r="B8298" t="s">
        <v>26951</v>
      </c>
      <c r="C8298" t="s">
        <v>20930</v>
      </c>
      <c r="D8298" t="s">
        <v>20929</v>
      </c>
      <c r="E8298" s="2" t="s">
        <v>267</v>
      </c>
      <c r="F8298" t="s">
        <v>9944</v>
      </c>
      <c r="G8298" t="str">
        <f>HYPERLINK("https://n.news.naver.com/mnews/article/056/0011979441?sid=103")</f>
        <v>https://n.news.naver.com/mnews/article/056/0011979441?sid=103</v>
      </c>
      <c r="H8298">
        <v>0.21</v>
      </c>
    </row>
    <row r="8299" spans="1:8" x14ac:dyDescent="0.3">
      <c r="A8299" t="s">
        <v>18176</v>
      </c>
      <c r="B8299" t="s">
        <v>26951</v>
      </c>
      <c r="C8299" t="s">
        <v>20933</v>
      </c>
      <c r="D8299" t="s">
        <v>20932</v>
      </c>
      <c r="E8299" s="2" t="s">
        <v>267</v>
      </c>
      <c r="F8299" t="s">
        <v>20931</v>
      </c>
      <c r="G8299" t="str">
        <f>HYPERLINK("https://n.news.naver.com/mnews/article/022/0004048225?sid=104")</f>
        <v>https://n.news.naver.com/mnews/article/022/0004048225?sid=104</v>
      </c>
      <c r="H8299">
        <v>0.432</v>
      </c>
    </row>
    <row r="8300" spans="1:8" x14ac:dyDescent="0.3">
      <c r="A8300" t="s">
        <v>18176</v>
      </c>
      <c r="B8300" t="s">
        <v>26951</v>
      </c>
      <c r="C8300" t="s">
        <v>20936</v>
      </c>
      <c r="D8300" t="s">
        <v>20935</v>
      </c>
      <c r="E8300" s="2" t="s">
        <v>267</v>
      </c>
      <c r="F8300" t="s">
        <v>20934</v>
      </c>
      <c r="G8300" t="str">
        <f>HYPERLINK("http://www.readersnews.com/news/articleView.html?idxno=115483")</f>
        <v>http://www.readersnews.com/news/articleView.html?idxno=115483</v>
      </c>
      <c r="H8300">
        <v>0.622</v>
      </c>
    </row>
    <row r="8301" spans="1:8" x14ac:dyDescent="0.3">
      <c r="A8301" t="s">
        <v>18176</v>
      </c>
      <c r="B8301" t="s">
        <v>26951</v>
      </c>
      <c r="C8301" t="s">
        <v>20939</v>
      </c>
      <c r="D8301" t="s">
        <v>20938</v>
      </c>
      <c r="E8301" s="2" t="s">
        <v>267</v>
      </c>
      <c r="F8301" t="s">
        <v>20937</v>
      </c>
      <c r="G8301" t="str">
        <f>HYPERLINK("https://ilyo.co.kr/?ac=article_view&amp;entry_id=432184")</f>
        <v>https://ilyo.co.kr/?ac=article_view&amp;entry_id=432184</v>
      </c>
      <c r="H8301">
        <v>3.5999999999999997E-2</v>
      </c>
    </row>
    <row r="8302" spans="1:8" x14ac:dyDescent="0.3">
      <c r="A8302" t="s">
        <v>18176</v>
      </c>
      <c r="B8302" t="s">
        <v>26951</v>
      </c>
      <c r="C8302" t="s">
        <v>20942</v>
      </c>
      <c r="D8302" t="s">
        <v>20941</v>
      </c>
      <c r="E8302" s="2" t="s">
        <v>267</v>
      </c>
      <c r="F8302" t="s">
        <v>20940</v>
      </c>
      <c r="G8302" t="str">
        <f>HYPERLINK("https://n.news.naver.com/mnews/article/014/0005370944?sid=102")</f>
        <v>https://n.news.naver.com/mnews/article/014/0005370944?sid=102</v>
      </c>
      <c r="H8302">
        <v>0.311</v>
      </c>
    </row>
    <row r="8303" spans="1:8" x14ac:dyDescent="0.3">
      <c r="A8303" t="s">
        <v>18176</v>
      </c>
      <c r="B8303" t="s">
        <v>26951</v>
      </c>
      <c r="C8303" t="s">
        <v>20945</v>
      </c>
      <c r="D8303" t="s">
        <v>20944</v>
      </c>
      <c r="E8303" s="2" t="s">
        <v>267</v>
      </c>
      <c r="F8303" t="s">
        <v>11379</v>
      </c>
      <c r="G8303" t="str">
        <f>HYPERLINK("http://www.opinionnews.co.kr/news/articleView.html?idxno=30880")</f>
        <v>http://www.opinionnews.co.kr/news/articleView.html?idxno=30880</v>
      </c>
      <c r="H8303">
        <v>0.255</v>
      </c>
    </row>
    <row r="8304" spans="1:8" x14ac:dyDescent="0.3">
      <c r="A8304" t="s">
        <v>18176</v>
      </c>
      <c r="B8304" t="s">
        <v>26951</v>
      </c>
      <c r="C8304" t="s">
        <v>20948</v>
      </c>
      <c r="D8304" t="s">
        <v>20947</v>
      </c>
      <c r="E8304" s="2" t="s">
        <v>267</v>
      </c>
      <c r="F8304" t="s">
        <v>20946</v>
      </c>
      <c r="G8304" t="str">
        <f>HYPERLINK("http://www.newswatch.kr/news/articleView.html?idxno=66445")</f>
        <v>http://www.newswatch.kr/news/articleView.html?idxno=66445</v>
      </c>
      <c r="H8304">
        <v>0.498</v>
      </c>
    </row>
    <row r="8305" spans="1:8" x14ac:dyDescent="0.3">
      <c r="A8305" t="s">
        <v>18176</v>
      </c>
      <c r="B8305" t="s">
        <v>26951</v>
      </c>
      <c r="C8305" t="s">
        <v>20950</v>
      </c>
      <c r="D8305" t="s">
        <v>20949</v>
      </c>
      <c r="E8305" s="2" t="s">
        <v>267</v>
      </c>
      <c r="F8305" t="s">
        <v>7465</v>
      </c>
      <c r="G8305" t="str">
        <f>HYPERLINK("http://news.unn.net/news/articleView.html?idxno=164735")</f>
        <v>http://news.unn.net/news/articleView.html?idxno=164735</v>
      </c>
      <c r="H8305">
        <v>0.16800000000000001</v>
      </c>
    </row>
    <row r="8306" spans="1:8" x14ac:dyDescent="0.3">
      <c r="A8306" t="s">
        <v>18176</v>
      </c>
      <c r="B8306" t="s">
        <v>26951</v>
      </c>
      <c r="C8306" t="s">
        <v>20953</v>
      </c>
      <c r="D8306" t="s">
        <v>20952</v>
      </c>
      <c r="E8306" s="2" t="s">
        <v>267</v>
      </c>
      <c r="F8306" t="s">
        <v>20951</v>
      </c>
      <c r="G8306" t="str">
        <f>HYPERLINK("https://www.jemin.com/news/articleView.html?idxno=818862")</f>
        <v>https://www.jemin.com/news/articleView.html?idxno=818862</v>
      </c>
      <c r="H8306">
        <v>0.28499999999999998</v>
      </c>
    </row>
    <row r="8307" spans="1:8" x14ac:dyDescent="0.3">
      <c r="A8307" t="s">
        <v>18176</v>
      </c>
      <c r="B8307" t="s">
        <v>26951</v>
      </c>
      <c r="C8307" t="s">
        <v>20956</v>
      </c>
      <c r="D8307" t="s">
        <v>20955</v>
      </c>
      <c r="E8307" s="2" t="s">
        <v>267</v>
      </c>
      <c r="F8307" t="s">
        <v>20954</v>
      </c>
      <c r="G8307" t="str">
        <f>HYPERLINK("https://www.huffingtonpost.kr/news/articleView.html?idxno=220512")</f>
        <v>https://www.huffingtonpost.kr/news/articleView.html?idxno=220512</v>
      </c>
      <c r="H8307">
        <v>0.45900000000000002</v>
      </c>
    </row>
    <row r="8308" spans="1:8" x14ac:dyDescent="0.3">
      <c r="A8308" t="s">
        <v>18176</v>
      </c>
      <c r="B8308" t="s">
        <v>26951</v>
      </c>
      <c r="C8308" t="s">
        <v>20958</v>
      </c>
      <c r="D8308" t="s">
        <v>20957</v>
      </c>
      <c r="E8308" s="2" t="s">
        <v>267</v>
      </c>
      <c r="F8308" t="s">
        <v>19131</v>
      </c>
      <c r="G8308" t="str">
        <f>HYPERLINK("https://n.news.naver.com/mnews/article/018/0004414481?sid=101")</f>
        <v>https://n.news.naver.com/mnews/article/018/0004414481?sid=101</v>
      </c>
      <c r="H8308">
        <v>0.21</v>
      </c>
    </row>
    <row r="8309" spans="1:8" x14ac:dyDescent="0.3">
      <c r="A8309" t="s">
        <v>18176</v>
      </c>
      <c r="B8309" t="s">
        <v>26951</v>
      </c>
      <c r="C8309" t="s">
        <v>20960</v>
      </c>
      <c r="D8309" t="s">
        <v>20959</v>
      </c>
      <c r="E8309" s="2" t="s">
        <v>267</v>
      </c>
      <c r="F8309" t="s">
        <v>19806</v>
      </c>
      <c r="G8309" t="str">
        <f>HYPERLINK("https://www.getnews.co.kr/news/articleView.html?idxno=814835")</f>
        <v>https://www.getnews.co.kr/news/articleView.html?idxno=814835</v>
      </c>
      <c r="H8309">
        <v>0.61499999999999999</v>
      </c>
    </row>
    <row r="8310" spans="1:8" x14ac:dyDescent="0.3">
      <c r="A8310" t="s">
        <v>18176</v>
      </c>
      <c r="B8310" t="s">
        <v>26951</v>
      </c>
      <c r="C8310" t="s">
        <v>20962</v>
      </c>
      <c r="D8310" t="s">
        <v>20961</v>
      </c>
      <c r="E8310" s="2" t="s">
        <v>267</v>
      </c>
      <c r="F8310" t="s">
        <v>18541</v>
      </c>
      <c r="G8310" t="str">
        <f>HYPERLINK("https://n.news.naver.com/mnews/article/016/0002480084?sid=103")</f>
        <v>https://n.news.naver.com/mnews/article/016/0002480084?sid=103</v>
      </c>
      <c r="H8310">
        <v>0.193</v>
      </c>
    </row>
    <row r="8311" spans="1:8" x14ac:dyDescent="0.3">
      <c r="A8311" t="s">
        <v>18176</v>
      </c>
      <c r="B8311" t="s">
        <v>26951</v>
      </c>
      <c r="C8311" t="s">
        <v>20965</v>
      </c>
      <c r="D8311" t="s">
        <v>20964</v>
      </c>
      <c r="E8311" s="2" t="s">
        <v>267</v>
      </c>
      <c r="F8311" t="s">
        <v>20963</v>
      </c>
      <c r="G8311" t="str">
        <f>HYPERLINK("http://www.netongs.com/news/articleView.html?idxno=316903")</f>
        <v>http://www.netongs.com/news/articleView.html?idxno=316903</v>
      </c>
      <c r="H8311">
        <v>0.57199999999999995</v>
      </c>
    </row>
    <row r="8312" spans="1:8" x14ac:dyDescent="0.3">
      <c r="A8312" t="s">
        <v>18176</v>
      </c>
      <c r="B8312" t="s">
        <v>26951</v>
      </c>
      <c r="C8312" t="s">
        <v>20968</v>
      </c>
      <c r="D8312" t="s">
        <v>20967</v>
      </c>
      <c r="E8312" s="2" t="s">
        <v>267</v>
      </c>
      <c r="F8312" t="s">
        <v>20966</v>
      </c>
      <c r="G8312" t="str">
        <f>HYPERLINK("https://www.greened.kr/news/articleView.html?idxno=323785")</f>
        <v>https://www.greened.kr/news/articleView.html?idxno=323785</v>
      </c>
      <c r="H8312">
        <v>0.46300000000000002</v>
      </c>
    </row>
    <row r="8313" spans="1:8" x14ac:dyDescent="0.3">
      <c r="A8313" t="s">
        <v>18176</v>
      </c>
      <c r="B8313" t="s">
        <v>26951</v>
      </c>
      <c r="C8313" t="s">
        <v>20971</v>
      </c>
      <c r="D8313" t="s">
        <v>20970</v>
      </c>
      <c r="E8313" s="2" t="s">
        <v>267</v>
      </c>
      <c r="F8313" t="s">
        <v>20969</v>
      </c>
      <c r="G8313" t="str">
        <f>HYPERLINK("https://n.news.naver.com/mnews/article/082/0001308496?sid=102")</f>
        <v>https://n.news.naver.com/mnews/article/082/0001308496?sid=102</v>
      </c>
      <c r="H8313">
        <v>0.216</v>
      </c>
    </row>
    <row r="8314" spans="1:8" x14ac:dyDescent="0.3">
      <c r="A8314" t="s">
        <v>18176</v>
      </c>
      <c r="B8314" t="s">
        <v>26951</v>
      </c>
      <c r="C8314" t="s">
        <v>20974</v>
      </c>
      <c r="D8314" t="s">
        <v>20973</v>
      </c>
      <c r="E8314" s="2" t="s">
        <v>267</v>
      </c>
      <c r="F8314" t="s">
        <v>20972</v>
      </c>
      <c r="G8314" t="str">
        <f>HYPERLINK("https://m.entertain.naver.com/article/076/0000076747")</f>
        <v>https://m.entertain.naver.com/article/076/0000076747</v>
      </c>
      <c r="H8314">
        <v>0.39600000000000002</v>
      </c>
    </row>
    <row r="8315" spans="1:8" x14ac:dyDescent="0.3">
      <c r="A8315" t="s">
        <v>18176</v>
      </c>
      <c r="B8315" t="s">
        <v>26951</v>
      </c>
      <c r="C8315" t="s">
        <v>20977</v>
      </c>
      <c r="D8315" t="s">
        <v>20976</v>
      </c>
      <c r="E8315" s="2" t="s">
        <v>267</v>
      </c>
      <c r="F8315" t="s">
        <v>20975</v>
      </c>
      <c r="G8315" t="str">
        <f>HYPERLINK("http://apnews.kr/View.aspx?No=1075086")</f>
        <v>http://apnews.kr/View.aspx?No=1075086</v>
      </c>
      <c r="H8315">
        <v>0.42599999999999999</v>
      </c>
    </row>
    <row r="8316" spans="1:8" x14ac:dyDescent="0.3">
      <c r="A8316" t="s">
        <v>18176</v>
      </c>
      <c r="B8316" t="s">
        <v>26951</v>
      </c>
      <c r="C8316" t="s">
        <v>20980</v>
      </c>
      <c r="D8316" t="s">
        <v>20979</v>
      </c>
      <c r="E8316" s="2" t="s">
        <v>267</v>
      </c>
      <c r="F8316" t="s">
        <v>20978</v>
      </c>
      <c r="G8316" t="str">
        <f>HYPERLINK("https://www.ablenews.co.kr/news/articleView.html?idxno=222524")</f>
        <v>https://www.ablenews.co.kr/news/articleView.html?idxno=222524</v>
      </c>
      <c r="H8316">
        <v>0.55100000000000005</v>
      </c>
    </row>
    <row r="8317" spans="1:8" x14ac:dyDescent="0.3">
      <c r="A8317" t="s">
        <v>18176</v>
      </c>
      <c r="B8317" t="s">
        <v>26951</v>
      </c>
      <c r="C8317" t="s">
        <v>20983</v>
      </c>
      <c r="D8317" t="s">
        <v>20982</v>
      </c>
      <c r="E8317" s="2" t="s">
        <v>267</v>
      </c>
      <c r="F8317" t="s">
        <v>20981</v>
      </c>
      <c r="G8317" t="str">
        <f>HYPERLINK("https://ppss.kr/archives/264128")</f>
        <v>https://ppss.kr/archives/264128</v>
      </c>
      <c r="H8317">
        <v>0.38700000000000001</v>
      </c>
    </row>
    <row r="8318" spans="1:8" x14ac:dyDescent="0.3">
      <c r="A8318" t="s">
        <v>18176</v>
      </c>
      <c r="B8318" t="s">
        <v>26951</v>
      </c>
      <c r="C8318" t="s">
        <v>20986</v>
      </c>
      <c r="D8318" t="s">
        <v>20985</v>
      </c>
      <c r="E8318" s="2" t="s">
        <v>267</v>
      </c>
      <c r="F8318" t="s">
        <v>20984</v>
      </c>
      <c r="G8318" t="str">
        <f>HYPERLINK("https://n.news.naver.com/mnews/article/469/0000873428?sid=102")</f>
        <v>https://n.news.naver.com/mnews/article/469/0000873428?sid=102</v>
      </c>
      <c r="H8318">
        <v>0.16</v>
      </c>
    </row>
    <row r="8319" spans="1:8" x14ac:dyDescent="0.3">
      <c r="A8319" t="s">
        <v>18176</v>
      </c>
      <c r="B8319" t="s">
        <v>26951</v>
      </c>
      <c r="C8319" t="s">
        <v>20988</v>
      </c>
      <c r="D8319" t="s">
        <v>20987</v>
      </c>
      <c r="E8319" s="2" t="s">
        <v>267</v>
      </c>
      <c r="F8319" t="s">
        <v>11702</v>
      </c>
      <c r="G8319" t="str">
        <f>HYPERLINK("https://www.pennmike.com/news/articleView.html?idxno=91772")</f>
        <v>https://www.pennmike.com/news/articleView.html?idxno=91772</v>
      </c>
      <c r="H8319">
        <v>0.44</v>
      </c>
    </row>
    <row r="8320" spans="1:8" x14ac:dyDescent="0.3">
      <c r="A8320" t="s">
        <v>18176</v>
      </c>
      <c r="B8320" t="s">
        <v>26951</v>
      </c>
      <c r="C8320" t="s">
        <v>20990</v>
      </c>
      <c r="D8320" t="s">
        <v>20989</v>
      </c>
      <c r="E8320" s="2" t="s">
        <v>267</v>
      </c>
      <c r="F8320" t="s">
        <v>10654</v>
      </c>
      <c r="G8320" t="str">
        <f>HYPERLINK("https://n.news.naver.com/mnews/article/469/0000873177?sid=101")</f>
        <v>https://n.news.naver.com/mnews/article/469/0000873177?sid=101</v>
      </c>
      <c r="H8320">
        <v>0.29599999999999999</v>
      </c>
    </row>
    <row r="8321" spans="1:8" x14ac:dyDescent="0.3">
      <c r="A8321" t="s">
        <v>18176</v>
      </c>
      <c r="B8321" t="s">
        <v>26951</v>
      </c>
      <c r="C8321" t="s">
        <v>20993</v>
      </c>
      <c r="D8321" t="s">
        <v>20992</v>
      </c>
      <c r="E8321" s="2" t="s">
        <v>267</v>
      </c>
      <c r="F8321" t="s">
        <v>20991</v>
      </c>
      <c r="G8321" t="str">
        <f>HYPERLINK("https://www.lecturernews.com/news/articleView.html?idxno=181172")</f>
        <v>https://www.lecturernews.com/news/articleView.html?idxno=181172</v>
      </c>
      <c r="H8321">
        <v>0.377</v>
      </c>
    </row>
    <row r="8322" spans="1:8" x14ac:dyDescent="0.3">
      <c r="A8322" t="s">
        <v>18176</v>
      </c>
      <c r="B8322" t="s">
        <v>26951</v>
      </c>
      <c r="C8322" t="s">
        <v>20996</v>
      </c>
      <c r="D8322" t="s">
        <v>20995</v>
      </c>
      <c r="E8322" s="2" t="s">
        <v>267</v>
      </c>
      <c r="F8322" t="s">
        <v>20994</v>
      </c>
      <c r="G8322" t="str">
        <f>HYPERLINK("http://www.dtnews24.com/news/article.html?no=410424")</f>
        <v>http://www.dtnews24.com/news/article.html?no=410424</v>
      </c>
      <c r="H8322">
        <v>0.46600000000000003</v>
      </c>
    </row>
    <row r="8323" spans="1:8" x14ac:dyDescent="0.3">
      <c r="A8323" t="s">
        <v>18176</v>
      </c>
      <c r="B8323" t="s">
        <v>26951</v>
      </c>
      <c r="C8323" t="s">
        <v>20999</v>
      </c>
      <c r="D8323" t="s">
        <v>20998</v>
      </c>
      <c r="E8323" s="2" t="s">
        <v>267</v>
      </c>
      <c r="F8323" t="s">
        <v>20997</v>
      </c>
      <c r="G8323" t="str">
        <f>HYPERLINK("http://apnews.kr/View.aspx?No=334761")</f>
        <v>http://apnews.kr/View.aspx?No=334761</v>
      </c>
      <c r="H8323">
        <v>0.26800000000000002</v>
      </c>
    </row>
    <row r="8324" spans="1:8" x14ac:dyDescent="0.3">
      <c r="A8324" t="s">
        <v>18176</v>
      </c>
      <c r="B8324" t="s">
        <v>26951</v>
      </c>
      <c r="C8324" t="s">
        <v>21002</v>
      </c>
      <c r="D8324" t="s">
        <v>21001</v>
      </c>
      <c r="E8324" s="2" t="s">
        <v>267</v>
      </c>
      <c r="F8324" t="s">
        <v>21000</v>
      </c>
      <c r="G8324" t="str">
        <f>HYPERLINK("http://www.redian.org/archive/147174")</f>
        <v>http://www.redian.org/archive/147174</v>
      </c>
      <c r="H8324">
        <v>7.3999999999999996E-2</v>
      </c>
    </row>
    <row r="8325" spans="1:8" x14ac:dyDescent="0.3">
      <c r="A8325" t="s">
        <v>18176</v>
      </c>
      <c r="B8325" t="s">
        <v>26951</v>
      </c>
      <c r="C8325" t="s">
        <v>21005</v>
      </c>
      <c r="D8325" t="s">
        <v>21004</v>
      </c>
      <c r="E8325" s="2" t="s">
        <v>267</v>
      </c>
      <c r="F8325" t="s">
        <v>21003</v>
      </c>
      <c r="G8325" t="str">
        <f>HYPERLINK("http://www.dongponews.net/news/articleView.html?idxno=33254")</f>
        <v>http://www.dongponews.net/news/articleView.html?idxno=33254</v>
      </c>
      <c r="H8325">
        <v>0.16400000000000001</v>
      </c>
    </row>
    <row r="8326" spans="1:8" x14ac:dyDescent="0.3">
      <c r="A8326" t="s">
        <v>18176</v>
      </c>
      <c r="B8326" t="s">
        <v>26951</v>
      </c>
      <c r="C8326" t="s">
        <v>13102</v>
      </c>
      <c r="D8326" t="s">
        <v>13101</v>
      </c>
      <c r="E8326" s="2" t="s">
        <v>267</v>
      </c>
      <c r="F8326" t="s">
        <v>1822</v>
      </c>
      <c r="G8326" t="str">
        <f>HYPERLINK("https://www.jemin.com/news/articleView.html?idxno=819892")</f>
        <v>https://www.jemin.com/news/articleView.html?idxno=819892</v>
      </c>
      <c r="H8326">
        <v>0.38100000000000001</v>
      </c>
    </row>
    <row r="8327" spans="1:8" x14ac:dyDescent="0.3">
      <c r="A8327" t="s">
        <v>18176</v>
      </c>
      <c r="B8327" t="s">
        <v>26951</v>
      </c>
      <c r="C8327" t="s">
        <v>21007</v>
      </c>
      <c r="D8327" t="s">
        <v>21006</v>
      </c>
      <c r="E8327" s="2" t="s">
        <v>280</v>
      </c>
      <c r="F8327" t="s">
        <v>5548</v>
      </c>
      <c r="G8327" t="str">
        <f>HYPERLINK("https://www.ntoday.co.kr/news/articleView.html?idxno=100649")</f>
        <v>https://www.ntoday.co.kr/news/articleView.html?idxno=100649</v>
      </c>
      <c r="H8327">
        <v>0.53</v>
      </c>
    </row>
    <row r="8328" spans="1:8" x14ac:dyDescent="0.3">
      <c r="A8328" t="s">
        <v>18176</v>
      </c>
      <c r="B8328" t="s">
        <v>26951</v>
      </c>
      <c r="C8328" t="s">
        <v>21009</v>
      </c>
      <c r="D8328" t="s">
        <v>21008</v>
      </c>
      <c r="E8328" s="2" t="s">
        <v>280</v>
      </c>
      <c r="F8328" t="s">
        <v>19835</v>
      </c>
      <c r="G8328" t="str">
        <f>HYPERLINK("http://www.kukinews.com/news/article.html?no=544145")</f>
        <v>http://www.kukinews.com/news/article.html?no=544145</v>
      </c>
      <c r="H8328">
        <v>0.38200000000000001</v>
      </c>
    </row>
    <row r="8329" spans="1:8" x14ac:dyDescent="0.3">
      <c r="A8329" t="s">
        <v>18176</v>
      </c>
      <c r="B8329" t="s">
        <v>26951</v>
      </c>
      <c r="C8329" t="s">
        <v>21012</v>
      </c>
      <c r="D8329" t="s">
        <v>21011</v>
      </c>
      <c r="E8329" s="2" t="s">
        <v>280</v>
      </c>
      <c r="F8329" t="s">
        <v>21010</v>
      </c>
      <c r="G8329" t="str">
        <f>HYPERLINK("https://n.news.naver.com/mnews/article/032/0002100275?sid=103")</f>
        <v>https://n.news.naver.com/mnews/article/032/0002100275?sid=103</v>
      </c>
      <c r="H8329">
        <v>0.17899999999999999</v>
      </c>
    </row>
    <row r="8330" spans="1:8" x14ac:dyDescent="0.3">
      <c r="A8330" t="s">
        <v>18176</v>
      </c>
      <c r="B8330" t="s">
        <v>26951</v>
      </c>
      <c r="C8330" t="s">
        <v>21014</v>
      </c>
      <c r="D8330" t="s">
        <v>21013</v>
      </c>
      <c r="E8330" s="2" t="s">
        <v>280</v>
      </c>
      <c r="F8330" t="s">
        <v>13669</v>
      </c>
      <c r="G8330" t="str">
        <f>HYPERLINK("http://www.joongboo.com/news/articleView.html?idxno=1361103")</f>
        <v>http://www.joongboo.com/news/articleView.html?idxno=1361103</v>
      </c>
      <c r="H8330">
        <v>0.47499999999999998</v>
      </c>
    </row>
    <row r="8331" spans="1:8" x14ac:dyDescent="0.3">
      <c r="A8331" t="s">
        <v>18176</v>
      </c>
      <c r="B8331" t="s">
        <v>26951</v>
      </c>
      <c r="C8331" t="s">
        <v>21016</v>
      </c>
      <c r="D8331" t="s">
        <v>21015</v>
      </c>
      <c r="E8331" s="2" t="s">
        <v>280</v>
      </c>
      <c r="F8331" t="s">
        <v>1908</v>
      </c>
      <c r="G8331" t="str">
        <f>HYPERLINK("http://www.sctoday.co.kr/news/articleView.html?idxno=41870")</f>
        <v>http://www.sctoday.co.kr/news/articleView.html?idxno=41870</v>
      </c>
      <c r="H8331">
        <v>0.52700000000000002</v>
      </c>
    </row>
    <row r="8332" spans="1:8" x14ac:dyDescent="0.3">
      <c r="A8332" t="s">
        <v>18176</v>
      </c>
      <c r="B8332" t="s">
        <v>26951</v>
      </c>
      <c r="C8332" t="s">
        <v>21019</v>
      </c>
      <c r="D8332" t="s">
        <v>21018</v>
      </c>
      <c r="E8332" s="2" t="s">
        <v>280</v>
      </c>
      <c r="F8332" t="s">
        <v>21017</v>
      </c>
      <c r="G8332" t="str">
        <f>HYPERLINK("https://www.lecturernews.com/news/articleView.html?idxno=177199")</f>
        <v>https://www.lecturernews.com/news/articleView.html?idxno=177199</v>
      </c>
      <c r="H8332">
        <v>0.32800000000000001</v>
      </c>
    </row>
    <row r="8333" spans="1:8" x14ac:dyDescent="0.3">
      <c r="A8333" t="s">
        <v>18176</v>
      </c>
      <c r="B8333" t="s">
        <v>26951</v>
      </c>
      <c r="C8333" t="s">
        <v>21022</v>
      </c>
      <c r="D8333" t="s">
        <v>21021</v>
      </c>
      <c r="E8333" s="2" t="s">
        <v>280</v>
      </c>
      <c r="F8333" t="s">
        <v>21020</v>
      </c>
      <c r="G8333" t="str">
        <f>HYPERLINK("http://www.greened.kr/news/articleView.html?idxno=297429")</f>
        <v>http://www.greened.kr/news/articleView.html?idxno=297429</v>
      </c>
      <c r="H8333">
        <v>0.59899999999999998</v>
      </c>
    </row>
    <row r="8334" spans="1:8" x14ac:dyDescent="0.3">
      <c r="A8334" t="s">
        <v>18176</v>
      </c>
      <c r="B8334" t="s">
        <v>26951</v>
      </c>
      <c r="C8334" t="s">
        <v>21024</v>
      </c>
      <c r="D8334" t="s">
        <v>21023</v>
      </c>
      <c r="E8334" s="2" t="s">
        <v>280</v>
      </c>
      <c r="F8334" t="s">
        <v>7224</v>
      </c>
      <c r="G8334" t="str">
        <f>HYPERLINK("http://www.ccnnews.co.kr/news/articleView.html?idxno=375421")</f>
        <v>http://www.ccnnews.co.kr/news/articleView.html?idxno=375421</v>
      </c>
      <c r="H8334">
        <v>0.53</v>
      </c>
    </row>
    <row r="8335" spans="1:8" x14ac:dyDescent="0.3">
      <c r="A8335" t="s">
        <v>18176</v>
      </c>
      <c r="B8335" t="s">
        <v>26951</v>
      </c>
      <c r="C8335" t="s">
        <v>8308</v>
      </c>
      <c r="D8335" t="s">
        <v>8307</v>
      </c>
      <c r="E8335" s="2" t="s">
        <v>280</v>
      </c>
      <c r="F8335" t="s">
        <v>8306</v>
      </c>
      <c r="G8335" t="str">
        <f>HYPERLINK("https://n.news.naver.com/mnews/article/056/0011974419?sid=102")</f>
        <v>https://n.news.naver.com/mnews/article/056/0011974419?sid=102</v>
      </c>
      <c r="H8335">
        <v>0.23400000000000001</v>
      </c>
    </row>
    <row r="8336" spans="1:8" x14ac:dyDescent="0.3">
      <c r="A8336" t="s">
        <v>18176</v>
      </c>
      <c r="B8336" t="s">
        <v>26951</v>
      </c>
      <c r="C8336" t="s">
        <v>21026</v>
      </c>
      <c r="D8336" t="s">
        <v>21025</v>
      </c>
      <c r="E8336" s="2" t="s">
        <v>280</v>
      </c>
      <c r="F8336" t="s">
        <v>4786</v>
      </c>
      <c r="G8336" t="str">
        <f>HYPERLINK("http://www.cctimes.kr/news/articleView.html?idxno=853575")</f>
        <v>http://www.cctimes.kr/news/articleView.html?idxno=853575</v>
      </c>
      <c r="H8336">
        <v>0.54800000000000004</v>
      </c>
    </row>
    <row r="8337" spans="1:8" x14ac:dyDescent="0.3">
      <c r="A8337" t="s">
        <v>18176</v>
      </c>
      <c r="B8337" t="s">
        <v>26951</v>
      </c>
      <c r="C8337" t="s">
        <v>21028</v>
      </c>
      <c r="D8337" t="s">
        <v>21027</v>
      </c>
      <c r="E8337" s="2" t="s">
        <v>280</v>
      </c>
      <c r="F8337" t="s">
        <v>15651</v>
      </c>
      <c r="G8337" t="str">
        <f>HYPERLINK("http://www.pennmike.com/news/articleView.html?idxno=64132")</f>
        <v>http://www.pennmike.com/news/articleView.html?idxno=64132</v>
      </c>
      <c r="H8337">
        <v>0.251</v>
      </c>
    </row>
    <row r="8338" spans="1:8" x14ac:dyDescent="0.3">
      <c r="A8338" t="s">
        <v>18176</v>
      </c>
      <c r="B8338" t="s">
        <v>26951</v>
      </c>
      <c r="C8338" t="s">
        <v>21031</v>
      </c>
      <c r="D8338" t="s">
        <v>21030</v>
      </c>
      <c r="E8338" s="2" t="s">
        <v>280</v>
      </c>
      <c r="F8338" t="s">
        <v>21029</v>
      </c>
      <c r="G8338" t="str">
        <f>HYPERLINK("https://www.beopbo.com/news/articleView.html?idxno=329845")</f>
        <v>https://www.beopbo.com/news/articleView.html?idxno=329845</v>
      </c>
      <c r="H8338">
        <v>0.622</v>
      </c>
    </row>
    <row r="8339" spans="1:8" x14ac:dyDescent="0.3">
      <c r="A8339" t="s">
        <v>18176</v>
      </c>
      <c r="B8339" t="s">
        <v>26951</v>
      </c>
      <c r="C8339" t="s">
        <v>21034</v>
      </c>
      <c r="D8339" t="s">
        <v>21033</v>
      </c>
      <c r="E8339" s="2" t="s">
        <v>280</v>
      </c>
      <c r="F8339" t="s">
        <v>21032</v>
      </c>
      <c r="G8339" t="str">
        <f>HYPERLINK("https://n.news.naver.com/mnews/article/214/0001371223?sid=100")</f>
        <v>https://n.news.naver.com/mnews/article/214/0001371223?sid=100</v>
      </c>
      <c r="H8339">
        <v>0.39600000000000002</v>
      </c>
    </row>
    <row r="8340" spans="1:8" x14ac:dyDescent="0.3">
      <c r="A8340" t="s">
        <v>18176</v>
      </c>
      <c r="B8340" t="s">
        <v>26951</v>
      </c>
      <c r="C8340" t="s">
        <v>21036</v>
      </c>
      <c r="D8340" t="s">
        <v>21035</v>
      </c>
      <c r="E8340" s="2" t="s">
        <v>280</v>
      </c>
      <c r="F8340" t="s">
        <v>14293</v>
      </c>
      <c r="G8340" t="str">
        <f>HYPERLINK("http://www.pdjournal.com/news/articleView.html?idxno=22203")</f>
        <v>http://www.pdjournal.com/news/articleView.html?idxno=22203</v>
      </c>
      <c r="H8340">
        <v>0.56499999999999995</v>
      </c>
    </row>
    <row r="8341" spans="1:8" x14ac:dyDescent="0.3">
      <c r="A8341" t="s">
        <v>18176</v>
      </c>
      <c r="B8341" t="s">
        <v>26951</v>
      </c>
      <c r="C8341" t="s">
        <v>21039</v>
      </c>
      <c r="D8341" t="s">
        <v>21038</v>
      </c>
      <c r="E8341" s="2" t="s">
        <v>280</v>
      </c>
      <c r="F8341" t="s">
        <v>21037</v>
      </c>
      <c r="G8341" t="str">
        <f>HYPERLINK("https://www.newspim.com/news/view/20250604000409")</f>
        <v>https://www.newspim.com/news/view/20250604000409</v>
      </c>
      <c r="H8341">
        <v>0.30099999999999999</v>
      </c>
    </row>
    <row r="8342" spans="1:8" x14ac:dyDescent="0.3">
      <c r="A8342" t="s">
        <v>18176</v>
      </c>
      <c r="B8342" t="s">
        <v>26951</v>
      </c>
      <c r="C8342" t="s">
        <v>21041</v>
      </c>
      <c r="D8342" t="s">
        <v>21040</v>
      </c>
      <c r="E8342" s="2" t="s">
        <v>280</v>
      </c>
      <c r="F8342" t="s">
        <v>19280</v>
      </c>
      <c r="G8342" t="str">
        <f>HYPERLINK("https://www.greened.kr/news/articleView.html?idxno=326362")</f>
        <v>https://www.greened.kr/news/articleView.html?idxno=326362</v>
      </c>
      <c r="H8342">
        <v>0.185</v>
      </c>
    </row>
    <row r="8343" spans="1:8" x14ac:dyDescent="0.3">
      <c r="A8343" t="s">
        <v>18176</v>
      </c>
      <c r="B8343" t="s">
        <v>26951</v>
      </c>
      <c r="C8343" t="s">
        <v>21043</v>
      </c>
      <c r="D8343" t="s">
        <v>21042</v>
      </c>
      <c r="E8343" s="2" t="s">
        <v>280</v>
      </c>
      <c r="F8343" t="s">
        <v>17037</v>
      </c>
      <c r="G8343" t="str">
        <f>HYPERLINK("http://www.yangsanilbo.com/news/articleView.html?idxno=117369")</f>
        <v>http://www.yangsanilbo.com/news/articleView.html?idxno=117369</v>
      </c>
      <c r="H8343">
        <v>0.435</v>
      </c>
    </row>
    <row r="8344" spans="1:8" x14ac:dyDescent="0.3">
      <c r="A8344" t="s">
        <v>18176</v>
      </c>
      <c r="B8344" t="s">
        <v>26951</v>
      </c>
      <c r="C8344" t="s">
        <v>21046</v>
      </c>
      <c r="D8344" t="s">
        <v>21045</v>
      </c>
      <c r="E8344" s="2" t="s">
        <v>280</v>
      </c>
      <c r="F8344" t="s">
        <v>21044</v>
      </c>
      <c r="G8344" t="str">
        <f>HYPERLINK("https://n.news.naver.com/mnews/article/032/0002177883?sid=103")</f>
        <v>https://n.news.naver.com/mnews/article/032/0002177883?sid=103</v>
      </c>
      <c r="H8344">
        <v>0.32900000000000001</v>
      </c>
    </row>
    <row r="8345" spans="1:8" x14ac:dyDescent="0.3">
      <c r="A8345" t="s">
        <v>18176</v>
      </c>
      <c r="B8345" t="s">
        <v>26951</v>
      </c>
      <c r="C8345" t="s">
        <v>21049</v>
      </c>
      <c r="D8345" t="s">
        <v>21048</v>
      </c>
      <c r="E8345" s="2" t="s">
        <v>280</v>
      </c>
      <c r="F8345" t="s">
        <v>21047</v>
      </c>
      <c r="G8345" t="str">
        <f>HYPERLINK("https://n.news.naver.com/mnews/article/032/0003377263?sid=102")</f>
        <v>https://n.news.naver.com/mnews/article/032/0003377263?sid=102</v>
      </c>
      <c r="H8345">
        <v>0.28199999999999997</v>
      </c>
    </row>
    <row r="8346" spans="1:8" x14ac:dyDescent="0.3">
      <c r="A8346" t="s">
        <v>18176</v>
      </c>
      <c r="B8346" t="s">
        <v>26951</v>
      </c>
      <c r="C8346" t="s">
        <v>21052</v>
      </c>
      <c r="D8346" t="s">
        <v>21051</v>
      </c>
      <c r="E8346" s="2" t="s">
        <v>280</v>
      </c>
      <c r="F8346" t="s">
        <v>21050</v>
      </c>
      <c r="G8346" t="str">
        <f>HYPERLINK("https://n.news.naver.com/mnews/article/014/0005370944?sid=102")</f>
        <v>https://n.news.naver.com/mnews/article/014/0005370944?sid=102</v>
      </c>
      <c r="H8346">
        <v>0.215</v>
      </c>
    </row>
    <row r="8347" spans="1:8" x14ac:dyDescent="0.3">
      <c r="A8347" t="s">
        <v>18176</v>
      </c>
      <c r="B8347" t="s">
        <v>26951</v>
      </c>
      <c r="C8347" t="s">
        <v>21054</v>
      </c>
      <c r="D8347" t="s">
        <v>21053</v>
      </c>
      <c r="E8347" s="2" t="s">
        <v>280</v>
      </c>
      <c r="F8347" t="s">
        <v>9944</v>
      </c>
      <c r="G8347" t="str">
        <f>HYPERLINK("https://www.kizmom.com/news/articleView.html?idxno=101480")</f>
        <v>https://www.kizmom.com/news/articleView.html?idxno=101480</v>
      </c>
      <c r="H8347">
        <v>0.40799999999999997</v>
      </c>
    </row>
    <row r="8348" spans="1:8" x14ac:dyDescent="0.3">
      <c r="A8348" t="s">
        <v>18176</v>
      </c>
      <c r="B8348" t="s">
        <v>26951</v>
      </c>
      <c r="C8348" t="s">
        <v>21057</v>
      </c>
      <c r="D8348" t="s">
        <v>21056</v>
      </c>
      <c r="E8348" s="2" t="s">
        <v>280</v>
      </c>
      <c r="F8348" t="s">
        <v>21055</v>
      </c>
      <c r="G8348" t="str">
        <f>HYPERLINK("https://n.news.naver.com/mnews/article/014/0005370944?sid=102")</f>
        <v>https://n.news.naver.com/mnews/article/014/0005370944?sid=102</v>
      </c>
      <c r="H8348">
        <v>0.249</v>
      </c>
    </row>
    <row r="8349" spans="1:8" x14ac:dyDescent="0.3">
      <c r="A8349" t="s">
        <v>18176</v>
      </c>
      <c r="B8349" t="s">
        <v>26951</v>
      </c>
      <c r="C8349" t="s">
        <v>21060</v>
      </c>
      <c r="D8349" t="s">
        <v>21059</v>
      </c>
      <c r="E8349" s="2" t="s">
        <v>280</v>
      </c>
      <c r="F8349" t="s">
        <v>21058</v>
      </c>
      <c r="G8349" t="str">
        <f>HYPERLINK("http://ch.yes24.com/Article/View/36184")</f>
        <v>http://ch.yes24.com/Article/View/36184</v>
      </c>
      <c r="H8349">
        <v>0.42799999999999999</v>
      </c>
    </row>
    <row r="8350" spans="1:8" x14ac:dyDescent="0.3">
      <c r="A8350" t="s">
        <v>18176</v>
      </c>
      <c r="B8350" t="s">
        <v>26951</v>
      </c>
      <c r="C8350" t="s">
        <v>21063</v>
      </c>
      <c r="D8350" t="s">
        <v>21062</v>
      </c>
      <c r="E8350" s="2" t="s">
        <v>280</v>
      </c>
      <c r="F8350" t="s">
        <v>21061</v>
      </c>
      <c r="G8350" t="str">
        <f>HYPERLINK("https://www.cts.tv/mission300/detail_mission/325/4839")</f>
        <v>https://www.cts.tv/mission300/detail_mission/325/4839</v>
      </c>
      <c r="H8350">
        <v>0.69899999999999995</v>
      </c>
    </row>
    <row r="8351" spans="1:8" x14ac:dyDescent="0.3">
      <c r="A8351" t="s">
        <v>18176</v>
      </c>
      <c r="B8351" t="s">
        <v>26951</v>
      </c>
      <c r="C8351" t="s">
        <v>21065</v>
      </c>
      <c r="D8351" t="s">
        <v>21064</v>
      </c>
      <c r="E8351" s="2" t="s">
        <v>280</v>
      </c>
      <c r="F8351" t="s">
        <v>10471</v>
      </c>
      <c r="G8351" t="str">
        <f>HYPERLINK("https://www.dailysportshankook.co.kr/news/articleView.html?idxno=408623")</f>
        <v>https://www.dailysportshankook.co.kr/news/articleView.html?idxno=408623</v>
      </c>
      <c r="H8351">
        <v>0.51200000000000001</v>
      </c>
    </row>
    <row r="8352" spans="1:8" x14ac:dyDescent="0.3">
      <c r="A8352" t="s">
        <v>18176</v>
      </c>
      <c r="B8352" t="s">
        <v>26951</v>
      </c>
      <c r="C8352" t="s">
        <v>21068</v>
      </c>
      <c r="D8352" t="s">
        <v>21067</v>
      </c>
      <c r="E8352" s="2" t="s">
        <v>280</v>
      </c>
      <c r="F8352" t="s">
        <v>21066</v>
      </c>
      <c r="G8352" t="str">
        <f>HYPERLINK("https://n.news.naver.com/mnews/article/008/0004020636?sid=102")</f>
        <v>https://n.news.naver.com/mnews/article/008/0004020636?sid=102</v>
      </c>
      <c r="H8352">
        <v>0.29599999999999999</v>
      </c>
    </row>
    <row r="8353" spans="1:8" x14ac:dyDescent="0.3">
      <c r="A8353" t="s">
        <v>18176</v>
      </c>
      <c r="B8353" t="s">
        <v>26951</v>
      </c>
      <c r="C8353" t="s">
        <v>21071</v>
      </c>
      <c r="D8353" t="s">
        <v>21070</v>
      </c>
      <c r="E8353" s="2" t="s">
        <v>280</v>
      </c>
      <c r="F8353" t="s">
        <v>21069</v>
      </c>
      <c r="G8353" t="str">
        <f>HYPERLINK("https://www.m-joongang.com/news/articleView.html?idxno=401237")</f>
        <v>https://www.m-joongang.com/news/articleView.html?idxno=401237</v>
      </c>
      <c r="H8353">
        <v>0.26100000000000001</v>
      </c>
    </row>
    <row r="8354" spans="1:8" x14ac:dyDescent="0.3">
      <c r="A8354" t="s">
        <v>18176</v>
      </c>
      <c r="B8354" t="s">
        <v>26951</v>
      </c>
      <c r="C8354" t="s">
        <v>21074</v>
      </c>
      <c r="D8354" t="s">
        <v>21073</v>
      </c>
      <c r="E8354" s="2" t="s">
        <v>280</v>
      </c>
      <c r="F8354" t="s">
        <v>21072</v>
      </c>
      <c r="G8354" t="str">
        <f>HYPERLINK("https://n.news.naver.com/mnews/article/014/0005370944?sid=102")</f>
        <v>https://n.news.naver.com/mnews/article/014/0005370944?sid=102</v>
      </c>
      <c r="H8354">
        <v>0.39600000000000002</v>
      </c>
    </row>
    <row r="8355" spans="1:8" x14ac:dyDescent="0.3">
      <c r="A8355" t="s">
        <v>18176</v>
      </c>
      <c r="B8355" t="s">
        <v>26951</v>
      </c>
      <c r="C8355" t="s">
        <v>21077</v>
      </c>
      <c r="D8355" t="s">
        <v>21076</v>
      </c>
      <c r="E8355" s="2" t="s">
        <v>280</v>
      </c>
      <c r="F8355" t="s">
        <v>21075</v>
      </c>
      <c r="G8355" t="str">
        <f>HYPERLINK("https://n.news.naver.com/mnews/article/014/0005370944?sid=102")</f>
        <v>https://n.news.naver.com/mnews/article/014/0005370944?sid=102</v>
      </c>
      <c r="H8355">
        <v>0.26800000000000002</v>
      </c>
    </row>
    <row r="8356" spans="1:8" x14ac:dyDescent="0.3">
      <c r="A8356" t="s">
        <v>18176</v>
      </c>
      <c r="B8356" t="s">
        <v>26951</v>
      </c>
      <c r="C8356" t="s">
        <v>21079</v>
      </c>
      <c r="D8356" t="s">
        <v>21078</v>
      </c>
      <c r="E8356" s="2" t="s">
        <v>280</v>
      </c>
      <c r="F8356" t="s">
        <v>10341</v>
      </c>
      <c r="G8356" t="str">
        <f>HYPERLINK("https://www.nc.press/news/articleView.html?idxno=568680")</f>
        <v>https://www.nc.press/news/articleView.html?idxno=568680</v>
      </c>
      <c r="H8356">
        <v>0.377</v>
      </c>
    </row>
    <row r="8357" spans="1:8" x14ac:dyDescent="0.3">
      <c r="A8357" t="s">
        <v>18176</v>
      </c>
      <c r="B8357" t="s">
        <v>26951</v>
      </c>
      <c r="C8357" t="s">
        <v>21082</v>
      </c>
      <c r="D8357" t="s">
        <v>21081</v>
      </c>
      <c r="E8357" s="2" t="s">
        <v>280</v>
      </c>
      <c r="F8357" t="s">
        <v>21080</v>
      </c>
      <c r="G8357" t="str">
        <f>HYPERLINK("http://www.greened.kr/news/articleView.html?idxno=299563")</f>
        <v>http://www.greened.kr/news/articleView.html?idxno=299563</v>
      </c>
      <c r="H8357">
        <v>0.58099999999999996</v>
      </c>
    </row>
    <row r="8358" spans="1:8" x14ac:dyDescent="0.3">
      <c r="A8358" t="s">
        <v>18176</v>
      </c>
      <c r="B8358" t="s">
        <v>26951</v>
      </c>
      <c r="C8358" t="s">
        <v>21084</v>
      </c>
      <c r="D8358" t="s">
        <v>21083</v>
      </c>
      <c r="E8358" s="2" t="s">
        <v>280</v>
      </c>
      <c r="F8358" t="s">
        <v>21047</v>
      </c>
      <c r="G8358" t="str">
        <f>HYPERLINK("https://n.news.naver.com/mnews/article/056/0011974597?sid=102")</f>
        <v>https://n.news.naver.com/mnews/article/056/0011974597?sid=102</v>
      </c>
      <c r="H8358">
        <v>0.24299999999999999</v>
      </c>
    </row>
    <row r="8359" spans="1:8" x14ac:dyDescent="0.3">
      <c r="A8359" t="s">
        <v>18176</v>
      </c>
      <c r="B8359" t="s">
        <v>26951</v>
      </c>
      <c r="C8359" t="s">
        <v>21087</v>
      </c>
      <c r="D8359" t="s">
        <v>21086</v>
      </c>
      <c r="E8359" s="2" t="s">
        <v>280</v>
      </c>
      <c r="F8359" t="s">
        <v>21085</v>
      </c>
      <c r="G8359" t="str">
        <f>HYPERLINK("http://www.jeollailbo.com/news/articleView.html?idxno=711578")</f>
        <v>http://www.jeollailbo.com/news/articleView.html?idxno=711578</v>
      </c>
      <c r="H8359">
        <v>0.38500000000000001</v>
      </c>
    </row>
    <row r="8360" spans="1:8" x14ac:dyDescent="0.3">
      <c r="A8360" t="s">
        <v>18176</v>
      </c>
      <c r="B8360" t="s">
        <v>26951</v>
      </c>
      <c r="C8360" t="s">
        <v>21089</v>
      </c>
      <c r="D8360" t="s">
        <v>21088</v>
      </c>
      <c r="E8360" s="2" t="s">
        <v>280</v>
      </c>
      <c r="F8360" t="s">
        <v>12104</v>
      </c>
      <c r="G8360" t="str">
        <f>HYPERLINK("https://n.news.naver.com/mnews/article/082/0001332864?sid=102")</f>
        <v>https://n.news.naver.com/mnews/article/082/0001332864?sid=102</v>
      </c>
      <c r="H8360">
        <v>0.14899999999999999</v>
      </c>
    </row>
    <row r="8361" spans="1:8" x14ac:dyDescent="0.3">
      <c r="A8361" t="s">
        <v>18176</v>
      </c>
      <c r="B8361" t="s">
        <v>26951</v>
      </c>
      <c r="C8361" t="s">
        <v>21091</v>
      </c>
      <c r="D8361" t="s">
        <v>21090</v>
      </c>
      <c r="E8361" s="2" t="s">
        <v>280</v>
      </c>
      <c r="F8361" t="s">
        <v>9597</v>
      </c>
      <c r="G8361" t="str">
        <f>HYPERLINK("http://www.segyebiz.com/newsView/20250603513619?OutUrl=naver")</f>
        <v>http://www.segyebiz.com/newsView/20250603513619?OutUrl=naver</v>
      </c>
      <c r="H8361">
        <v>0.61699999999999999</v>
      </c>
    </row>
    <row r="8362" spans="1:8" x14ac:dyDescent="0.3">
      <c r="A8362" t="s">
        <v>18176</v>
      </c>
      <c r="B8362" t="s">
        <v>26951</v>
      </c>
      <c r="C8362" t="s">
        <v>21094</v>
      </c>
      <c r="D8362" t="s">
        <v>21093</v>
      </c>
      <c r="E8362" s="2" t="s">
        <v>280</v>
      </c>
      <c r="F8362" t="s">
        <v>21092</v>
      </c>
      <c r="G8362" t="str">
        <f>HYPERLINK("https://n.news.naver.com/mnews/article/056/0011980974?sid=102")</f>
        <v>https://n.news.naver.com/mnews/article/056/0011980974?sid=102</v>
      </c>
      <c r="H8362">
        <v>0.32100000000000001</v>
      </c>
    </row>
    <row r="8363" spans="1:8" x14ac:dyDescent="0.3">
      <c r="A8363" t="s">
        <v>18176</v>
      </c>
      <c r="B8363" t="s">
        <v>26951</v>
      </c>
      <c r="C8363" t="s">
        <v>21096</v>
      </c>
      <c r="D8363" t="s">
        <v>21095</v>
      </c>
      <c r="E8363" s="2" t="s">
        <v>280</v>
      </c>
      <c r="F8363" t="s">
        <v>10421</v>
      </c>
      <c r="G8363" t="str">
        <f>HYPERLINK("https://www.joongangenews.com/news/articleView.html?idxno=428304")</f>
        <v>https://www.joongangenews.com/news/articleView.html?idxno=428304</v>
      </c>
      <c r="H8363">
        <v>0.65800000000000003</v>
      </c>
    </row>
    <row r="8364" spans="1:8" x14ac:dyDescent="0.3">
      <c r="A8364" t="s">
        <v>18176</v>
      </c>
      <c r="B8364" t="s">
        <v>26951</v>
      </c>
      <c r="C8364" t="s">
        <v>21099</v>
      </c>
      <c r="D8364" t="s">
        <v>21098</v>
      </c>
      <c r="E8364" s="2" t="s">
        <v>280</v>
      </c>
      <c r="F8364" t="s">
        <v>21097</v>
      </c>
      <c r="G8364" t="str">
        <f>HYPERLINK("https://www.iusm.co.kr/news/articleView.html?idxno=1050944")</f>
        <v>https://www.iusm.co.kr/news/articleView.html?idxno=1050944</v>
      </c>
      <c r="H8364">
        <v>0.371</v>
      </c>
    </row>
    <row r="8365" spans="1:8" x14ac:dyDescent="0.3">
      <c r="A8365" t="s">
        <v>18176</v>
      </c>
      <c r="B8365" t="s">
        <v>26951</v>
      </c>
      <c r="C8365" t="s">
        <v>21102</v>
      </c>
      <c r="D8365" t="s">
        <v>21101</v>
      </c>
      <c r="E8365" s="2" t="s">
        <v>280</v>
      </c>
      <c r="F8365" t="s">
        <v>21100</v>
      </c>
      <c r="G8365" t="str">
        <f>HYPERLINK("https://www.eroun.net/news/articleView.html?idxno=57393")</f>
        <v>https://www.eroun.net/news/articleView.html?idxno=57393</v>
      </c>
      <c r="H8365">
        <v>0.69</v>
      </c>
    </row>
    <row r="8366" spans="1:8" x14ac:dyDescent="0.3">
      <c r="A8366" t="s">
        <v>18176</v>
      </c>
      <c r="B8366" t="s">
        <v>26951</v>
      </c>
      <c r="C8366" t="s">
        <v>21103</v>
      </c>
      <c r="D8366" t="s">
        <v>20675</v>
      </c>
      <c r="E8366" s="2" t="s">
        <v>280</v>
      </c>
      <c r="F8366" t="s">
        <v>12082</v>
      </c>
      <c r="G8366" t="str">
        <f>HYPERLINK("http://www.lecturernews.com/news/articleView.html?idxno=75211")</f>
        <v>http://www.lecturernews.com/news/articleView.html?idxno=75211</v>
      </c>
      <c r="H8366">
        <v>0.59199999999999997</v>
      </c>
    </row>
    <row r="8367" spans="1:8" x14ac:dyDescent="0.3">
      <c r="A8367" t="s">
        <v>18176</v>
      </c>
      <c r="B8367" t="s">
        <v>26951</v>
      </c>
      <c r="C8367" t="s">
        <v>21105</v>
      </c>
      <c r="D8367" t="s">
        <v>21104</v>
      </c>
      <c r="E8367" s="2" t="s">
        <v>280</v>
      </c>
      <c r="F8367" t="s">
        <v>2671</v>
      </c>
      <c r="G8367" t="str">
        <f>HYPERLINK("http://jmagazine.joins.com/monthly/view/306515")</f>
        <v>http://jmagazine.joins.com/monthly/view/306515</v>
      </c>
      <c r="H8367">
        <v>0.753</v>
      </c>
    </row>
    <row r="8368" spans="1:8" x14ac:dyDescent="0.3">
      <c r="A8368" t="s">
        <v>18176</v>
      </c>
      <c r="B8368" t="s">
        <v>26951</v>
      </c>
      <c r="C8368" t="s">
        <v>21108</v>
      </c>
      <c r="D8368" t="s">
        <v>21107</v>
      </c>
      <c r="E8368" s="2" t="s">
        <v>280</v>
      </c>
      <c r="F8368" t="s">
        <v>21106</v>
      </c>
      <c r="G8368" t="str">
        <f>HYPERLINK("https://www.cnbnews.com/news/article.html?no=734092")</f>
        <v>https://www.cnbnews.com/news/article.html?no=734092</v>
      </c>
      <c r="H8368">
        <v>0.56999999999999995</v>
      </c>
    </row>
    <row r="8369" spans="1:8" x14ac:dyDescent="0.3">
      <c r="A8369" t="s">
        <v>18176</v>
      </c>
      <c r="B8369" t="s">
        <v>26951</v>
      </c>
      <c r="C8369" t="s">
        <v>21111</v>
      </c>
      <c r="D8369" t="s">
        <v>21110</v>
      </c>
      <c r="E8369" s="2" t="s">
        <v>280</v>
      </c>
      <c r="F8369" t="s">
        <v>21109</v>
      </c>
      <c r="G8369" t="str">
        <f>HYPERLINK("https://n.news.naver.com/mnews/article/088/0000955946?sid=103")</f>
        <v>https://n.news.naver.com/mnews/article/088/0000955946?sid=103</v>
      </c>
      <c r="H8369">
        <v>0.21199999999999999</v>
      </c>
    </row>
    <row r="8370" spans="1:8" x14ac:dyDescent="0.3">
      <c r="A8370" t="s">
        <v>18176</v>
      </c>
      <c r="B8370" t="s">
        <v>26951</v>
      </c>
      <c r="C8370" t="s">
        <v>21113</v>
      </c>
      <c r="D8370" t="s">
        <v>21112</v>
      </c>
      <c r="E8370" s="2" t="s">
        <v>280</v>
      </c>
      <c r="F8370" t="s">
        <v>10471</v>
      </c>
      <c r="G8370" t="str">
        <f>HYPERLINK("https://www.vogue.co.kr/2019/10/07/%eb%b0%b0%ec%9a%b0/?utm_source=naver&amp;utm_medium=partnership")</f>
        <v>https://www.vogue.co.kr/2019/10/07/%eb%b0%b0%ec%9a%b0/?utm_source=naver&amp;utm_medium=partnership</v>
      </c>
      <c r="H8370">
        <v>0.53300000000000003</v>
      </c>
    </row>
    <row r="8371" spans="1:8" x14ac:dyDescent="0.3">
      <c r="A8371" t="s">
        <v>18176</v>
      </c>
      <c r="B8371" t="s">
        <v>26951</v>
      </c>
      <c r="C8371" t="s">
        <v>21115</v>
      </c>
      <c r="D8371" t="s">
        <v>21114</v>
      </c>
      <c r="E8371" s="2" t="s">
        <v>280</v>
      </c>
      <c r="F8371" t="s">
        <v>1327</v>
      </c>
      <c r="G8371" t="str">
        <f>HYPERLINK("https://www.danbinews.com/news/articleView.html?idxno=30751")</f>
        <v>https://www.danbinews.com/news/articleView.html?idxno=30751</v>
      </c>
      <c r="H8371">
        <v>0.378</v>
      </c>
    </row>
    <row r="8372" spans="1:8" x14ac:dyDescent="0.3">
      <c r="A8372" t="s">
        <v>18176</v>
      </c>
      <c r="B8372" t="s">
        <v>26951</v>
      </c>
      <c r="C8372" t="s">
        <v>21118</v>
      </c>
      <c r="D8372" t="s">
        <v>21117</v>
      </c>
      <c r="E8372" s="2" t="s">
        <v>280</v>
      </c>
      <c r="F8372" t="s">
        <v>21116</v>
      </c>
      <c r="G8372" t="str">
        <f>HYPERLINK("https://n.news.naver.com/mnews/article/079/0004040256?sid=102")</f>
        <v>https://n.news.naver.com/mnews/article/079/0004040256?sid=102</v>
      </c>
      <c r="H8372">
        <v>0.21299999999999999</v>
      </c>
    </row>
    <row r="8373" spans="1:8" x14ac:dyDescent="0.3">
      <c r="A8373" t="s">
        <v>18176</v>
      </c>
      <c r="B8373" t="s">
        <v>26951</v>
      </c>
      <c r="C8373" t="s">
        <v>21121</v>
      </c>
      <c r="D8373" t="s">
        <v>21120</v>
      </c>
      <c r="E8373" s="2" t="s">
        <v>280</v>
      </c>
      <c r="F8373" t="s">
        <v>21119</v>
      </c>
      <c r="G8373" t="str">
        <f>HYPERLINK("https://www.cts.tv/mission300/detail_mission/502/8581")</f>
        <v>https://www.cts.tv/mission300/detail_mission/502/8581</v>
      </c>
      <c r="H8373">
        <v>0.41099999999999998</v>
      </c>
    </row>
    <row r="8374" spans="1:8" x14ac:dyDescent="0.3">
      <c r="A8374" t="s">
        <v>18176</v>
      </c>
      <c r="B8374" t="s">
        <v>26951</v>
      </c>
      <c r="C8374" t="s">
        <v>21123</v>
      </c>
      <c r="D8374" t="s">
        <v>21122</v>
      </c>
      <c r="E8374" s="2" t="s">
        <v>280</v>
      </c>
      <c r="F8374" t="s">
        <v>20114</v>
      </c>
      <c r="G8374" t="str">
        <f>HYPERLINK("https://www.kgnews.co.kr/news/article.html?no=851521")</f>
        <v>https://www.kgnews.co.kr/news/article.html?no=851521</v>
      </c>
      <c r="H8374">
        <v>0.151</v>
      </c>
    </row>
    <row r="8375" spans="1:8" x14ac:dyDescent="0.3">
      <c r="A8375" t="s">
        <v>18176</v>
      </c>
      <c r="B8375" t="s">
        <v>26951</v>
      </c>
      <c r="C8375" t="s">
        <v>21126</v>
      </c>
      <c r="D8375" t="s">
        <v>21125</v>
      </c>
      <c r="E8375" s="2" t="s">
        <v>280</v>
      </c>
      <c r="F8375" t="s">
        <v>21124</v>
      </c>
      <c r="G8375" t="str">
        <f>HYPERLINK("http://www.sisaon.co.kr/news/articleView.html?idxno=165765")</f>
        <v>http://www.sisaon.co.kr/news/articleView.html?idxno=165765</v>
      </c>
      <c r="H8375">
        <v>0.5</v>
      </c>
    </row>
    <row r="8376" spans="1:8" x14ac:dyDescent="0.3">
      <c r="A8376" t="s">
        <v>18176</v>
      </c>
      <c r="B8376" t="s">
        <v>26951</v>
      </c>
      <c r="C8376" t="s">
        <v>21129</v>
      </c>
      <c r="D8376" t="s">
        <v>21128</v>
      </c>
      <c r="E8376" s="2" t="s">
        <v>280</v>
      </c>
      <c r="F8376" t="s">
        <v>21127</v>
      </c>
      <c r="G8376" t="str">
        <f>HYPERLINK("http://www.sisafocus.co.kr/news/articleView.html?idxno=341249")</f>
        <v>http://www.sisafocus.co.kr/news/articleView.html?idxno=341249</v>
      </c>
      <c r="H8376">
        <v>0.65100000000000002</v>
      </c>
    </row>
    <row r="8377" spans="1:8" x14ac:dyDescent="0.3">
      <c r="A8377" t="s">
        <v>18176</v>
      </c>
      <c r="B8377" t="s">
        <v>26951</v>
      </c>
      <c r="C8377" t="s">
        <v>21131</v>
      </c>
      <c r="D8377" t="s">
        <v>21130</v>
      </c>
      <c r="E8377" s="2" t="s">
        <v>280</v>
      </c>
      <c r="F8377" t="s">
        <v>9152</v>
      </c>
      <c r="G8377" t="str">
        <f>HYPERLINK("http://www.marketnews.co.kr/news/articleView.html?idxno=59127")</f>
        <v>http://www.marketnews.co.kr/news/articleView.html?idxno=59127</v>
      </c>
      <c r="H8377">
        <v>0.56000000000000005</v>
      </c>
    </row>
    <row r="8378" spans="1:8" x14ac:dyDescent="0.3">
      <c r="A8378" t="s">
        <v>18176</v>
      </c>
      <c r="B8378" t="s">
        <v>26951</v>
      </c>
      <c r="C8378" t="s">
        <v>21133</v>
      </c>
      <c r="D8378" t="s">
        <v>21132</v>
      </c>
      <c r="E8378" s="2" t="s">
        <v>280</v>
      </c>
      <c r="F8378" t="s">
        <v>11873</v>
      </c>
      <c r="G8378" t="str">
        <f>HYPERLINK("https://www.ftimes.kr/news/articleView.html?idxno=27852")</f>
        <v>https://www.ftimes.kr/news/articleView.html?idxno=27852</v>
      </c>
      <c r="H8378">
        <v>0.161</v>
      </c>
    </row>
    <row r="8379" spans="1:8" x14ac:dyDescent="0.3">
      <c r="A8379" t="s">
        <v>18176</v>
      </c>
      <c r="B8379" t="s">
        <v>26951</v>
      </c>
      <c r="C8379" t="s">
        <v>21136</v>
      </c>
      <c r="D8379" t="s">
        <v>21135</v>
      </c>
      <c r="E8379" s="2" t="s">
        <v>280</v>
      </c>
      <c r="F8379" t="s">
        <v>21134</v>
      </c>
      <c r="G8379" t="str">
        <f>HYPERLINK("https://n.news.naver.com/mnews/article/014/0000226400?sid=103")</f>
        <v>https://n.news.naver.com/mnews/article/014/0000226400?sid=103</v>
      </c>
      <c r="H8379">
        <v>0.308</v>
      </c>
    </row>
    <row r="8380" spans="1:8" x14ac:dyDescent="0.3">
      <c r="A8380" t="s">
        <v>18176</v>
      </c>
      <c r="B8380" t="s">
        <v>26951</v>
      </c>
      <c r="C8380" t="s">
        <v>21139</v>
      </c>
      <c r="D8380" t="s">
        <v>21138</v>
      </c>
      <c r="E8380" s="2" t="s">
        <v>280</v>
      </c>
      <c r="F8380" t="s">
        <v>21137</v>
      </c>
      <c r="G8380" t="str">
        <f>HYPERLINK("https://n.news.naver.com/mnews/article/006/0000130677?sid=100")</f>
        <v>https://n.news.naver.com/mnews/article/006/0000130677?sid=100</v>
      </c>
      <c r="H8380">
        <v>0.109</v>
      </c>
    </row>
    <row r="8381" spans="1:8" x14ac:dyDescent="0.3">
      <c r="A8381" t="s">
        <v>18176</v>
      </c>
      <c r="B8381" t="s">
        <v>26951</v>
      </c>
      <c r="C8381" t="s">
        <v>21141</v>
      </c>
      <c r="D8381" t="s">
        <v>21140</v>
      </c>
      <c r="E8381" s="2" t="s">
        <v>280</v>
      </c>
      <c r="F8381" t="s">
        <v>7076</v>
      </c>
      <c r="G8381" t="str">
        <f>HYPERLINK("https://radio.ytn.co.kr/program/?f=2&amp;id=103492&amp;s_mcd=0214&amp;s_hcd=01")</f>
        <v>https://radio.ytn.co.kr/program/?f=2&amp;id=103492&amp;s_mcd=0214&amp;s_hcd=01</v>
      </c>
      <c r="H8381">
        <v>0.56999999999999995</v>
      </c>
    </row>
    <row r="8382" spans="1:8" x14ac:dyDescent="0.3">
      <c r="A8382" t="s">
        <v>18176</v>
      </c>
      <c r="B8382" t="s">
        <v>26951</v>
      </c>
      <c r="C8382" t="s">
        <v>21143</v>
      </c>
      <c r="D8382" t="s">
        <v>21142</v>
      </c>
      <c r="E8382" s="2" t="s">
        <v>280</v>
      </c>
      <c r="F8382" t="s">
        <v>1546</v>
      </c>
      <c r="G8382" t="str">
        <f>HYPERLINK("http://www.pdjournal.com/news/articleView.html?idxno=22203")</f>
        <v>http://www.pdjournal.com/news/articleView.html?idxno=22203</v>
      </c>
      <c r="H8382">
        <v>0.49399999999999999</v>
      </c>
    </row>
    <row r="8383" spans="1:8" x14ac:dyDescent="0.3">
      <c r="A8383" t="s">
        <v>18176</v>
      </c>
      <c r="B8383" t="s">
        <v>26951</v>
      </c>
      <c r="C8383" t="s">
        <v>21145</v>
      </c>
      <c r="D8383" t="s">
        <v>21144</v>
      </c>
      <c r="E8383" s="2" t="s">
        <v>280</v>
      </c>
      <c r="F8383" t="s">
        <v>20037</v>
      </c>
      <c r="G8383" t="str">
        <f>HYPERLINK("https://n.news.naver.com/mnews/article/014/0005370944?sid=102")</f>
        <v>https://n.news.naver.com/mnews/article/014/0005370944?sid=102</v>
      </c>
      <c r="H8383">
        <v>0.35799999999999998</v>
      </c>
    </row>
    <row r="8384" spans="1:8" x14ac:dyDescent="0.3">
      <c r="A8384" t="s">
        <v>18176</v>
      </c>
      <c r="B8384" t="s">
        <v>26951</v>
      </c>
      <c r="C8384" t="s">
        <v>21147</v>
      </c>
      <c r="D8384" t="s">
        <v>21146</v>
      </c>
      <c r="E8384" s="2" t="s">
        <v>313</v>
      </c>
      <c r="F8384" t="s">
        <v>3204</v>
      </c>
      <c r="G8384" t="str">
        <f>HYPERLINK("https://n.news.naver.com/mnews/article/016/0002492627?sid=103")</f>
        <v>https://n.news.naver.com/mnews/article/016/0002492627?sid=103</v>
      </c>
      <c r="H8384">
        <v>0.29899999999999999</v>
      </c>
    </row>
    <row r="8385" spans="1:8" x14ac:dyDescent="0.3">
      <c r="A8385" t="s">
        <v>18176</v>
      </c>
      <c r="B8385" t="s">
        <v>26951</v>
      </c>
      <c r="C8385" t="s">
        <v>21150</v>
      </c>
      <c r="D8385" t="s">
        <v>21149</v>
      </c>
      <c r="E8385" s="2" t="s">
        <v>313</v>
      </c>
      <c r="F8385" t="s">
        <v>21148</v>
      </c>
      <c r="G8385" t="str">
        <f>HYPERLINK("https://www.newspost.kr/news/articleView.html?idxno=215000")</f>
        <v>https://www.newspost.kr/news/articleView.html?idxno=215000</v>
      </c>
      <c r="H8385">
        <v>0.41299999999999998</v>
      </c>
    </row>
    <row r="8386" spans="1:8" x14ac:dyDescent="0.3">
      <c r="A8386" t="s">
        <v>18176</v>
      </c>
      <c r="B8386" t="s">
        <v>26951</v>
      </c>
      <c r="C8386" t="s">
        <v>21152</v>
      </c>
      <c r="D8386" t="s">
        <v>21151</v>
      </c>
      <c r="E8386" s="2" t="s">
        <v>313</v>
      </c>
      <c r="F8386" t="s">
        <v>2887</v>
      </c>
      <c r="G8386" t="str">
        <f>HYPERLINK("https://n.news.naver.com/mnews/article/022/0004045371?sid=100")</f>
        <v>https://n.news.naver.com/mnews/article/022/0004045371?sid=100</v>
      </c>
      <c r="H8386">
        <v>0.29399999999999998</v>
      </c>
    </row>
    <row r="8387" spans="1:8" x14ac:dyDescent="0.3">
      <c r="A8387" t="s">
        <v>18176</v>
      </c>
      <c r="B8387" t="s">
        <v>26951</v>
      </c>
      <c r="C8387" t="s">
        <v>21154</v>
      </c>
      <c r="D8387" t="s">
        <v>21153</v>
      </c>
      <c r="E8387" s="2" t="s">
        <v>313</v>
      </c>
      <c r="F8387" t="s">
        <v>18962</v>
      </c>
      <c r="G8387" t="str">
        <f>HYPERLINK("https://www.cnbnews.com/news/article.html?no=728168")</f>
        <v>https://www.cnbnews.com/news/article.html?no=728168</v>
      </c>
      <c r="H8387">
        <v>0.32900000000000001</v>
      </c>
    </row>
    <row r="8388" spans="1:8" x14ac:dyDescent="0.3">
      <c r="A8388" t="s">
        <v>18176</v>
      </c>
      <c r="B8388" t="s">
        <v>26951</v>
      </c>
      <c r="C8388" t="s">
        <v>21157</v>
      </c>
      <c r="D8388" t="s">
        <v>21156</v>
      </c>
      <c r="E8388" s="2" t="s">
        <v>313</v>
      </c>
      <c r="F8388" t="s">
        <v>21155</v>
      </c>
      <c r="G8388" t="str">
        <f>HYPERLINK("https://n.news.naver.com/mnews/article/008/0002210950?sid=101")</f>
        <v>https://n.news.naver.com/mnews/article/008/0002210950?sid=101</v>
      </c>
      <c r="H8388">
        <v>0.40200000000000002</v>
      </c>
    </row>
    <row r="8389" spans="1:8" x14ac:dyDescent="0.3">
      <c r="A8389" t="s">
        <v>18176</v>
      </c>
      <c r="B8389" t="s">
        <v>26951</v>
      </c>
      <c r="C8389" t="s">
        <v>21160</v>
      </c>
      <c r="D8389" t="s">
        <v>21159</v>
      </c>
      <c r="E8389" s="2" t="s">
        <v>313</v>
      </c>
      <c r="F8389" t="s">
        <v>21158</v>
      </c>
      <c r="G8389" t="str">
        <f>HYPERLINK("http://www.kihoilbo.co.kr/news/articleView.html?idxno=1150246")</f>
        <v>http://www.kihoilbo.co.kr/news/articleView.html?idxno=1150246</v>
      </c>
      <c r="H8389">
        <v>0.28100000000000003</v>
      </c>
    </row>
    <row r="8390" spans="1:8" x14ac:dyDescent="0.3">
      <c r="A8390" t="s">
        <v>18176</v>
      </c>
      <c r="B8390" t="s">
        <v>26951</v>
      </c>
      <c r="C8390" t="s">
        <v>21163</v>
      </c>
      <c r="D8390" t="s">
        <v>21162</v>
      </c>
      <c r="E8390" s="2" t="s">
        <v>313</v>
      </c>
      <c r="F8390" t="s">
        <v>21161</v>
      </c>
      <c r="G8390" t="str">
        <f>HYPERLINK("http://www.biztribune.co.kr/news/articleView.html?idxno=335634")</f>
        <v>http://www.biztribune.co.kr/news/articleView.html?idxno=335634</v>
      </c>
      <c r="H8390">
        <v>0.253</v>
      </c>
    </row>
    <row r="8391" spans="1:8" x14ac:dyDescent="0.3">
      <c r="A8391" t="s">
        <v>18176</v>
      </c>
      <c r="B8391" t="s">
        <v>26951</v>
      </c>
      <c r="C8391" t="s">
        <v>21165</v>
      </c>
      <c r="D8391" t="s">
        <v>21164</v>
      </c>
      <c r="E8391" s="2" t="s">
        <v>313</v>
      </c>
      <c r="F8391" t="s">
        <v>4119</v>
      </c>
      <c r="G8391" t="str">
        <f>HYPERLINK("http://www.lecturernews.com/news/articleView.html?idxno=73737")</f>
        <v>http://www.lecturernews.com/news/articleView.html?idxno=73737</v>
      </c>
      <c r="H8391">
        <v>0.55400000000000005</v>
      </c>
    </row>
    <row r="8392" spans="1:8" x14ac:dyDescent="0.3">
      <c r="A8392" t="s">
        <v>18176</v>
      </c>
      <c r="B8392" t="s">
        <v>26951</v>
      </c>
      <c r="C8392" t="s">
        <v>21167</v>
      </c>
      <c r="D8392" t="s">
        <v>21166</v>
      </c>
      <c r="E8392" s="2" t="s">
        <v>313</v>
      </c>
      <c r="F8392" t="s">
        <v>10345</v>
      </c>
      <c r="G8392" t="str">
        <f>HYPERLINK("http://www.newspost.kr/news/articleView.html?idxno=57853")</f>
        <v>http://www.newspost.kr/news/articleView.html?idxno=57853</v>
      </c>
      <c r="H8392">
        <v>4.8000000000000001E-2</v>
      </c>
    </row>
    <row r="8393" spans="1:8" x14ac:dyDescent="0.3">
      <c r="A8393" t="s">
        <v>18176</v>
      </c>
      <c r="B8393" t="s">
        <v>26951</v>
      </c>
      <c r="C8393" t="s">
        <v>21170</v>
      </c>
      <c r="D8393" t="s">
        <v>21169</v>
      </c>
      <c r="E8393" s="2" t="s">
        <v>313</v>
      </c>
      <c r="F8393" t="s">
        <v>21168</v>
      </c>
      <c r="G8393" t="str">
        <f>HYPERLINK("https://kookbang.dema.mil.kr/newsWeb/20250620/1/ATCE_CTGR_0020020024/view.do")</f>
        <v>https://kookbang.dema.mil.kr/newsWeb/20250620/1/ATCE_CTGR_0020020024/view.do</v>
      </c>
      <c r="H8393">
        <v>0.98099999999999998</v>
      </c>
    </row>
    <row r="8394" spans="1:8" x14ac:dyDescent="0.3">
      <c r="A8394" t="s">
        <v>18176</v>
      </c>
      <c r="B8394" t="s">
        <v>26951</v>
      </c>
      <c r="C8394" t="s">
        <v>21172</v>
      </c>
      <c r="D8394" t="s">
        <v>21171</v>
      </c>
      <c r="E8394" s="2" t="s">
        <v>313</v>
      </c>
      <c r="F8394" t="s">
        <v>11037</v>
      </c>
      <c r="G8394" t="str">
        <f>HYPERLINK("http://www.kyosu.net/news/articleView.html?idxno=137646")</f>
        <v>http://www.kyosu.net/news/articleView.html?idxno=137646</v>
      </c>
      <c r="H8394">
        <v>0.83599999999999997</v>
      </c>
    </row>
    <row r="8395" spans="1:8" x14ac:dyDescent="0.3">
      <c r="A8395" t="s">
        <v>18176</v>
      </c>
      <c r="B8395" t="s">
        <v>26951</v>
      </c>
      <c r="C8395" t="s">
        <v>21175</v>
      </c>
      <c r="D8395" t="s">
        <v>21174</v>
      </c>
      <c r="E8395" s="2" t="s">
        <v>313</v>
      </c>
      <c r="F8395" t="s">
        <v>21173</v>
      </c>
      <c r="G8395" t="str">
        <f>HYPERLINK("https://www.huffingtonpost.kr/news/articleView.html?idxno=210383")</f>
        <v>https://www.huffingtonpost.kr/news/articleView.html?idxno=210383</v>
      </c>
      <c r="H8395">
        <v>0.68300000000000005</v>
      </c>
    </row>
    <row r="8396" spans="1:8" x14ac:dyDescent="0.3">
      <c r="A8396" t="s">
        <v>18176</v>
      </c>
      <c r="B8396" t="s">
        <v>26951</v>
      </c>
      <c r="C8396" t="s">
        <v>21178</v>
      </c>
      <c r="D8396" t="s">
        <v>21177</v>
      </c>
      <c r="E8396" s="2" t="s">
        <v>313</v>
      </c>
      <c r="F8396" t="s">
        <v>21176</v>
      </c>
      <c r="G8396" t="str">
        <f>HYPERLINK("http://www.breaknews.com/1032934")</f>
        <v>http://www.breaknews.com/1032934</v>
      </c>
      <c r="H8396">
        <v>0.13100000000000001</v>
      </c>
    </row>
    <row r="8397" spans="1:8" x14ac:dyDescent="0.3">
      <c r="A8397" t="s">
        <v>18176</v>
      </c>
      <c r="B8397" t="s">
        <v>26951</v>
      </c>
      <c r="C8397" t="s">
        <v>21181</v>
      </c>
      <c r="D8397" t="s">
        <v>21180</v>
      </c>
      <c r="E8397" s="2" t="s">
        <v>313</v>
      </c>
      <c r="F8397" t="s">
        <v>21179</v>
      </c>
      <c r="G8397" t="str">
        <f>HYPERLINK("https://www.econovill.com/news/articleView.html?idxno=688413")</f>
        <v>https://www.econovill.com/news/articleView.html?idxno=688413</v>
      </c>
      <c r="H8397">
        <v>0.41099999999999998</v>
      </c>
    </row>
    <row r="8398" spans="1:8" x14ac:dyDescent="0.3">
      <c r="A8398" t="s">
        <v>18176</v>
      </c>
      <c r="B8398" t="s">
        <v>26951</v>
      </c>
      <c r="C8398" t="s">
        <v>21183</v>
      </c>
      <c r="D8398" t="s">
        <v>8511</v>
      </c>
      <c r="E8398" s="2" t="s">
        <v>313</v>
      </c>
      <c r="F8398" t="s">
        <v>21182</v>
      </c>
      <c r="G8398" t="str">
        <f>HYPERLINK("https://n.news.naver.com/mnews/article/022/0004048021?sid=101")</f>
        <v>https://n.news.naver.com/mnews/article/022/0004048021?sid=101</v>
      </c>
      <c r="H8398">
        <v>0.32100000000000001</v>
      </c>
    </row>
    <row r="8399" spans="1:8" x14ac:dyDescent="0.3">
      <c r="A8399" t="s">
        <v>18176</v>
      </c>
      <c r="B8399" t="s">
        <v>26951</v>
      </c>
      <c r="C8399" t="s">
        <v>21185</v>
      </c>
      <c r="D8399" t="s">
        <v>21184</v>
      </c>
      <c r="E8399" s="2" t="s">
        <v>313</v>
      </c>
      <c r="F8399" t="s">
        <v>3420</v>
      </c>
      <c r="G8399" t="str">
        <f>HYPERLINK("https://n.news.naver.com/mnews/article/006/0000130527?sid=102")</f>
        <v>https://n.news.naver.com/mnews/article/006/0000130527?sid=102</v>
      </c>
      <c r="H8399">
        <v>0.34599999999999997</v>
      </c>
    </row>
    <row r="8400" spans="1:8" x14ac:dyDescent="0.3">
      <c r="A8400" t="s">
        <v>18176</v>
      </c>
      <c r="B8400" t="s">
        <v>26951</v>
      </c>
      <c r="C8400" t="s">
        <v>21187</v>
      </c>
      <c r="D8400" t="s">
        <v>21186</v>
      </c>
      <c r="E8400" s="2" t="s">
        <v>313</v>
      </c>
      <c r="F8400" t="s">
        <v>13925</v>
      </c>
      <c r="G8400" t="str">
        <f>HYPERLINK("https://n.news.naver.com/mnews/article/056/0010492227?sid=102")</f>
        <v>https://n.news.naver.com/mnews/article/056/0010492227?sid=102</v>
      </c>
      <c r="H8400">
        <v>0.11799999999999999</v>
      </c>
    </row>
    <row r="8401" spans="1:8" x14ac:dyDescent="0.3">
      <c r="A8401" t="s">
        <v>18176</v>
      </c>
      <c r="B8401" t="s">
        <v>26951</v>
      </c>
      <c r="C8401" t="s">
        <v>21190</v>
      </c>
      <c r="D8401" t="s">
        <v>21189</v>
      </c>
      <c r="E8401" s="2" t="s">
        <v>313</v>
      </c>
      <c r="F8401" t="s">
        <v>21188</v>
      </c>
      <c r="G8401" t="str">
        <f>HYPERLINK("https://n.news.naver.com/mnews/article/002/0002108490?sid=110")</f>
        <v>https://n.news.naver.com/mnews/article/002/0002108490?sid=110</v>
      </c>
      <c r="H8401">
        <v>0.28799999999999998</v>
      </c>
    </row>
    <row r="8402" spans="1:8" x14ac:dyDescent="0.3">
      <c r="A8402" t="s">
        <v>18176</v>
      </c>
      <c r="B8402" t="s">
        <v>26951</v>
      </c>
      <c r="C8402" t="s">
        <v>21192</v>
      </c>
      <c r="D8402" t="s">
        <v>21191</v>
      </c>
      <c r="E8402" s="2" t="s">
        <v>313</v>
      </c>
      <c r="F8402" t="s">
        <v>10301</v>
      </c>
      <c r="G8402" t="str">
        <f>HYPERLINK("http://www.newspim.com/news/view/20200728000048")</f>
        <v>http://www.newspim.com/news/view/20200728000048</v>
      </c>
      <c r="H8402">
        <v>0.433</v>
      </c>
    </row>
    <row r="8403" spans="1:8" x14ac:dyDescent="0.3">
      <c r="A8403" t="s">
        <v>18176</v>
      </c>
      <c r="B8403" t="s">
        <v>26951</v>
      </c>
      <c r="C8403" t="s">
        <v>21195</v>
      </c>
      <c r="D8403" t="s">
        <v>21194</v>
      </c>
      <c r="E8403" s="2" t="s">
        <v>313</v>
      </c>
      <c r="F8403" t="s">
        <v>21193</v>
      </c>
      <c r="G8403" t="str">
        <f>HYPERLINK("https://www.greened.kr/news/articleView.html?idxno=327687")</f>
        <v>https://www.greened.kr/news/articleView.html?idxno=327687</v>
      </c>
      <c r="H8403">
        <v>0.129</v>
      </c>
    </row>
    <row r="8404" spans="1:8" x14ac:dyDescent="0.3">
      <c r="A8404" t="s">
        <v>18176</v>
      </c>
      <c r="B8404" t="s">
        <v>26951</v>
      </c>
      <c r="C8404" t="s">
        <v>21197</v>
      </c>
      <c r="D8404" t="s">
        <v>21196</v>
      </c>
      <c r="E8404" s="2" t="s">
        <v>313</v>
      </c>
      <c r="F8404" t="s">
        <v>20954</v>
      </c>
      <c r="G8404" t="str">
        <f>HYPERLINK("https://www.siminilbo.co.kr/news/newsview.php?ncode=1160283913629014")</f>
        <v>https://www.siminilbo.co.kr/news/newsview.php?ncode=1160283913629014</v>
      </c>
      <c r="H8404">
        <v>0.33900000000000002</v>
      </c>
    </row>
    <row r="8405" spans="1:8" x14ac:dyDescent="0.3">
      <c r="A8405" t="s">
        <v>18176</v>
      </c>
      <c r="B8405" t="s">
        <v>26951</v>
      </c>
      <c r="C8405" t="s">
        <v>21200</v>
      </c>
      <c r="D8405" t="s">
        <v>21199</v>
      </c>
      <c r="E8405" s="2" t="s">
        <v>313</v>
      </c>
      <c r="F8405" t="s">
        <v>21198</v>
      </c>
      <c r="G8405" t="str">
        <f>HYPERLINK("https://www.lecturernews.com/news/articleView.html?idxno=66395")</f>
        <v>https://www.lecturernews.com/news/articleView.html?idxno=66395</v>
      </c>
      <c r="H8405">
        <v>0.40300000000000002</v>
      </c>
    </row>
    <row r="8406" spans="1:8" x14ac:dyDescent="0.3">
      <c r="A8406" t="s">
        <v>18176</v>
      </c>
      <c r="B8406" t="s">
        <v>26951</v>
      </c>
      <c r="C8406" t="s">
        <v>21203</v>
      </c>
      <c r="D8406" t="s">
        <v>21202</v>
      </c>
      <c r="E8406" s="2" t="s">
        <v>313</v>
      </c>
      <c r="F8406" t="s">
        <v>21201</v>
      </c>
      <c r="G8406" t="str">
        <f>HYPERLINK("https://weekly.hankooki.com/news/articleView.html?idxno=7114411")</f>
        <v>https://weekly.hankooki.com/news/articleView.html?idxno=7114411</v>
      </c>
      <c r="H8406">
        <v>0.158</v>
      </c>
    </row>
    <row r="8407" spans="1:8" x14ac:dyDescent="0.3">
      <c r="A8407" t="s">
        <v>18176</v>
      </c>
      <c r="B8407" t="s">
        <v>26951</v>
      </c>
      <c r="C8407" t="s">
        <v>21206</v>
      </c>
      <c r="D8407" t="s">
        <v>21205</v>
      </c>
      <c r="E8407" s="2" t="s">
        <v>313</v>
      </c>
      <c r="F8407" t="s">
        <v>21204</v>
      </c>
      <c r="G8407" t="str">
        <f>HYPERLINK("http://www.biztribune.co.kr/news/articleView.html?idxno=335956")</f>
        <v>http://www.biztribune.co.kr/news/articleView.html?idxno=335956</v>
      </c>
      <c r="H8407">
        <v>0.61399999999999999</v>
      </c>
    </row>
    <row r="8408" spans="1:8" x14ac:dyDescent="0.3">
      <c r="A8408" t="s">
        <v>18176</v>
      </c>
      <c r="B8408" t="s">
        <v>26951</v>
      </c>
      <c r="C8408" t="s">
        <v>21208</v>
      </c>
      <c r="D8408" t="s">
        <v>21207</v>
      </c>
      <c r="E8408" s="2" t="s">
        <v>313</v>
      </c>
      <c r="F8408" t="s">
        <v>1579</v>
      </c>
      <c r="G8408" t="str">
        <f>HYPERLINK("http://www.newstnt.com/news/articleView.html?idxno=501881")</f>
        <v>http://www.newstnt.com/news/articleView.html?idxno=501881</v>
      </c>
      <c r="H8408">
        <v>0.94699999999999995</v>
      </c>
    </row>
    <row r="8409" spans="1:8" x14ac:dyDescent="0.3">
      <c r="A8409" t="s">
        <v>18176</v>
      </c>
      <c r="B8409" t="s">
        <v>26951</v>
      </c>
      <c r="C8409" t="s">
        <v>21211</v>
      </c>
      <c r="D8409" t="s">
        <v>21210</v>
      </c>
      <c r="E8409" s="2" t="s">
        <v>313</v>
      </c>
      <c r="F8409" t="s">
        <v>21209</v>
      </c>
      <c r="G8409" t="str">
        <f>HYPERLINK("https://n.news.naver.com/mnews/article/087/0000692557?sid=102")</f>
        <v>https://n.news.naver.com/mnews/article/087/0000692557?sid=102</v>
      </c>
      <c r="H8409">
        <v>0.38700000000000001</v>
      </c>
    </row>
    <row r="8410" spans="1:8" x14ac:dyDescent="0.3">
      <c r="A8410" t="s">
        <v>18176</v>
      </c>
      <c r="B8410" t="s">
        <v>26951</v>
      </c>
      <c r="C8410" t="s">
        <v>21213</v>
      </c>
      <c r="D8410" t="s">
        <v>21212</v>
      </c>
      <c r="E8410" s="2" t="s">
        <v>313</v>
      </c>
      <c r="F8410" t="s">
        <v>5342</v>
      </c>
      <c r="G8410" t="str">
        <f>HYPERLINK("https://www.pennmike.com/news/articleView.html?idxno=103317")</f>
        <v>https://www.pennmike.com/news/articleView.html?idxno=103317</v>
      </c>
      <c r="H8410">
        <v>0.77500000000000002</v>
      </c>
    </row>
    <row r="8411" spans="1:8" x14ac:dyDescent="0.3">
      <c r="A8411" t="s">
        <v>18176</v>
      </c>
      <c r="B8411" t="s">
        <v>26951</v>
      </c>
      <c r="C8411" t="s">
        <v>21216</v>
      </c>
      <c r="D8411" t="s">
        <v>21215</v>
      </c>
      <c r="E8411" s="2" t="s">
        <v>313</v>
      </c>
      <c r="F8411" t="s">
        <v>21214</v>
      </c>
      <c r="G8411" t="str">
        <f>HYPERLINK("https://www.gqkorea.co.kr/2022/05/09/mz-%ec%84%b8%eb%8c%80%ec%9d%98-%eb%82%98%eb%a7%8c-%ec%95%8c%ea%b3%a0-%ec%9e%88%eb%8a%94-%ec%b0%90-%ec%95%88%ec%a3%bc-%eb%a7%9b%ec%a7%91/?utm_source=naver&amp;utm_medium=partnership")</f>
        <v>https://www.gqkorea.co.kr/2022/05/09/mz-%ec%84%b8%eb%8c%80%ec%9d%98-%eb%82%98%eb%a7%8c-%ec%95%8c%ea%b3%a0-%ec%9e%88%eb%8a%94-%ec%b0%90-%ec%95%88%ec%a3%bc-%eb%a7%9b%ec%a7%91/?utm_source=naver&amp;utm_medium=partnership</v>
      </c>
      <c r="H8411">
        <v>0.25</v>
      </c>
    </row>
    <row r="8412" spans="1:8" x14ac:dyDescent="0.3">
      <c r="A8412" t="s">
        <v>18176</v>
      </c>
      <c r="B8412" t="s">
        <v>26951</v>
      </c>
      <c r="C8412" t="s">
        <v>21219</v>
      </c>
      <c r="D8412" t="s">
        <v>21218</v>
      </c>
      <c r="E8412" s="2" t="s">
        <v>313</v>
      </c>
      <c r="F8412" t="s">
        <v>21217</v>
      </c>
      <c r="G8412" t="str">
        <f>HYPERLINK("https://www.newspim.com/news/view/20250701000838")</f>
        <v>https://www.newspim.com/news/view/20250701000838</v>
      </c>
      <c r="H8412">
        <v>0.55700000000000005</v>
      </c>
    </row>
    <row r="8413" spans="1:8" x14ac:dyDescent="0.3">
      <c r="A8413" t="s">
        <v>18176</v>
      </c>
      <c r="B8413" t="s">
        <v>26951</v>
      </c>
      <c r="C8413" t="s">
        <v>21222</v>
      </c>
      <c r="D8413" t="s">
        <v>21221</v>
      </c>
      <c r="E8413" s="2" t="s">
        <v>313</v>
      </c>
      <c r="F8413" t="s">
        <v>21220</v>
      </c>
      <c r="G8413" t="str">
        <f>HYPERLINK("http://apnews.kr/View.aspx?No=867800")</f>
        <v>http://apnews.kr/View.aspx?No=867800</v>
      </c>
      <c r="H8413">
        <v>0.54700000000000004</v>
      </c>
    </row>
    <row r="8414" spans="1:8" x14ac:dyDescent="0.3">
      <c r="A8414" t="s">
        <v>18176</v>
      </c>
      <c r="B8414" t="s">
        <v>26951</v>
      </c>
      <c r="C8414" t="s">
        <v>21225</v>
      </c>
      <c r="D8414" t="s">
        <v>21224</v>
      </c>
      <c r="E8414" s="2" t="s">
        <v>313</v>
      </c>
      <c r="F8414" t="s">
        <v>21223</v>
      </c>
      <c r="G8414" t="str">
        <f>HYPERLINK("https://kookbang.dema.mil.kr/newsWeb/20250702/1/ATCE_CTGR_0020020020/view.do")</f>
        <v>https://kookbang.dema.mil.kr/newsWeb/20250702/1/ATCE_CTGR_0020020020/view.do</v>
      </c>
      <c r="H8414">
        <v>0.32900000000000001</v>
      </c>
    </row>
    <row r="8415" spans="1:8" x14ac:dyDescent="0.3">
      <c r="A8415" t="s">
        <v>18176</v>
      </c>
      <c r="B8415" t="s">
        <v>26951</v>
      </c>
      <c r="C8415" t="s">
        <v>21228</v>
      </c>
      <c r="D8415" t="s">
        <v>21227</v>
      </c>
      <c r="E8415" s="2" t="s">
        <v>313</v>
      </c>
      <c r="F8415" t="s">
        <v>21226</v>
      </c>
      <c r="G8415" t="str">
        <f>HYPERLINK("https://www.newscj.com/news/articleView.html?idxno=3018487")</f>
        <v>https://www.newscj.com/news/articleView.html?idxno=3018487</v>
      </c>
      <c r="H8415">
        <v>0.35599999999999998</v>
      </c>
    </row>
    <row r="8416" spans="1:8" x14ac:dyDescent="0.3">
      <c r="A8416" t="s">
        <v>18176</v>
      </c>
      <c r="B8416" t="s">
        <v>26951</v>
      </c>
      <c r="C8416" t="s">
        <v>21231</v>
      </c>
      <c r="D8416" t="s">
        <v>21230</v>
      </c>
      <c r="E8416" s="2" t="s">
        <v>313</v>
      </c>
      <c r="F8416" t="s">
        <v>21229</v>
      </c>
      <c r="G8416" t="str">
        <f>HYPERLINK("https://www.newsgn.com/news/articleView.html?idxno=438446")</f>
        <v>https://www.newsgn.com/news/articleView.html?idxno=438446</v>
      </c>
      <c r="H8416">
        <v>0.44500000000000001</v>
      </c>
    </row>
    <row r="8417" spans="1:8" x14ac:dyDescent="0.3">
      <c r="A8417" t="s">
        <v>18176</v>
      </c>
      <c r="B8417" t="s">
        <v>26951</v>
      </c>
      <c r="C8417" t="s">
        <v>21234</v>
      </c>
      <c r="D8417" t="s">
        <v>21233</v>
      </c>
      <c r="E8417" s="2" t="s">
        <v>313</v>
      </c>
      <c r="F8417" t="s">
        <v>21232</v>
      </c>
      <c r="G8417" t="str">
        <f>HYPERLINK("https://www.cnbnews.com/news/article.html?no=620302")</f>
        <v>https://www.cnbnews.com/news/article.html?no=620302</v>
      </c>
      <c r="H8417">
        <v>0.38</v>
      </c>
    </row>
    <row r="8418" spans="1:8" x14ac:dyDescent="0.3">
      <c r="A8418" t="s">
        <v>18176</v>
      </c>
      <c r="B8418" t="s">
        <v>26951</v>
      </c>
      <c r="C8418" t="s">
        <v>21236</v>
      </c>
      <c r="D8418" t="s">
        <v>21235</v>
      </c>
      <c r="E8418" s="2" t="s">
        <v>313</v>
      </c>
      <c r="F8418" t="s">
        <v>1327</v>
      </c>
      <c r="G8418" t="str">
        <f>HYPERLINK("http://apnews.kr/View.aspx?No=2177343")</f>
        <v>http://apnews.kr/View.aspx?No=2177343</v>
      </c>
      <c r="H8418">
        <v>0.38400000000000001</v>
      </c>
    </row>
    <row r="8419" spans="1:8" x14ac:dyDescent="0.3">
      <c r="A8419" t="s">
        <v>18176</v>
      </c>
      <c r="B8419" t="s">
        <v>26951</v>
      </c>
      <c r="C8419" t="s">
        <v>21238</v>
      </c>
      <c r="D8419" t="s">
        <v>21237</v>
      </c>
      <c r="E8419" s="2" t="s">
        <v>313</v>
      </c>
      <c r="F8419" t="s">
        <v>19843</v>
      </c>
      <c r="G8419" t="str">
        <f>HYPERLINK("https://www.greened.kr/news/articleView.html?idxno=318416")</f>
        <v>https://www.greened.kr/news/articleView.html?idxno=318416</v>
      </c>
      <c r="H8419">
        <v>0.56100000000000005</v>
      </c>
    </row>
    <row r="8420" spans="1:8" x14ac:dyDescent="0.3">
      <c r="A8420" t="s">
        <v>18176</v>
      </c>
      <c r="B8420" t="s">
        <v>26951</v>
      </c>
      <c r="C8420" t="s">
        <v>21241</v>
      </c>
      <c r="D8420" t="s">
        <v>21240</v>
      </c>
      <c r="E8420" s="2" t="s">
        <v>313</v>
      </c>
      <c r="F8420" t="s">
        <v>21239</v>
      </c>
      <c r="G8420" t="str">
        <f>HYPERLINK("http://www.sctoday.co.kr/news/articleView.html?idxno=44104")</f>
        <v>http://www.sctoday.co.kr/news/articleView.html?idxno=44104</v>
      </c>
      <c r="H8420">
        <v>0.57899999999999996</v>
      </c>
    </row>
    <row r="8421" spans="1:8" x14ac:dyDescent="0.3">
      <c r="A8421" t="s">
        <v>18176</v>
      </c>
      <c r="B8421" t="s">
        <v>26951</v>
      </c>
      <c r="C8421" t="s">
        <v>21242</v>
      </c>
      <c r="D8421" t="s">
        <v>7628</v>
      </c>
      <c r="E8421" s="2" t="s">
        <v>313</v>
      </c>
      <c r="F8421" t="s">
        <v>7627</v>
      </c>
      <c r="G8421" t="str">
        <f>HYPERLINK("https://www.apnews.kr/news/articleView.html?idxno=3028169")</f>
        <v>https://www.apnews.kr/news/articleView.html?idxno=3028169</v>
      </c>
      <c r="H8421">
        <v>0.221</v>
      </c>
    </row>
    <row r="8422" spans="1:8" x14ac:dyDescent="0.3">
      <c r="A8422" t="s">
        <v>18176</v>
      </c>
      <c r="B8422" t="s">
        <v>26951</v>
      </c>
      <c r="C8422" t="s">
        <v>21244</v>
      </c>
      <c r="D8422" t="s">
        <v>21243</v>
      </c>
      <c r="E8422" s="2" t="s">
        <v>313</v>
      </c>
      <c r="F8422" t="s">
        <v>10506</v>
      </c>
      <c r="G8422" t="str">
        <f>HYPERLINK("https://n.news.naver.com/mnews/article/011/0004503318?sid=102")</f>
        <v>https://n.news.naver.com/mnews/article/011/0004503318?sid=102</v>
      </c>
      <c r="H8422">
        <v>0.14199999999999999</v>
      </c>
    </row>
    <row r="8423" spans="1:8" x14ac:dyDescent="0.3">
      <c r="A8423" t="s">
        <v>18176</v>
      </c>
      <c r="B8423" t="s">
        <v>26951</v>
      </c>
      <c r="C8423" t="s">
        <v>21247</v>
      </c>
      <c r="D8423" t="s">
        <v>21246</v>
      </c>
      <c r="E8423" s="2" t="s">
        <v>313</v>
      </c>
      <c r="F8423" t="s">
        <v>21245</v>
      </c>
      <c r="G8423" t="str">
        <f>HYPERLINK("https://www.dailysportshankook.co.kr/news/articleView.html?idxno=408391")</f>
        <v>https://www.dailysportshankook.co.kr/news/articleView.html?idxno=408391</v>
      </c>
      <c r="H8423">
        <v>0.30299999999999999</v>
      </c>
    </row>
    <row r="8424" spans="1:8" x14ac:dyDescent="0.3">
      <c r="A8424" t="s">
        <v>18176</v>
      </c>
      <c r="B8424" t="s">
        <v>26951</v>
      </c>
      <c r="C8424" t="s">
        <v>21250</v>
      </c>
      <c r="D8424" t="s">
        <v>21249</v>
      </c>
      <c r="E8424" s="2" t="s">
        <v>313</v>
      </c>
      <c r="F8424" t="s">
        <v>21248</v>
      </c>
      <c r="G8424" t="str">
        <f>HYPERLINK("https://n.news.naver.com/mnews/article/028/0002753727?sid=102")</f>
        <v>https://n.news.naver.com/mnews/article/028/0002753727?sid=102</v>
      </c>
      <c r="H8424">
        <v>0.33200000000000002</v>
      </c>
    </row>
    <row r="8425" spans="1:8" x14ac:dyDescent="0.3">
      <c r="A8425" t="s">
        <v>18176</v>
      </c>
      <c r="B8425" t="s">
        <v>26951</v>
      </c>
      <c r="C8425" t="s">
        <v>21252</v>
      </c>
      <c r="D8425" t="s">
        <v>21251</v>
      </c>
      <c r="E8425" s="2" t="s">
        <v>313</v>
      </c>
      <c r="F8425" t="s">
        <v>19297</v>
      </c>
      <c r="G8425" t="str">
        <f>HYPERLINK("http://www.pdjournal.com/news/articleView.html?idxno=60106")</f>
        <v>http://www.pdjournal.com/news/articleView.html?idxno=60106</v>
      </c>
      <c r="H8425">
        <v>0.26800000000000002</v>
      </c>
    </row>
    <row r="8426" spans="1:8" x14ac:dyDescent="0.3">
      <c r="A8426" t="s">
        <v>18176</v>
      </c>
      <c r="B8426" t="s">
        <v>26951</v>
      </c>
      <c r="C8426" t="s">
        <v>21254</v>
      </c>
      <c r="D8426" t="s">
        <v>21253</v>
      </c>
      <c r="E8426" s="2" t="s">
        <v>313</v>
      </c>
      <c r="F8426" t="s">
        <v>9441</v>
      </c>
      <c r="G8426" t="str">
        <f>HYPERLINK("http://www.incheonnews.com/news/articleView.html?idxno=105410")</f>
        <v>http://www.incheonnews.com/news/articleView.html?idxno=105410</v>
      </c>
      <c r="H8426">
        <v>0.56599999999999995</v>
      </c>
    </row>
    <row r="8427" spans="1:8" x14ac:dyDescent="0.3">
      <c r="A8427" t="s">
        <v>18176</v>
      </c>
      <c r="B8427" t="s">
        <v>26951</v>
      </c>
      <c r="C8427" t="s">
        <v>21256</v>
      </c>
      <c r="D8427" t="s">
        <v>21255</v>
      </c>
      <c r="E8427" s="2" t="s">
        <v>313</v>
      </c>
      <c r="F8427" t="s">
        <v>96</v>
      </c>
      <c r="G8427" t="str">
        <f>HYPERLINK("http://www.veritas-a.com/news/articleView.html?idxno=560779")</f>
        <v>http://www.veritas-a.com/news/articleView.html?idxno=560779</v>
      </c>
      <c r="H8427">
        <v>0.16400000000000001</v>
      </c>
    </row>
    <row r="8428" spans="1:8" x14ac:dyDescent="0.3">
      <c r="A8428" t="s">
        <v>18176</v>
      </c>
      <c r="B8428" t="s">
        <v>26951</v>
      </c>
      <c r="C8428" t="s">
        <v>21258</v>
      </c>
      <c r="D8428" t="s">
        <v>21257</v>
      </c>
      <c r="E8428" s="2" t="s">
        <v>313</v>
      </c>
      <c r="F8428" t="s">
        <v>4119</v>
      </c>
      <c r="G8428" t="str">
        <f>HYPERLINK("https://www.jemin.com/news/articleView.html?idxno=800511")</f>
        <v>https://www.jemin.com/news/articleView.html?idxno=800511</v>
      </c>
      <c r="H8428">
        <v>0.45400000000000001</v>
      </c>
    </row>
    <row r="8429" spans="1:8" x14ac:dyDescent="0.3">
      <c r="A8429" t="s">
        <v>18176</v>
      </c>
      <c r="B8429" t="s">
        <v>26951</v>
      </c>
      <c r="C8429" t="s">
        <v>21260</v>
      </c>
      <c r="D8429" t="s">
        <v>21259</v>
      </c>
      <c r="E8429" s="2" t="s">
        <v>313</v>
      </c>
      <c r="F8429" t="s">
        <v>20672</v>
      </c>
      <c r="G8429" t="str">
        <f>HYPERLINK("https://n.news.naver.com/mnews/article/028/0002753113?sid=103")</f>
        <v>https://n.news.naver.com/mnews/article/028/0002753113?sid=103</v>
      </c>
      <c r="H8429">
        <v>3.6999999999999998E-2</v>
      </c>
    </row>
    <row r="8430" spans="1:8" x14ac:dyDescent="0.3">
      <c r="A8430" t="s">
        <v>18176</v>
      </c>
      <c r="B8430" t="s">
        <v>26951</v>
      </c>
      <c r="C8430" t="s">
        <v>21263</v>
      </c>
      <c r="D8430" t="s">
        <v>21262</v>
      </c>
      <c r="E8430" s="2" t="s">
        <v>313</v>
      </c>
      <c r="F8430" t="s">
        <v>21261</v>
      </c>
      <c r="G8430" t="str">
        <f>HYPERLINK("http://www.fntoday.co.kr/news/articleView.html?idxno=336737")</f>
        <v>http://www.fntoday.co.kr/news/articleView.html?idxno=336737</v>
      </c>
      <c r="H8430">
        <v>0.53</v>
      </c>
    </row>
    <row r="8431" spans="1:8" x14ac:dyDescent="0.3">
      <c r="A8431" t="s">
        <v>18176</v>
      </c>
      <c r="B8431" t="s">
        <v>26951</v>
      </c>
      <c r="C8431" t="s">
        <v>21265</v>
      </c>
      <c r="D8431" t="s">
        <v>21264</v>
      </c>
      <c r="E8431" s="2" t="s">
        <v>313</v>
      </c>
      <c r="F8431" t="s">
        <v>17138</v>
      </c>
      <c r="G8431" t="str">
        <f>HYPERLINK("http://www.viewsnnews.com/article?q=219990")</f>
        <v>http://www.viewsnnews.com/article?q=219990</v>
      </c>
      <c r="H8431">
        <v>0.40400000000000003</v>
      </c>
    </row>
    <row r="8432" spans="1:8" x14ac:dyDescent="0.3">
      <c r="A8432" t="s">
        <v>18176</v>
      </c>
      <c r="B8432" t="s">
        <v>26951</v>
      </c>
      <c r="C8432" t="s">
        <v>21267</v>
      </c>
      <c r="D8432" t="s">
        <v>21266</v>
      </c>
      <c r="E8432" s="2" t="s">
        <v>313</v>
      </c>
      <c r="F8432" t="s">
        <v>13381</v>
      </c>
      <c r="G8432" t="str">
        <f>HYPERLINK("https://www.christiantoday.co.kr/news/367088")</f>
        <v>https://www.christiantoday.co.kr/news/367088</v>
      </c>
      <c r="H8432">
        <v>0.34799999999999998</v>
      </c>
    </row>
    <row r="8433" spans="1:8" x14ac:dyDescent="0.3">
      <c r="A8433" t="s">
        <v>18176</v>
      </c>
      <c r="B8433" t="s">
        <v>26951</v>
      </c>
      <c r="C8433" t="s">
        <v>21270</v>
      </c>
      <c r="D8433" t="s">
        <v>21269</v>
      </c>
      <c r="E8433" s="2" t="s">
        <v>313</v>
      </c>
      <c r="F8433" t="s">
        <v>21268</v>
      </c>
      <c r="G8433" t="str">
        <f>HYPERLINK("http://www.economytalk.kr/news/articleView.html?idxno=408993")</f>
        <v>http://www.economytalk.kr/news/articleView.html?idxno=408993</v>
      </c>
      <c r="H8433">
        <v>0.42099999999999999</v>
      </c>
    </row>
    <row r="8434" spans="1:8" x14ac:dyDescent="0.3">
      <c r="A8434" t="s">
        <v>18176</v>
      </c>
      <c r="B8434" t="s">
        <v>26951</v>
      </c>
      <c r="C8434" t="s">
        <v>21272</v>
      </c>
      <c r="D8434" t="s">
        <v>21271</v>
      </c>
      <c r="E8434" s="2" t="s">
        <v>356</v>
      </c>
      <c r="F8434" t="s">
        <v>18511</v>
      </c>
      <c r="G8434" t="str">
        <f>HYPERLINK("https://daily.hankooki.com/news/articleView.html?idxno=1229832")</f>
        <v>https://daily.hankooki.com/news/articleView.html?idxno=1229832</v>
      </c>
      <c r="H8434">
        <v>0.61499999999999999</v>
      </c>
    </row>
    <row r="8435" spans="1:8" x14ac:dyDescent="0.3">
      <c r="A8435" t="s">
        <v>18176</v>
      </c>
      <c r="B8435" t="s">
        <v>26951</v>
      </c>
      <c r="C8435" t="s">
        <v>21275</v>
      </c>
      <c r="D8435" t="s">
        <v>21274</v>
      </c>
      <c r="E8435" s="2" t="s">
        <v>356</v>
      </c>
      <c r="F8435" t="s">
        <v>21273</v>
      </c>
      <c r="G8435" t="str">
        <f>HYPERLINK("http://www.ktsketch.co.kr/news/articleView.html?idxno=8465")</f>
        <v>http://www.ktsketch.co.kr/news/articleView.html?idxno=8465</v>
      </c>
      <c r="H8435">
        <v>0.41399999999999998</v>
      </c>
    </row>
    <row r="8436" spans="1:8" x14ac:dyDescent="0.3">
      <c r="A8436" t="s">
        <v>18176</v>
      </c>
      <c r="B8436" t="s">
        <v>26951</v>
      </c>
      <c r="C8436" t="s">
        <v>21278</v>
      </c>
      <c r="D8436" t="s">
        <v>21277</v>
      </c>
      <c r="E8436" s="2" t="s">
        <v>356</v>
      </c>
      <c r="F8436" t="s">
        <v>21276</v>
      </c>
      <c r="G8436" t="str">
        <f>HYPERLINK("https://n.news.naver.com/mnews/article/119/0002918903?sid=100")</f>
        <v>https://n.news.naver.com/mnews/article/119/0002918903?sid=100</v>
      </c>
      <c r="H8436">
        <v>0.32800000000000001</v>
      </c>
    </row>
    <row r="8437" spans="1:8" x14ac:dyDescent="0.3">
      <c r="A8437" t="s">
        <v>18176</v>
      </c>
      <c r="B8437" t="s">
        <v>26951</v>
      </c>
      <c r="C8437" t="s">
        <v>21280</v>
      </c>
      <c r="D8437" t="s">
        <v>21279</v>
      </c>
      <c r="E8437" s="2" t="s">
        <v>356</v>
      </c>
      <c r="F8437" t="s">
        <v>16366</v>
      </c>
      <c r="G8437" t="str">
        <f>HYPERLINK("https://n.news.naver.com/mnews/article/081/0002445439?sid=102")</f>
        <v>https://n.news.naver.com/mnews/article/081/0002445439?sid=102</v>
      </c>
      <c r="H8437">
        <v>0.16900000000000001</v>
      </c>
    </row>
    <row r="8438" spans="1:8" x14ac:dyDescent="0.3">
      <c r="A8438" t="s">
        <v>18176</v>
      </c>
      <c r="B8438" t="s">
        <v>26951</v>
      </c>
      <c r="C8438" t="s">
        <v>21282</v>
      </c>
      <c r="D8438" t="s">
        <v>21281</v>
      </c>
      <c r="E8438" s="2" t="s">
        <v>356</v>
      </c>
      <c r="F8438" t="s">
        <v>18971</v>
      </c>
      <c r="G8438" t="str">
        <f>HYPERLINK("http://www.sisamagazine.co.kr/news/articleView.html?idxno=449149")</f>
        <v>http://www.sisamagazine.co.kr/news/articleView.html?idxno=449149</v>
      </c>
      <c r="H8438">
        <v>0.22</v>
      </c>
    </row>
    <row r="8439" spans="1:8" x14ac:dyDescent="0.3">
      <c r="A8439" t="s">
        <v>18176</v>
      </c>
      <c r="B8439" t="s">
        <v>26951</v>
      </c>
      <c r="C8439" t="s">
        <v>21284</v>
      </c>
      <c r="D8439" t="s">
        <v>21283</v>
      </c>
      <c r="E8439" s="2" t="s">
        <v>356</v>
      </c>
      <c r="F8439" t="s">
        <v>14051</v>
      </c>
      <c r="G8439" t="str">
        <f>HYPERLINK("https://www.incheonilbo.com/news/articleView.html?idxno=1294450")</f>
        <v>https://www.incheonilbo.com/news/articleView.html?idxno=1294450</v>
      </c>
      <c r="H8439">
        <v>0.34699999999999998</v>
      </c>
    </row>
    <row r="8440" spans="1:8" x14ac:dyDescent="0.3">
      <c r="A8440" t="s">
        <v>18176</v>
      </c>
      <c r="B8440" t="s">
        <v>26951</v>
      </c>
      <c r="C8440" t="s">
        <v>21286</v>
      </c>
      <c r="D8440" t="s">
        <v>21285</v>
      </c>
      <c r="E8440" s="2" t="s">
        <v>356</v>
      </c>
      <c r="F8440" t="s">
        <v>8572</v>
      </c>
      <c r="G8440" t="str">
        <f>HYPERLINK("http://www.greened.kr/news/articleView.html?idxno=298762")</f>
        <v>http://www.greened.kr/news/articleView.html?idxno=298762</v>
      </c>
      <c r="H8440">
        <v>0.60599999999999998</v>
      </c>
    </row>
    <row r="8441" spans="1:8" x14ac:dyDescent="0.3">
      <c r="A8441" t="s">
        <v>18176</v>
      </c>
      <c r="B8441" t="s">
        <v>26951</v>
      </c>
      <c r="C8441" t="s">
        <v>21289</v>
      </c>
      <c r="D8441" t="s">
        <v>21288</v>
      </c>
      <c r="E8441" s="2" t="s">
        <v>356</v>
      </c>
      <c r="F8441" t="s">
        <v>21287</v>
      </c>
      <c r="G8441" t="str">
        <f>HYPERLINK("http://www.bzeronews.com/news/articleView.html?idxno=202154")</f>
        <v>http://www.bzeronews.com/news/articleView.html?idxno=202154</v>
      </c>
      <c r="H8441">
        <v>0.16400000000000001</v>
      </c>
    </row>
    <row r="8442" spans="1:8" x14ac:dyDescent="0.3">
      <c r="A8442" t="s">
        <v>18176</v>
      </c>
      <c r="B8442" t="s">
        <v>26951</v>
      </c>
      <c r="C8442" t="s">
        <v>16408</v>
      </c>
      <c r="D8442" t="s">
        <v>16407</v>
      </c>
      <c r="E8442" s="2" t="s">
        <v>356</v>
      </c>
      <c r="F8442" t="s">
        <v>1911</v>
      </c>
      <c r="G8442" t="str">
        <f>HYPERLINK("https://n.news.naver.com/mnews/article/018/0006053974?sid=100")</f>
        <v>https://n.news.naver.com/mnews/article/018/0006053974?sid=100</v>
      </c>
      <c r="H8442">
        <v>0.14099999999999999</v>
      </c>
    </row>
    <row r="8443" spans="1:8" x14ac:dyDescent="0.3">
      <c r="A8443" t="s">
        <v>18176</v>
      </c>
      <c r="B8443" t="s">
        <v>26951</v>
      </c>
      <c r="C8443" t="s">
        <v>21291</v>
      </c>
      <c r="D8443" t="s">
        <v>21290</v>
      </c>
      <c r="E8443" s="2" t="s">
        <v>356</v>
      </c>
      <c r="F8443" t="s">
        <v>10471</v>
      </c>
      <c r="G8443" t="str">
        <f>HYPERLINK("https://n.news.naver.com/mnews/article/056/0011692633?sid=100")</f>
        <v>https://n.news.naver.com/mnews/article/056/0011692633?sid=100</v>
      </c>
      <c r="H8443">
        <v>0.219</v>
      </c>
    </row>
    <row r="8444" spans="1:8" x14ac:dyDescent="0.3">
      <c r="A8444" t="s">
        <v>18176</v>
      </c>
      <c r="B8444" t="s">
        <v>26951</v>
      </c>
      <c r="C8444" t="s">
        <v>21294</v>
      </c>
      <c r="D8444" t="s">
        <v>21293</v>
      </c>
      <c r="E8444" s="2" t="s">
        <v>356</v>
      </c>
      <c r="F8444" t="s">
        <v>21292</v>
      </c>
      <c r="G8444" t="str">
        <f>HYPERLINK("https://daily.hankooki.com/news/articleView.html?idxno=1027849")</f>
        <v>https://daily.hankooki.com/news/articleView.html?idxno=1027849</v>
      </c>
      <c r="H8444">
        <v>0.41099999999999998</v>
      </c>
    </row>
    <row r="8445" spans="1:8" x14ac:dyDescent="0.3">
      <c r="A8445" t="s">
        <v>18176</v>
      </c>
      <c r="B8445" t="s">
        <v>26951</v>
      </c>
      <c r="C8445" t="s">
        <v>21297</v>
      </c>
      <c r="D8445" t="s">
        <v>21296</v>
      </c>
      <c r="E8445" s="2" t="s">
        <v>356</v>
      </c>
      <c r="F8445" t="s">
        <v>21295</v>
      </c>
      <c r="G8445" t="str">
        <f>HYPERLINK("https://www.thekpm.com/news/articleView.html?idxno=172162")</f>
        <v>https://www.thekpm.com/news/articleView.html?idxno=172162</v>
      </c>
      <c r="H8445">
        <v>0.26200000000000001</v>
      </c>
    </row>
    <row r="8446" spans="1:8" x14ac:dyDescent="0.3">
      <c r="A8446" t="s">
        <v>18176</v>
      </c>
      <c r="B8446" t="s">
        <v>26951</v>
      </c>
      <c r="C8446" t="s">
        <v>21299</v>
      </c>
      <c r="D8446" t="s">
        <v>21298</v>
      </c>
      <c r="E8446" s="2" t="s">
        <v>356</v>
      </c>
      <c r="F8446" t="s">
        <v>10341</v>
      </c>
      <c r="G8446" t="str">
        <f>HYPERLINK("https://n.news.naver.com/mnews/article/057/0001894420?sid=104")</f>
        <v>https://n.news.naver.com/mnews/article/057/0001894420?sid=104</v>
      </c>
      <c r="H8446">
        <v>0.255</v>
      </c>
    </row>
    <row r="8447" spans="1:8" x14ac:dyDescent="0.3">
      <c r="A8447" t="s">
        <v>18176</v>
      </c>
      <c r="B8447" t="s">
        <v>26951</v>
      </c>
      <c r="C8447" t="s">
        <v>21301</v>
      </c>
      <c r="D8447" t="s">
        <v>21300</v>
      </c>
      <c r="E8447" s="2" t="s">
        <v>356</v>
      </c>
      <c r="F8447" t="s">
        <v>8718</v>
      </c>
      <c r="G8447" t="str">
        <f>HYPERLINK("https://www.ulsanpress.net/news/articleView.html?idxno=524765")</f>
        <v>https://www.ulsanpress.net/news/articleView.html?idxno=524765</v>
      </c>
      <c r="H8447">
        <v>0.441</v>
      </c>
    </row>
    <row r="8448" spans="1:8" x14ac:dyDescent="0.3">
      <c r="A8448" t="s">
        <v>18176</v>
      </c>
      <c r="B8448" t="s">
        <v>26951</v>
      </c>
      <c r="C8448" t="s">
        <v>21304</v>
      </c>
      <c r="D8448" t="s">
        <v>21303</v>
      </c>
      <c r="E8448" s="2" t="s">
        <v>356</v>
      </c>
      <c r="F8448" t="s">
        <v>21302</v>
      </c>
      <c r="G8448" t="str">
        <f>HYPERLINK("https://news.skbroadband.com/news/articleView.html?idxno=168315")</f>
        <v>https://news.skbroadband.com/news/articleView.html?idxno=168315</v>
      </c>
      <c r="H8448">
        <v>0.34499999999999997</v>
      </c>
    </row>
    <row r="8449" spans="1:8" x14ac:dyDescent="0.3">
      <c r="A8449" t="s">
        <v>18176</v>
      </c>
      <c r="B8449" t="s">
        <v>26951</v>
      </c>
      <c r="C8449" t="s">
        <v>21306</v>
      </c>
      <c r="D8449" t="s">
        <v>21305</v>
      </c>
      <c r="E8449" s="2" t="s">
        <v>356</v>
      </c>
      <c r="F8449" t="s">
        <v>373</v>
      </c>
      <c r="G8449" t="str">
        <f>HYPERLINK("http://www.discoverynews.kr/news/articleView.html?idxno=856952")</f>
        <v>http://www.discoverynews.kr/news/articleView.html?idxno=856952</v>
      </c>
      <c r="H8449">
        <v>0.52</v>
      </c>
    </row>
    <row r="8450" spans="1:8" x14ac:dyDescent="0.3">
      <c r="A8450" t="s">
        <v>18176</v>
      </c>
      <c r="B8450" t="s">
        <v>26951</v>
      </c>
      <c r="C8450" t="s">
        <v>21309</v>
      </c>
      <c r="D8450" t="s">
        <v>21308</v>
      </c>
      <c r="E8450" s="2" t="s">
        <v>356</v>
      </c>
      <c r="F8450" t="s">
        <v>21307</v>
      </c>
      <c r="G8450" t="str">
        <f>HYPERLINK("http://www.issuenbiz.com/news/articleView.html?idxno=33382")</f>
        <v>http://www.issuenbiz.com/news/articleView.html?idxno=33382</v>
      </c>
      <c r="H8450">
        <v>0.28899999999999998</v>
      </c>
    </row>
    <row r="8451" spans="1:8" x14ac:dyDescent="0.3">
      <c r="A8451" t="s">
        <v>18176</v>
      </c>
      <c r="B8451" t="s">
        <v>26951</v>
      </c>
      <c r="C8451" t="s">
        <v>21311</v>
      </c>
      <c r="D8451" t="s">
        <v>21293</v>
      </c>
      <c r="E8451" s="2" t="s">
        <v>356</v>
      </c>
      <c r="F8451" t="s">
        <v>21310</v>
      </c>
      <c r="G8451" t="str">
        <f>HYPERLINK("https://daily.hankooki.com/news/articleView.html?idxno=1027849")</f>
        <v>https://daily.hankooki.com/news/articleView.html?idxno=1027849</v>
      </c>
      <c r="H8451">
        <v>0.46500000000000002</v>
      </c>
    </row>
    <row r="8452" spans="1:8" x14ac:dyDescent="0.3">
      <c r="A8452" t="s">
        <v>18176</v>
      </c>
      <c r="B8452" t="s">
        <v>26951</v>
      </c>
      <c r="C8452" t="s">
        <v>21314</v>
      </c>
      <c r="D8452" t="s">
        <v>21313</v>
      </c>
      <c r="E8452" s="2" t="s">
        <v>356</v>
      </c>
      <c r="F8452" t="s">
        <v>21312</v>
      </c>
      <c r="G8452" t="str">
        <f>HYPERLINK("http://www.djtimes.co.kr/news/articleView.html?idxno=103091")</f>
        <v>http://www.djtimes.co.kr/news/articleView.html?idxno=103091</v>
      </c>
      <c r="H8452">
        <v>0.315</v>
      </c>
    </row>
    <row r="8453" spans="1:8" x14ac:dyDescent="0.3">
      <c r="A8453" t="s">
        <v>18176</v>
      </c>
      <c r="B8453" t="s">
        <v>26951</v>
      </c>
      <c r="C8453" t="s">
        <v>21316</v>
      </c>
      <c r="D8453" t="s">
        <v>21315</v>
      </c>
      <c r="E8453" s="2" t="s">
        <v>356</v>
      </c>
      <c r="F8453" t="s">
        <v>19099</v>
      </c>
      <c r="G8453" t="str">
        <f>HYPERLINK("https://n.news.naver.com/mnews/article/056/0011929880?sid=100")</f>
        <v>https://n.news.naver.com/mnews/article/056/0011929880?sid=100</v>
      </c>
      <c r="H8453">
        <v>0.26400000000000001</v>
      </c>
    </row>
    <row r="8454" spans="1:8" x14ac:dyDescent="0.3">
      <c r="A8454" t="s">
        <v>18176</v>
      </c>
      <c r="B8454" t="s">
        <v>26951</v>
      </c>
      <c r="C8454" t="s">
        <v>21319</v>
      </c>
      <c r="D8454" t="s">
        <v>21318</v>
      </c>
      <c r="E8454" s="2" t="s">
        <v>356</v>
      </c>
      <c r="F8454" t="s">
        <v>21317</v>
      </c>
      <c r="G8454" t="str">
        <f>HYPERLINK("https://www.newsnjoy.or.kr/news/articleView.html?idxno=307123")</f>
        <v>https://www.newsnjoy.or.kr/news/articleView.html?idxno=307123</v>
      </c>
      <c r="H8454">
        <v>0.69799999999999995</v>
      </c>
    </row>
    <row r="8455" spans="1:8" x14ac:dyDescent="0.3">
      <c r="A8455" t="s">
        <v>18176</v>
      </c>
      <c r="B8455" t="s">
        <v>26951</v>
      </c>
      <c r="C8455" t="s">
        <v>21322</v>
      </c>
      <c r="D8455" t="s">
        <v>21321</v>
      </c>
      <c r="E8455" s="2" t="s">
        <v>356</v>
      </c>
      <c r="F8455" t="s">
        <v>21320</v>
      </c>
      <c r="G8455" t="str">
        <f>HYPERLINK("http://www.incheonin.com/news/articleView.html?idxno=110318")</f>
        <v>http://www.incheonin.com/news/articleView.html?idxno=110318</v>
      </c>
      <c r="H8455">
        <v>0.437</v>
      </c>
    </row>
    <row r="8456" spans="1:8" x14ac:dyDescent="0.3">
      <c r="A8456" t="s">
        <v>18176</v>
      </c>
      <c r="B8456" t="s">
        <v>26951</v>
      </c>
      <c r="C8456" t="s">
        <v>21324</v>
      </c>
      <c r="D8456" t="s">
        <v>21323</v>
      </c>
      <c r="E8456" s="2" t="s">
        <v>356</v>
      </c>
      <c r="F8456" t="s">
        <v>19775</v>
      </c>
      <c r="G8456" t="str">
        <f>HYPERLINK("https://n.news.naver.com/mnews/article/662/0000041406?sid=110")</f>
        <v>https://n.news.naver.com/mnews/article/662/0000041406?sid=110</v>
      </c>
      <c r="H8456">
        <v>0.24199999999999999</v>
      </c>
    </row>
    <row r="8457" spans="1:8" x14ac:dyDescent="0.3">
      <c r="A8457" t="s">
        <v>18176</v>
      </c>
      <c r="B8457" t="s">
        <v>26951</v>
      </c>
      <c r="C8457" t="s">
        <v>21327</v>
      </c>
      <c r="D8457" t="s">
        <v>21326</v>
      </c>
      <c r="E8457" s="2" t="s">
        <v>356</v>
      </c>
      <c r="F8457" t="s">
        <v>21325</v>
      </c>
      <c r="G8457" t="str">
        <f>HYPERLINK("http://www.civicnews.com/news/articleView.html?idxno=38211")</f>
        <v>http://www.civicnews.com/news/articleView.html?idxno=38211</v>
      </c>
      <c r="H8457">
        <v>0.36399999999999999</v>
      </c>
    </row>
    <row r="8458" spans="1:8" x14ac:dyDescent="0.3">
      <c r="A8458" t="s">
        <v>18176</v>
      </c>
      <c r="B8458" t="s">
        <v>26951</v>
      </c>
      <c r="C8458" t="s">
        <v>21329</v>
      </c>
      <c r="D8458" t="s">
        <v>21328</v>
      </c>
      <c r="E8458" s="2" t="s">
        <v>356</v>
      </c>
      <c r="F8458" t="s">
        <v>10301</v>
      </c>
      <c r="G8458" t="str">
        <f>HYPERLINK("https://www.greened.kr/news/articleView.html?idxno=326690")</f>
        <v>https://www.greened.kr/news/articleView.html?idxno=326690</v>
      </c>
      <c r="H8458">
        <v>0.21199999999999999</v>
      </c>
    </row>
    <row r="8459" spans="1:8" x14ac:dyDescent="0.3">
      <c r="A8459" t="s">
        <v>18176</v>
      </c>
      <c r="B8459" t="s">
        <v>26951</v>
      </c>
      <c r="C8459" t="s">
        <v>21332</v>
      </c>
      <c r="D8459" t="s">
        <v>21331</v>
      </c>
      <c r="E8459" s="2" t="s">
        <v>356</v>
      </c>
      <c r="F8459" t="s">
        <v>21330</v>
      </c>
      <c r="G8459" t="str">
        <f>HYPERLINK("https://www.lecturernews.com/news/articleView.html?idxno=181422")</f>
        <v>https://www.lecturernews.com/news/articleView.html?idxno=181422</v>
      </c>
      <c r="H8459">
        <v>0.60299999999999998</v>
      </c>
    </row>
    <row r="8460" spans="1:8" x14ac:dyDescent="0.3">
      <c r="A8460" t="s">
        <v>18176</v>
      </c>
      <c r="B8460" t="s">
        <v>26951</v>
      </c>
      <c r="C8460" t="s">
        <v>21335</v>
      </c>
      <c r="D8460" t="s">
        <v>21334</v>
      </c>
      <c r="E8460" s="2" t="s">
        <v>356</v>
      </c>
      <c r="F8460" t="s">
        <v>21333</v>
      </c>
      <c r="G8460" t="str">
        <f>HYPERLINK("http://www.imwood.co.kr/news/articleView.html?idxno=34337")</f>
        <v>http://www.imwood.co.kr/news/articleView.html?idxno=34337</v>
      </c>
      <c r="H8460">
        <v>0.58399999999999996</v>
      </c>
    </row>
    <row r="8461" spans="1:8" x14ac:dyDescent="0.3">
      <c r="A8461" t="s">
        <v>18176</v>
      </c>
      <c r="B8461" t="s">
        <v>26951</v>
      </c>
      <c r="C8461" t="s">
        <v>21338</v>
      </c>
      <c r="D8461" t="s">
        <v>21337</v>
      </c>
      <c r="E8461" s="2" t="s">
        <v>356</v>
      </c>
      <c r="F8461" t="s">
        <v>21336</v>
      </c>
      <c r="G8461" t="str">
        <f>HYPERLINK("https://www.travie.com/news/articleView.html?idxno=53278")</f>
        <v>https://www.travie.com/news/articleView.html?idxno=53278</v>
      </c>
      <c r="H8461">
        <v>0.43099999999999999</v>
      </c>
    </row>
    <row r="8462" spans="1:8" x14ac:dyDescent="0.3">
      <c r="A8462" t="s">
        <v>18176</v>
      </c>
      <c r="B8462" t="s">
        <v>26951</v>
      </c>
      <c r="C8462" t="s">
        <v>21340</v>
      </c>
      <c r="D8462" t="s">
        <v>21339</v>
      </c>
      <c r="E8462" s="2" t="s">
        <v>356</v>
      </c>
      <c r="F8462" t="s">
        <v>12391</v>
      </c>
      <c r="G8462" t="str">
        <f>HYPERLINK("https://www.econovill.com/news/articleView.html?idxno=701473")</f>
        <v>https://www.econovill.com/news/articleView.html?idxno=701473</v>
      </c>
      <c r="H8462">
        <v>0.36499999999999999</v>
      </c>
    </row>
    <row r="8463" spans="1:8" x14ac:dyDescent="0.3">
      <c r="A8463" t="s">
        <v>18176</v>
      </c>
      <c r="B8463" t="s">
        <v>26951</v>
      </c>
      <c r="C8463" t="s">
        <v>21342</v>
      </c>
      <c r="D8463" t="s">
        <v>21341</v>
      </c>
      <c r="E8463" s="2" t="s">
        <v>356</v>
      </c>
      <c r="F8463" t="s">
        <v>13809</v>
      </c>
      <c r="G8463" t="str">
        <f>HYPERLINK("https://n.news.naver.com/mnews/article/016/0002491957?sid=103")</f>
        <v>https://n.news.naver.com/mnews/article/016/0002491957?sid=103</v>
      </c>
      <c r="H8463">
        <v>0.161</v>
      </c>
    </row>
    <row r="8464" spans="1:8" x14ac:dyDescent="0.3">
      <c r="A8464" t="s">
        <v>18176</v>
      </c>
      <c r="B8464" t="s">
        <v>26951</v>
      </c>
      <c r="C8464" t="s">
        <v>21345</v>
      </c>
      <c r="D8464" t="s">
        <v>21344</v>
      </c>
      <c r="E8464" s="2" t="s">
        <v>356</v>
      </c>
      <c r="F8464" t="s">
        <v>21343</v>
      </c>
      <c r="G8464" t="str">
        <f>HYPERLINK("https://n.news.naver.com/mnews/article/032/0001998543?sid=102")</f>
        <v>https://n.news.naver.com/mnews/article/032/0001998543?sid=102</v>
      </c>
      <c r="H8464">
        <v>0.186</v>
      </c>
    </row>
    <row r="8465" spans="1:8" x14ac:dyDescent="0.3">
      <c r="A8465" t="s">
        <v>18176</v>
      </c>
      <c r="B8465" t="s">
        <v>26951</v>
      </c>
      <c r="C8465" t="s">
        <v>21347</v>
      </c>
      <c r="D8465" t="s">
        <v>21346</v>
      </c>
      <c r="E8465" s="2" t="s">
        <v>356</v>
      </c>
      <c r="F8465" t="s">
        <v>11503</v>
      </c>
      <c r="G8465" t="str">
        <f>HYPERLINK("https://n.news.naver.com/mnews/article/032/0003379875?sid=102")</f>
        <v>https://n.news.naver.com/mnews/article/032/0003379875?sid=102</v>
      </c>
      <c r="H8465">
        <v>0.32600000000000001</v>
      </c>
    </row>
    <row r="8466" spans="1:8" x14ac:dyDescent="0.3">
      <c r="A8466" t="s">
        <v>18176</v>
      </c>
      <c r="B8466" t="s">
        <v>26951</v>
      </c>
      <c r="C8466" t="s">
        <v>21349</v>
      </c>
      <c r="D8466" t="s">
        <v>21348</v>
      </c>
      <c r="E8466" s="2" t="s">
        <v>356</v>
      </c>
      <c r="F8466" t="s">
        <v>20242</v>
      </c>
      <c r="G8466" t="str">
        <f>HYPERLINK("https://n.news.naver.com/mnews/article/011/0003856849?sid=102")</f>
        <v>https://n.news.naver.com/mnews/article/011/0003856849?sid=102</v>
      </c>
      <c r="H8466">
        <v>0.19700000000000001</v>
      </c>
    </row>
    <row r="8467" spans="1:8" x14ac:dyDescent="0.3">
      <c r="A8467" t="s">
        <v>18176</v>
      </c>
      <c r="B8467" t="s">
        <v>26951</v>
      </c>
      <c r="C8467" t="s">
        <v>21352</v>
      </c>
      <c r="D8467" t="s">
        <v>21351</v>
      </c>
      <c r="E8467" s="2" t="s">
        <v>356</v>
      </c>
      <c r="F8467" t="s">
        <v>21350</v>
      </c>
      <c r="G8467" t="str">
        <f>HYPERLINK("https://n.news.naver.com/mnews/article/014/0005370944?sid=102")</f>
        <v>https://n.news.naver.com/mnews/article/014/0005370944?sid=102</v>
      </c>
      <c r="H8467">
        <v>0.316</v>
      </c>
    </row>
    <row r="8468" spans="1:8" x14ac:dyDescent="0.3">
      <c r="A8468" t="s">
        <v>18176</v>
      </c>
      <c r="B8468" t="s">
        <v>26951</v>
      </c>
      <c r="C8468" t="s">
        <v>21354</v>
      </c>
      <c r="D8468" t="s">
        <v>21353</v>
      </c>
      <c r="E8468" s="2" t="s">
        <v>356</v>
      </c>
      <c r="F8468" t="s">
        <v>10506</v>
      </c>
      <c r="G8468" t="str">
        <f>HYPERLINK("http://www.mygoyang.com/news/articleView.html?idxno=84716")</f>
        <v>http://www.mygoyang.com/news/articleView.html?idxno=84716</v>
      </c>
      <c r="H8468">
        <v>0.111</v>
      </c>
    </row>
    <row r="8469" spans="1:8" x14ac:dyDescent="0.3">
      <c r="A8469" t="s">
        <v>18176</v>
      </c>
      <c r="B8469" t="s">
        <v>26951</v>
      </c>
      <c r="C8469" t="s">
        <v>21357</v>
      </c>
      <c r="D8469" t="s">
        <v>21356</v>
      </c>
      <c r="E8469" s="2" t="s">
        <v>356</v>
      </c>
      <c r="F8469" t="s">
        <v>21355</v>
      </c>
      <c r="G8469" t="str">
        <f>HYPERLINK("http://www.bulkwang.co.kr/news/articleView.html?idxno=33986")</f>
        <v>http://www.bulkwang.co.kr/news/articleView.html?idxno=33986</v>
      </c>
      <c r="H8469">
        <v>0.46700000000000003</v>
      </c>
    </row>
    <row r="8470" spans="1:8" x14ac:dyDescent="0.3">
      <c r="A8470" t="s">
        <v>18176</v>
      </c>
      <c r="B8470" t="s">
        <v>26951</v>
      </c>
      <c r="C8470" t="s">
        <v>21360</v>
      </c>
      <c r="D8470" t="s">
        <v>21359</v>
      </c>
      <c r="E8470" s="2" t="s">
        <v>356</v>
      </c>
      <c r="F8470" t="s">
        <v>21358</v>
      </c>
      <c r="G8470" t="str">
        <f>HYPERLINK("https://www.greened.kr/news/articleView.html?idxno=316967")</f>
        <v>https://www.greened.kr/news/articleView.html?idxno=316967</v>
      </c>
      <c r="H8470">
        <v>0.58599999999999997</v>
      </c>
    </row>
    <row r="8471" spans="1:8" x14ac:dyDescent="0.3">
      <c r="A8471" t="s">
        <v>18176</v>
      </c>
      <c r="B8471" t="s">
        <v>26951</v>
      </c>
      <c r="C8471" t="s">
        <v>21363</v>
      </c>
      <c r="D8471" t="s">
        <v>21362</v>
      </c>
      <c r="E8471" s="2" t="s">
        <v>356</v>
      </c>
      <c r="F8471" t="s">
        <v>21361</v>
      </c>
      <c r="G8471" t="str">
        <f>HYPERLINK("http://www.ggilbo.com/news/articleView.html?idxno=876269")</f>
        <v>http://www.ggilbo.com/news/articleView.html?idxno=876269</v>
      </c>
      <c r="H8471">
        <v>0.14299999999999999</v>
      </c>
    </row>
    <row r="8472" spans="1:8" x14ac:dyDescent="0.3">
      <c r="A8472" t="s">
        <v>18176</v>
      </c>
      <c r="B8472" t="s">
        <v>26951</v>
      </c>
      <c r="C8472" t="s">
        <v>21365</v>
      </c>
      <c r="D8472" t="s">
        <v>21364</v>
      </c>
      <c r="E8472" s="2" t="s">
        <v>356</v>
      </c>
      <c r="F8472" t="s">
        <v>11376</v>
      </c>
      <c r="G8472" t="str">
        <f>HYPERLINK("http://news.unn.net/news/articleView.html?idxno=164735")</f>
        <v>http://news.unn.net/news/articleView.html?idxno=164735</v>
      </c>
      <c r="H8472">
        <v>0.34599999999999997</v>
      </c>
    </row>
    <row r="8473" spans="1:8" x14ac:dyDescent="0.3">
      <c r="A8473" t="s">
        <v>18176</v>
      </c>
      <c r="B8473" t="s">
        <v>26951</v>
      </c>
      <c r="C8473" t="s">
        <v>21367</v>
      </c>
      <c r="D8473" t="s">
        <v>21366</v>
      </c>
      <c r="E8473" s="2" t="s">
        <v>356</v>
      </c>
      <c r="F8473" t="s">
        <v>4476</v>
      </c>
      <c r="G8473" t="str">
        <f>HYPERLINK("http://www.gjdream.com/news/articleView.html?idxno=606386")</f>
        <v>http://www.gjdream.com/news/articleView.html?idxno=606386</v>
      </c>
      <c r="H8473">
        <v>0.69</v>
      </c>
    </row>
    <row r="8474" spans="1:8" x14ac:dyDescent="0.3">
      <c r="A8474" t="s">
        <v>18176</v>
      </c>
      <c r="B8474" t="s">
        <v>26951</v>
      </c>
      <c r="C8474" t="s">
        <v>21370</v>
      </c>
      <c r="D8474" t="s">
        <v>21369</v>
      </c>
      <c r="E8474" s="2" t="s">
        <v>356</v>
      </c>
      <c r="F8474" t="s">
        <v>21368</v>
      </c>
      <c r="G8474" t="str">
        <f>HYPERLINK("http://www.newsdream.kr/news/articleView.html?idxno=86813")</f>
        <v>http://www.newsdream.kr/news/articleView.html?idxno=86813</v>
      </c>
      <c r="H8474">
        <v>0.95299999999999996</v>
      </c>
    </row>
    <row r="8475" spans="1:8" x14ac:dyDescent="0.3">
      <c r="A8475" t="s">
        <v>18176</v>
      </c>
      <c r="B8475" t="s">
        <v>26951</v>
      </c>
      <c r="C8475" t="s">
        <v>21372</v>
      </c>
      <c r="D8475" t="s">
        <v>21371</v>
      </c>
      <c r="E8475" s="2" t="s">
        <v>356</v>
      </c>
      <c r="F8475" t="s">
        <v>6731</v>
      </c>
      <c r="G8475" t="str">
        <f>HYPERLINK("https://www.kukinews.com/article/view/kuk202506170117")</f>
        <v>https://www.kukinews.com/article/view/kuk202506170117</v>
      </c>
      <c r="H8475">
        <v>0.57399999999999995</v>
      </c>
    </row>
    <row r="8476" spans="1:8" x14ac:dyDescent="0.3">
      <c r="A8476" t="s">
        <v>18176</v>
      </c>
      <c r="B8476" t="s">
        <v>26951</v>
      </c>
      <c r="C8476" t="s">
        <v>21375</v>
      </c>
      <c r="D8476" t="s">
        <v>21374</v>
      </c>
      <c r="E8476" s="2" t="s">
        <v>356</v>
      </c>
      <c r="F8476" t="s">
        <v>21373</v>
      </c>
      <c r="G8476" t="str">
        <f>HYPERLINK("https://www.jemin.com/news/articleView.html?idxno=799374")</f>
        <v>https://www.jemin.com/news/articleView.html?idxno=799374</v>
      </c>
      <c r="H8476">
        <v>0.27800000000000002</v>
      </c>
    </row>
    <row r="8477" spans="1:8" x14ac:dyDescent="0.3">
      <c r="A8477" t="s">
        <v>18176</v>
      </c>
      <c r="B8477" t="s">
        <v>26951</v>
      </c>
      <c r="C8477" t="s">
        <v>21378</v>
      </c>
      <c r="D8477" t="s">
        <v>21377</v>
      </c>
      <c r="E8477" s="2" t="s">
        <v>172</v>
      </c>
      <c r="F8477" t="s">
        <v>21376</v>
      </c>
      <c r="G8477" t="str">
        <f>HYPERLINK("https://n.news.naver.com/mnews/article/014/0005370944?sid=102")</f>
        <v>https://n.news.naver.com/mnews/article/014/0005370944?sid=102</v>
      </c>
      <c r="H8477">
        <v>0.38500000000000001</v>
      </c>
    </row>
    <row r="8478" spans="1:8" x14ac:dyDescent="0.3">
      <c r="A8478" t="s">
        <v>18176</v>
      </c>
      <c r="B8478" t="s">
        <v>26951</v>
      </c>
      <c r="C8478" t="s">
        <v>21381</v>
      </c>
      <c r="D8478" t="s">
        <v>21380</v>
      </c>
      <c r="E8478" s="2" t="s">
        <v>172</v>
      </c>
      <c r="F8478" t="s">
        <v>21379</v>
      </c>
      <c r="G8478" t="str">
        <f>HYPERLINK("http://jmagazine.joins.com/monthly/view/334633")</f>
        <v>http://jmagazine.joins.com/monthly/view/334633</v>
      </c>
      <c r="H8478">
        <v>0.53500000000000003</v>
      </c>
    </row>
    <row r="8479" spans="1:8" x14ac:dyDescent="0.3">
      <c r="A8479" t="s">
        <v>18176</v>
      </c>
      <c r="B8479" t="s">
        <v>26951</v>
      </c>
      <c r="C8479" t="s">
        <v>21383</v>
      </c>
      <c r="D8479" t="s">
        <v>21382</v>
      </c>
      <c r="E8479" s="2" t="s">
        <v>172</v>
      </c>
      <c r="F8479" t="s">
        <v>15052</v>
      </c>
      <c r="G8479" t="str">
        <f>HYPERLINK("https://n.news.naver.com/mnews/article/014/0005368405?sid=102")</f>
        <v>https://n.news.naver.com/mnews/article/014/0005368405?sid=102</v>
      </c>
      <c r="H8479">
        <v>0.219</v>
      </c>
    </row>
    <row r="8480" spans="1:8" x14ac:dyDescent="0.3">
      <c r="A8480" t="s">
        <v>18176</v>
      </c>
      <c r="B8480" t="s">
        <v>26951</v>
      </c>
      <c r="C8480" t="s">
        <v>21385</v>
      </c>
      <c r="D8480" t="s">
        <v>21384</v>
      </c>
      <c r="E8480" s="2" t="s">
        <v>172</v>
      </c>
      <c r="F8480" t="s">
        <v>12660</v>
      </c>
      <c r="G8480" t="str">
        <f>HYPERLINK("https://sports.hankooki.com/news/articleView.html?idxno=6885370")</f>
        <v>https://sports.hankooki.com/news/articleView.html?idxno=6885370</v>
      </c>
      <c r="H8480">
        <v>0.376</v>
      </c>
    </row>
    <row r="8481" spans="1:8" x14ac:dyDescent="0.3">
      <c r="A8481" t="s">
        <v>18176</v>
      </c>
      <c r="B8481" t="s">
        <v>26951</v>
      </c>
      <c r="C8481" t="s">
        <v>21387</v>
      </c>
      <c r="D8481" t="s">
        <v>21386</v>
      </c>
      <c r="E8481" s="2" t="s">
        <v>172</v>
      </c>
      <c r="F8481" t="s">
        <v>3501</v>
      </c>
      <c r="G8481" t="str">
        <f>HYPERLINK("https://n.news.naver.com/mnews/article/018/0006048833?sid=102")</f>
        <v>https://n.news.naver.com/mnews/article/018/0006048833?sid=102</v>
      </c>
      <c r="H8481">
        <v>0.224</v>
      </c>
    </row>
    <row r="8482" spans="1:8" x14ac:dyDescent="0.3">
      <c r="A8482" t="s">
        <v>18176</v>
      </c>
      <c r="B8482" t="s">
        <v>26951</v>
      </c>
      <c r="C8482" t="s">
        <v>21389</v>
      </c>
      <c r="D8482" t="s">
        <v>21388</v>
      </c>
      <c r="E8482" s="2" t="s">
        <v>172</v>
      </c>
      <c r="F8482" t="s">
        <v>13511</v>
      </c>
      <c r="G8482" t="str">
        <f>HYPERLINK("https://www.foodneconomy.com/news/articleView.html?idxno=330857")</f>
        <v>https://www.foodneconomy.com/news/articleView.html?idxno=330857</v>
      </c>
      <c r="H8482">
        <v>0.29699999999999999</v>
      </c>
    </row>
    <row r="8483" spans="1:8" x14ac:dyDescent="0.3">
      <c r="A8483" t="s">
        <v>18176</v>
      </c>
      <c r="B8483" t="s">
        <v>26951</v>
      </c>
      <c r="C8483" t="s">
        <v>21391</v>
      </c>
      <c r="D8483" t="s">
        <v>21390</v>
      </c>
      <c r="E8483" s="2" t="s">
        <v>172</v>
      </c>
      <c r="F8483" t="s">
        <v>5548</v>
      </c>
      <c r="G8483" t="str">
        <f>HYPERLINK("https://www.jemin.com/news/articleView.html?idxno=793203")</f>
        <v>https://www.jemin.com/news/articleView.html?idxno=793203</v>
      </c>
      <c r="H8483">
        <v>0.35599999999999998</v>
      </c>
    </row>
    <row r="8484" spans="1:8" x14ac:dyDescent="0.3">
      <c r="A8484" t="s">
        <v>18176</v>
      </c>
      <c r="B8484" t="s">
        <v>26951</v>
      </c>
      <c r="C8484" t="s">
        <v>21393</v>
      </c>
      <c r="D8484" t="s">
        <v>21392</v>
      </c>
      <c r="E8484" s="2" t="s">
        <v>172</v>
      </c>
      <c r="F8484" t="s">
        <v>6147</v>
      </c>
      <c r="G8484" t="str">
        <f>HYPERLINK("https://www.marieclairekorea.com/culture/music/2024/07/rainy-playlist/?utm_source=naver&amp;utm_medium=partnership")</f>
        <v>https://www.marieclairekorea.com/culture/music/2024/07/rainy-playlist/?utm_source=naver&amp;utm_medium=partnership</v>
      </c>
      <c r="H8484">
        <v>0.34</v>
      </c>
    </row>
    <row r="8485" spans="1:8" x14ac:dyDescent="0.3">
      <c r="A8485" t="s">
        <v>18176</v>
      </c>
      <c r="B8485" t="s">
        <v>26951</v>
      </c>
      <c r="C8485" t="s">
        <v>21395</v>
      </c>
      <c r="D8485" t="s">
        <v>21394</v>
      </c>
      <c r="E8485" s="2" t="s">
        <v>172</v>
      </c>
      <c r="F8485" t="s">
        <v>5548</v>
      </c>
      <c r="G8485" t="str">
        <f>HYPERLINK("https://sports.hankooki.com/news/articleView.html?idxno=6887578")</f>
        <v>https://sports.hankooki.com/news/articleView.html?idxno=6887578</v>
      </c>
      <c r="H8485">
        <v>0.28000000000000003</v>
      </c>
    </row>
    <row r="8486" spans="1:8" x14ac:dyDescent="0.3">
      <c r="A8486" t="s">
        <v>18176</v>
      </c>
      <c r="B8486" t="s">
        <v>26951</v>
      </c>
      <c r="C8486" t="s">
        <v>21397</v>
      </c>
      <c r="D8486" t="s">
        <v>21396</v>
      </c>
      <c r="E8486" s="2" t="s">
        <v>172</v>
      </c>
      <c r="F8486" t="s">
        <v>20308</v>
      </c>
      <c r="G8486" t="str">
        <f>HYPERLINK("http://www.dynews.co.kr/news/articleView.html?idxno=728723")</f>
        <v>http://www.dynews.co.kr/news/articleView.html?idxno=728723</v>
      </c>
      <c r="H8486">
        <v>0.29099999999999998</v>
      </c>
    </row>
    <row r="8487" spans="1:8" x14ac:dyDescent="0.3">
      <c r="A8487" t="s">
        <v>18176</v>
      </c>
      <c r="B8487" t="s">
        <v>26951</v>
      </c>
      <c r="C8487" t="s">
        <v>21400</v>
      </c>
      <c r="D8487" t="s">
        <v>21399</v>
      </c>
      <c r="E8487" s="2" t="s">
        <v>172</v>
      </c>
      <c r="F8487" t="s">
        <v>21398</v>
      </c>
      <c r="G8487" t="str">
        <f>HYPERLINK("https://www.jemin.com/news/articleView.html?idxno=805327")</f>
        <v>https://www.jemin.com/news/articleView.html?idxno=805327</v>
      </c>
      <c r="H8487">
        <v>0.45800000000000002</v>
      </c>
    </row>
    <row r="8488" spans="1:8" x14ac:dyDescent="0.3">
      <c r="A8488" t="s">
        <v>18176</v>
      </c>
      <c r="B8488" t="s">
        <v>26951</v>
      </c>
      <c r="C8488" t="s">
        <v>21403</v>
      </c>
      <c r="D8488" t="s">
        <v>21402</v>
      </c>
      <c r="E8488" s="2" t="s">
        <v>172</v>
      </c>
      <c r="F8488" t="s">
        <v>21401</v>
      </c>
      <c r="G8488" t="str">
        <f>HYPERLINK("https://daily.hankooki.com/news/articleView.html?idxno=1233945")</f>
        <v>https://daily.hankooki.com/news/articleView.html?idxno=1233945</v>
      </c>
      <c r="H8488">
        <v>0.59699999999999998</v>
      </c>
    </row>
    <row r="8489" spans="1:8" x14ac:dyDescent="0.3">
      <c r="A8489" t="s">
        <v>18176</v>
      </c>
      <c r="B8489" t="s">
        <v>26951</v>
      </c>
      <c r="C8489" t="s">
        <v>21405</v>
      </c>
      <c r="D8489" t="s">
        <v>21404</v>
      </c>
      <c r="E8489" s="2" t="s">
        <v>172</v>
      </c>
      <c r="F8489" t="s">
        <v>19136</v>
      </c>
      <c r="G8489" t="str">
        <f>HYPERLINK("https://www.lecturernews.com/news/articleView.html?idxno=131481")</f>
        <v>https://www.lecturernews.com/news/articleView.html?idxno=131481</v>
      </c>
      <c r="H8489">
        <v>0.38700000000000001</v>
      </c>
    </row>
    <row r="8490" spans="1:8" x14ac:dyDescent="0.3">
      <c r="A8490" t="s">
        <v>18176</v>
      </c>
      <c r="B8490" t="s">
        <v>26951</v>
      </c>
      <c r="C8490" t="s">
        <v>21408</v>
      </c>
      <c r="D8490" t="s">
        <v>21407</v>
      </c>
      <c r="E8490" s="2" t="s">
        <v>172</v>
      </c>
      <c r="F8490" t="s">
        <v>21406</v>
      </c>
      <c r="G8490" t="str">
        <f>HYPERLINK("http://www.bzeronews.com/news/articleView.html?idxno=716213")</f>
        <v>http://www.bzeronews.com/news/articleView.html?idxno=716213</v>
      </c>
      <c r="H8490">
        <v>0.94699999999999995</v>
      </c>
    </row>
    <row r="8491" spans="1:8" x14ac:dyDescent="0.3">
      <c r="A8491" t="s">
        <v>18176</v>
      </c>
      <c r="B8491" t="s">
        <v>26951</v>
      </c>
      <c r="C8491" t="s">
        <v>21411</v>
      </c>
      <c r="D8491" t="s">
        <v>21410</v>
      </c>
      <c r="E8491" s="2" t="s">
        <v>172</v>
      </c>
      <c r="F8491" t="s">
        <v>21409</v>
      </c>
      <c r="G8491" t="str">
        <f>HYPERLINK("https://www.lecturernews.com/news/articleView.html?idxno=125591")</f>
        <v>https://www.lecturernews.com/news/articleView.html?idxno=125591</v>
      </c>
      <c r="H8491">
        <v>0.56999999999999995</v>
      </c>
    </row>
    <row r="8492" spans="1:8" x14ac:dyDescent="0.3">
      <c r="A8492" t="s">
        <v>18176</v>
      </c>
      <c r="B8492" t="s">
        <v>26951</v>
      </c>
      <c r="C8492" t="s">
        <v>21414</v>
      </c>
      <c r="D8492" t="s">
        <v>21413</v>
      </c>
      <c r="E8492" s="2" t="s">
        <v>172</v>
      </c>
      <c r="F8492" t="s">
        <v>21412</v>
      </c>
      <c r="G8492" t="str">
        <f>HYPERLINK("http://www.newsroad.co.kr/news/articleView.html?idxno=17412")</f>
        <v>http://www.newsroad.co.kr/news/articleView.html?idxno=17412</v>
      </c>
      <c r="H8492">
        <v>0.70199999999999996</v>
      </c>
    </row>
    <row r="8493" spans="1:8" x14ac:dyDescent="0.3">
      <c r="A8493" t="s">
        <v>18176</v>
      </c>
      <c r="B8493" t="s">
        <v>26951</v>
      </c>
      <c r="C8493" t="s">
        <v>21416</v>
      </c>
      <c r="D8493" t="s">
        <v>21415</v>
      </c>
      <c r="E8493" s="2" t="s">
        <v>172</v>
      </c>
      <c r="F8493" t="s">
        <v>10021</v>
      </c>
      <c r="G8493" t="str">
        <f>HYPERLINK("https://www.lecturernews.com/news/articleView.html?idxno=180766")</f>
        <v>https://www.lecturernews.com/news/articleView.html?idxno=180766</v>
      </c>
      <c r="H8493">
        <v>0.25900000000000001</v>
      </c>
    </row>
    <row r="8494" spans="1:8" x14ac:dyDescent="0.3">
      <c r="A8494" t="s">
        <v>18176</v>
      </c>
      <c r="B8494" t="s">
        <v>26951</v>
      </c>
      <c r="C8494" t="s">
        <v>21419</v>
      </c>
      <c r="D8494" t="s">
        <v>21418</v>
      </c>
      <c r="E8494" s="2" t="s">
        <v>172</v>
      </c>
      <c r="F8494" t="s">
        <v>21417</v>
      </c>
      <c r="G8494" t="str">
        <f>HYPERLINK("http://www.newspim.com/news/view/20180611000313")</f>
        <v>http://www.newspim.com/news/view/20180611000313</v>
      </c>
      <c r="H8494">
        <v>0.38800000000000001</v>
      </c>
    </row>
    <row r="8495" spans="1:8" x14ac:dyDescent="0.3">
      <c r="A8495" t="s">
        <v>18176</v>
      </c>
      <c r="B8495" t="s">
        <v>26951</v>
      </c>
      <c r="C8495" t="s">
        <v>21422</v>
      </c>
      <c r="D8495" t="s">
        <v>21421</v>
      </c>
      <c r="E8495" s="2" t="s">
        <v>172</v>
      </c>
      <c r="F8495" t="s">
        <v>21420</v>
      </c>
      <c r="G8495" t="str">
        <f>HYPERLINK("https://n.news.naver.com/mnews/article/056/0011324019?sid=103")</f>
        <v>https://n.news.naver.com/mnews/article/056/0011324019?sid=103</v>
      </c>
      <c r="H8495">
        <v>0.23899999999999999</v>
      </c>
    </row>
    <row r="8496" spans="1:8" x14ac:dyDescent="0.3">
      <c r="A8496" t="s">
        <v>18176</v>
      </c>
      <c r="B8496" t="s">
        <v>26951</v>
      </c>
      <c r="C8496" t="s">
        <v>21425</v>
      </c>
      <c r="D8496" t="s">
        <v>21424</v>
      </c>
      <c r="E8496" s="2" t="s">
        <v>172</v>
      </c>
      <c r="F8496" t="s">
        <v>21423</v>
      </c>
      <c r="G8496" t="str">
        <f>HYPERLINK("https://n.news.naver.com/mnews/article/011/0001993088?sid=101")</f>
        <v>https://n.news.naver.com/mnews/article/011/0001993088?sid=101</v>
      </c>
      <c r="H8496">
        <v>0.317</v>
      </c>
    </row>
    <row r="8497" spans="1:8" x14ac:dyDescent="0.3">
      <c r="A8497" t="s">
        <v>18176</v>
      </c>
      <c r="B8497" t="s">
        <v>26951</v>
      </c>
      <c r="C8497" t="s">
        <v>21428</v>
      </c>
      <c r="D8497" t="s">
        <v>21427</v>
      </c>
      <c r="E8497" s="2" t="s">
        <v>172</v>
      </c>
      <c r="F8497" t="s">
        <v>21426</v>
      </c>
      <c r="G8497" t="str">
        <f>HYPERLINK("https://ppss.kr/archives/217255")</f>
        <v>https://ppss.kr/archives/217255</v>
      </c>
      <c r="H8497">
        <v>0.17100000000000001</v>
      </c>
    </row>
    <row r="8498" spans="1:8" x14ac:dyDescent="0.3">
      <c r="A8498" t="s">
        <v>18176</v>
      </c>
      <c r="B8498" t="s">
        <v>26951</v>
      </c>
      <c r="C8498" t="s">
        <v>21430</v>
      </c>
      <c r="D8498" t="s">
        <v>21429</v>
      </c>
      <c r="E8498" s="2" t="s">
        <v>172</v>
      </c>
      <c r="F8498" t="s">
        <v>171</v>
      </c>
      <c r="G8498" t="str">
        <f>HYPERLINK("https://www.joongangenews.com/news/articleView.html?idxno=430085")</f>
        <v>https://www.joongangenews.com/news/articleView.html?idxno=430085</v>
      </c>
      <c r="H8498">
        <v>0.74099999999999999</v>
      </c>
    </row>
    <row r="8499" spans="1:8" x14ac:dyDescent="0.3">
      <c r="A8499" t="s">
        <v>18176</v>
      </c>
      <c r="B8499" t="s">
        <v>26951</v>
      </c>
      <c r="C8499" t="s">
        <v>21433</v>
      </c>
      <c r="D8499" t="s">
        <v>21432</v>
      </c>
      <c r="E8499" s="2" t="s">
        <v>172</v>
      </c>
      <c r="F8499" t="s">
        <v>21431</v>
      </c>
      <c r="G8499" t="str">
        <f>HYPERLINK("http://www.outdoornews.co.kr/news/articleView.html?idxno=31269")</f>
        <v>http://www.outdoornews.co.kr/news/articleView.html?idxno=31269</v>
      </c>
      <c r="H8499">
        <v>0.45900000000000002</v>
      </c>
    </row>
    <row r="8500" spans="1:8" x14ac:dyDescent="0.3">
      <c r="A8500" t="s">
        <v>18176</v>
      </c>
      <c r="B8500" t="s">
        <v>26951</v>
      </c>
      <c r="C8500" t="s">
        <v>21435</v>
      </c>
      <c r="D8500" t="s">
        <v>21434</v>
      </c>
      <c r="E8500" s="2" t="s">
        <v>172</v>
      </c>
      <c r="F8500" t="s">
        <v>20954</v>
      </c>
      <c r="G8500" t="str">
        <f>HYPERLINK("http://jmagazine.joins.com/forbes/view/339596")</f>
        <v>http://jmagazine.joins.com/forbes/view/339596</v>
      </c>
      <c r="H8500">
        <v>0.46600000000000003</v>
      </c>
    </row>
    <row r="8501" spans="1:8" x14ac:dyDescent="0.3">
      <c r="A8501" t="s">
        <v>18176</v>
      </c>
      <c r="B8501" t="s">
        <v>26951</v>
      </c>
      <c r="C8501" t="s">
        <v>21437</v>
      </c>
      <c r="D8501" t="s">
        <v>21436</v>
      </c>
      <c r="E8501" s="2" t="s">
        <v>172</v>
      </c>
      <c r="F8501" t="s">
        <v>7346</v>
      </c>
      <c r="G8501" t="str">
        <f>HYPERLINK("http://www.namdonews.com/news/articleView.html?idxno=772957")</f>
        <v>http://www.namdonews.com/news/articleView.html?idxno=772957</v>
      </c>
      <c r="H8501">
        <v>0.56799999999999995</v>
      </c>
    </row>
    <row r="8502" spans="1:8" x14ac:dyDescent="0.3">
      <c r="A8502" t="s">
        <v>18176</v>
      </c>
      <c r="B8502" t="s">
        <v>26951</v>
      </c>
      <c r="C8502" t="s">
        <v>21440</v>
      </c>
      <c r="D8502" t="s">
        <v>21439</v>
      </c>
      <c r="E8502" s="2" t="s">
        <v>172</v>
      </c>
      <c r="F8502" t="s">
        <v>21438</v>
      </c>
      <c r="G8502" t="str">
        <f>HYPERLINK("https://www.m-joongang.com/news/articleView.html?idxno=401238")</f>
        <v>https://www.m-joongang.com/news/articleView.html?idxno=401238</v>
      </c>
      <c r="H8502">
        <v>0.35799999999999998</v>
      </c>
    </row>
    <row r="8503" spans="1:8" x14ac:dyDescent="0.3">
      <c r="A8503" t="s">
        <v>18176</v>
      </c>
      <c r="B8503" t="s">
        <v>26951</v>
      </c>
      <c r="C8503" t="s">
        <v>21443</v>
      </c>
      <c r="D8503" t="s">
        <v>21442</v>
      </c>
      <c r="E8503" s="2" t="s">
        <v>172</v>
      </c>
      <c r="F8503" t="s">
        <v>21441</v>
      </c>
      <c r="G8503" t="str">
        <f>HYPERLINK("https://radio.ytn.co.kr/program/?f=2&amp;id=103492&amp;s_mcd=0214&amp;s_hcd=01")</f>
        <v>https://radio.ytn.co.kr/program/?f=2&amp;id=103492&amp;s_mcd=0214&amp;s_hcd=01</v>
      </c>
      <c r="H8503">
        <v>0.46700000000000003</v>
      </c>
    </row>
    <row r="8504" spans="1:8" x14ac:dyDescent="0.3">
      <c r="A8504" t="s">
        <v>18176</v>
      </c>
      <c r="B8504" t="s">
        <v>26951</v>
      </c>
      <c r="C8504" t="s">
        <v>21446</v>
      </c>
      <c r="D8504" t="s">
        <v>21445</v>
      </c>
      <c r="E8504" s="2" t="s">
        <v>172</v>
      </c>
      <c r="F8504" t="s">
        <v>21444</v>
      </c>
      <c r="G8504" t="str">
        <f>HYPERLINK("https://www.foodneconomy.com/news/articleView.html?idxno=339414")</f>
        <v>https://www.foodneconomy.com/news/articleView.html?idxno=339414</v>
      </c>
      <c r="H8504">
        <v>0.14799999999999999</v>
      </c>
    </row>
    <row r="8505" spans="1:8" x14ac:dyDescent="0.3">
      <c r="A8505" t="s">
        <v>18176</v>
      </c>
      <c r="B8505" t="s">
        <v>26951</v>
      </c>
      <c r="C8505" t="s">
        <v>21448</v>
      </c>
      <c r="D8505" t="s">
        <v>21447</v>
      </c>
      <c r="E8505" s="2" t="s">
        <v>172</v>
      </c>
      <c r="F8505" t="s">
        <v>19136</v>
      </c>
      <c r="G8505" t="str">
        <f>HYPERLINK("https://www.geconomy.co.kr/news/article.html?no=301862")</f>
        <v>https://www.geconomy.co.kr/news/article.html?no=301862</v>
      </c>
      <c r="H8505">
        <v>0.66700000000000004</v>
      </c>
    </row>
    <row r="8506" spans="1:8" x14ac:dyDescent="0.3">
      <c r="A8506" t="s">
        <v>18176</v>
      </c>
      <c r="B8506" t="s">
        <v>26951</v>
      </c>
      <c r="C8506" t="s">
        <v>21450</v>
      </c>
      <c r="D8506" t="s">
        <v>21449</v>
      </c>
      <c r="E8506" s="2" t="s">
        <v>172</v>
      </c>
      <c r="F8506" t="s">
        <v>5498</v>
      </c>
      <c r="G8506" t="str">
        <f>HYPERLINK("https://n.news.naver.com/mnews/article/056/0011855833?sid=101")</f>
        <v>https://n.news.naver.com/mnews/article/056/0011855833?sid=101</v>
      </c>
      <c r="H8506">
        <v>0.20100000000000001</v>
      </c>
    </row>
    <row r="8507" spans="1:8" x14ac:dyDescent="0.3">
      <c r="A8507" t="s">
        <v>18176</v>
      </c>
      <c r="B8507" t="s">
        <v>26951</v>
      </c>
      <c r="C8507" t="s">
        <v>21453</v>
      </c>
      <c r="D8507" t="s">
        <v>21452</v>
      </c>
      <c r="E8507" s="2" t="s">
        <v>172</v>
      </c>
      <c r="F8507" t="s">
        <v>21451</v>
      </c>
      <c r="G8507" t="str">
        <f>HYPERLINK("https://www.pdjournal.com/news/articleView.html?idxno=80809")</f>
        <v>https://www.pdjournal.com/news/articleView.html?idxno=80809</v>
      </c>
      <c r="H8507">
        <v>0.53</v>
      </c>
    </row>
    <row r="8508" spans="1:8" x14ac:dyDescent="0.3">
      <c r="A8508" t="s">
        <v>18176</v>
      </c>
      <c r="B8508" t="s">
        <v>26951</v>
      </c>
      <c r="C8508" t="s">
        <v>21455</v>
      </c>
      <c r="D8508" t="s">
        <v>21454</v>
      </c>
      <c r="E8508" s="2" t="s">
        <v>172</v>
      </c>
      <c r="F8508" t="s">
        <v>8513</v>
      </c>
      <c r="G8508" t="str">
        <f>HYPERLINK("https://n.news.naver.com/mnews/article/032/0003370066?sid=103")</f>
        <v>https://n.news.naver.com/mnews/article/032/0003370066?sid=103</v>
      </c>
      <c r="H8508">
        <v>0.34</v>
      </c>
    </row>
    <row r="8509" spans="1:8" x14ac:dyDescent="0.3">
      <c r="A8509" t="s">
        <v>18176</v>
      </c>
      <c r="B8509" t="s">
        <v>26951</v>
      </c>
      <c r="C8509" t="s">
        <v>21458</v>
      </c>
      <c r="D8509" t="s">
        <v>21457</v>
      </c>
      <c r="E8509" s="2" t="s">
        <v>172</v>
      </c>
      <c r="F8509" t="s">
        <v>21456</v>
      </c>
      <c r="G8509" t="str">
        <f>HYPERLINK("http://www.sctoday.co.kr/news/articleView.html?idxno=44896")</f>
        <v>http://www.sctoday.co.kr/news/articleView.html?idxno=44896</v>
      </c>
      <c r="H8509">
        <v>0.502</v>
      </c>
    </row>
    <row r="8510" spans="1:8" x14ac:dyDescent="0.3">
      <c r="A8510" t="s">
        <v>18176</v>
      </c>
      <c r="B8510" t="s">
        <v>26951</v>
      </c>
      <c r="C8510" t="s">
        <v>21461</v>
      </c>
      <c r="D8510" t="s">
        <v>21460</v>
      </c>
      <c r="E8510" s="2" t="s">
        <v>172</v>
      </c>
      <c r="F8510" t="s">
        <v>21459</v>
      </c>
      <c r="G8510" t="str">
        <f>HYPERLINK("https://n.news.naver.com/mnews/article/081/0002156996?sid=102")</f>
        <v>https://n.news.naver.com/mnews/article/081/0002156996?sid=102</v>
      </c>
      <c r="H8510">
        <v>0.26300000000000001</v>
      </c>
    </row>
    <row r="8511" spans="1:8" x14ac:dyDescent="0.3">
      <c r="A8511" t="s">
        <v>18176</v>
      </c>
      <c r="B8511" t="s">
        <v>26951</v>
      </c>
      <c r="C8511" t="s">
        <v>21464</v>
      </c>
      <c r="D8511" t="s">
        <v>21463</v>
      </c>
      <c r="E8511" s="2" t="s">
        <v>172</v>
      </c>
      <c r="F8511" t="s">
        <v>21462</v>
      </c>
      <c r="G8511" t="str">
        <f>HYPERLINK("http://www.beopbo.com/news/articleView.html?idxno=89699")</f>
        <v>http://www.beopbo.com/news/articleView.html?idxno=89699</v>
      </c>
      <c r="H8511">
        <v>0.57199999999999995</v>
      </c>
    </row>
    <row r="8512" spans="1:8" x14ac:dyDescent="0.3">
      <c r="A8512" t="s">
        <v>18176</v>
      </c>
      <c r="B8512" t="s">
        <v>26951</v>
      </c>
      <c r="C8512" t="s">
        <v>21466</v>
      </c>
      <c r="D8512" t="s">
        <v>21465</v>
      </c>
      <c r="E8512" s="2" t="s">
        <v>172</v>
      </c>
      <c r="F8512" t="s">
        <v>19136</v>
      </c>
      <c r="G8512" t="str">
        <f>HYPERLINK("https://daily.hankooki.com/news/articleView.html?idxno=1233872")</f>
        <v>https://daily.hankooki.com/news/articleView.html?idxno=1233872</v>
      </c>
      <c r="H8512">
        <v>0.73499999999999999</v>
      </c>
    </row>
    <row r="8513" spans="1:8" x14ac:dyDescent="0.3">
      <c r="A8513" t="s">
        <v>18176</v>
      </c>
      <c r="B8513" t="s">
        <v>26951</v>
      </c>
      <c r="C8513" t="s">
        <v>17264</v>
      </c>
      <c r="D8513" t="s">
        <v>17263</v>
      </c>
      <c r="E8513" s="2" t="s">
        <v>172</v>
      </c>
      <c r="F8513" t="s">
        <v>9679</v>
      </c>
      <c r="G8513" t="str">
        <f>HYPERLINK("https://n.news.naver.com/mnews/article/055/0001265464?sid=102")</f>
        <v>https://n.news.naver.com/mnews/article/055/0001265464?sid=102</v>
      </c>
      <c r="H8513">
        <v>0.24099999999999999</v>
      </c>
    </row>
    <row r="8514" spans="1:8" x14ac:dyDescent="0.3">
      <c r="A8514" t="s">
        <v>18176</v>
      </c>
      <c r="B8514" t="s">
        <v>26951</v>
      </c>
      <c r="C8514" t="s">
        <v>21469</v>
      </c>
      <c r="D8514" t="s">
        <v>21468</v>
      </c>
      <c r="E8514" s="2" t="s">
        <v>172</v>
      </c>
      <c r="F8514" t="s">
        <v>21467</v>
      </c>
      <c r="G8514" t="str">
        <f>HYPERLINK("http://www.kihoilbo.co.kr/news/articleView.html?idxno=1149956")</f>
        <v>http://www.kihoilbo.co.kr/news/articleView.html?idxno=1149956</v>
      </c>
      <c r="H8514">
        <v>0.58899999999999997</v>
      </c>
    </row>
    <row r="8515" spans="1:8" x14ac:dyDescent="0.3">
      <c r="A8515" t="s">
        <v>18176</v>
      </c>
      <c r="B8515" t="s">
        <v>26951</v>
      </c>
      <c r="C8515" t="s">
        <v>21472</v>
      </c>
      <c r="D8515" t="s">
        <v>21471</v>
      </c>
      <c r="E8515" s="2" t="s">
        <v>172</v>
      </c>
      <c r="F8515" t="s">
        <v>21470</v>
      </c>
      <c r="G8515" t="str">
        <f>HYPERLINK("http://www.ikoreanspirit.com/news/articleView.html?idxno=80595")</f>
        <v>http://www.ikoreanspirit.com/news/articleView.html?idxno=80595</v>
      </c>
      <c r="H8515">
        <v>0.41599999999999998</v>
      </c>
    </row>
    <row r="8516" spans="1:8" x14ac:dyDescent="0.3">
      <c r="A8516" t="s">
        <v>18176</v>
      </c>
      <c r="B8516" t="s">
        <v>26951</v>
      </c>
      <c r="C8516" t="s">
        <v>21475</v>
      </c>
      <c r="D8516" t="s">
        <v>21474</v>
      </c>
      <c r="E8516" s="2" t="s">
        <v>172</v>
      </c>
      <c r="F8516" t="s">
        <v>21473</v>
      </c>
      <c r="G8516" t="str">
        <f>HYPERLINK("http://www.jbsori.com/news/articleView.html?idxno=15557")</f>
        <v>http://www.jbsori.com/news/articleView.html?idxno=15557</v>
      </c>
      <c r="H8516">
        <v>0.438</v>
      </c>
    </row>
    <row r="8517" spans="1:8" x14ac:dyDescent="0.3">
      <c r="A8517" t="s">
        <v>18176</v>
      </c>
      <c r="B8517" t="s">
        <v>26951</v>
      </c>
      <c r="C8517" t="s">
        <v>21478</v>
      </c>
      <c r="D8517" t="s">
        <v>21477</v>
      </c>
      <c r="E8517" s="2" t="s">
        <v>172</v>
      </c>
      <c r="F8517" t="s">
        <v>21476</v>
      </c>
      <c r="G8517" t="str">
        <f>HYPERLINK("http://www.newstnt.com/news/articleView.html?idxno=486742")</f>
        <v>http://www.newstnt.com/news/articleView.html?idxno=486742</v>
      </c>
      <c r="H8517">
        <v>0.64</v>
      </c>
    </row>
    <row r="8518" spans="1:8" x14ac:dyDescent="0.3">
      <c r="A8518" t="s">
        <v>18176</v>
      </c>
      <c r="B8518" t="s">
        <v>26951</v>
      </c>
      <c r="C8518" t="s">
        <v>21480</v>
      </c>
      <c r="D8518" t="s">
        <v>21479</v>
      </c>
      <c r="E8518" s="2" t="s">
        <v>172</v>
      </c>
      <c r="F8518" t="s">
        <v>10398</v>
      </c>
      <c r="G8518" t="str">
        <f>HYPERLINK("https://www.jemin.com/news/articleView.html?idxno=816024")</f>
        <v>https://www.jemin.com/news/articleView.html?idxno=816024</v>
      </c>
      <c r="H8518">
        <v>0.57099999999999995</v>
      </c>
    </row>
    <row r="8519" spans="1:8" x14ac:dyDescent="0.3">
      <c r="A8519" t="s">
        <v>18176</v>
      </c>
      <c r="B8519" t="s">
        <v>26951</v>
      </c>
      <c r="C8519" t="s">
        <v>21482</v>
      </c>
      <c r="D8519" t="s">
        <v>21481</v>
      </c>
      <c r="E8519" s="2" t="s">
        <v>172</v>
      </c>
      <c r="F8519" t="s">
        <v>9240</v>
      </c>
      <c r="G8519" t="str">
        <f>HYPERLINK("http://www.kbmaeil.com/news/articleView.html?idxno=859576")</f>
        <v>http://www.kbmaeil.com/news/articleView.html?idxno=859576</v>
      </c>
      <c r="H8519">
        <v>0.372</v>
      </c>
    </row>
    <row r="8520" spans="1:8" x14ac:dyDescent="0.3">
      <c r="A8520" t="s">
        <v>18176</v>
      </c>
      <c r="B8520" t="s">
        <v>26951</v>
      </c>
      <c r="C8520" t="s">
        <v>21484</v>
      </c>
      <c r="D8520" t="s">
        <v>21483</v>
      </c>
      <c r="E8520" s="2" t="s">
        <v>172</v>
      </c>
      <c r="F8520" t="s">
        <v>3438</v>
      </c>
      <c r="G8520" t="str">
        <f>HYPERLINK("http://www.newsian.co.kr/news/articleView.html?idxno=74538")</f>
        <v>http://www.newsian.co.kr/news/articleView.html?idxno=74538</v>
      </c>
      <c r="H8520">
        <v>0.56799999999999995</v>
      </c>
    </row>
    <row r="8521" spans="1:8" x14ac:dyDescent="0.3">
      <c r="A8521" t="s">
        <v>18176</v>
      </c>
      <c r="B8521" t="s">
        <v>26951</v>
      </c>
      <c r="C8521" t="s">
        <v>21486</v>
      </c>
      <c r="D8521" t="s">
        <v>21485</v>
      </c>
      <c r="E8521" s="2" t="s">
        <v>172</v>
      </c>
      <c r="F8521" t="s">
        <v>4733</v>
      </c>
      <c r="G8521" t="str">
        <f>HYPERLINK("https://n.news.naver.com/mnews/article/088/0000246047")</f>
        <v>https://n.news.naver.com/mnews/article/088/0000246047</v>
      </c>
      <c r="H8521">
        <v>0.20699999999999999</v>
      </c>
    </row>
    <row r="8522" spans="1:8" x14ac:dyDescent="0.3">
      <c r="A8522" t="s">
        <v>18176</v>
      </c>
      <c r="B8522" t="s">
        <v>26951</v>
      </c>
      <c r="C8522" t="s">
        <v>21488</v>
      </c>
      <c r="D8522" t="s">
        <v>21487</v>
      </c>
      <c r="E8522" s="2" t="s">
        <v>172</v>
      </c>
      <c r="F8522" t="s">
        <v>6147</v>
      </c>
      <c r="G8522" t="str">
        <f>HYPERLINK("https://www.mediajeju.com/news/articleView.html?idxno=358927")</f>
        <v>https://www.mediajeju.com/news/articleView.html?idxno=358927</v>
      </c>
      <c r="H8522">
        <v>0.51200000000000001</v>
      </c>
    </row>
    <row r="8523" spans="1:8" x14ac:dyDescent="0.3">
      <c r="A8523" t="s">
        <v>18176</v>
      </c>
      <c r="B8523" t="s">
        <v>26951</v>
      </c>
      <c r="C8523" t="s">
        <v>21491</v>
      </c>
      <c r="D8523" t="s">
        <v>21490</v>
      </c>
      <c r="E8523" s="2" t="s">
        <v>172</v>
      </c>
      <c r="F8523" t="s">
        <v>21489</v>
      </c>
      <c r="G8523" t="str">
        <f>HYPERLINK("https://www.idaegu.co.kr/news/articleView.html?idxno=514529")</f>
        <v>https://www.idaegu.co.kr/news/articleView.html?idxno=514529</v>
      </c>
      <c r="H8523">
        <v>0.53800000000000003</v>
      </c>
    </row>
    <row r="8524" spans="1:8" x14ac:dyDescent="0.3">
      <c r="A8524" t="s">
        <v>18176</v>
      </c>
      <c r="B8524" t="s">
        <v>26951</v>
      </c>
      <c r="C8524" t="s">
        <v>21493</v>
      </c>
      <c r="D8524" t="s">
        <v>21492</v>
      </c>
      <c r="E8524" s="2" t="s">
        <v>172</v>
      </c>
      <c r="F8524" t="s">
        <v>5124</v>
      </c>
      <c r="G8524" t="str">
        <f>HYPERLINK("http://www.doctorstimes.com/news/articleView.html?idxno=232785")</f>
        <v>http://www.doctorstimes.com/news/articleView.html?idxno=232785</v>
      </c>
      <c r="H8524">
        <v>0.53200000000000003</v>
      </c>
    </row>
    <row r="8525" spans="1:8" x14ac:dyDescent="0.3">
      <c r="A8525" t="s">
        <v>18176</v>
      </c>
      <c r="B8525" t="s">
        <v>26951</v>
      </c>
      <c r="C8525" t="s">
        <v>21496</v>
      </c>
      <c r="D8525" t="s">
        <v>21495</v>
      </c>
      <c r="E8525" s="2" t="s">
        <v>172</v>
      </c>
      <c r="F8525" t="s">
        <v>21494</v>
      </c>
      <c r="G8525" t="str">
        <f>HYPERLINK("http://www.newscj.com/news/articleView.html?idxno=678899")</f>
        <v>http://www.newscj.com/news/articleView.html?idxno=678899</v>
      </c>
      <c r="H8525">
        <v>0.48799999999999999</v>
      </c>
    </row>
    <row r="8526" spans="1:8" x14ac:dyDescent="0.3">
      <c r="A8526" t="s">
        <v>18176</v>
      </c>
      <c r="B8526" t="s">
        <v>26951</v>
      </c>
      <c r="C8526" t="s">
        <v>21498</v>
      </c>
      <c r="D8526" t="s">
        <v>21497</v>
      </c>
      <c r="E8526" s="2" t="s">
        <v>172</v>
      </c>
      <c r="F8526" t="s">
        <v>12402</v>
      </c>
      <c r="G8526" t="str">
        <f>HYPERLINK("https://www.huffingtonpost.kr/news/articleView.html?idxno=218113")</f>
        <v>https://www.huffingtonpost.kr/news/articleView.html?idxno=218113</v>
      </c>
      <c r="H8526">
        <v>0.33500000000000002</v>
      </c>
    </row>
    <row r="8527" spans="1:8" x14ac:dyDescent="0.3">
      <c r="A8527" t="s">
        <v>18176</v>
      </c>
      <c r="B8527" t="s">
        <v>26951</v>
      </c>
      <c r="C8527" t="s">
        <v>21501</v>
      </c>
      <c r="D8527" t="s">
        <v>21500</v>
      </c>
      <c r="E8527" s="2" t="s">
        <v>172</v>
      </c>
      <c r="F8527" t="s">
        <v>21499</v>
      </c>
      <c r="G8527" t="str">
        <f>HYPERLINK("http://www.enewstoday.co.kr/news/articleView.html?idxno=613444")</f>
        <v>http://www.enewstoday.co.kr/news/articleView.html?idxno=613444</v>
      </c>
      <c r="H8527">
        <v>0.45600000000000002</v>
      </c>
    </row>
    <row r="8528" spans="1:8" x14ac:dyDescent="0.3">
      <c r="A8528" t="s">
        <v>18176</v>
      </c>
      <c r="B8528" t="s">
        <v>26951</v>
      </c>
      <c r="C8528" t="s">
        <v>21504</v>
      </c>
      <c r="D8528" t="s">
        <v>21503</v>
      </c>
      <c r="E8528" s="2" t="s">
        <v>172</v>
      </c>
      <c r="F8528" t="s">
        <v>21502</v>
      </c>
      <c r="G8528" t="str">
        <f>HYPERLINK("http://www.cctimes.kr/news/articleView.html?idxno=617655")</f>
        <v>http://www.cctimes.kr/news/articleView.html?idxno=617655</v>
      </c>
      <c r="H8528">
        <v>0.64500000000000002</v>
      </c>
    </row>
    <row r="8529" spans="1:8" x14ac:dyDescent="0.3">
      <c r="A8529" t="s">
        <v>18176</v>
      </c>
      <c r="B8529" t="s">
        <v>26951</v>
      </c>
      <c r="C8529" t="s">
        <v>21506</v>
      </c>
      <c r="D8529" t="s">
        <v>21505</v>
      </c>
      <c r="E8529" s="2" t="s">
        <v>172</v>
      </c>
      <c r="F8529" t="s">
        <v>12458</v>
      </c>
      <c r="G8529" t="str">
        <f>HYPERLINK("https://n.news.naver.com/mnews/article/056/0011543035?sid=104")</f>
        <v>https://n.news.naver.com/mnews/article/056/0011543035?sid=104</v>
      </c>
      <c r="H8529">
        <v>0.26400000000000001</v>
      </c>
    </row>
    <row r="8530" spans="1:8" x14ac:dyDescent="0.3">
      <c r="A8530" t="s">
        <v>18176</v>
      </c>
      <c r="B8530" t="s">
        <v>26951</v>
      </c>
      <c r="C8530" t="s">
        <v>21509</v>
      </c>
      <c r="D8530" t="s">
        <v>21508</v>
      </c>
      <c r="E8530" s="2" t="s">
        <v>172</v>
      </c>
      <c r="F8530" t="s">
        <v>21507</v>
      </c>
      <c r="G8530" t="str">
        <f>HYPERLINK("http://www.mygoyang.com/news/articleView.html?idxno=76520")</f>
        <v>http://www.mygoyang.com/news/articleView.html?idxno=76520</v>
      </c>
      <c r="H8530">
        <v>0.44</v>
      </c>
    </row>
    <row r="8531" spans="1:8" x14ac:dyDescent="0.3">
      <c r="A8531" t="s">
        <v>18176</v>
      </c>
      <c r="B8531" t="s">
        <v>26951</v>
      </c>
      <c r="C8531" t="s">
        <v>21511</v>
      </c>
      <c r="D8531" t="s">
        <v>21510</v>
      </c>
      <c r="E8531" s="2" t="s">
        <v>172</v>
      </c>
      <c r="F8531" t="s">
        <v>20497</v>
      </c>
      <c r="G8531" t="str">
        <f>HYPERLINK("https://www.lecturernews.com/news/articleView.html?idxno=146393")</f>
        <v>https://www.lecturernews.com/news/articleView.html?idxno=146393</v>
      </c>
      <c r="H8531">
        <v>0.28399999999999997</v>
      </c>
    </row>
    <row r="8532" spans="1:8" x14ac:dyDescent="0.3">
      <c r="A8532" t="s">
        <v>18176</v>
      </c>
      <c r="B8532" t="s">
        <v>26951</v>
      </c>
      <c r="C8532" t="s">
        <v>21513</v>
      </c>
      <c r="D8532" t="s">
        <v>21512</v>
      </c>
      <c r="E8532" s="2" t="s">
        <v>172</v>
      </c>
      <c r="F8532" t="s">
        <v>20672</v>
      </c>
      <c r="G8532" t="str">
        <f>HYPERLINK("https://n.news.naver.com/mnews/article/022/0004027121?sid=102")</f>
        <v>https://n.news.naver.com/mnews/article/022/0004027121?sid=102</v>
      </c>
      <c r="H8532">
        <v>4.9000000000000002E-2</v>
      </c>
    </row>
    <row r="8533" spans="1:8" x14ac:dyDescent="0.3">
      <c r="A8533" t="s">
        <v>18176</v>
      </c>
      <c r="B8533" t="s">
        <v>26951</v>
      </c>
      <c r="C8533" t="s">
        <v>21516</v>
      </c>
      <c r="D8533" t="s">
        <v>21515</v>
      </c>
      <c r="E8533" s="2" t="s">
        <v>196</v>
      </c>
      <c r="F8533" t="s">
        <v>21514</v>
      </c>
      <c r="G8533" t="str">
        <f>HYPERLINK("https://www.cctoday.co.kr/news/articleView.html?idxno=2214259")</f>
        <v>https://www.cctoday.co.kr/news/articleView.html?idxno=2214259</v>
      </c>
      <c r="H8533">
        <v>0.3</v>
      </c>
    </row>
    <row r="8534" spans="1:8" x14ac:dyDescent="0.3">
      <c r="A8534" t="s">
        <v>18176</v>
      </c>
      <c r="B8534" t="s">
        <v>26951</v>
      </c>
      <c r="C8534" t="s">
        <v>21519</v>
      </c>
      <c r="D8534" t="s">
        <v>21518</v>
      </c>
      <c r="E8534" s="2" t="s">
        <v>196</v>
      </c>
      <c r="F8534" t="s">
        <v>21517</v>
      </c>
      <c r="G8534" t="str">
        <f>HYPERLINK("https://www.viva100.com/article/20241205500668")</f>
        <v>https://www.viva100.com/article/20241205500668</v>
      </c>
      <c r="H8534">
        <v>0.45100000000000001</v>
      </c>
    </row>
    <row r="8535" spans="1:8" x14ac:dyDescent="0.3">
      <c r="A8535" t="s">
        <v>18176</v>
      </c>
      <c r="B8535" t="s">
        <v>26951</v>
      </c>
      <c r="C8535" t="s">
        <v>21522</v>
      </c>
      <c r="D8535" t="s">
        <v>21521</v>
      </c>
      <c r="E8535" s="2" t="s">
        <v>196</v>
      </c>
      <c r="F8535" t="s">
        <v>21520</v>
      </c>
      <c r="G8535" t="str">
        <f>HYPERLINK("https://www.banronbodo.com/news/articleView.html?idxno=30409")</f>
        <v>https://www.banronbodo.com/news/articleView.html?idxno=30409</v>
      </c>
      <c r="H8535">
        <v>0.34499999999999997</v>
      </c>
    </row>
    <row r="8536" spans="1:8" x14ac:dyDescent="0.3">
      <c r="A8536" t="s">
        <v>18176</v>
      </c>
      <c r="B8536" t="s">
        <v>26951</v>
      </c>
      <c r="C8536" t="s">
        <v>21524</v>
      </c>
      <c r="D8536" t="s">
        <v>21523</v>
      </c>
      <c r="E8536" s="2" t="s">
        <v>196</v>
      </c>
      <c r="F8536" t="s">
        <v>16294</v>
      </c>
      <c r="G8536" t="str">
        <f>HYPERLINK("http://www.newspenguin.com/news/articleView.html?idxno=15674")</f>
        <v>http://www.newspenguin.com/news/articleView.html?idxno=15674</v>
      </c>
      <c r="H8536">
        <v>0.54</v>
      </c>
    </row>
    <row r="8537" spans="1:8" x14ac:dyDescent="0.3">
      <c r="A8537" t="s">
        <v>18176</v>
      </c>
      <c r="B8537" t="s">
        <v>26951</v>
      </c>
      <c r="C8537" t="s">
        <v>21527</v>
      </c>
      <c r="D8537" t="s">
        <v>21526</v>
      </c>
      <c r="E8537" s="2" t="s">
        <v>196</v>
      </c>
      <c r="F8537" t="s">
        <v>21525</v>
      </c>
      <c r="G8537" t="str">
        <f>HYPERLINK("https://www.pdjournal.com/news/articleView.html?idxno=80809")</f>
        <v>https://www.pdjournal.com/news/articleView.html?idxno=80809</v>
      </c>
      <c r="H8537">
        <v>0.32400000000000001</v>
      </c>
    </row>
    <row r="8538" spans="1:8" x14ac:dyDescent="0.3">
      <c r="A8538" t="s">
        <v>18176</v>
      </c>
      <c r="B8538" t="s">
        <v>26951</v>
      </c>
      <c r="C8538" t="s">
        <v>21529</v>
      </c>
      <c r="D8538" t="s">
        <v>21528</v>
      </c>
      <c r="E8538" s="2" t="s">
        <v>196</v>
      </c>
      <c r="F8538" t="s">
        <v>119</v>
      </c>
      <c r="G8538" t="str">
        <f>HYPERLINK("https://n.news.naver.com/mnews/article/056/0011975519?sid=103")</f>
        <v>https://n.news.naver.com/mnews/article/056/0011975519?sid=103</v>
      </c>
      <c r="H8538">
        <v>0.14399999999999999</v>
      </c>
    </row>
    <row r="8539" spans="1:8" x14ac:dyDescent="0.3">
      <c r="A8539" t="s">
        <v>18176</v>
      </c>
      <c r="B8539" t="s">
        <v>26951</v>
      </c>
      <c r="C8539" t="s">
        <v>21532</v>
      </c>
      <c r="D8539" t="s">
        <v>21531</v>
      </c>
      <c r="E8539" s="2" t="s">
        <v>196</v>
      </c>
      <c r="F8539" t="s">
        <v>21530</v>
      </c>
      <c r="G8539" t="str">
        <f>HYPERLINK("https://www.jjan.kr/article/20220307580011")</f>
        <v>https://www.jjan.kr/article/20220307580011</v>
      </c>
      <c r="H8539">
        <v>0.495</v>
      </c>
    </row>
    <row r="8540" spans="1:8" x14ac:dyDescent="0.3">
      <c r="A8540" t="s">
        <v>18176</v>
      </c>
      <c r="B8540" t="s">
        <v>26951</v>
      </c>
      <c r="C8540" t="s">
        <v>21534</v>
      </c>
      <c r="D8540" t="s">
        <v>12660</v>
      </c>
      <c r="E8540" s="2" t="s">
        <v>196</v>
      </c>
      <c r="F8540" t="s">
        <v>21533</v>
      </c>
      <c r="G8540" t="str">
        <f>HYPERLINK("https://www.pdjournal.com/news/articleView.html?idxno=80819")</f>
        <v>https://www.pdjournal.com/news/articleView.html?idxno=80819</v>
      </c>
      <c r="H8540">
        <v>0.28799999999999998</v>
      </c>
    </row>
    <row r="8541" spans="1:8" x14ac:dyDescent="0.3">
      <c r="A8541" t="s">
        <v>18176</v>
      </c>
      <c r="B8541" t="s">
        <v>26951</v>
      </c>
      <c r="C8541" t="s">
        <v>21536</v>
      </c>
      <c r="D8541" t="s">
        <v>21535</v>
      </c>
      <c r="E8541" s="2" t="s">
        <v>196</v>
      </c>
      <c r="F8541" t="s">
        <v>20954</v>
      </c>
      <c r="G8541" t="str">
        <f>HYPERLINK("http://www.marketnews.co.kr/news/articleView.html?idxno=66844")</f>
        <v>http://www.marketnews.co.kr/news/articleView.html?idxno=66844</v>
      </c>
      <c r="H8541">
        <v>0.57999999999999996</v>
      </c>
    </row>
    <row r="8542" spans="1:8" x14ac:dyDescent="0.3">
      <c r="A8542" t="s">
        <v>18176</v>
      </c>
      <c r="B8542" t="s">
        <v>26951</v>
      </c>
      <c r="C8542" t="s">
        <v>21539</v>
      </c>
      <c r="D8542" t="s">
        <v>21538</v>
      </c>
      <c r="E8542" s="2" t="s">
        <v>196</v>
      </c>
      <c r="F8542" t="s">
        <v>21537</v>
      </c>
      <c r="G8542" t="str">
        <f>HYPERLINK("https://www.banronbodo.com/news/articleView.html?idxno=30530")</f>
        <v>https://www.banronbodo.com/news/articleView.html?idxno=30530</v>
      </c>
      <c r="H8542">
        <v>0.71699999999999997</v>
      </c>
    </row>
    <row r="8543" spans="1:8" x14ac:dyDescent="0.3">
      <c r="A8543" t="s">
        <v>18176</v>
      </c>
      <c r="B8543" t="s">
        <v>26951</v>
      </c>
      <c r="C8543" t="s">
        <v>21542</v>
      </c>
      <c r="D8543" t="s">
        <v>21541</v>
      </c>
      <c r="E8543" s="2" t="s">
        <v>196</v>
      </c>
      <c r="F8543" t="s">
        <v>21540</v>
      </c>
      <c r="G8543" t="str">
        <f>HYPERLINK("https://n.news.naver.com/mnews/article/082/0001324593?sid=103")</f>
        <v>https://n.news.naver.com/mnews/article/082/0001324593?sid=103</v>
      </c>
      <c r="H8543">
        <v>0.21199999999999999</v>
      </c>
    </row>
    <row r="8544" spans="1:8" x14ac:dyDescent="0.3">
      <c r="A8544" t="s">
        <v>18176</v>
      </c>
      <c r="B8544" t="s">
        <v>26951</v>
      </c>
      <c r="C8544" t="s">
        <v>21545</v>
      </c>
      <c r="D8544" t="s">
        <v>21544</v>
      </c>
      <c r="E8544" s="2" t="s">
        <v>196</v>
      </c>
      <c r="F8544" t="s">
        <v>21543</v>
      </c>
      <c r="G8544" t="str">
        <f>HYPERLINK("https://www.cctoday.co.kr/news/articleView.html?idxno=2208703")</f>
        <v>https://www.cctoday.co.kr/news/articleView.html?idxno=2208703</v>
      </c>
      <c r="H8544">
        <v>0.69699999999999995</v>
      </c>
    </row>
    <row r="8545" spans="1:8" x14ac:dyDescent="0.3">
      <c r="A8545" t="s">
        <v>18176</v>
      </c>
      <c r="B8545" t="s">
        <v>26951</v>
      </c>
      <c r="C8545" t="s">
        <v>21547</v>
      </c>
      <c r="D8545" t="s">
        <v>21546</v>
      </c>
      <c r="E8545" s="2" t="s">
        <v>196</v>
      </c>
      <c r="F8545" t="s">
        <v>6529</v>
      </c>
      <c r="G8545" t="str">
        <f>HYPERLINK("http://www.ilyoseoul.co.kr/news/articleView.html?idxno=443587")</f>
        <v>http://www.ilyoseoul.co.kr/news/articleView.html?idxno=443587</v>
      </c>
      <c r="H8545">
        <v>0.58399999999999996</v>
      </c>
    </row>
    <row r="8546" spans="1:8" x14ac:dyDescent="0.3">
      <c r="A8546" t="s">
        <v>18176</v>
      </c>
      <c r="B8546" t="s">
        <v>26951</v>
      </c>
      <c r="C8546" t="s">
        <v>21549</v>
      </c>
      <c r="D8546" t="s">
        <v>21548</v>
      </c>
      <c r="E8546" s="2" t="s">
        <v>196</v>
      </c>
      <c r="F8546" t="s">
        <v>8552</v>
      </c>
      <c r="G8546" t="str">
        <f>HYPERLINK("https://n.news.naver.com/mnews/article/014/0005370944?sid=102")</f>
        <v>https://n.news.naver.com/mnews/article/014/0005370944?sid=102</v>
      </c>
      <c r="H8546">
        <v>0.30599999999999999</v>
      </c>
    </row>
    <row r="8547" spans="1:8" x14ac:dyDescent="0.3">
      <c r="A8547" t="s">
        <v>18176</v>
      </c>
      <c r="B8547" t="s">
        <v>26951</v>
      </c>
      <c r="C8547" t="s">
        <v>21552</v>
      </c>
      <c r="D8547" t="s">
        <v>21551</v>
      </c>
      <c r="E8547" s="2" t="s">
        <v>196</v>
      </c>
      <c r="F8547" t="s">
        <v>21550</v>
      </c>
      <c r="G8547" t="str">
        <f>HYPERLINK("http://www.newspim.com/news/view/20210929000499")</f>
        <v>http://www.newspim.com/news/view/20210929000499</v>
      </c>
      <c r="H8547">
        <v>0.503</v>
      </c>
    </row>
    <row r="8548" spans="1:8" x14ac:dyDescent="0.3">
      <c r="A8548" t="s">
        <v>18176</v>
      </c>
      <c r="B8548" t="s">
        <v>26951</v>
      </c>
      <c r="C8548" t="s">
        <v>21555</v>
      </c>
      <c r="D8548" t="s">
        <v>21554</v>
      </c>
      <c r="E8548" s="2" t="s">
        <v>196</v>
      </c>
      <c r="F8548" t="s">
        <v>21553</v>
      </c>
      <c r="G8548" t="str">
        <f>HYPERLINK("http://www.pennmike.com/news/articleView.html?idxno=66869")</f>
        <v>http://www.pennmike.com/news/articleView.html?idxno=66869</v>
      </c>
      <c r="H8548">
        <v>0.66900000000000004</v>
      </c>
    </row>
    <row r="8549" spans="1:8" x14ac:dyDescent="0.3">
      <c r="A8549" t="s">
        <v>18176</v>
      </c>
      <c r="B8549" t="s">
        <v>26951</v>
      </c>
      <c r="C8549" t="s">
        <v>21557</v>
      </c>
      <c r="D8549" t="s">
        <v>21556</v>
      </c>
      <c r="E8549" s="2" t="s">
        <v>196</v>
      </c>
      <c r="F8549" t="s">
        <v>19136</v>
      </c>
      <c r="G8549" t="str">
        <f>HYPERLINK("http://www.discoverynews.kr/news/articleView.html?idxno=921101")</f>
        <v>http://www.discoverynews.kr/news/articleView.html?idxno=921101</v>
      </c>
      <c r="H8549">
        <v>0.45600000000000002</v>
      </c>
    </row>
    <row r="8550" spans="1:8" x14ac:dyDescent="0.3">
      <c r="A8550" t="s">
        <v>18176</v>
      </c>
      <c r="B8550" t="s">
        <v>26951</v>
      </c>
      <c r="C8550" t="s">
        <v>21560</v>
      </c>
      <c r="D8550" t="s">
        <v>21559</v>
      </c>
      <c r="E8550" s="2" t="s">
        <v>196</v>
      </c>
      <c r="F8550" t="s">
        <v>21558</v>
      </c>
      <c r="G8550" t="str">
        <f>HYPERLINK("https://n.news.naver.com/mnews/article/081/0002258965?sid=102")</f>
        <v>https://n.news.naver.com/mnews/article/081/0002258965?sid=102</v>
      </c>
      <c r="H8550">
        <v>0.14699999999999999</v>
      </c>
    </row>
    <row r="8551" spans="1:8" x14ac:dyDescent="0.3">
      <c r="A8551" t="s">
        <v>18176</v>
      </c>
      <c r="B8551" t="s">
        <v>26951</v>
      </c>
      <c r="C8551" t="s">
        <v>21562</v>
      </c>
      <c r="D8551" t="s">
        <v>21561</v>
      </c>
      <c r="E8551" s="2" t="s">
        <v>196</v>
      </c>
      <c r="F8551" t="s">
        <v>17573</v>
      </c>
      <c r="G8551" t="str">
        <f>HYPERLINK("https://www.kyongbuk.co.kr/news/articleView.html?idxno=4028484")</f>
        <v>https://www.kyongbuk.co.kr/news/articleView.html?idxno=4028484</v>
      </c>
      <c r="H8551">
        <v>0.60399999999999998</v>
      </c>
    </row>
    <row r="8552" spans="1:8" x14ac:dyDescent="0.3">
      <c r="A8552" t="s">
        <v>18176</v>
      </c>
      <c r="B8552" t="s">
        <v>26951</v>
      </c>
      <c r="C8552" t="s">
        <v>21564</v>
      </c>
      <c r="D8552" t="s">
        <v>21563</v>
      </c>
      <c r="E8552" s="2" t="s">
        <v>196</v>
      </c>
      <c r="F8552" t="s">
        <v>10418</v>
      </c>
      <c r="G8552" t="str">
        <f>HYPERLINK("https://n.news.naver.com/mnews/article/214/0001298955?sid=100")</f>
        <v>https://n.news.naver.com/mnews/article/214/0001298955?sid=100</v>
      </c>
      <c r="H8552">
        <v>0.17499999999999999</v>
      </c>
    </row>
    <row r="8553" spans="1:8" x14ac:dyDescent="0.3">
      <c r="A8553" t="s">
        <v>18176</v>
      </c>
      <c r="B8553" t="s">
        <v>26951</v>
      </c>
      <c r="C8553" t="s">
        <v>21567</v>
      </c>
      <c r="D8553" t="s">
        <v>21566</v>
      </c>
      <c r="E8553" s="2" t="s">
        <v>196</v>
      </c>
      <c r="F8553" t="s">
        <v>21565</v>
      </c>
      <c r="G8553" t="str">
        <f>HYPERLINK("http://www.agrinet.co.kr/news/articleView.html?idxno=338092")</f>
        <v>http://www.agrinet.co.kr/news/articleView.html?idxno=338092</v>
      </c>
      <c r="H8553">
        <v>0.42599999999999999</v>
      </c>
    </row>
    <row r="8554" spans="1:8" x14ac:dyDescent="0.3">
      <c r="A8554" t="s">
        <v>18176</v>
      </c>
      <c r="B8554" t="s">
        <v>26951</v>
      </c>
      <c r="C8554" t="s">
        <v>21569</v>
      </c>
      <c r="D8554" t="s">
        <v>21568</v>
      </c>
      <c r="E8554" s="2" t="s">
        <v>196</v>
      </c>
      <c r="F8554" t="s">
        <v>7224</v>
      </c>
      <c r="G8554" t="str">
        <f>HYPERLINK("https://daily.hankooki.com/news/articleView.html?idxno=1233945")</f>
        <v>https://daily.hankooki.com/news/articleView.html?idxno=1233945</v>
      </c>
      <c r="H8554">
        <v>0.73399999999999999</v>
      </c>
    </row>
    <row r="8555" spans="1:8" x14ac:dyDescent="0.3">
      <c r="A8555" t="s">
        <v>18176</v>
      </c>
      <c r="B8555" t="s">
        <v>26951</v>
      </c>
      <c r="C8555" t="s">
        <v>21571</v>
      </c>
      <c r="D8555" t="s">
        <v>21570</v>
      </c>
      <c r="E8555" s="2" t="s">
        <v>196</v>
      </c>
      <c r="F8555" t="s">
        <v>19136</v>
      </c>
      <c r="G8555" t="str">
        <f>HYPERLINK("http://www.enewstoday.co.kr/news/articleView.html?idxno=2293941")</f>
        <v>http://www.enewstoday.co.kr/news/articleView.html?idxno=2293941</v>
      </c>
      <c r="H8555">
        <v>0.79100000000000004</v>
      </c>
    </row>
    <row r="8556" spans="1:8" x14ac:dyDescent="0.3">
      <c r="A8556" t="s">
        <v>18176</v>
      </c>
      <c r="B8556" t="s">
        <v>26951</v>
      </c>
      <c r="C8556" t="s">
        <v>21574</v>
      </c>
      <c r="D8556" t="s">
        <v>21573</v>
      </c>
      <c r="E8556" s="2" t="s">
        <v>196</v>
      </c>
      <c r="F8556" t="s">
        <v>21572</v>
      </c>
      <c r="G8556" t="str">
        <f>HYPERLINK("http://www.lecturernews.com/news/articleView.html?idxno=97572")</f>
        <v>http://www.lecturernews.com/news/articleView.html?idxno=97572</v>
      </c>
      <c r="H8556">
        <v>0.442</v>
      </c>
    </row>
    <row r="8557" spans="1:8" x14ac:dyDescent="0.3">
      <c r="A8557" t="s">
        <v>18176</v>
      </c>
      <c r="B8557" t="s">
        <v>26951</v>
      </c>
      <c r="C8557" t="s">
        <v>21577</v>
      </c>
      <c r="D8557" t="s">
        <v>21576</v>
      </c>
      <c r="E8557" s="2" t="s">
        <v>196</v>
      </c>
      <c r="F8557" t="s">
        <v>21575</v>
      </c>
      <c r="G8557" t="str">
        <f>HYPERLINK("https://www.pinpointnews.co.kr/news/articleView.html?idxno=282137")</f>
        <v>https://www.pinpointnews.co.kr/news/articleView.html?idxno=282137</v>
      </c>
      <c r="H8557">
        <v>0.44900000000000001</v>
      </c>
    </row>
    <row r="8558" spans="1:8" x14ac:dyDescent="0.3">
      <c r="A8558" t="s">
        <v>18176</v>
      </c>
      <c r="B8558" t="s">
        <v>26951</v>
      </c>
      <c r="C8558" t="s">
        <v>21579</v>
      </c>
      <c r="D8558" t="s">
        <v>21578</v>
      </c>
      <c r="E8558" s="2" t="s">
        <v>196</v>
      </c>
      <c r="F8558" t="s">
        <v>9786</v>
      </c>
      <c r="G8558" t="str">
        <f>HYPERLINK("https://www.newspim.com/news/view/20240126000993")</f>
        <v>https://www.newspim.com/news/view/20240126000993</v>
      </c>
      <c r="H8558">
        <v>9.8000000000000004E-2</v>
      </c>
    </row>
    <row r="8559" spans="1:8" x14ac:dyDescent="0.3">
      <c r="A8559" t="s">
        <v>18176</v>
      </c>
      <c r="B8559" t="s">
        <v>26951</v>
      </c>
      <c r="C8559" t="s">
        <v>21581</v>
      </c>
      <c r="D8559" t="s">
        <v>21580</v>
      </c>
      <c r="E8559" s="2" t="s">
        <v>196</v>
      </c>
      <c r="F8559" t="s">
        <v>10433</v>
      </c>
      <c r="G8559" t="str">
        <f>HYPERLINK("https://www.newspim.com/news/view/20250624000062")</f>
        <v>https://www.newspim.com/news/view/20250624000062</v>
      </c>
      <c r="H8559">
        <v>0.48499999999999999</v>
      </c>
    </row>
    <row r="8560" spans="1:8" x14ac:dyDescent="0.3">
      <c r="A8560" t="s">
        <v>18176</v>
      </c>
      <c r="B8560" t="s">
        <v>26951</v>
      </c>
      <c r="C8560" t="s">
        <v>21583</v>
      </c>
      <c r="D8560" t="s">
        <v>21582</v>
      </c>
      <c r="E8560" s="2" t="s">
        <v>196</v>
      </c>
      <c r="F8560" t="s">
        <v>7240</v>
      </c>
      <c r="G8560" t="str">
        <f>HYPERLINK("https://www.huffingtonpost.kr/news/articleView.html?idxno=236748")</f>
        <v>https://www.huffingtonpost.kr/news/articleView.html?idxno=236748</v>
      </c>
      <c r="H8560">
        <v>0.45100000000000001</v>
      </c>
    </row>
    <row r="8561" spans="1:8" x14ac:dyDescent="0.3">
      <c r="A8561" t="s">
        <v>18176</v>
      </c>
      <c r="B8561" t="s">
        <v>26951</v>
      </c>
      <c r="C8561" t="s">
        <v>21585</v>
      </c>
      <c r="D8561" t="s">
        <v>21584</v>
      </c>
      <c r="E8561" s="2" t="s">
        <v>196</v>
      </c>
      <c r="F8561" t="s">
        <v>18408</v>
      </c>
      <c r="G8561" t="str">
        <f>HYPERLINK("https://www.lecturernews.com/news/articleView.html?idxno=181213")</f>
        <v>https://www.lecturernews.com/news/articleView.html?idxno=181213</v>
      </c>
      <c r="H8561">
        <v>0.748</v>
      </c>
    </row>
    <row r="8562" spans="1:8" x14ac:dyDescent="0.3">
      <c r="A8562" t="s">
        <v>18176</v>
      </c>
      <c r="B8562" t="s">
        <v>26951</v>
      </c>
      <c r="C8562" t="s">
        <v>21587</v>
      </c>
      <c r="D8562" t="s">
        <v>21586</v>
      </c>
      <c r="E8562" s="2" t="s">
        <v>196</v>
      </c>
      <c r="F8562" t="s">
        <v>19136</v>
      </c>
      <c r="G8562" t="str">
        <f>HYPERLINK("http://www.newsroad.co.kr/news/articleView.html?idxno=35891")</f>
        <v>http://www.newsroad.co.kr/news/articleView.html?idxno=35891</v>
      </c>
      <c r="H8562">
        <v>0.4</v>
      </c>
    </row>
    <row r="8563" spans="1:8" x14ac:dyDescent="0.3">
      <c r="A8563" t="s">
        <v>18176</v>
      </c>
      <c r="B8563" t="s">
        <v>26951</v>
      </c>
      <c r="C8563" t="s">
        <v>21590</v>
      </c>
      <c r="D8563" t="s">
        <v>21589</v>
      </c>
      <c r="E8563" s="2" t="s">
        <v>196</v>
      </c>
      <c r="F8563" t="s">
        <v>21588</v>
      </c>
      <c r="G8563" t="str">
        <f>HYPERLINK("https://news.bbsi.co.kr/news/articleView.html?idxno=4035582")</f>
        <v>https://news.bbsi.co.kr/news/articleView.html?idxno=4035582</v>
      </c>
      <c r="H8563">
        <v>0.28699999999999998</v>
      </c>
    </row>
    <row r="8564" spans="1:8" x14ac:dyDescent="0.3">
      <c r="A8564" t="s">
        <v>18176</v>
      </c>
      <c r="B8564" t="s">
        <v>26951</v>
      </c>
      <c r="C8564" t="s">
        <v>21593</v>
      </c>
      <c r="D8564" t="s">
        <v>21592</v>
      </c>
      <c r="E8564" s="2" t="s">
        <v>196</v>
      </c>
      <c r="F8564" t="s">
        <v>21591</v>
      </c>
      <c r="G8564" t="str">
        <f>HYPERLINK("http://www.idomin.com/news/articleView.html?idxno=756972")</f>
        <v>http://www.idomin.com/news/articleView.html?idxno=756972</v>
      </c>
      <c r="H8564">
        <v>0.66500000000000004</v>
      </c>
    </row>
    <row r="8565" spans="1:8" x14ac:dyDescent="0.3">
      <c r="A8565" t="s">
        <v>18176</v>
      </c>
      <c r="B8565" t="s">
        <v>26951</v>
      </c>
      <c r="C8565" t="s">
        <v>21595</v>
      </c>
      <c r="D8565" t="s">
        <v>21594</v>
      </c>
      <c r="E8565" s="2" t="s">
        <v>196</v>
      </c>
      <c r="F8565" t="s">
        <v>8619</v>
      </c>
      <c r="G8565" t="str">
        <f>HYPERLINK("http://bravo.etoday.co.kr/view/atc_view.php?varAtcId=12658")</f>
        <v>http://bravo.etoday.co.kr/view/atc_view.php?varAtcId=12658</v>
      </c>
      <c r="H8565">
        <v>0.53</v>
      </c>
    </row>
    <row r="8566" spans="1:8" x14ac:dyDescent="0.3">
      <c r="A8566" t="s">
        <v>18176</v>
      </c>
      <c r="B8566" t="s">
        <v>26951</v>
      </c>
      <c r="C8566" t="s">
        <v>21598</v>
      </c>
      <c r="D8566" t="s">
        <v>21597</v>
      </c>
      <c r="E8566" s="2" t="s">
        <v>196</v>
      </c>
      <c r="F8566" t="s">
        <v>21596</v>
      </c>
      <c r="G8566" t="str">
        <f>HYPERLINK("https://www.ntoday.co.kr/news/articleView.html?idxno=114554")</f>
        <v>https://www.ntoday.co.kr/news/articleView.html?idxno=114554</v>
      </c>
      <c r="H8566">
        <v>0.38500000000000001</v>
      </c>
    </row>
    <row r="8567" spans="1:8" x14ac:dyDescent="0.3">
      <c r="A8567" t="s">
        <v>18176</v>
      </c>
      <c r="B8567" t="s">
        <v>26951</v>
      </c>
      <c r="C8567" t="s">
        <v>21601</v>
      </c>
      <c r="D8567" t="s">
        <v>21600</v>
      </c>
      <c r="E8567" s="2" t="s">
        <v>196</v>
      </c>
      <c r="F8567" t="s">
        <v>21599</v>
      </c>
      <c r="G8567" t="str">
        <f>HYPERLINK("https://n.news.naver.com/mnews/article/032/0003379700?sid=104")</f>
        <v>https://n.news.naver.com/mnews/article/032/0003379700?sid=104</v>
      </c>
      <c r="H8567">
        <v>0.30299999999999999</v>
      </c>
    </row>
    <row r="8568" spans="1:8" x14ac:dyDescent="0.3">
      <c r="A8568" t="s">
        <v>18176</v>
      </c>
      <c r="B8568" t="s">
        <v>26951</v>
      </c>
      <c r="C8568" t="s">
        <v>21604</v>
      </c>
      <c r="D8568" t="s">
        <v>21603</v>
      </c>
      <c r="E8568" s="2" t="s">
        <v>196</v>
      </c>
      <c r="F8568" t="s">
        <v>21602</v>
      </c>
      <c r="G8568" t="str">
        <f>HYPERLINK("https://www.apnews.kr/news/articleView.html?idxno=3015950")</f>
        <v>https://www.apnews.kr/news/articleView.html?idxno=3015950</v>
      </c>
      <c r="H8568">
        <v>6.8000000000000005E-2</v>
      </c>
    </row>
    <row r="8569" spans="1:8" x14ac:dyDescent="0.3">
      <c r="A8569" t="s">
        <v>18176</v>
      </c>
      <c r="B8569" t="s">
        <v>26951</v>
      </c>
      <c r="C8569" t="s">
        <v>21607</v>
      </c>
      <c r="D8569" t="s">
        <v>21606</v>
      </c>
      <c r="E8569" s="2" t="s">
        <v>196</v>
      </c>
      <c r="F8569" t="s">
        <v>21605</v>
      </c>
      <c r="G8569" t="str">
        <f>HYPERLINK("https://www.sisamagazine.co.kr/news/articleView.html?idxno=512462")</f>
        <v>https://www.sisamagazine.co.kr/news/articleView.html?idxno=512462</v>
      </c>
      <c r="H8569">
        <v>0.44600000000000001</v>
      </c>
    </row>
    <row r="8570" spans="1:8" x14ac:dyDescent="0.3">
      <c r="A8570" t="s">
        <v>18176</v>
      </c>
      <c r="B8570" t="s">
        <v>26951</v>
      </c>
      <c r="C8570" t="s">
        <v>21610</v>
      </c>
      <c r="D8570" t="s">
        <v>21609</v>
      </c>
      <c r="E8570" s="2" t="s">
        <v>196</v>
      </c>
      <c r="F8570" t="s">
        <v>21608</v>
      </c>
      <c r="G8570" t="str">
        <f>HYPERLINK("http://www.seoulwire.com/news/articleView.html?idxno=401507")</f>
        <v>http://www.seoulwire.com/news/articleView.html?idxno=401507</v>
      </c>
      <c r="H8570">
        <v>0.32800000000000001</v>
      </c>
    </row>
    <row r="8571" spans="1:8" x14ac:dyDescent="0.3">
      <c r="A8571" t="s">
        <v>18176</v>
      </c>
      <c r="B8571" t="s">
        <v>26951</v>
      </c>
      <c r="C8571" t="s">
        <v>21613</v>
      </c>
      <c r="D8571" t="s">
        <v>21612</v>
      </c>
      <c r="E8571" s="2" t="s">
        <v>196</v>
      </c>
      <c r="F8571" t="s">
        <v>21611</v>
      </c>
      <c r="G8571" t="str">
        <f>HYPERLINK("https://n.news.naver.com/mnews/article/127/0000037882?sid=102")</f>
        <v>https://n.news.naver.com/mnews/article/127/0000037882?sid=102</v>
      </c>
      <c r="H8571">
        <v>9.7000000000000003E-2</v>
      </c>
    </row>
    <row r="8572" spans="1:8" x14ac:dyDescent="0.3">
      <c r="A8572" t="s">
        <v>18176</v>
      </c>
      <c r="B8572" t="s">
        <v>26951</v>
      </c>
      <c r="C8572" t="s">
        <v>21615</v>
      </c>
      <c r="D8572" t="s">
        <v>21614</v>
      </c>
      <c r="E8572" s="2" t="s">
        <v>196</v>
      </c>
      <c r="F8572" t="s">
        <v>1327</v>
      </c>
      <c r="G8572" t="str">
        <f>HYPERLINK("http://www.banronbodo.com/news/articleView.html?idxno=22984")</f>
        <v>http://www.banronbodo.com/news/articleView.html?idxno=22984</v>
      </c>
      <c r="H8572">
        <v>0.374</v>
      </c>
    </row>
    <row r="8573" spans="1:8" x14ac:dyDescent="0.3">
      <c r="A8573" t="s">
        <v>18176</v>
      </c>
      <c r="B8573" t="s">
        <v>26951</v>
      </c>
      <c r="C8573" t="s">
        <v>21617</v>
      </c>
      <c r="D8573" t="s">
        <v>21616</v>
      </c>
      <c r="E8573" s="2" t="s">
        <v>196</v>
      </c>
      <c r="F8573" t="s">
        <v>10398</v>
      </c>
      <c r="G8573" t="str">
        <f>HYPERLINK("https://www.dailysportshankook.co.kr/news/articleView.html?idxno=408472")</f>
        <v>https://www.dailysportshankook.co.kr/news/articleView.html?idxno=408472</v>
      </c>
      <c r="H8573">
        <v>0.47599999999999998</v>
      </c>
    </row>
    <row r="8574" spans="1:8" x14ac:dyDescent="0.3">
      <c r="A8574" t="s">
        <v>18176</v>
      </c>
      <c r="B8574" t="s">
        <v>26951</v>
      </c>
      <c r="C8574" t="s">
        <v>21619</v>
      </c>
      <c r="D8574" t="s">
        <v>21618</v>
      </c>
      <c r="E8574" s="2" t="s">
        <v>196</v>
      </c>
      <c r="F8574" t="s">
        <v>11503</v>
      </c>
      <c r="G8574" t="str">
        <f>HYPERLINK("http://www.newspim.com/news/view/20160905000372")</f>
        <v>http://www.newspim.com/news/view/20160905000372</v>
      </c>
      <c r="H8574">
        <v>0.54800000000000004</v>
      </c>
    </row>
    <row r="8575" spans="1:8" x14ac:dyDescent="0.3">
      <c r="A8575" t="s">
        <v>18176</v>
      </c>
      <c r="B8575" t="s">
        <v>26951</v>
      </c>
      <c r="C8575" t="s">
        <v>21621</v>
      </c>
      <c r="D8575" t="s">
        <v>21620</v>
      </c>
      <c r="E8575" s="2" t="s">
        <v>196</v>
      </c>
      <c r="F8575" t="s">
        <v>11533</v>
      </c>
      <c r="G8575" t="str">
        <f>HYPERLINK("http://www.lecturernews.com/news/articleView.html?idxno=55342")</f>
        <v>http://www.lecturernews.com/news/articleView.html?idxno=55342</v>
      </c>
      <c r="H8575">
        <v>0.47699999999999998</v>
      </c>
    </row>
    <row r="8576" spans="1:8" x14ac:dyDescent="0.3">
      <c r="A8576" t="s">
        <v>18176</v>
      </c>
      <c r="B8576" t="s">
        <v>26951</v>
      </c>
      <c r="C8576" t="s">
        <v>21624</v>
      </c>
      <c r="D8576" t="s">
        <v>21623</v>
      </c>
      <c r="E8576" s="2" t="s">
        <v>196</v>
      </c>
      <c r="F8576" t="s">
        <v>21622</v>
      </c>
      <c r="G8576" t="str">
        <f>HYPERLINK("https://www.pdjournal.com/news/articleView.html?idxno=80808")</f>
        <v>https://www.pdjournal.com/news/articleView.html?idxno=80808</v>
      </c>
      <c r="H8576">
        <v>0.36399999999999999</v>
      </c>
    </row>
    <row r="8577" spans="1:8" x14ac:dyDescent="0.3">
      <c r="A8577" t="s">
        <v>18176</v>
      </c>
      <c r="B8577" t="s">
        <v>26951</v>
      </c>
      <c r="C8577" t="s">
        <v>21626</v>
      </c>
      <c r="D8577" t="s">
        <v>21625</v>
      </c>
      <c r="E8577" s="2" t="s">
        <v>196</v>
      </c>
      <c r="F8577" t="s">
        <v>15771</v>
      </c>
      <c r="G8577" t="str">
        <f>HYPERLINK("https://daily.hankooki.com/news/articleView.html?idxno=1233453")</f>
        <v>https://daily.hankooki.com/news/articleView.html?idxno=1233453</v>
      </c>
      <c r="H8577">
        <v>0.89200000000000002</v>
      </c>
    </row>
    <row r="8578" spans="1:8" x14ac:dyDescent="0.3">
      <c r="A8578" t="s">
        <v>18176</v>
      </c>
      <c r="B8578" t="s">
        <v>26951</v>
      </c>
      <c r="C8578" t="s">
        <v>21628</v>
      </c>
      <c r="D8578" t="s">
        <v>21627</v>
      </c>
      <c r="E8578" s="2" t="s">
        <v>196</v>
      </c>
      <c r="F8578" t="s">
        <v>10506</v>
      </c>
      <c r="G8578" t="str">
        <f>HYPERLINK("https://www.widedaily.com/news/articleView.html?idxno=271274")</f>
        <v>https://www.widedaily.com/news/articleView.html?idxno=271274</v>
      </c>
      <c r="H8578">
        <v>0.16300000000000001</v>
      </c>
    </row>
    <row r="8579" spans="1:8" x14ac:dyDescent="0.3">
      <c r="A8579" t="s">
        <v>18176</v>
      </c>
      <c r="B8579" t="s">
        <v>26951</v>
      </c>
      <c r="C8579" t="s">
        <v>21631</v>
      </c>
      <c r="D8579" t="s">
        <v>21630</v>
      </c>
      <c r="E8579" s="2" t="s">
        <v>196</v>
      </c>
      <c r="F8579" t="s">
        <v>21629</v>
      </c>
      <c r="G8579" t="str">
        <f>HYPERLINK("https://n.news.naver.com/mnews/article/014/0005370944?sid=102")</f>
        <v>https://n.news.naver.com/mnews/article/014/0005370944?sid=102</v>
      </c>
      <c r="H8579">
        <v>0.22900000000000001</v>
      </c>
    </row>
    <row r="8580" spans="1:8" x14ac:dyDescent="0.3">
      <c r="A8580" t="s">
        <v>18176</v>
      </c>
      <c r="B8580" t="s">
        <v>26951</v>
      </c>
      <c r="C8580" t="s">
        <v>21633</v>
      </c>
      <c r="D8580" t="s">
        <v>21632</v>
      </c>
      <c r="E8580" s="2" t="s">
        <v>196</v>
      </c>
      <c r="F8580" t="s">
        <v>11533</v>
      </c>
      <c r="G8580" t="str">
        <f>HYPERLINK("https://www.incheonilbo.com/news/articleView.html?idxno=1285215")</f>
        <v>https://www.incheonilbo.com/news/articleView.html?idxno=1285215</v>
      </c>
      <c r="H8580">
        <v>0.58299999999999996</v>
      </c>
    </row>
    <row r="8581" spans="1:8" x14ac:dyDescent="0.3">
      <c r="A8581" t="s">
        <v>18176</v>
      </c>
      <c r="B8581" t="s">
        <v>26951</v>
      </c>
      <c r="C8581" t="s">
        <v>21636</v>
      </c>
      <c r="D8581" t="s">
        <v>21635</v>
      </c>
      <c r="E8581" s="2" t="s">
        <v>196</v>
      </c>
      <c r="F8581" t="s">
        <v>21634</v>
      </c>
      <c r="G8581" t="str">
        <f>HYPERLINK("http://www.civicnews.com/news/articleView.html?idxno=31492")</f>
        <v>http://www.civicnews.com/news/articleView.html?idxno=31492</v>
      </c>
      <c r="H8581">
        <v>0.60099999999999998</v>
      </c>
    </row>
    <row r="8582" spans="1:8" x14ac:dyDescent="0.3">
      <c r="A8582" t="s">
        <v>18176</v>
      </c>
      <c r="B8582" t="s">
        <v>26951</v>
      </c>
      <c r="C8582" t="s">
        <v>21639</v>
      </c>
      <c r="D8582" t="s">
        <v>21638</v>
      </c>
      <c r="E8582" s="2" t="s">
        <v>196</v>
      </c>
      <c r="F8582" t="s">
        <v>21637</v>
      </c>
      <c r="G8582" t="str">
        <f>HYPERLINK("https://n.news.naver.com/mnews/article/011/0003663199?sid=101")</f>
        <v>https://n.news.naver.com/mnews/article/011/0003663199?sid=101</v>
      </c>
      <c r="H8582">
        <v>0.32700000000000001</v>
      </c>
    </row>
    <row r="8583" spans="1:8" x14ac:dyDescent="0.3">
      <c r="A8583" t="s">
        <v>18176</v>
      </c>
      <c r="B8583" t="s">
        <v>26951</v>
      </c>
      <c r="C8583" t="s">
        <v>21642</v>
      </c>
      <c r="D8583" t="s">
        <v>21641</v>
      </c>
      <c r="E8583" s="2" t="s">
        <v>196</v>
      </c>
      <c r="F8583" t="s">
        <v>21640</v>
      </c>
      <c r="G8583" t="str">
        <f>HYPERLINK("https://n.news.naver.com/mnews/article/243/0000080524?sid=101")</f>
        <v>https://n.news.naver.com/mnews/article/243/0000080524?sid=101</v>
      </c>
      <c r="H8583">
        <v>0.42799999999999999</v>
      </c>
    </row>
    <row r="8584" spans="1:8" x14ac:dyDescent="0.3">
      <c r="A8584" t="s">
        <v>18176</v>
      </c>
      <c r="B8584" t="s">
        <v>26951</v>
      </c>
      <c r="C8584" t="s">
        <v>21644</v>
      </c>
      <c r="D8584" t="s">
        <v>21643</v>
      </c>
      <c r="E8584" s="2" t="s">
        <v>196</v>
      </c>
      <c r="F8584" t="s">
        <v>9957</v>
      </c>
      <c r="G8584" t="str">
        <f>HYPERLINK("https://n.news.naver.com/mnews/article/018/0004819423?sid=102")</f>
        <v>https://n.news.naver.com/mnews/article/018/0004819423?sid=102</v>
      </c>
      <c r="H8584">
        <v>0.245</v>
      </c>
    </row>
    <row r="8585" spans="1:8" x14ac:dyDescent="0.3">
      <c r="A8585" t="s">
        <v>18176</v>
      </c>
      <c r="B8585" t="s">
        <v>26951</v>
      </c>
      <c r="C8585" t="s">
        <v>21646</v>
      </c>
      <c r="D8585" t="s">
        <v>21645</v>
      </c>
      <c r="E8585" s="2" t="s">
        <v>196</v>
      </c>
      <c r="F8585" t="s">
        <v>15318</v>
      </c>
      <c r="G8585" t="str">
        <f>HYPERLINK("https://www.kukinews.com/article/view/kuk202506270173")</f>
        <v>https://www.kukinews.com/article/view/kuk202506270173</v>
      </c>
      <c r="H8585">
        <v>0.378</v>
      </c>
    </row>
    <row r="8586" spans="1:8" x14ac:dyDescent="0.3">
      <c r="A8586" t="s">
        <v>18176</v>
      </c>
      <c r="B8586" t="s">
        <v>26951</v>
      </c>
      <c r="C8586" t="s">
        <v>21649</v>
      </c>
      <c r="D8586" t="s">
        <v>21648</v>
      </c>
      <c r="E8586" s="2" t="s">
        <v>196</v>
      </c>
      <c r="F8586" t="s">
        <v>21647</v>
      </c>
      <c r="G8586" t="str">
        <f>HYPERLINK("https://n.news.naver.com/mnews/article/028/0002753479?sid=102")</f>
        <v>https://n.news.naver.com/mnews/article/028/0002753479?sid=102</v>
      </c>
      <c r="H8586">
        <v>0.21</v>
      </c>
    </row>
    <row r="8587" spans="1:8" x14ac:dyDescent="0.3">
      <c r="A8587" t="s">
        <v>18176</v>
      </c>
      <c r="B8587" t="s">
        <v>26951</v>
      </c>
      <c r="C8587" t="s">
        <v>21651</v>
      </c>
      <c r="D8587" t="s">
        <v>21650</v>
      </c>
      <c r="E8587" s="2" t="s">
        <v>196</v>
      </c>
      <c r="F8587" t="s">
        <v>12458</v>
      </c>
      <c r="G8587" t="str">
        <f>HYPERLINK("http://www.namdonews.com/news/articleView.html?idxno=706205")</f>
        <v>http://www.namdonews.com/news/articleView.html?idxno=706205</v>
      </c>
      <c r="H8587">
        <v>0.38400000000000001</v>
      </c>
    </row>
    <row r="8588" spans="1:8" x14ac:dyDescent="0.3">
      <c r="A8588" t="s">
        <v>18176</v>
      </c>
      <c r="B8588" t="s">
        <v>26951</v>
      </c>
      <c r="C8588" t="s">
        <v>21654</v>
      </c>
      <c r="D8588" t="s">
        <v>21653</v>
      </c>
      <c r="E8588" s="2" t="s">
        <v>196</v>
      </c>
      <c r="F8588" t="s">
        <v>21652</v>
      </c>
      <c r="G8588" t="str">
        <f>HYPERLINK("https://www.ksilbo.co.kr/news/articleView.html?idxno=1017440")</f>
        <v>https://www.ksilbo.co.kr/news/articleView.html?idxno=1017440</v>
      </c>
      <c r="H8588">
        <v>0.50700000000000001</v>
      </c>
    </row>
    <row r="8589" spans="1:8" x14ac:dyDescent="0.3">
      <c r="A8589" t="s">
        <v>18176</v>
      </c>
      <c r="B8589" t="s">
        <v>26951</v>
      </c>
      <c r="C8589" t="s">
        <v>21656</v>
      </c>
      <c r="D8589" t="s">
        <v>21655</v>
      </c>
      <c r="E8589" s="2" t="s">
        <v>196</v>
      </c>
      <c r="F8589" t="s">
        <v>11397</v>
      </c>
      <c r="G8589" t="str">
        <f>HYPERLINK("http://www.pennmike.com/news/articleView.html?idxno=64099")</f>
        <v>http://www.pennmike.com/news/articleView.html?idxno=64099</v>
      </c>
      <c r="H8589">
        <v>0.59699999999999998</v>
      </c>
    </row>
    <row r="8590" spans="1:8" x14ac:dyDescent="0.3">
      <c r="A8590" t="s">
        <v>18176</v>
      </c>
      <c r="B8590" t="s">
        <v>26951</v>
      </c>
      <c r="C8590" t="s">
        <v>21658</v>
      </c>
      <c r="D8590" t="s">
        <v>21657</v>
      </c>
      <c r="E8590" s="2" t="s">
        <v>196</v>
      </c>
      <c r="F8590" t="s">
        <v>21307</v>
      </c>
      <c r="G8590" t="str">
        <f>HYPERLINK("http://www.issuenbiz.com/news/articleView.html?idxno=61441")</f>
        <v>http://www.issuenbiz.com/news/articleView.html?idxno=61441</v>
      </c>
      <c r="H8590">
        <v>0.29599999999999999</v>
      </c>
    </row>
    <row r="8591" spans="1:8" x14ac:dyDescent="0.3">
      <c r="A8591" t="s">
        <v>18176</v>
      </c>
      <c r="B8591" t="s">
        <v>26951</v>
      </c>
      <c r="C8591" t="s">
        <v>21661</v>
      </c>
      <c r="D8591" t="s">
        <v>21660</v>
      </c>
      <c r="E8591" s="2" t="s">
        <v>196</v>
      </c>
      <c r="F8591" t="s">
        <v>21659</v>
      </c>
      <c r="G8591" t="str">
        <f>HYPERLINK("https://n.news.naver.com/mnews/article/002/0000009404?sid=100")</f>
        <v>https://n.news.naver.com/mnews/article/002/0000009404?sid=100</v>
      </c>
      <c r="H8591">
        <v>0.55500000000000005</v>
      </c>
    </row>
    <row r="8592" spans="1:8" x14ac:dyDescent="0.3">
      <c r="A8592" t="s">
        <v>18176</v>
      </c>
      <c r="B8592" t="s">
        <v>26951</v>
      </c>
      <c r="C8592" t="s">
        <v>21663</v>
      </c>
      <c r="D8592" t="s">
        <v>21662</v>
      </c>
      <c r="E8592" s="2" t="s">
        <v>230</v>
      </c>
      <c r="F8592" t="s">
        <v>17982</v>
      </c>
      <c r="G8592" t="str">
        <f>HYPERLINK("http://www.christiantoday.co.kr/news/318642")</f>
        <v>http://www.christiantoday.co.kr/news/318642</v>
      </c>
      <c r="H8592">
        <v>0.67400000000000004</v>
      </c>
    </row>
    <row r="8593" spans="1:8" x14ac:dyDescent="0.3">
      <c r="A8593" t="s">
        <v>18176</v>
      </c>
      <c r="B8593" t="s">
        <v>26951</v>
      </c>
      <c r="C8593" t="s">
        <v>21666</v>
      </c>
      <c r="D8593" t="s">
        <v>21665</v>
      </c>
      <c r="E8593" s="2" t="s">
        <v>230</v>
      </c>
      <c r="F8593" t="s">
        <v>21664</v>
      </c>
      <c r="G8593" t="str">
        <f>HYPERLINK("http://www.greened.kr/news/articleView.html?idxno=304909")</f>
        <v>http://www.greened.kr/news/articleView.html?idxno=304909</v>
      </c>
      <c r="H8593">
        <v>0.51900000000000002</v>
      </c>
    </row>
    <row r="8594" spans="1:8" x14ac:dyDescent="0.3">
      <c r="A8594" t="s">
        <v>18176</v>
      </c>
      <c r="B8594" t="s">
        <v>26951</v>
      </c>
      <c r="C8594" t="s">
        <v>21669</v>
      </c>
      <c r="D8594" t="s">
        <v>21668</v>
      </c>
      <c r="E8594" s="2" t="s">
        <v>230</v>
      </c>
      <c r="F8594" t="s">
        <v>21667</v>
      </c>
      <c r="G8594" t="str">
        <f>HYPERLINK("http://www.netongs.com/news/articleView.html?idxno=326574")</f>
        <v>http://www.netongs.com/news/articleView.html?idxno=326574</v>
      </c>
      <c r="H8594">
        <v>0.96399999999999997</v>
      </c>
    </row>
    <row r="8595" spans="1:8" x14ac:dyDescent="0.3">
      <c r="A8595" t="s">
        <v>18176</v>
      </c>
      <c r="B8595" t="s">
        <v>26951</v>
      </c>
      <c r="C8595" t="s">
        <v>21672</v>
      </c>
      <c r="D8595" t="s">
        <v>21671</v>
      </c>
      <c r="E8595" s="2" t="s">
        <v>230</v>
      </c>
      <c r="F8595" t="s">
        <v>21670</v>
      </c>
      <c r="G8595" t="str">
        <f>HYPERLINK("https://www.joongboo.com/news/articleView.html?idxno=363641184")</f>
        <v>https://www.joongboo.com/news/articleView.html?idxno=363641184</v>
      </c>
      <c r="H8595">
        <v>0.47599999999999998</v>
      </c>
    </row>
    <row r="8596" spans="1:8" x14ac:dyDescent="0.3">
      <c r="A8596" t="s">
        <v>18176</v>
      </c>
      <c r="B8596" t="s">
        <v>26951</v>
      </c>
      <c r="C8596" t="s">
        <v>21674</v>
      </c>
      <c r="D8596" t="s">
        <v>21673</v>
      </c>
      <c r="E8596" s="2" t="s">
        <v>230</v>
      </c>
      <c r="F8596" t="s">
        <v>9738</v>
      </c>
      <c r="H8596">
        <v>0.46</v>
      </c>
    </row>
    <row r="8597" spans="1:8" x14ac:dyDescent="0.3">
      <c r="A8597" t="s">
        <v>18176</v>
      </c>
      <c r="B8597" t="s">
        <v>26951</v>
      </c>
      <c r="C8597" t="s">
        <v>21677</v>
      </c>
      <c r="D8597" t="s">
        <v>21676</v>
      </c>
      <c r="E8597" s="2" t="s">
        <v>230</v>
      </c>
      <c r="F8597" t="s">
        <v>21675</v>
      </c>
      <c r="G8597" t="str">
        <f>HYPERLINK("https://news.einfomax.co.kr/news/articleView.html?idxno=4341234")</f>
        <v>https://news.einfomax.co.kr/news/articleView.html?idxno=4341234</v>
      </c>
      <c r="H8597">
        <v>0.40600000000000003</v>
      </c>
    </row>
    <row r="8598" spans="1:8" x14ac:dyDescent="0.3">
      <c r="A8598" t="s">
        <v>18176</v>
      </c>
      <c r="B8598" t="s">
        <v>26951</v>
      </c>
      <c r="C8598" t="s">
        <v>21680</v>
      </c>
      <c r="D8598" t="s">
        <v>21679</v>
      </c>
      <c r="E8598" s="2" t="s">
        <v>230</v>
      </c>
      <c r="F8598" t="s">
        <v>21678</v>
      </c>
      <c r="G8598" t="str">
        <f>HYPERLINK("https://n.news.naver.com/mnews/article/011/0003723170?sid=102")</f>
        <v>https://n.news.naver.com/mnews/article/011/0003723170?sid=102</v>
      </c>
      <c r="H8598">
        <v>0.33100000000000002</v>
      </c>
    </row>
    <row r="8599" spans="1:8" x14ac:dyDescent="0.3">
      <c r="A8599" t="s">
        <v>18176</v>
      </c>
      <c r="B8599" t="s">
        <v>26951</v>
      </c>
      <c r="C8599" t="s">
        <v>21683</v>
      </c>
      <c r="D8599" t="s">
        <v>21682</v>
      </c>
      <c r="E8599" s="2" t="s">
        <v>230</v>
      </c>
      <c r="F8599" t="s">
        <v>21681</v>
      </c>
      <c r="G8599" t="str">
        <f>HYPERLINK("http://www.gjdream.com/v2/simin/view.html?news_type=105&amp;uid=463110")</f>
        <v>http://www.gjdream.com/v2/simin/view.html?news_type=105&amp;uid=463110</v>
      </c>
      <c r="H8599">
        <v>0.126</v>
      </c>
    </row>
    <row r="8600" spans="1:8" x14ac:dyDescent="0.3">
      <c r="A8600" t="s">
        <v>18176</v>
      </c>
      <c r="B8600" t="s">
        <v>26951</v>
      </c>
      <c r="C8600" t="s">
        <v>21685</v>
      </c>
      <c r="D8600" t="s">
        <v>21684</v>
      </c>
      <c r="E8600" s="2" t="s">
        <v>230</v>
      </c>
      <c r="F8600" t="s">
        <v>12369</v>
      </c>
      <c r="G8600" t="str">
        <f>HYPERLINK("http://www.ggilbo.com/news/articleView.html?idxno=777222")</f>
        <v>http://www.ggilbo.com/news/articleView.html?idxno=777222</v>
      </c>
      <c r="H8600">
        <v>0.56000000000000005</v>
      </c>
    </row>
    <row r="8601" spans="1:8" x14ac:dyDescent="0.3">
      <c r="A8601" t="s">
        <v>18176</v>
      </c>
      <c r="B8601" t="s">
        <v>26951</v>
      </c>
      <c r="C8601" t="s">
        <v>21687</v>
      </c>
      <c r="D8601" t="s">
        <v>21686</v>
      </c>
      <c r="E8601" s="2" t="s">
        <v>230</v>
      </c>
      <c r="F8601" t="s">
        <v>17751</v>
      </c>
      <c r="G8601" t="str">
        <f>HYPERLINK("http://www.m-economynews.com/news/article.html?no=43092")</f>
        <v>http://www.m-economynews.com/news/article.html?no=43092</v>
      </c>
      <c r="H8601">
        <v>0.69299999999999995</v>
      </c>
    </row>
    <row r="8602" spans="1:8" x14ac:dyDescent="0.3">
      <c r="A8602" t="s">
        <v>18176</v>
      </c>
      <c r="B8602" t="s">
        <v>26951</v>
      </c>
      <c r="C8602" t="s">
        <v>21689</v>
      </c>
      <c r="D8602" t="s">
        <v>21688</v>
      </c>
      <c r="E8602" s="2" t="s">
        <v>230</v>
      </c>
      <c r="F8602" t="s">
        <v>11363</v>
      </c>
      <c r="G8602" t="str">
        <f>HYPERLINK("http://www.pdjournal.com/news/articleView.html?idxno=71486")</f>
        <v>http://www.pdjournal.com/news/articleView.html?idxno=71486</v>
      </c>
      <c r="H8602">
        <v>0.39100000000000001</v>
      </c>
    </row>
    <row r="8603" spans="1:8" x14ac:dyDescent="0.3">
      <c r="A8603" t="s">
        <v>18176</v>
      </c>
      <c r="B8603" t="s">
        <v>26951</v>
      </c>
      <c r="C8603" t="s">
        <v>5638</v>
      </c>
      <c r="D8603" t="s">
        <v>5637</v>
      </c>
      <c r="E8603" s="2" t="s">
        <v>230</v>
      </c>
      <c r="F8603" t="s">
        <v>89</v>
      </c>
      <c r="G8603" t="str">
        <f>HYPERLINK("https://n.news.naver.com/mnews/article/036/0000023452?sid=102")</f>
        <v>https://n.news.naver.com/mnews/article/036/0000023452?sid=102</v>
      </c>
      <c r="H8603">
        <v>0.314</v>
      </c>
    </row>
    <row r="8604" spans="1:8" x14ac:dyDescent="0.3">
      <c r="A8604" t="s">
        <v>18176</v>
      </c>
      <c r="B8604" t="s">
        <v>26951</v>
      </c>
      <c r="C8604" t="s">
        <v>21691</v>
      </c>
      <c r="D8604" t="s">
        <v>21690</v>
      </c>
      <c r="E8604" s="2" t="s">
        <v>230</v>
      </c>
      <c r="F8604" t="s">
        <v>9780</v>
      </c>
      <c r="G8604" t="str">
        <f>HYPERLINK("https://www.pn.or.kr/news/articleView.html?idxno=32222")</f>
        <v>https://www.pn.or.kr/news/articleView.html?idxno=32222</v>
      </c>
      <c r="H8604">
        <v>0.96699999999999997</v>
      </c>
    </row>
    <row r="8605" spans="1:8" x14ac:dyDescent="0.3">
      <c r="A8605" t="s">
        <v>18176</v>
      </c>
      <c r="B8605" t="s">
        <v>26951</v>
      </c>
      <c r="C8605" t="s">
        <v>21693</v>
      </c>
      <c r="D8605" t="s">
        <v>21692</v>
      </c>
      <c r="E8605" s="2" t="s">
        <v>230</v>
      </c>
      <c r="F8605" t="s">
        <v>9912</v>
      </c>
      <c r="G8605" t="str">
        <f>HYPERLINK("http://www.lecturernews.com/news/articleView.html?idxno=98581")</f>
        <v>http://www.lecturernews.com/news/articleView.html?idxno=98581</v>
      </c>
      <c r="H8605">
        <v>0.64500000000000002</v>
      </c>
    </row>
    <row r="8606" spans="1:8" x14ac:dyDescent="0.3">
      <c r="A8606" t="s">
        <v>18176</v>
      </c>
      <c r="B8606" t="s">
        <v>26951</v>
      </c>
      <c r="C8606" t="s">
        <v>21695</v>
      </c>
      <c r="D8606" t="s">
        <v>21694</v>
      </c>
      <c r="E8606" s="2" t="s">
        <v>230</v>
      </c>
      <c r="F8606" t="s">
        <v>1543</v>
      </c>
      <c r="G8606" t="str">
        <f>HYPERLINK("https://n.news.naver.com/mnews/article/056/0011661282?sid=102")</f>
        <v>https://n.news.naver.com/mnews/article/056/0011661282?sid=102</v>
      </c>
      <c r="H8606">
        <v>0.34200000000000003</v>
      </c>
    </row>
    <row r="8607" spans="1:8" x14ac:dyDescent="0.3">
      <c r="A8607" t="s">
        <v>18176</v>
      </c>
      <c r="B8607" t="s">
        <v>26951</v>
      </c>
      <c r="C8607" t="s">
        <v>21698</v>
      </c>
      <c r="D8607" t="s">
        <v>21697</v>
      </c>
      <c r="E8607" s="2" t="s">
        <v>230</v>
      </c>
      <c r="F8607" t="s">
        <v>21696</v>
      </c>
      <c r="G8607" t="str">
        <f>HYPERLINK("https://www.newscj.com/news/articleView.html?idxno=3284922")</f>
        <v>https://www.newscj.com/news/articleView.html?idxno=3284922</v>
      </c>
      <c r="H8607">
        <v>0.90900000000000003</v>
      </c>
    </row>
    <row r="8608" spans="1:8" x14ac:dyDescent="0.3">
      <c r="A8608" t="s">
        <v>18176</v>
      </c>
      <c r="B8608" t="s">
        <v>26951</v>
      </c>
      <c r="C8608" t="s">
        <v>21700</v>
      </c>
      <c r="D8608" t="s">
        <v>21699</v>
      </c>
      <c r="E8608" s="2" t="s">
        <v>230</v>
      </c>
      <c r="F8608" t="s">
        <v>4914</v>
      </c>
      <c r="G8608" t="str">
        <f>HYPERLINK("https://www.dnews.co.kr/uhtml/view.jsp?idxno=202506242117480860218")</f>
        <v>https://www.dnews.co.kr/uhtml/view.jsp?idxno=202506242117480860218</v>
      </c>
      <c r="H8608">
        <v>0.93500000000000005</v>
      </c>
    </row>
    <row r="8609" spans="1:8" x14ac:dyDescent="0.3">
      <c r="A8609" t="s">
        <v>18176</v>
      </c>
      <c r="B8609" t="s">
        <v>26951</v>
      </c>
      <c r="C8609" t="s">
        <v>21703</v>
      </c>
      <c r="D8609" t="s">
        <v>21702</v>
      </c>
      <c r="E8609" s="2" t="s">
        <v>230</v>
      </c>
      <c r="F8609" t="s">
        <v>21701</v>
      </c>
      <c r="G8609" t="str">
        <f>HYPERLINK("http://www.bizwnews.com/news/articleView.html?idxno=100595")</f>
        <v>http://www.bizwnews.com/news/articleView.html?idxno=100595</v>
      </c>
      <c r="H8609">
        <v>0.246</v>
      </c>
    </row>
    <row r="8610" spans="1:8" x14ac:dyDescent="0.3">
      <c r="A8610" t="s">
        <v>18176</v>
      </c>
      <c r="B8610" t="s">
        <v>26951</v>
      </c>
      <c r="C8610" t="s">
        <v>21705</v>
      </c>
      <c r="D8610" t="s">
        <v>21704</v>
      </c>
      <c r="E8610" s="2" t="s">
        <v>230</v>
      </c>
      <c r="F8610" t="s">
        <v>11906</v>
      </c>
      <c r="G8610" t="str">
        <f>HYPERLINK("https://ilyo.co.kr/?ac=article_view&amp;entry_id=493018")</f>
        <v>https://ilyo.co.kr/?ac=article_view&amp;entry_id=493018</v>
      </c>
      <c r="H8610">
        <v>7.0999999999999994E-2</v>
      </c>
    </row>
    <row r="8611" spans="1:8" x14ac:dyDescent="0.3">
      <c r="A8611" t="s">
        <v>18176</v>
      </c>
      <c r="B8611" t="s">
        <v>26951</v>
      </c>
      <c r="C8611" t="s">
        <v>21708</v>
      </c>
      <c r="D8611" t="s">
        <v>21707</v>
      </c>
      <c r="E8611" s="2" t="s">
        <v>230</v>
      </c>
      <c r="F8611" t="s">
        <v>21706</v>
      </c>
      <c r="G8611" t="str">
        <f>HYPERLINK("https://n.news.naver.com/mnews/article/119/0002098813?sid=004")</f>
        <v>https://n.news.naver.com/mnews/article/119/0002098813?sid=004</v>
      </c>
      <c r="H8611">
        <v>0.441</v>
      </c>
    </row>
    <row r="8612" spans="1:8" x14ac:dyDescent="0.3">
      <c r="A8612" t="s">
        <v>18176</v>
      </c>
      <c r="B8612" t="s">
        <v>26951</v>
      </c>
      <c r="C8612" t="s">
        <v>21710</v>
      </c>
      <c r="D8612" t="s">
        <v>21709</v>
      </c>
      <c r="E8612" s="2" t="s">
        <v>230</v>
      </c>
      <c r="F8612" t="s">
        <v>3420</v>
      </c>
      <c r="G8612" t="str">
        <f>HYPERLINK("http://www.fntoday.co.kr/news/articleView.html?idxno=331157")</f>
        <v>http://www.fntoday.co.kr/news/articleView.html?idxno=331157</v>
      </c>
      <c r="H8612">
        <v>0.435</v>
      </c>
    </row>
    <row r="8613" spans="1:8" x14ac:dyDescent="0.3">
      <c r="A8613" t="s">
        <v>18176</v>
      </c>
      <c r="B8613" t="s">
        <v>26951</v>
      </c>
      <c r="C8613" t="s">
        <v>21713</v>
      </c>
      <c r="D8613" t="s">
        <v>21712</v>
      </c>
      <c r="E8613" s="2" t="s">
        <v>230</v>
      </c>
      <c r="F8613" t="s">
        <v>21711</v>
      </c>
      <c r="G8613" t="str">
        <f>HYPERLINK("https://n.news.naver.com/mnews/article/056/0011980762?sid=102")</f>
        <v>https://n.news.naver.com/mnews/article/056/0011980762?sid=102</v>
      </c>
      <c r="H8613">
        <v>0.20399999999999999</v>
      </c>
    </row>
    <row r="8614" spans="1:8" x14ac:dyDescent="0.3">
      <c r="A8614" t="s">
        <v>18176</v>
      </c>
      <c r="B8614" t="s">
        <v>26951</v>
      </c>
      <c r="C8614" t="s">
        <v>17546</v>
      </c>
      <c r="D8614" t="s">
        <v>17545</v>
      </c>
      <c r="E8614" s="2" t="s">
        <v>230</v>
      </c>
      <c r="F8614" t="s">
        <v>17544</v>
      </c>
      <c r="G8614" t="str">
        <f>HYPERLINK("https://n.news.naver.com/mnews/article/032/0003379875?sid=102")</f>
        <v>https://n.news.naver.com/mnews/article/032/0003379875?sid=102</v>
      </c>
      <c r="H8614">
        <v>0.33700000000000002</v>
      </c>
    </row>
    <row r="8615" spans="1:8" x14ac:dyDescent="0.3">
      <c r="A8615" t="s">
        <v>18176</v>
      </c>
      <c r="B8615" t="s">
        <v>26951</v>
      </c>
      <c r="C8615" t="s">
        <v>21715</v>
      </c>
      <c r="D8615" t="s">
        <v>21714</v>
      </c>
      <c r="E8615" s="2" t="s">
        <v>230</v>
      </c>
      <c r="F8615" t="s">
        <v>21470</v>
      </c>
      <c r="G8615" t="str">
        <f>HYPERLINK("http://www.namdonews.com/news/articleView.html?idxno=819170")</f>
        <v>http://www.namdonews.com/news/articleView.html?idxno=819170</v>
      </c>
      <c r="H8615">
        <v>0.42299999999999999</v>
      </c>
    </row>
    <row r="8616" spans="1:8" x14ac:dyDescent="0.3">
      <c r="A8616" t="s">
        <v>18176</v>
      </c>
      <c r="B8616" t="s">
        <v>26951</v>
      </c>
      <c r="C8616" t="s">
        <v>21717</v>
      </c>
      <c r="D8616" t="s">
        <v>9508</v>
      </c>
      <c r="E8616" s="2" t="s">
        <v>230</v>
      </c>
      <c r="F8616" t="s">
        <v>21716</v>
      </c>
      <c r="G8616" t="str">
        <f>HYPERLINK("http://www.newswatch.kr/news/articleView.html?idxno=68534")</f>
        <v>http://www.newswatch.kr/news/articleView.html?idxno=68534</v>
      </c>
      <c r="H8616">
        <v>0.45900000000000002</v>
      </c>
    </row>
    <row r="8617" spans="1:8" x14ac:dyDescent="0.3">
      <c r="A8617" t="s">
        <v>18176</v>
      </c>
      <c r="B8617" t="s">
        <v>26951</v>
      </c>
      <c r="C8617" t="s">
        <v>21719</v>
      </c>
      <c r="D8617" t="s">
        <v>21718</v>
      </c>
      <c r="E8617" s="2" t="s">
        <v>230</v>
      </c>
      <c r="F8617" t="s">
        <v>11978</v>
      </c>
      <c r="G8617" t="str">
        <f>HYPERLINK("http://www.gocj.net/news/articleView.html?idxno=52853")</f>
        <v>http://www.gocj.net/news/articleView.html?idxno=52853</v>
      </c>
      <c r="H8617">
        <v>0.59399999999999997</v>
      </c>
    </row>
    <row r="8618" spans="1:8" x14ac:dyDescent="0.3">
      <c r="A8618" t="s">
        <v>18176</v>
      </c>
      <c r="B8618" t="s">
        <v>26951</v>
      </c>
      <c r="C8618" t="s">
        <v>21721</v>
      </c>
      <c r="D8618" t="s">
        <v>21720</v>
      </c>
      <c r="E8618" s="2" t="s">
        <v>230</v>
      </c>
      <c r="F8618" t="s">
        <v>6633</v>
      </c>
      <c r="G8618" t="str">
        <f>HYPERLINK("http://www.sisaon.co.kr/news/articleView.html?idxno=170472")</f>
        <v>http://www.sisaon.co.kr/news/articleView.html?idxno=170472</v>
      </c>
      <c r="H8618">
        <v>0.35599999999999998</v>
      </c>
    </row>
    <row r="8619" spans="1:8" x14ac:dyDescent="0.3">
      <c r="A8619" t="s">
        <v>18176</v>
      </c>
      <c r="B8619" t="s">
        <v>26951</v>
      </c>
      <c r="C8619" t="s">
        <v>21723</v>
      </c>
      <c r="D8619" t="s">
        <v>21722</v>
      </c>
      <c r="E8619" s="2" t="s">
        <v>230</v>
      </c>
      <c r="F8619" t="s">
        <v>11379</v>
      </c>
      <c r="G8619" t="str">
        <f>HYPERLINK("http://www.opinionnews.co.kr/news/articleView.html?idxno=30880")</f>
        <v>http://www.opinionnews.co.kr/news/articleView.html?idxno=30880</v>
      </c>
      <c r="H8619">
        <v>0.27900000000000003</v>
      </c>
    </row>
    <row r="8620" spans="1:8" x14ac:dyDescent="0.3">
      <c r="A8620" t="s">
        <v>18176</v>
      </c>
      <c r="B8620" t="s">
        <v>26951</v>
      </c>
      <c r="C8620" t="s">
        <v>21726</v>
      </c>
      <c r="D8620" t="s">
        <v>21725</v>
      </c>
      <c r="E8620" s="2" t="s">
        <v>230</v>
      </c>
      <c r="F8620" t="s">
        <v>21724</v>
      </c>
      <c r="G8620" t="str">
        <f>HYPERLINK("http://www.kidshankook.kr/news/articleView.html?idxno=1569")</f>
        <v>http://www.kidshankook.kr/news/articleView.html?idxno=1569</v>
      </c>
      <c r="H8620">
        <v>0.38300000000000001</v>
      </c>
    </row>
    <row r="8621" spans="1:8" x14ac:dyDescent="0.3">
      <c r="A8621" t="s">
        <v>18176</v>
      </c>
      <c r="B8621" t="s">
        <v>26951</v>
      </c>
      <c r="C8621" t="s">
        <v>21728</v>
      </c>
      <c r="D8621" t="s">
        <v>21727</v>
      </c>
      <c r="E8621" s="2" t="s">
        <v>230</v>
      </c>
      <c r="F8621" t="s">
        <v>5244</v>
      </c>
      <c r="G8621" t="str">
        <f>HYPERLINK("http://www.welfarenews.net/news/articleView.html?idxno=112449")</f>
        <v>http://www.welfarenews.net/news/articleView.html?idxno=112449</v>
      </c>
      <c r="H8621">
        <v>0.82</v>
      </c>
    </row>
    <row r="8622" spans="1:8" x14ac:dyDescent="0.3">
      <c r="A8622" t="s">
        <v>18176</v>
      </c>
      <c r="B8622" t="s">
        <v>26951</v>
      </c>
      <c r="C8622" t="s">
        <v>21731</v>
      </c>
      <c r="D8622" t="s">
        <v>21730</v>
      </c>
      <c r="E8622" s="2" t="s">
        <v>230</v>
      </c>
      <c r="F8622" t="s">
        <v>21729</v>
      </c>
      <c r="G8622" t="str">
        <f>HYPERLINK("http://www.biztribune.co.kr/news/articleView.html?idxno=336153")</f>
        <v>http://www.biztribune.co.kr/news/articleView.html?idxno=336153</v>
      </c>
      <c r="H8622">
        <v>0.45100000000000001</v>
      </c>
    </row>
    <row r="8623" spans="1:8" x14ac:dyDescent="0.3">
      <c r="A8623" t="s">
        <v>18176</v>
      </c>
      <c r="B8623" t="s">
        <v>26951</v>
      </c>
      <c r="C8623" t="s">
        <v>21734</v>
      </c>
      <c r="D8623" t="s">
        <v>21733</v>
      </c>
      <c r="E8623" s="2" t="s">
        <v>230</v>
      </c>
      <c r="F8623" t="s">
        <v>21732</v>
      </c>
      <c r="G8623" t="str">
        <f>HYPERLINK("https://n.news.naver.com/mnews/article/022/0004047974?sid=102")</f>
        <v>https://n.news.naver.com/mnews/article/022/0004047974?sid=102</v>
      </c>
      <c r="H8623">
        <v>0.17</v>
      </c>
    </row>
    <row r="8624" spans="1:8" x14ac:dyDescent="0.3">
      <c r="A8624" t="s">
        <v>18176</v>
      </c>
      <c r="B8624" t="s">
        <v>26951</v>
      </c>
      <c r="C8624" t="s">
        <v>21737</v>
      </c>
      <c r="D8624" t="s">
        <v>21736</v>
      </c>
      <c r="E8624" s="2" t="s">
        <v>230</v>
      </c>
      <c r="F8624" t="s">
        <v>21735</v>
      </c>
      <c r="G8624" t="str">
        <f>HYPERLINK("http://www.sisaon.co.kr/news/articleView.html?idxno=150977")</f>
        <v>http://www.sisaon.co.kr/news/articleView.html?idxno=150977</v>
      </c>
      <c r="H8624">
        <v>0.40300000000000002</v>
      </c>
    </row>
    <row r="8625" spans="1:8" x14ac:dyDescent="0.3">
      <c r="A8625" t="s">
        <v>18176</v>
      </c>
      <c r="B8625" t="s">
        <v>26951</v>
      </c>
      <c r="C8625" t="s">
        <v>21740</v>
      </c>
      <c r="D8625" t="s">
        <v>21739</v>
      </c>
      <c r="E8625" s="2" t="s">
        <v>230</v>
      </c>
      <c r="F8625" t="s">
        <v>21738</v>
      </c>
      <c r="G8625" t="str">
        <f>HYPERLINK("http://www.fntoday.co.kr/news/articleView.html?idxno=355290")</f>
        <v>http://www.fntoday.co.kr/news/articleView.html?idxno=355290</v>
      </c>
      <c r="H8625">
        <v>0.36599999999999999</v>
      </c>
    </row>
    <row r="8626" spans="1:8" x14ac:dyDescent="0.3">
      <c r="A8626" t="s">
        <v>18176</v>
      </c>
      <c r="B8626" t="s">
        <v>26951</v>
      </c>
      <c r="C8626" t="s">
        <v>21743</v>
      </c>
      <c r="D8626" t="s">
        <v>21742</v>
      </c>
      <c r="E8626" s="2" t="s">
        <v>230</v>
      </c>
      <c r="F8626" t="s">
        <v>21741</v>
      </c>
      <c r="G8626" t="str">
        <f>HYPERLINK("https://www.kyeongin.com/article/1743865")</f>
        <v>https://www.kyeongin.com/article/1743865</v>
      </c>
      <c r="H8626">
        <v>0.83799999999999997</v>
      </c>
    </row>
    <row r="8627" spans="1:8" x14ac:dyDescent="0.3">
      <c r="A8627" t="s">
        <v>18176</v>
      </c>
      <c r="B8627" t="s">
        <v>26951</v>
      </c>
      <c r="C8627" t="s">
        <v>21746</v>
      </c>
      <c r="D8627" t="s">
        <v>21745</v>
      </c>
      <c r="E8627" s="2" t="s">
        <v>230</v>
      </c>
      <c r="F8627" t="s">
        <v>21744</v>
      </c>
      <c r="G8627" t="str">
        <f>HYPERLINK("http://www.knnews.co.kr/news/articleView.php?idxno=1444525")</f>
        <v>http://www.knnews.co.kr/news/articleView.php?idxno=1444525</v>
      </c>
      <c r="H8627">
        <v>0.39500000000000002</v>
      </c>
    </row>
    <row r="8628" spans="1:8" x14ac:dyDescent="0.3">
      <c r="A8628" t="s">
        <v>18176</v>
      </c>
      <c r="B8628" t="s">
        <v>26951</v>
      </c>
      <c r="C8628" t="s">
        <v>21748</v>
      </c>
      <c r="D8628" t="s">
        <v>21747</v>
      </c>
      <c r="E8628" s="2" t="s">
        <v>230</v>
      </c>
      <c r="F8628" t="s">
        <v>8619</v>
      </c>
      <c r="G8628" t="str">
        <f>HYPERLINK("https://www.monews.co.kr/news/articleView.html?idxno=403808")</f>
        <v>https://www.monews.co.kr/news/articleView.html?idxno=403808</v>
      </c>
      <c r="H8628">
        <v>0.39900000000000002</v>
      </c>
    </row>
    <row r="8629" spans="1:8" x14ac:dyDescent="0.3">
      <c r="A8629" t="s">
        <v>18176</v>
      </c>
      <c r="B8629" t="s">
        <v>26951</v>
      </c>
      <c r="C8629" t="s">
        <v>21751</v>
      </c>
      <c r="D8629" t="s">
        <v>21750</v>
      </c>
      <c r="E8629" s="2" t="s">
        <v>230</v>
      </c>
      <c r="F8629" t="s">
        <v>21749</v>
      </c>
      <c r="G8629" t="str">
        <f>HYPERLINK("https://n.news.naver.com/mnews/article/119/0002972575?sid=100")</f>
        <v>https://n.news.naver.com/mnews/article/119/0002972575?sid=100</v>
      </c>
      <c r="H8629">
        <v>0.247</v>
      </c>
    </row>
    <row r="8630" spans="1:8" x14ac:dyDescent="0.3">
      <c r="A8630" t="s">
        <v>18176</v>
      </c>
      <c r="B8630" t="s">
        <v>26951</v>
      </c>
      <c r="C8630" t="s">
        <v>21752</v>
      </c>
      <c r="D8630" t="s">
        <v>21742</v>
      </c>
      <c r="E8630" s="2" t="s">
        <v>230</v>
      </c>
      <c r="F8630" t="s">
        <v>19543</v>
      </c>
      <c r="G8630" t="str">
        <f>HYPERLINK("https://www.kyeongin.com/article/1743865")</f>
        <v>https://www.kyeongin.com/article/1743865</v>
      </c>
      <c r="H8630">
        <v>0.85099999999999998</v>
      </c>
    </row>
    <row r="8631" spans="1:8" x14ac:dyDescent="0.3">
      <c r="A8631" t="s">
        <v>18176</v>
      </c>
      <c r="B8631" t="s">
        <v>26951</v>
      </c>
      <c r="C8631" t="s">
        <v>21755</v>
      </c>
      <c r="D8631" t="s">
        <v>21754</v>
      </c>
      <c r="E8631" s="2" t="s">
        <v>230</v>
      </c>
      <c r="F8631" t="s">
        <v>21753</v>
      </c>
      <c r="G8631" t="str">
        <f>HYPERLINK("https://www.kukinews.com/article/view/kuk202411120167")</f>
        <v>https://www.kukinews.com/article/view/kuk202411120167</v>
      </c>
      <c r="H8631">
        <v>0.16900000000000001</v>
      </c>
    </row>
    <row r="8632" spans="1:8" x14ac:dyDescent="0.3">
      <c r="A8632" t="s">
        <v>18176</v>
      </c>
      <c r="B8632" t="s">
        <v>26951</v>
      </c>
      <c r="C8632" t="s">
        <v>21757</v>
      </c>
      <c r="D8632" t="s">
        <v>21756</v>
      </c>
      <c r="E8632" s="2" t="s">
        <v>230</v>
      </c>
      <c r="F8632" t="s">
        <v>6478</v>
      </c>
      <c r="G8632" t="str">
        <f>HYPERLINK("http://kor.theasian.asia/archives/154979")</f>
        <v>http://kor.theasian.asia/archives/154979</v>
      </c>
      <c r="H8632">
        <v>0.51900000000000002</v>
      </c>
    </row>
    <row r="8633" spans="1:8" x14ac:dyDescent="0.3">
      <c r="A8633" t="s">
        <v>18176</v>
      </c>
      <c r="B8633" t="s">
        <v>26951</v>
      </c>
      <c r="C8633" t="s">
        <v>21759</v>
      </c>
      <c r="D8633" t="s">
        <v>21758</v>
      </c>
      <c r="E8633" s="2" t="s">
        <v>230</v>
      </c>
      <c r="F8633" t="s">
        <v>11533</v>
      </c>
      <c r="G8633" t="str">
        <f>HYPERLINK("https://www.newspim.com/news/view/20241224000415")</f>
        <v>https://www.newspim.com/news/view/20241224000415</v>
      </c>
      <c r="H8633">
        <v>0.54500000000000004</v>
      </c>
    </row>
    <row r="8634" spans="1:8" x14ac:dyDescent="0.3">
      <c r="A8634" t="s">
        <v>18176</v>
      </c>
      <c r="B8634" t="s">
        <v>26951</v>
      </c>
      <c r="C8634" t="s">
        <v>21762</v>
      </c>
      <c r="D8634" t="s">
        <v>21761</v>
      </c>
      <c r="E8634" s="2" t="s">
        <v>230</v>
      </c>
      <c r="F8634" t="s">
        <v>21760</v>
      </c>
      <c r="G8634" t="str">
        <f>HYPERLINK("https://www.safetimes.co.kr/news/articleView.html?idxno=216298")</f>
        <v>https://www.safetimes.co.kr/news/articleView.html?idxno=216298</v>
      </c>
      <c r="H8634">
        <v>8.3000000000000004E-2</v>
      </c>
    </row>
    <row r="8635" spans="1:8" x14ac:dyDescent="0.3">
      <c r="A8635" t="s">
        <v>18176</v>
      </c>
      <c r="B8635" t="s">
        <v>26951</v>
      </c>
      <c r="C8635" t="s">
        <v>21765</v>
      </c>
      <c r="D8635" t="s">
        <v>21764</v>
      </c>
      <c r="E8635" s="2" t="s">
        <v>230</v>
      </c>
      <c r="F8635" t="s">
        <v>21763</v>
      </c>
      <c r="G8635" t="str">
        <f>HYPERLINK("http://www.econovill.com/news/articleView.html?idxno=255975")</f>
        <v>http://www.econovill.com/news/articleView.html?idxno=255975</v>
      </c>
      <c r="H8635">
        <v>0.33200000000000002</v>
      </c>
    </row>
    <row r="8636" spans="1:8" x14ac:dyDescent="0.3">
      <c r="A8636" t="s">
        <v>18176</v>
      </c>
      <c r="B8636" t="s">
        <v>26951</v>
      </c>
      <c r="C8636" t="s">
        <v>21767</v>
      </c>
      <c r="D8636" t="s">
        <v>21766</v>
      </c>
      <c r="E8636" s="2" t="s">
        <v>230</v>
      </c>
      <c r="F8636" t="s">
        <v>12082</v>
      </c>
      <c r="G8636" t="str">
        <f>HYPERLINK("http://www.lecturernews.com/news/articleView.html?idxno=90899")</f>
        <v>http://www.lecturernews.com/news/articleView.html?idxno=90899</v>
      </c>
      <c r="H8636">
        <v>0.66400000000000003</v>
      </c>
    </row>
    <row r="8637" spans="1:8" x14ac:dyDescent="0.3">
      <c r="A8637" t="s">
        <v>18176</v>
      </c>
      <c r="B8637" t="s">
        <v>26951</v>
      </c>
      <c r="C8637" t="s">
        <v>21771</v>
      </c>
      <c r="D8637" t="s">
        <v>21770</v>
      </c>
      <c r="E8637" s="2" t="s">
        <v>230</v>
      </c>
      <c r="F8637" t="s">
        <v>21769</v>
      </c>
      <c r="G8637" t="str">
        <f>HYPERLINK("http://www.youthdaily.co.kr/news/article.html?no=44381")</f>
        <v>http://www.youthdaily.co.kr/news/article.html?no=44381</v>
      </c>
      <c r="H8637">
        <v>0.33400000000000002</v>
      </c>
    </row>
    <row r="8638" spans="1:8" x14ac:dyDescent="0.3">
      <c r="A8638" t="s">
        <v>18176</v>
      </c>
      <c r="B8638" t="s">
        <v>26951</v>
      </c>
      <c r="C8638" t="s">
        <v>21774</v>
      </c>
      <c r="D8638" t="s">
        <v>21773</v>
      </c>
      <c r="E8638" s="2" t="s">
        <v>230</v>
      </c>
      <c r="F8638" t="s">
        <v>21772</v>
      </c>
      <c r="G8638" t="str">
        <f>HYPERLINK("http://www.kyeonggi.com/news/articleView.html?idxno=2167097")</f>
        <v>http://www.kyeonggi.com/news/articleView.html?idxno=2167097</v>
      </c>
      <c r="H8638">
        <v>0.27500000000000002</v>
      </c>
    </row>
    <row r="8639" spans="1:8" x14ac:dyDescent="0.3">
      <c r="A8639" t="s">
        <v>18176</v>
      </c>
      <c r="B8639" t="s">
        <v>26951</v>
      </c>
      <c r="C8639" t="s">
        <v>21777</v>
      </c>
      <c r="D8639" t="s">
        <v>21776</v>
      </c>
      <c r="E8639" s="2" t="s">
        <v>230</v>
      </c>
      <c r="F8639" t="s">
        <v>21775</v>
      </c>
      <c r="G8639" t="str">
        <f>HYPERLINK("https://n.news.naver.com/mnews/article/081/0003554107?sid=100")</f>
        <v>https://n.news.naver.com/mnews/article/081/0003554107?sid=100</v>
      </c>
      <c r="H8639">
        <v>0.33300000000000002</v>
      </c>
    </row>
    <row r="8640" spans="1:8" x14ac:dyDescent="0.3">
      <c r="A8640" t="s">
        <v>18176</v>
      </c>
      <c r="B8640" t="s">
        <v>26951</v>
      </c>
      <c r="C8640" t="s">
        <v>21779</v>
      </c>
      <c r="D8640" t="s">
        <v>21778</v>
      </c>
      <c r="E8640" s="2" t="s">
        <v>230</v>
      </c>
      <c r="F8640" t="s">
        <v>16596</v>
      </c>
      <c r="G8640" t="str">
        <f>HYPERLINK("https://www.laborplus.co.kr/news/articleView.html?idxno=35657")</f>
        <v>https://www.laborplus.co.kr/news/articleView.html?idxno=35657</v>
      </c>
      <c r="H8640">
        <v>0.34899999999999998</v>
      </c>
    </row>
    <row r="8641" spans="1:8" x14ac:dyDescent="0.3">
      <c r="A8641" t="s">
        <v>18176</v>
      </c>
      <c r="B8641" t="s">
        <v>26951</v>
      </c>
      <c r="C8641" t="s">
        <v>21781</v>
      </c>
      <c r="D8641" t="s">
        <v>21780</v>
      </c>
      <c r="E8641" s="2" t="s">
        <v>230</v>
      </c>
      <c r="F8641" t="s">
        <v>10605</v>
      </c>
      <c r="G8641" t="str">
        <f>HYPERLINK("https://www.ibabynews.com/news/articleView.html?idxno=111360")</f>
        <v>https://www.ibabynews.com/news/articleView.html?idxno=111360</v>
      </c>
      <c r="H8641">
        <v>0.497</v>
      </c>
    </row>
    <row r="8642" spans="1:8" x14ac:dyDescent="0.3">
      <c r="A8642" t="s">
        <v>18176</v>
      </c>
      <c r="B8642" t="s">
        <v>26951</v>
      </c>
      <c r="C8642" t="s">
        <v>21784</v>
      </c>
      <c r="D8642" t="s">
        <v>21783</v>
      </c>
      <c r="E8642" s="2" t="s">
        <v>230</v>
      </c>
      <c r="F8642" t="s">
        <v>21782</v>
      </c>
      <c r="G8642" t="str">
        <f>HYPERLINK("http://kor.theasian.asia/archives/309441")</f>
        <v>http://kor.theasian.asia/archives/309441</v>
      </c>
      <c r="H8642">
        <v>0.71899999999999997</v>
      </c>
    </row>
    <row r="8643" spans="1:8" x14ac:dyDescent="0.3">
      <c r="A8643" t="s">
        <v>18176</v>
      </c>
      <c r="B8643" t="s">
        <v>26951</v>
      </c>
      <c r="C8643" t="s">
        <v>21787</v>
      </c>
      <c r="D8643" t="s">
        <v>21786</v>
      </c>
      <c r="E8643" s="2" t="s">
        <v>230</v>
      </c>
      <c r="F8643" t="s">
        <v>21785</v>
      </c>
      <c r="G8643" t="str">
        <f>HYPERLINK("http://ch.yes24.com/Article/View/45880")</f>
        <v>http://ch.yes24.com/Article/View/45880</v>
      </c>
      <c r="H8643">
        <v>0.51800000000000002</v>
      </c>
    </row>
    <row r="8644" spans="1:8" x14ac:dyDescent="0.3">
      <c r="A8644" t="s">
        <v>18176</v>
      </c>
      <c r="B8644" t="s">
        <v>26951</v>
      </c>
      <c r="C8644" t="s">
        <v>21790</v>
      </c>
      <c r="D8644" t="s">
        <v>21789</v>
      </c>
      <c r="E8644" s="2" t="s">
        <v>230</v>
      </c>
      <c r="F8644" t="s">
        <v>21788</v>
      </c>
      <c r="G8644" t="str">
        <f>HYPERLINK("https://n.news.naver.com/mnews/article/056/0011980674?sid=101")</f>
        <v>https://n.news.naver.com/mnews/article/056/0011980674?sid=101</v>
      </c>
      <c r="H8644">
        <v>0.317</v>
      </c>
    </row>
    <row r="8645" spans="1:8" x14ac:dyDescent="0.3">
      <c r="A8645" t="s">
        <v>18176</v>
      </c>
      <c r="B8645" t="s">
        <v>26951</v>
      </c>
      <c r="C8645" t="s">
        <v>21793</v>
      </c>
      <c r="D8645" t="s">
        <v>21792</v>
      </c>
      <c r="E8645" s="2" t="s">
        <v>230</v>
      </c>
      <c r="F8645" t="s">
        <v>21791</v>
      </c>
      <c r="G8645" t="str">
        <f>HYPERLINK("https://news.einfomax.co.kr/news/articleView.html?idxno=4358830")</f>
        <v>https://news.einfomax.co.kr/news/articleView.html?idxno=4358830</v>
      </c>
      <c r="H8645">
        <v>0.54200000000000004</v>
      </c>
    </row>
    <row r="8646" spans="1:8" x14ac:dyDescent="0.3">
      <c r="A8646" t="s">
        <v>18176</v>
      </c>
      <c r="B8646" t="s">
        <v>26951</v>
      </c>
      <c r="C8646" t="s">
        <v>21796</v>
      </c>
      <c r="D8646" t="s">
        <v>21795</v>
      </c>
      <c r="E8646" s="2" t="s">
        <v>66</v>
      </c>
      <c r="F8646" t="s">
        <v>21794</v>
      </c>
      <c r="G8646" t="str">
        <f>HYPERLINK("https://www.nspna.com/news/?mode=view&amp;newsid=762178")</f>
        <v>https://www.nspna.com/news/?mode=view&amp;newsid=762178</v>
      </c>
      <c r="H8646">
        <v>0.61399999999999999</v>
      </c>
    </row>
    <row r="8647" spans="1:8" x14ac:dyDescent="0.3">
      <c r="A8647" t="s">
        <v>18176</v>
      </c>
      <c r="B8647" t="s">
        <v>26951</v>
      </c>
      <c r="C8647" t="s">
        <v>21799</v>
      </c>
      <c r="D8647" t="s">
        <v>21798</v>
      </c>
      <c r="E8647" s="2" t="s">
        <v>66</v>
      </c>
      <c r="F8647" t="s">
        <v>21797</v>
      </c>
      <c r="G8647" t="str">
        <f>HYPERLINK("http://www.travelitoday.com/read/contentsView/10192/41")</f>
        <v>http://www.travelitoday.com/read/contentsView/10192/41</v>
      </c>
      <c r="H8647">
        <v>0.53600000000000003</v>
      </c>
    </row>
    <row r="8648" spans="1:8" x14ac:dyDescent="0.3">
      <c r="A8648" t="s">
        <v>18176</v>
      </c>
      <c r="B8648" t="s">
        <v>26951</v>
      </c>
      <c r="C8648" t="s">
        <v>21802</v>
      </c>
      <c r="D8648" t="s">
        <v>21801</v>
      </c>
      <c r="E8648" s="2" t="s">
        <v>66</v>
      </c>
      <c r="F8648" t="s">
        <v>21800</v>
      </c>
      <c r="G8648" t="str">
        <f>HYPERLINK("https://www.yeongnam.com/web/view.php?key=20221219010002429")</f>
        <v>https://www.yeongnam.com/web/view.php?key=20221219010002429</v>
      </c>
      <c r="H8648">
        <v>0.46100000000000002</v>
      </c>
    </row>
    <row r="8649" spans="1:8" x14ac:dyDescent="0.3">
      <c r="A8649" t="s">
        <v>18176</v>
      </c>
      <c r="B8649" t="s">
        <v>26951</v>
      </c>
      <c r="C8649" t="s">
        <v>21805</v>
      </c>
      <c r="D8649" t="s">
        <v>21804</v>
      </c>
      <c r="E8649" s="2" t="s">
        <v>66</v>
      </c>
      <c r="F8649" t="s">
        <v>21803</v>
      </c>
      <c r="G8649" t="str">
        <f>HYPERLINK("https://n.news.naver.com/mnews/article/014/0005370944?sid=102")</f>
        <v>https://n.news.naver.com/mnews/article/014/0005370944?sid=102</v>
      </c>
      <c r="H8649">
        <v>0.25800000000000001</v>
      </c>
    </row>
    <row r="8650" spans="1:8" x14ac:dyDescent="0.3">
      <c r="A8650" t="s">
        <v>18176</v>
      </c>
      <c r="B8650" t="s">
        <v>26951</v>
      </c>
      <c r="C8650" t="s">
        <v>21807</v>
      </c>
      <c r="D8650" t="s">
        <v>21806</v>
      </c>
      <c r="E8650" s="2" t="s">
        <v>66</v>
      </c>
      <c r="F8650" t="s">
        <v>10490</v>
      </c>
      <c r="G8650" t="str">
        <f>HYPERLINK("https://ch.yes24.com/Article/View/81270")</f>
        <v>https://ch.yes24.com/Article/View/81270</v>
      </c>
      <c r="H8650">
        <v>0.57899999999999996</v>
      </c>
    </row>
    <row r="8651" spans="1:8" x14ac:dyDescent="0.3">
      <c r="A8651" t="s">
        <v>18176</v>
      </c>
      <c r="B8651" t="s">
        <v>26951</v>
      </c>
      <c r="C8651" t="s">
        <v>21810</v>
      </c>
      <c r="D8651" t="s">
        <v>21809</v>
      </c>
      <c r="E8651" s="2" t="s">
        <v>66</v>
      </c>
      <c r="F8651" t="s">
        <v>19574</v>
      </c>
      <c r="G8651" t="str">
        <f>HYPERLINK("http://www.namdonews.com/news/articleView.html?idxno=824220")</f>
        <v>http://www.namdonews.com/news/articleView.html?idxno=824220</v>
      </c>
      <c r="H8651">
        <v>0.48699999999999999</v>
      </c>
    </row>
    <row r="8652" spans="1:8" x14ac:dyDescent="0.3">
      <c r="A8652" t="s">
        <v>18176</v>
      </c>
      <c r="B8652" t="s">
        <v>26951</v>
      </c>
      <c r="C8652" t="s">
        <v>6574</v>
      </c>
      <c r="D8652" t="s">
        <v>6573</v>
      </c>
      <c r="E8652" s="2" t="s">
        <v>66</v>
      </c>
      <c r="F8652" t="s">
        <v>3872</v>
      </c>
      <c r="G8652" t="str">
        <f>HYPERLINK("https://n.news.naver.com/mnews/article/056/0011966644?sid=101")</f>
        <v>https://n.news.naver.com/mnews/article/056/0011966644?sid=101</v>
      </c>
      <c r="H8652">
        <v>0.318</v>
      </c>
    </row>
    <row r="8653" spans="1:8" x14ac:dyDescent="0.3">
      <c r="A8653" t="s">
        <v>18176</v>
      </c>
      <c r="B8653" t="s">
        <v>26951</v>
      </c>
      <c r="C8653" t="s">
        <v>21813</v>
      </c>
      <c r="D8653" t="s">
        <v>21812</v>
      </c>
      <c r="E8653" s="2" t="s">
        <v>66</v>
      </c>
      <c r="F8653" t="s">
        <v>21811</v>
      </c>
      <c r="G8653" t="str">
        <f>HYPERLINK("http://www.bzeronews.com/news/articleView.html?idxno=165498")</f>
        <v>http://www.bzeronews.com/news/articleView.html?idxno=165498</v>
      </c>
      <c r="H8653">
        <v>0.52300000000000002</v>
      </c>
    </row>
    <row r="8654" spans="1:8" x14ac:dyDescent="0.3">
      <c r="A8654" t="s">
        <v>18176</v>
      </c>
      <c r="B8654" t="s">
        <v>26951</v>
      </c>
      <c r="C8654" t="s">
        <v>21816</v>
      </c>
      <c r="D8654" t="s">
        <v>21815</v>
      </c>
      <c r="E8654" s="2" t="s">
        <v>66</v>
      </c>
      <c r="F8654" t="s">
        <v>21814</v>
      </c>
      <c r="G8654" t="str">
        <f>HYPERLINK("http://www.gjdream.com/news/articleView.html?idxno=638371")</f>
        <v>http://www.gjdream.com/news/articleView.html?idxno=638371</v>
      </c>
      <c r="H8654">
        <v>0.69499999999999995</v>
      </c>
    </row>
    <row r="8655" spans="1:8" x14ac:dyDescent="0.3">
      <c r="A8655" t="s">
        <v>18176</v>
      </c>
      <c r="B8655" t="s">
        <v>26951</v>
      </c>
      <c r="C8655" t="s">
        <v>21818</v>
      </c>
      <c r="D8655" t="s">
        <v>21817</v>
      </c>
      <c r="E8655" s="2" t="s">
        <v>66</v>
      </c>
      <c r="F8655" t="s">
        <v>18918</v>
      </c>
      <c r="G8655" t="str">
        <f>HYPERLINK("https://www.cctoday.co.kr/news/articleView.html?idxno=2159854")</f>
        <v>https://www.cctoday.co.kr/news/articleView.html?idxno=2159854</v>
      </c>
      <c r="H8655">
        <v>0.30199999999999999</v>
      </c>
    </row>
    <row r="8656" spans="1:8" x14ac:dyDescent="0.3">
      <c r="A8656" t="s">
        <v>18176</v>
      </c>
      <c r="B8656" t="s">
        <v>26951</v>
      </c>
      <c r="C8656" t="s">
        <v>21820</v>
      </c>
      <c r="D8656" t="s">
        <v>21819</v>
      </c>
      <c r="E8656" s="2" t="s">
        <v>66</v>
      </c>
      <c r="F8656" t="s">
        <v>9944</v>
      </c>
      <c r="G8656" t="str">
        <f>HYPERLINK("https://n.news.naver.com/mnews/article/056/0011979441?sid=103")</f>
        <v>https://n.news.naver.com/mnews/article/056/0011979441?sid=103</v>
      </c>
      <c r="H8656">
        <v>0.255</v>
      </c>
    </row>
    <row r="8657" spans="1:8" x14ac:dyDescent="0.3">
      <c r="A8657" t="s">
        <v>18176</v>
      </c>
      <c r="B8657" t="s">
        <v>26951</v>
      </c>
      <c r="C8657" t="s">
        <v>21823</v>
      </c>
      <c r="D8657" t="s">
        <v>21822</v>
      </c>
      <c r="E8657" s="2" t="s">
        <v>66</v>
      </c>
      <c r="F8657" t="s">
        <v>21821</v>
      </c>
      <c r="G8657" t="str">
        <f>HYPERLINK("http://ch.yes24.com/Article/View/36700")</f>
        <v>http://ch.yes24.com/Article/View/36700</v>
      </c>
      <c r="H8657">
        <v>0.79100000000000004</v>
      </c>
    </row>
    <row r="8658" spans="1:8" x14ac:dyDescent="0.3">
      <c r="A8658" t="s">
        <v>18176</v>
      </c>
      <c r="B8658" t="s">
        <v>26951</v>
      </c>
      <c r="C8658" t="s">
        <v>21825</v>
      </c>
      <c r="D8658" t="s">
        <v>21824</v>
      </c>
      <c r="E8658" s="2" t="s">
        <v>66</v>
      </c>
      <c r="F8658" t="s">
        <v>8528</v>
      </c>
      <c r="G8658" t="str">
        <f>HYPERLINK("https://www.asiatoday.co.kr/view.php?key=20250630000908369")</f>
        <v>https://www.asiatoday.co.kr/view.php?key=20250630000908369</v>
      </c>
      <c r="H8658">
        <v>0.109</v>
      </c>
    </row>
    <row r="8659" spans="1:8" x14ac:dyDescent="0.3">
      <c r="A8659" t="s">
        <v>18176</v>
      </c>
      <c r="B8659" t="s">
        <v>26951</v>
      </c>
      <c r="C8659" t="s">
        <v>21828</v>
      </c>
      <c r="D8659" t="s">
        <v>21827</v>
      </c>
      <c r="E8659" s="2" t="s">
        <v>66</v>
      </c>
      <c r="F8659" t="s">
        <v>21826</v>
      </c>
      <c r="G8659" t="str">
        <f>HYPERLINK("http://www.bizwnews.com/news/articleView.html?idxno=87872")</f>
        <v>http://www.bizwnews.com/news/articleView.html?idxno=87872</v>
      </c>
      <c r="H8659">
        <v>0.20300000000000001</v>
      </c>
    </row>
    <row r="8660" spans="1:8" x14ac:dyDescent="0.3">
      <c r="A8660" t="s">
        <v>18176</v>
      </c>
      <c r="B8660" t="s">
        <v>26951</v>
      </c>
      <c r="C8660" t="s">
        <v>21830</v>
      </c>
      <c r="D8660" t="s">
        <v>21829</v>
      </c>
      <c r="E8660" s="2" t="s">
        <v>66</v>
      </c>
      <c r="F8660" t="s">
        <v>4119</v>
      </c>
      <c r="G8660" t="str">
        <f>HYPERLINK("https://www.joongangenews.com/news/articleView.html?idxno=429160")</f>
        <v>https://www.joongangenews.com/news/articleView.html?idxno=429160</v>
      </c>
      <c r="H8660">
        <v>0.52800000000000002</v>
      </c>
    </row>
    <row r="8661" spans="1:8" x14ac:dyDescent="0.3">
      <c r="A8661" t="s">
        <v>18176</v>
      </c>
      <c r="B8661" t="s">
        <v>26951</v>
      </c>
      <c r="C8661" t="s">
        <v>21832</v>
      </c>
      <c r="D8661" t="s">
        <v>21831</v>
      </c>
      <c r="E8661" s="2" t="s">
        <v>66</v>
      </c>
      <c r="F8661" t="s">
        <v>1834</v>
      </c>
      <c r="G8661" t="str">
        <f>HYPERLINK("https://n.news.naver.com/mnews/article/006/0000130677?sid=100")</f>
        <v>https://n.news.naver.com/mnews/article/006/0000130677?sid=100</v>
      </c>
      <c r="H8661">
        <v>0.224</v>
      </c>
    </row>
    <row r="8662" spans="1:8" x14ac:dyDescent="0.3">
      <c r="A8662" t="s">
        <v>18176</v>
      </c>
      <c r="B8662" t="s">
        <v>26951</v>
      </c>
      <c r="C8662" t="s">
        <v>21835</v>
      </c>
      <c r="D8662" t="s">
        <v>21834</v>
      </c>
      <c r="E8662" s="2" t="s">
        <v>66</v>
      </c>
      <c r="F8662" t="s">
        <v>21833</v>
      </c>
      <c r="G8662" t="str">
        <f>HYPERLINK("https://kookbang.dema.mil.kr/newsWeb/20190717/1/ATCE_CTGR_0020050015/view.do")</f>
        <v>https://kookbang.dema.mil.kr/newsWeb/20190717/1/ATCE_CTGR_0020050015/view.do</v>
      </c>
      <c r="H8662">
        <v>0.432</v>
      </c>
    </row>
    <row r="8663" spans="1:8" x14ac:dyDescent="0.3">
      <c r="A8663" t="s">
        <v>18176</v>
      </c>
      <c r="B8663" t="s">
        <v>26951</v>
      </c>
      <c r="C8663" t="s">
        <v>14328</v>
      </c>
      <c r="D8663" t="s">
        <v>14327</v>
      </c>
      <c r="E8663" s="2" t="s">
        <v>66</v>
      </c>
      <c r="F8663" t="s">
        <v>12964</v>
      </c>
      <c r="G8663" t="str">
        <f>HYPERLINK("http://ilyo.co.kr/?ac=article_view&amp;entry_id=285847")</f>
        <v>http://ilyo.co.kr/?ac=article_view&amp;entry_id=285847</v>
      </c>
      <c r="H8663">
        <v>0.30299999999999999</v>
      </c>
    </row>
    <row r="8664" spans="1:8" x14ac:dyDescent="0.3">
      <c r="A8664" t="s">
        <v>18176</v>
      </c>
      <c r="B8664" t="s">
        <v>26951</v>
      </c>
      <c r="C8664" t="s">
        <v>21837</v>
      </c>
      <c r="D8664" t="s">
        <v>21836</v>
      </c>
      <c r="E8664" s="2" t="s">
        <v>66</v>
      </c>
      <c r="F8664" t="s">
        <v>1426</v>
      </c>
      <c r="G8664" t="str">
        <f>HYPERLINK("https://n.news.naver.com/mnews/article/056/0011295632?sid=101")</f>
        <v>https://n.news.naver.com/mnews/article/056/0011295632?sid=101</v>
      </c>
      <c r="H8664">
        <v>0.35</v>
      </c>
    </row>
    <row r="8665" spans="1:8" x14ac:dyDescent="0.3">
      <c r="A8665" t="s">
        <v>18176</v>
      </c>
      <c r="B8665" t="s">
        <v>26951</v>
      </c>
      <c r="C8665" t="s">
        <v>21840</v>
      </c>
      <c r="D8665" t="s">
        <v>21839</v>
      </c>
      <c r="E8665" s="2" t="s">
        <v>66</v>
      </c>
      <c r="F8665" t="s">
        <v>21838</v>
      </c>
      <c r="G8665" t="str">
        <f>HYPERLINK("https://n.news.naver.com/mnews/article/214/0001385850?sid=100")</f>
        <v>https://n.news.naver.com/mnews/article/214/0001385850?sid=100</v>
      </c>
      <c r="H8665">
        <v>0.46899999999999997</v>
      </c>
    </row>
    <row r="8666" spans="1:8" x14ac:dyDescent="0.3">
      <c r="A8666" t="s">
        <v>18176</v>
      </c>
      <c r="B8666" t="s">
        <v>26951</v>
      </c>
      <c r="C8666" t="s">
        <v>21843</v>
      </c>
      <c r="D8666" t="s">
        <v>21842</v>
      </c>
      <c r="E8666" s="2" t="s">
        <v>66</v>
      </c>
      <c r="F8666" t="s">
        <v>21841</v>
      </c>
      <c r="G8666" t="str">
        <f>HYPERLINK("http://www.etoday.co.kr/news/section/newsview.php?idxno=775350")</f>
        <v>http://www.etoday.co.kr/news/section/newsview.php?idxno=775350</v>
      </c>
      <c r="H8666">
        <v>0.19500000000000001</v>
      </c>
    </row>
    <row r="8667" spans="1:8" x14ac:dyDescent="0.3">
      <c r="A8667" t="s">
        <v>18176</v>
      </c>
      <c r="B8667" t="s">
        <v>26951</v>
      </c>
      <c r="C8667" t="s">
        <v>21845</v>
      </c>
      <c r="D8667" t="s">
        <v>21844</v>
      </c>
      <c r="E8667" s="2" t="s">
        <v>66</v>
      </c>
      <c r="F8667" t="s">
        <v>10678</v>
      </c>
      <c r="G8667" t="str">
        <f>HYPERLINK("http://www.metroseoul.co.kr/news/newsview?newscd=2015020400291")</f>
        <v>http://www.metroseoul.co.kr/news/newsview?newscd=2015020400291</v>
      </c>
      <c r="H8667">
        <v>3.9E-2</v>
      </c>
    </row>
    <row r="8668" spans="1:8" x14ac:dyDescent="0.3">
      <c r="A8668" t="s">
        <v>18176</v>
      </c>
      <c r="B8668" t="s">
        <v>26951</v>
      </c>
      <c r="C8668" t="s">
        <v>21847</v>
      </c>
      <c r="D8668" t="s">
        <v>21846</v>
      </c>
      <c r="E8668" s="2" t="s">
        <v>66</v>
      </c>
      <c r="F8668" t="s">
        <v>2171</v>
      </c>
      <c r="G8668" t="str">
        <f>HYPERLINK("https://www.fashionbiz.co.kr/article/213246")</f>
        <v>https://www.fashionbiz.co.kr/article/213246</v>
      </c>
      <c r="H8668">
        <v>0.44900000000000001</v>
      </c>
    </row>
    <row r="8669" spans="1:8" x14ac:dyDescent="0.3">
      <c r="A8669" t="s">
        <v>18176</v>
      </c>
      <c r="B8669" t="s">
        <v>26951</v>
      </c>
      <c r="C8669" t="s">
        <v>21850</v>
      </c>
      <c r="D8669" t="s">
        <v>21849</v>
      </c>
      <c r="E8669" s="2" t="s">
        <v>66</v>
      </c>
      <c r="F8669" t="s">
        <v>21848</v>
      </c>
      <c r="G8669" t="str">
        <f>HYPERLINK("https://n.news.naver.com/mnews/article/032/0003026327?sid=103")</f>
        <v>https://n.news.naver.com/mnews/article/032/0003026327?sid=103</v>
      </c>
      <c r="H8669">
        <v>0.18099999999999999</v>
      </c>
    </row>
    <row r="8670" spans="1:8" x14ac:dyDescent="0.3">
      <c r="A8670" t="s">
        <v>18176</v>
      </c>
      <c r="B8670" t="s">
        <v>26951</v>
      </c>
      <c r="C8670" t="s">
        <v>21853</v>
      </c>
      <c r="D8670" t="s">
        <v>21852</v>
      </c>
      <c r="E8670" s="2" t="s">
        <v>66</v>
      </c>
      <c r="F8670" t="s">
        <v>21851</v>
      </c>
      <c r="G8670" t="str">
        <f>HYPERLINK("https://www.ltn.kr/news/articleView.html?idxno=48891")</f>
        <v>https://www.ltn.kr/news/articleView.html?idxno=48891</v>
      </c>
      <c r="H8670">
        <v>0.63300000000000001</v>
      </c>
    </row>
    <row r="8671" spans="1:8" x14ac:dyDescent="0.3">
      <c r="A8671" t="s">
        <v>18176</v>
      </c>
      <c r="B8671" t="s">
        <v>26951</v>
      </c>
      <c r="C8671" t="s">
        <v>21856</v>
      </c>
      <c r="D8671" t="s">
        <v>21855</v>
      </c>
      <c r="E8671" s="2" t="s">
        <v>66</v>
      </c>
      <c r="F8671" t="s">
        <v>21854</v>
      </c>
      <c r="G8671" t="str">
        <f>HYPERLINK("https://www.incheonilbo.com/news/articleView.html?idxno=1206246")</f>
        <v>https://www.incheonilbo.com/news/articleView.html?idxno=1206246</v>
      </c>
      <c r="H8671">
        <v>0.318</v>
      </c>
    </row>
    <row r="8672" spans="1:8" x14ac:dyDescent="0.3">
      <c r="A8672" t="s">
        <v>18176</v>
      </c>
      <c r="B8672" t="s">
        <v>26951</v>
      </c>
      <c r="C8672" t="s">
        <v>21858</v>
      </c>
      <c r="D8672" t="s">
        <v>21857</v>
      </c>
      <c r="E8672" s="2" t="s">
        <v>66</v>
      </c>
      <c r="F8672" t="s">
        <v>16814</v>
      </c>
      <c r="G8672" t="str">
        <f>HYPERLINK("https://n.news.naver.com/mnews/article/016/0002490222?sid=104")</f>
        <v>https://n.news.naver.com/mnews/article/016/0002490222?sid=104</v>
      </c>
      <c r="H8672">
        <v>0.159</v>
      </c>
    </row>
    <row r="8673" spans="1:8" x14ac:dyDescent="0.3">
      <c r="A8673" t="s">
        <v>18176</v>
      </c>
      <c r="B8673" t="s">
        <v>26951</v>
      </c>
      <c r="C8673" t="s">
        <v>21861</v>
      </c>
      <c r="D8673" t="s">
        <v>21860</v>
      </c>
      <c r="E8673" s="2" t="s">
        <v>66</v>
      </c>
      <c r="F8673" t="s">
        <v>21859</v>
      </c>
      <c r="G8673" t="str">
        <f>HYPERLINK("http://www.veritas-a.com/news/articleView.html?idxno=88796")</f>
        <v>http://www.veritas-a.com/news/articleView.html?idxno=88796</v>
      </c>
      <c r="H8673">
        <v>0.29299999999999998</v>
      </c>
    </row>
    <row r="8674" spans="1:8" x14ac:dyDescent="0.3">
      <c r="A8674" t="s">
        <v>18176</v>
      </c>
      <c r="B8674" t="s">
        <v>26951</v>
      </c>
      <c r="C8674" t="s">
        <v>21864</v>
      </c>
      <c r="D8674" t="s">
        <v>21863</v>
      </c>
      <c r="E8674" s="2" t="s">
        <v>66</v>
      </c>
      <c r="F8674" t="s">
        <v>21862</v>
      </c>
      <c r="G8674" t="str">
        <f>HYPERLINK("https://www.the-pr.co.kr/news/articleView.html?idxno=53665")</f>
        <v>https://www.the-pr.co.kr/news/articleView.html?idxno=53665</v>
      </c>
      <c r="H8674">
        <v>0.40899999999999997</v>
      </c>
    </row>
    <row r="8675" spans="1:8" x14ac:dyDescent="0.3">
      <c r="A8675" t="s">
        <v>18176</v>
      </c>
      <c r="B8675" t="s">
        <v>26951</v>
      </c>
      <c r="C8675" t="s">
        <v>21867</v>
      </c>
      <c r="D8675" t="s">
        <v>21866</v>
      </c>
      <c r="E8675" s="2" t="s">
        <v>66</v>
      </c>
      <c r="F8675" t="s">
        <v>21865</v>
      </c>
      <c r="G8675" t="str">
        <f>HYPERLINK("http://www.bzeronews.com/news/articleView.html?idxno=716687")</f>
        <v>http://www.bzeronews.com/news/articleView.html?idxno=716687</v>
      </c>
      <c r="H8675">
        <v>0.99399999999999999</v>
      </c>
    </row>
    <row r="8676" spans="1:8" x14ac:dyDescent="0.3">
      <c r="A8676" t="s">
        <v>18176</v>
      </c>
      <c r="B8676" t="s">
        <v>26951</v>
      </c>
      <c r="C8676" t="s">
        <v>21869</v>
      </c>
      <c r="D8676" t="s">
        <v>21868</v>
      </c>
      <c r="E8676" s="2" t="s">
        <v>66</v>
      </c>
      <c r="F8676" t="s">
        <v>10317</v>
      </c>
      <c r="G8676" t="str">
        <f>HYPERLINK("https://n.news.naver.com/mnews/article/079/0004028987?sid=100")</f>
        <v>https://n.news.naver.com/mnews/article/079/0004028987?sid=100</v>
      </c>
      <c r="H8676">
        <v>0.26</v>
      </c>
    </row>
    <row r="8677" spans="1:8" x14ac:dyDescent="0.3">
      <c r="A8677" t="s">
        <v>18176</v>
      </c>
      <c r="B8677" t="s">
        <v>26951</v>
      </c>
      <c r="C8677" t="s">
        <v>21872</v>
      </c>
      <c r="D8677" t="s">
        <v>21871</v>
      </c>
      <c r="E8677" s="2" t="s">
        <v>66</v>
      </c>
      <c r="F8677" t="s">
        <v>21870</v>
      </c>
      <c r="G8677" t="str">
        <f>HYPERLINK("https://n.news.naver.com/mnews/article/214/0001433319?sid=102")</f>
        <v>https://n.news.naver.com/mnews/article/214/0001433319?sid=102</v>
      </c>
      <c r="H8677">
        <v>0.157</v>
      </c>
    </row>
    <row r="8678" spans="1:8" x14ac:dyDescent="0.3">
      <c r="A8678" t="s">
        <v>18176</v>
      </c>
      <c r="B8678" t="s">
        <v>26951</v>
      </c>
      <c r="C8678" t="s">
        <v>21874</v>
      </c>
      <c r="D8678" t="s">
        <v>21873</v>
      </c>
      <c r="E8678" s="2" t="s">
        <v>66</v>
      </c>
      <c r="F8678" t="s">
        <v>817</v>
      </c>
      <c r="G8678" t="str">
        <f>HYPERLINK("https://n.news.naver.com/mnews/article/052/0000525217?sid=103")</f>
        <v>https://n.news.naver.com/mnews/article/052/0000525217?sid=103</v>
      </c>
      <c r="H8678">
        <v>0.27700000000000002</v>
      </c>
    </row>
    <row r="8679" spans="1:8" x14ac:dyDescent="0.3">
      <c r="A8679" t="s">
        <v>18176</v>
      </c>
      <c r="B8679" t="s">
        <v>26951</v>
      </c>
      <c r="C8679" t="s">
        <v>21877</v>
      </c>
      <c r="D8679" t="s">
        <v>21876</v>
      </c>
      <c r="E8679" s="2" t="s">
        <v>66</v>
      </c>
      <c r="F8679" t="s">
        <v>21875</v>
      </c>
      <c r="G8679" t="str">
        <f>HYPERLINK("http://www.ggilbo.com/news/articleView.html?idxno=783730")</f>
        <v>http://www.ggilbo.com/news/articleView.html?idxno=783730</v>
      </c>
      <c r="H8679">
        <v>0.69599999999999995</v>
      </c>
    </row>
    <row r="8680" spans="1:8" x14ac:dyDescent="0.3">
      <c r="A8680" t="s">
        <v>18176</v>
      </c>
      <c r="B8680" t="s">
        <v>26951</v>
      </c>
      <c r="C8680" t="s">
        <v>21879</v>
      </c>
      <c r="D8680" t="s">
        <v>21878</v>
      </c>
      <c r="E8680" s="2" t="s">
        <v>66</v>
      </c>
      <c r="F8680" t="s">
        <v>4476</v>
      </c>
      <c r="G8680" t="str">
        <f>HYPERLINK("http://www.topdaily.kr/news/articleView.html?idxno=77795")</f>
        <v>http://www.topdaily.kr/news/articleView.html?idxno=77795</v>
      </c>
      <c r="H8680">
        <v>0.441</v>
      </c>
    </row>
    <row r="8681" spans="1:8" x14ac:dyDescent="0.3">
      <c r="A8681" t="s">
        <v>18176</v>
      </c>
      <c r="B8681" t="s">
        <v>26951</v>
      </c>
      <c r="C8681" t="s">
        <v>21882</v>
      </c>
      <c r="D8681" t="s">
        <v>21881</v>
      </c>
      <c r="E8681" s="2" t="s">
        <v>66</v>
      </c>
      <c r="F8681" t="s">
        <v>21880</v>
      </c>
      <c r="G8681" t="str">
        <f>HYPERLINK("http://www.updownnews.co.kr/news/articleView.html?idxno=313134")</f>
        <v>http://www.updownnews.co.kr/news/articleView.html?idxno=313134</v>
      </c>
      <c r="H8681">
        <v>0.20100000000000001</v>
      </c>
    </row>
    <row r="8682" spans="1:8" x14ac:dyDescent="0.3">
      <c r="A8682" t="s">
        <v>18176</v>
      </c>
      <c r="B8682" t="s">
        <v>26951</v>
      </c>
      <c r="C8682" t="s">
        <v>21885</v>
      </c>
      <c r="D8682" t="s">
        <v>21884</v>
      </c>
      <c r="E8682" s="2" t="s">
        <v>66</v>
      </c>
      <c r="F8682" t="s">
        <v>21883</v>
      </c>
      <c r="G8682" t="str">
        <f>HYPERLINK("https://n.news.naver.com/mnews/article/079/0000140026?sid=102")</f>
        <v>https://n.news.naver.com/mnews/article/079/0000140026?sid=102</v>
      </c>
      <c r="H8682">
        <v>0.32300000000000001</v>
      </c>
    </row>
    <row r="8683" spans="1:8" x14ac:dyDescent="0.3">
      <c r="A8683" t="s">
        <v>18176</v>
      </c>
      <c r="B8683" t="s">
        <v>26951</v>
      </c>
      <c r="C8683" t="s">
        <v>21888</v>
      </c>
      <c r="D8683" t="s">
        <v>21887</v>
      </c>
      <c r="E8683" s="2" t="s">
        <v>66</v>
      </c>
      <c r="F8683" t="s">
        <v>21886</v>
      </c>
      <c r="G8683" t="str">
        <f>HYPERLINK("https://www.lecturernews.com/news/articleView.html?idxno=180853")</f>
        <v>https://www.lecturernews.com/news/articleView.html?idxno=180853</v>
      </c>
      <c r="H8683">
        <v>0.51300000000000001</v>
      </c>
    </row>
    <row r="8684" spans="1:8" x14ac:dyDescent="0.3">
      <c r="A8684" t="s">
        <v>18176</v>
      </c>
      <c r="B8684" t="s">
        <v>26951</v>
      </c>
      <c r="C8684" t="s">
        <v>21890</v>
      </c>
      <c r="D8684" t="s">
        <v>21889</v>
      </c>
      <c r="E8684" s="2" t="s">
        <v>74</v>
      </c>
      <c r="F8684" t="s">
        <v>20943</v>
      </c>
      <c r="G8684" t="str">
        <f>HYPERLINK("http://www.enewstoday.co.kr/news/articleView.html?idxno=1659818")</f>
        <v>http://www.enewstoday.co.kr/news/articleView.html?idxno=1659818</v>
      </c>
      <c r="H8684">
        <v>0.52200000000000002</v>
      </c>
    </row>
    <row r="8685" spans="1:8" x14ac:dyDescent="0.3">
      <c r="A8685" t="s">
        <v>18176</v>
      </c>
      <c r="B8685" t="s">
        <v>26951</v>
      </c>
      <c r="C8685" t="s">
        <v>21893</v>
      </c>
      <c r="D8685" t="s">
        <v>21892</v>
      </c>
      <c r="E8685" s="2" t="s">
        <v>74</v>
      </c>
      <c r="F8685" t="s">
        <v>21891</v>
      </c>
      <c r="G8685" t="str">
        <f>HYPERLINK("https://www.yeongnam.com/web/view.php?key=20250630028339626")</f>
        <v>https://www.yeongnam.com/web/view.php?key=20250630028339626</v>
      </c>
      <c r="H8685">
        <v>0.377</v>
      </c>
    </row>
    <row r="8686" spans="1:8" x14ac:dyDescent="0.3">
      <c r="A8686" t="s">
        <v>18176</v>
      </c>
      <c r="B8686" t="s">
        <v>26951</v>
      </c>
      <c r="C8686" t="s">
        <v>21896</v>
      </c>
      <c r="D8686" t="s">
        <v>21895</v>
      </c>
      <c r="E8686" s="2" t="s">
        <v>74</v>
      </c>
      <c r="F8686" t="s">
        <v>21894</v>
      </c>
      <c r="G8686" t="str">
        <f>HYPERLINK("https://news.bbsi.co.kr/news/articleView.html?idxno=4029959")</f>
        <v>https://news.bbsi.co.kr/news/articleView.html?idxno=4029959</v>
      </c>
      <c r="H8686">
        <v>0.46500000000000002</v>
      </c>
    </row>
    <row r="8687" spans="1:8" x14ac:dyDescent="0.3">
      <c r="A8687" t="s">
        <v>18176</v>
      </c>
      <c r="B8687" t="s">
        <v>26951</v>
      </c>
      <c r="C8687" t="s">
        <v>21899</v>
      </c>
      <c r="D8687" t="s">
        <v>21898</v>
      </c>
      <c r="E8687" s="2" t="s">
        <v>74</v>
      </c>
      <c r="F8687" t="s">
        <v>21897</v>
      </c>
      <c r="G8687" t="str">
        <f>HYPERLINK("https://www.pdjournal.com/news/articleView.html?idxno=80551")</f>
        <v>https://www.pdjournal.com/news/articleView.html?idxno=80551</v>
      </c>
      <c r="H8687">
        <v>0.245</v>
      </c>
    </row>
    <row r="8688" spans="1:8" x14ac:dyDescent="0.3">
      <c r="A8688" t="s">
        <v>18176</v>
      </c>
      <c r="B8688" t="s">
        <v>26951</v>
      </c>
      <c r="C8688" t="s">
        <v>14420</v>
      </c>
      <c r="D8688" t="s">
        <v>14419</v>
      </c>
      <c r="E8688" s="2" t="s">
        <v>74</v>
      </c>
      <c r="F8688" t="s">
        <v>14418</v>
      </c>
      <c r="G8688" t="str">
        <f>HYPERLINK("https://n.news.naver.com/mnews/article/016/0002468510?sid=103")</f>
        <v>https://n.news.naver.com/mnews/article/016/0002468510?sid=103</v>
      </c>
      <c r="H8688">
        <v>0.28000000000000003</v>
      </c>
    </row>
    <row r="8689" spans="1:8" x14ac:dyDescent="0.3">
      <c r="A8689" t="s">
        <v>18176</v>
      </c>
      <c r="B8689" t="s">
        <v>26951</v>
      </c>
      <c r="C8689" t="s">
        <v>21902</v>
      </c>
      <c r="D8689" t="s">
        <v>21901</v>
      </c>
      <c r="E8689" s="2" t="s">
        <v>74</v>
      </c>
      <c r="F8689" t="s">
        <v>21900</v>
      </c>
      <c r="G8689" t="str">
        <f>HYPERLINK("http://www.biztribune.co.kr/news/articleView.html?idxno=331894")</f>
        <v>http://www.biztribune.co.kr/news/articleView.html?idxno=331894</v>
      </c>
      <c r="H8689">
        <v>0.32</v>
      </c>
    </row>
    <row r="8690" spans="1:8" x14ac:dyDescent="0.3">
      <c r="A8690" t="s">
        <v>18176</v>
      </c>
      <c r="B8690" t="s">
        <v>26951</v>
      </c>
      <c r="C8690" t="s">
        <v>21905</v>
      </c>
      <c r="D8690" t="s">
        <v>21904</v>
      </c>
      <c r="E8690" s="2" t="s">
        <v>74</v>
      </c>
      <c r="F8690" t="s">
        <v>21903</v>
      </c>
      <c r="G8690" t="str">
        <f>HYPERLINK("https://n.news.naver.com/mnews/article/014/0005370944?sid=102")</f>
        <v>https://n.news.naver.com/mnews/article/014/0005370944?sid=102</v>
      </c>
      <c r="H8690">
        <v>0.2</v>
      </c>
    </row>
    <row r="8691" spans="1:8" x14ac:dyDescent="0.3">
      <c r="A8691" t="s">
        <v>18176</v>
      </c>
      <c r="B8691" t="s">
        <v>26951</v>
      </c>
      <c r="C8691" t="s">
        <v>21907</v>
      </c>
      <c r="D8691" t="s">
        <v>21906</v>
      </c>
      <c r="E8691" s="2" t="s">
        <v>74</v>
      </c>
      <c r="F8691" t="s">
        <v>1094</v>
      </c>
      <c r="G8691" t="str">
        <f>HYPERLINK("https://sports.hankooki.com/news/articleView.html?idxno=6902296")</f>
        <v>https://sports.hankooki.com/news/articleView.html?idxno=6902296</v>
      </c>
      <c r="H8691">
        <v>0.40799999999999997</v>
      </c>
    </row>
    <row r="8692" spans="1:8" x14ac:dyDescent="0.3">
      <c r="A8692" t="s">
        <v>18176</v>
      </c>
      <c r="B8692" t="s">
        <v>26951</v>
      </c>
      <c r="C8692" t="s">
        <v>21909</v>
      </c>
      <c r="D8692" t="s">
        <v>21908</v>
      </c>
      <c r="E8692" s="2" t="s">
        <v>74</v>
      </c>
      <c r="F8692" t="s">
        <v>9944</v>
      </c>
      <c r="G8692" t="str">
        <f>HYPERLINK("https://www.ngonews.kr/news/articleView.html?idxno=205095")</f>
        <v>https://www.ngonews.kr/news/articleView.html?idxno=205095</v>
      </c>
      <c r="H8692">
        <v>0.34499999999999997</v>
      </c>
    </row>
    <row r="8693" spans="1:8" x14ac:dyDescent="0.3">
      <c r="A8693" t="s">
        <v>18176</v>
      </c>
      <c r="B8693" t="s">
        <v>26951</v>
      </c>
      <c r="C8693" t="s">
        <v>21912</v>
      </c>
      <c r="D8693" t="s">
        <v>21911</v>
      </c>
      <c r="E8693" s="2" t="s">
        <v>74</v>
      </c>
      <c r="F8693" t="s">
        <v>21910</v>
      </c>
      <c r="G8693" t="str">
        <f>HYPERLINK("https://n.news.naver.com/mnews/article/214/0001368743?sid=100")</f>
        <v>https://n.news.naver.com/mnews/article/214/0001368743?sid=100</v>
      </c>
      <c r="H8693">
        <v>0.223</v>
      </c>
    </row>
    <row r="8694" spans="1:8" x14ac:dyDescent="0.3">
      <c r="A8694" t="s">
        <v>18176</v>
      </c>
      <c r="B8694" t="s">
        <v>26951</v>
      </c>
      <c r="C8694" t="s">
        <v>21915</v>
      </c>
      <c r="D8694" t="s">
        <v>21914</v>
      </c>
      <c r="E8694" s="2" t="s">
        <v>74</v>
      </c>
      <c r="F8694" t="s">
        <v>21913</v>
      </c>
      <c r="G8694" t="str">
        <f>HYPERLINK("http://jmagazine.joins.com/forbes/view/339291")</f>
        <v>http://jmagazine.joins.com/forbes/view/339291</v>
      </c>
      <c r="H8694">
        <v>0.38700000000000001</v>
      </c>
    </row>
    <row r="8695" spans="1:8" x14ac:dyDescent="0.3">
      <c r="A8695" t="s">
        <v>18176</v>
      </c>
      <c r="B8695" t="s">
        <v>26951</v>
      </c>
      <c r="C8695" t="s">
        <v>21918</v>
      </c>
      <c r="D8695" t="s">
        <v>21917</v>
      </c>
      <c r="E8695" s="2" t="s">
        <v>74</v>
      </c>
      <c r="F8695" t="s">
        <v>21916</v>
      </c>
      <c r="G8695" t="str">
        <f>HYPERLINK("https://www.greened.kr/news/articleView.html?idxno=325371")</f>
        <v>https://www.greened.kr/news/articleView.html?idxno=325371</v>
      </c>
      <c r="H8695">
        <v>0.38200000000000001</v>
      </c>
    </row>
    <row r="8696" spans="1:8" x14ac:dyDescent="0.3">
      <c r="A8696" t="s">
        <v>18176</v>
      </c>
      <c r="B8696" t="s">
        <v>26951</v>
      </c>
      <c r="C8696" t="s">
        <v>21920</v>
      </c>
      <c r="D8696" t="s">
        <v>21919</v>
      </c>
      <c r="E8696" s="2" t="s">
        <v>74</v>
      </c>
      <c r="F8696" t="s">
        <v>19347</v>
      </c>
      <c r="G8696" t="str">
        <f>HYPERLINK("http://www.newsmp.com/news/articleView.html?idxno=240737")</f>
        <v>http://www.newsmp.com/news/articleView.html?idxno=240737</v>
      </c>
      <c r="H8696">
        <v>0.48099999999999998</v>
      </c>
    </row>
    <row r="8697" spans="1:8" x14ac:dyDescent="0.3">
      <c r="A8697" t="s">
        <v>18176</v>
      </c>
      <c r="B8697" t="s">
        <v>26951</v>
      </c>
      <c r="C8697" t="s">
        <v>21922</v>
      </c>
      <c r="D8697" t="s">
        <v>21921</v>
      </c>
      <c r="E8697" s="2" t="s">
        <v>74</v>
      </c>
      <c r="F8697" t="s">
        <v>10471</v>
      </c>
      <c r="G8697" t="str">
        <f>HYPERLINK("https://www.newscj.com/news/articleView.html?idxno=3287218")</f>
        <v>https://www.newscj.com/news/articleView.html?idxno=3287218</v>
      </c>
      <c r="H8697">
        <v>0.61399999999999999</v>
      </c>
    </row>
    <row r="8698" spans="1:8" x14ac:dyDescent="0.3">
      <c r="A8698" t="s">
        <v>18176</v>
      </c>
      <c r="B8698" t="s">
        <v>26951</v>
      </c>
      <c r="C8698" t="s">
        <v>21925</v>
      </c>
      <c r="D8698" t="s">
        <v>21924</v>
      </c>
      <c r="E8698" s="2" t="s">
        <v>74</v>
      </c>
      <c r="F8698" t="s">
        <v>21923</v>
      </c>
      <c r="G8698" t="str">
        <f>HYPERLINK("https://n.news.naver.com/mnews/article/087/0001125747?sid=102")</f>
        <v>https://n.news.naver.com/mnews/article/087/0001125747?sid=102</v>
      </c>
      <c r="H8698">
        <v>0.38100000000000001</v>
      </c>
    </row>
    <row r="8699" spans="1:8" x14ac:dyDescent="0.3">
      <c r="A8699" t="s">
        <v>18176</v>
      </c>
      <c r="B8699" t="s">
        <v>26951</v>
      </c>
      <c r="C8699" t="s">
        <v>21927</v>
      </c>
      <c r="D8699" t="s">
        <v>21926</v>
      </c>
      <c r="E8699" s="2" t="s">
        <v>74</v>
      </c>
      <c r="F8699" t="s">
        <v>10471</v>
      </c>
      <c r="G8699" t="str">
        <f>HYPERLINK("http://www.enewstoday.co.kr/news/articleView.html?idxno=2278099")</f>
        <v>http://www.enewstoday.co.kr/news/articleView.html?idxno=2278099</v>
      </c>
      <c r="H8699">
        <v>0.36399999999999999</v>
      </c>
    </row>
    <row r="8700" spans="1:8" x14ac:dyDescent="0.3">
      <c r="A8700" t="s">
        <v>18176</v>
      </c>
      <c r="B8700" t="s">
        <v>26951</v>
      </c>
      <c r="C8700" t="s">
        <v>21929</v>
      </c>
      <c r="D8700" t="s">
        <v>21928</v>
      </c>
      <c r="E8700" s="2" t="s">
        <v>74</v>
      </c>
      <c r="F8700" t="s">
        <v>16642</v>
      </c>
      <c r="G8700" t="str">
        <f>HYPERLINK("https://www.danbinews.com/news/articleView.html?idxno=31012")</f>
        <v>https://www.danbinews.com/news/articleView.html?idxno=31012</v>
      </c>
      <c r="H8700">
        <v>0.25600000000000001</v>
      </c>
    </row>
    <row r="8701" spans="1:8" x14ac:dyDescent="0.3">
      <c r="A8701" t="s">
        <v>18176</v>
      </c>
      <c r="B8701" t="s">
        <v>26951</v>
      </c>
      <c r="C8701" t="s">
        <v>21931</v>
      </c>
      <c r="D8701" t="s">
        <v>21930</v>
      </c>
      <c r="E8701" s="2" t="s">
        <v>74</v>
      </c>
      <c r="F8701" t="s">
        <v>8165</v>
      </c>
      <c r="G8701" t="str">
        <f>HYPERLINK("https://www.dailysportshankook.co.kr/news/articleView.html?idxno=408623")</f>
        <v>https://www.dailysportshankook.co.kr/news/articleView.html?idxno=408623</v>
      </c>
      <c r="H8701">
        <v>0.64500000000000002</v>
      </c>
    </row>
    <row r="8702" spans="1:8" x14ac:dyDescent="0.3">
      <c r="A8702" t="s">
        <v>18176</v>
      </c>
      <c r="B8702" t="s">
        <v>26951</v>
      </c>
      <c r="C8702" t="s">
        <v>21933</v>
      </c>
      <c r="D8702" t="s">
        <v>21932</v>
      </c>
      <c r="E8702" s="2" t="s">
        <v>74</v>
      </c>
      <c r="F8702" t="s">
        <v>18468</v>
      </c>
      <c r="G8702" t="str">
        <f>HYPERLINK("https://sports.hankooki.com/news/articleView.html?idxno=6902296")</f>
        <v>https://sports.hankooki.com/news/articleView.html?idxno=6902296</v>
      </c>
      <c r="H8702">
        <v>0.28100000000000003</v>
      </c>
    </row>
    <row r="8703" spans="1:8" x14ac:dyDescent="0.3">
      <c r="A8703" t="s">
        <v>18176</v>
      </c>
      <c r="B8703" t="s">
        <v>26951</v>
      </c>
      <c r="C8703" t="s">
        <v>21935</v>
      </c>
      <c r="D8703" t="s">
        <v>21934</v>
      </c>
      <c r="E8703" s="2" t="s">
        <v>74</v>
      </c>
      <c r="F8703" t="s">
        <v>12641</v>
      </c>
      <c r="G8703" t="str">
        <f>HYPERLINK("https://www.lecturernews.com/news/articleView.html?idxno=181371")</f>
        <v>https://www.lecturernews.com/news/articleView.html?idxno=181371</v>
      </c>
      <c r="H8703">
        <v>0.71199999999999997</v>
      </c>
    </row>
    <row r="8704" spans="1:8" x14ac:dyDescent="0.3">
      <c r="A8704" t="s">
        <v>18176</v>
      </c>
      <c r="B8704" t="s">
        <v>26951</v>
      </c>
      <c r="C8704" t="s">
        <v>21937</v>
      </c>
      <c r="D8704" t="s">
        <v>21936</v>
      </c>
      <c r="E8704" s="2" t="s">
        <v>74</v>
      </c>
      <c r="F8704" t="s">
        <v>12458</v>
      </c>
      <c r="G8704" t="str">
        <f>HYPERLINK("https://www.nc.press/news/articleView.html?idxno=568745")</f>
        <v>https://www.nc.press/news/articleView.html?idxno=568745</v>
      </c>
      <c r="H8704">
        <v>0.73799999999999999</v>
      </c>
    </row>
    <row r="8705" spans="1:8" x14ac:dyDescent="0.3">
      <c r="A8705" t="s">
        <v>18176</v>
      </c>
      <c r="B8705" t="s">
        <v>26951</v>
      </c>
      <c r="C8705" t="s">
        <v>21940</v>
      </c>
      <c r="D8705" t="s">
        <v>21939</v>
      </c>
      <c r="E8705" s="2" t="s">
        <v>74</v>
      </c>
      <c r="F8705" t="s">
        <v>21938</v>
      </c>
      <c r="G8705" t="str">
        <f>HYPERLINK("https://n.news.naver.com/mnews/article/002/0002094844?sid=110")</f>
        <v>https://n.news.naver.com/mnews/article/002/0002094844?sid=110</v>
      </c>
      <c r="H8705">
        <v>0.14699999999999999</v>
      </c>
    </row>
    <row r="8706" spans="1:8" x14ac:dyDescent="0.3">
      <c r="A8706" t="s">
        <v>18176</v>
      </c>
      <c r="B8706" t="s">
        <v>26951</v>
      </c>
      <c r="C8706" t="s">
        <v>21943</v>
      </c>
      <c r="D8706" t="s">
        <v>21942</v>
      </c>
      <c r="E8706" s="2" t="s">
        <v>74</v>
      </c>
      <c r="F8706" t="s">
        <v>21941</v>
      </c>
      <c r="G8706" t="str">
        <f>HYPERLINK("https://www.yeongnam.com/web/view.php?key=20250630028339626")</f>
        <v>https://www.yeongnam.com/web/view.php?key=20250630028339626</v>
      </c>
      <c r="H8706">
        <v>0.27</v>
      </c>
    </row>
    <row r="8707" spans="1:8" x14ac:dyDescent="0.3">
      <c r="A8707" t="s">
        <v>18176</v>
      </c>
      <c r="B8707" t="s">
        <v>26951</v>
      </c>
      <c r="C8707" t="s">
        <v>21945</v>
      </c>
      <c r="D8707" t="s">
        <v>21944</v>
      </c>
      <c r="E8707" s="2" t="s">
        <v>74</v>
      </c>
      <c r="F8707" t="s">
        <v>9152</v>
      </c>
      <c r="G8707" t="str">
        <f>HYPERLINK("http://www.sisaon.co.kr/news/articleView.html?idxno=172122")</f>
        <v>http://www.sisaon.co.kr/news/articleView.html?idxno=172122</v>
      </c>
      <c r="H8707">
        <v>0.41699999999999998</v>
      </c>
    </row>
    <row r="8708" spans="1:8" x14ac:dyDescent="0.3">
      <c r="A8708" t="s">
        <v>18176</v>
      </c>
      <c r="B8708" t="s">
        <v>26951</v>
      </c>
      <c r="C8708" t="s">
        <v>21948</v>
      </c>
      <c r="D8708" t="s">
        <v>21947</v>
      </c>
      <c r="E8708" s="2" t="s">
        <v>74</v>
      </c>
      <c r="F8708" t="s">
        <v>21946</v>
      </c>
      <c r="G8708" t="str">
        <f>HYPERLINK("https://www.allurekorea.com/2023/12/10/slow-down-tai-chi/?utm_source=naver&amp;utm_medium=partnership")</f>
        <v>https://www.allurekorea.com/2023/12/10/slow-down-tai-chi/?utm_source=naver&amp;utm_medium=partnership</v>
      </c>
      <c r="H8708">
        <v>0.28299999999999997</v>
      </c>
    </row>
    <row r="8709" spans="1:8" x14ac:dyDescent="0.3">
      <c r="A8709" t="s">
        <v>18176</v>
      </c>
      <c r="B8709" t="s">
        <v>26951</v>
      </c>
      <c r="C8709" t="s">
        <v>21951</v>
      </c>
      <c r="D8709" t="s">
        <v>21950</v>
      </c>
      <c r="E8709" s="2" t="s">
        <v>74</v>
      </c>
      <c r="F8709" t="s">
        <v>21949</v>
      </c>
      <c r="G8709" t="str">
        <f>HYPERLINK("https://n.news.naver.com/mnews/article/087/0001125747?sid=102")</f>
        <v>https://n.news.naver.com/mnews/article/087/0001125747?sid=102</v>
      </c>
      <c r="H8709">
        <v>0.30299999999999999</v>
      </c>
    </row>
    <row r="8710" spans="1:8" x14ac:dyDescent="0.3">
      <c r="A8710" t="s">
        <v>18176</v>
      </c>
      <c r="B8710" t="s">
        <v>26951</v>
      </c>
      <c r="C8710" t="s">
        <v>21953</v>
      </c>
      <c r="D8710" t="s">
        <v>21952</v>
      </c>
      <c r="E8710" s="2" t="s">
        <v>74</v>
      </c>
      <c r="F8710" t="s">
        <v>1795</v>
      </c>
      <c r="G8710" t="str">
        <f>HYPERLINK("https://www.jemin.com/news/articleView.html?idxno=819342")</f>
        <v>https://www.jemin.com/news/articleView.html?idxno=819342</v>
      </c>
      <c r="H8710">
        <v>0.57299999999999995</v>
      </c>
    </row>
    <row r="8711" spans="1:8" x14ac:dyDescent="0.3">
      <c r="A8711" t="s">
        <v>18176</v>
      </c>
      <c r="B8711" t="s">
        <v>26951</v>
      </c>
      <c r="C8711" t="s">
        <v>21955</v>
      </c>
      <c r="D8711" t="s">
        <v>21954</v>
      </c>
      <c r="E8711" s="2" t="s">
        <v>74</v>
      </c>
      <c r="F8711" t="s">
        <v>12082</v>
      </c>
      <c r="G8711" t="str">
        <f>HYPERLINK("http://www.pdjournal.com/news/articleView.html?idxno=19760")</f>
        <v>http://www.pdjournal.com/news/articleView.html?idxno=19760</v>
      </c>
      <c r="H8711">
        <v>0.60199999999999998</v>
      </c>
    </row>
    <row r="8712" spans="1:8" x14ac:dyDescent="0.3">
      <c r="A8712" t="s">
        <v>18176</v>
      </c>
      <c r="B8712" t="s">
        <v>26951</v>
      </c>
      <c r="C8712" t="s">
        <v>21957</v>
      </c>
      <c r="D8712" t="s">
        <v>21956</v>
      </c>
      <c r="E8712" s="2" t="s">
        <v>74</v>
      </c>
      <c r="F8712" t="s">
        <v>1318</v>
      </c>
      <c r="G8712" t="str">
        <f>HYPERLINK("https://www.jemin.com/news/articleView.html?idxno=819407")</f>
        <v>https://www.jemin.com/news/articleView.html?idxno=819407</v>
      </c>
      <c r="H8712">
        <v>0.60899999999999999</v>
      </c>
    </row>
    <row r="8713" spans="1:8" x14ac:dyDescent="0.3">
      <c r="A8713" t="s">
        <v>18176</v>
      </c>
      <c r="B8713" t="s">
        <v>26951</v>
      </c>
      <c r="C8713" t="s">
        <v>21960</v>
      </c>
      <c r="D8713" t="s">
        <v>21959</v>
      </c>
      <c r="E8713" s="2" t="s">
        <v>74</v>
      </c>
      <c r="F8713" t="s">
        <v>21958</v>
      </c>
      <c r="G8713" t="str">
        <f>HYPERLINK("http://www.pdjournal.com/news/articleView.html?idxno=20469")</f>
        <v>http://www.pdjournal.com/news/articleView.html?idxno=20469</v>
      </c>
      <c r="H8713">
        <v>0.63500000000000001</v>
      </c>
    </row>
    <row r="8714" spans="1:8" x14ac:dyDescent="0.3">
      <c r="A8714" t="s">
        <v>18176</v>
      </c>
      <c r="B8714" t="s">
        <v>26951</v>
      </c>
      <c r="C8714" t="s">
        <v>21962</v>
      </c>
      <c r="D8714" t="s">
        <v>21961</v>
      </c>
      <c r="E8714" s="2" t="s">
        <v>74</v>
      </c>
      <c r="F8714" t="s">
        <v>21772</v>
      </c>
      <c r="G8714" t="str">
        <f>HYPERLINK("http://www.breaknews.com/sub_read.html?uid=342577&amp;section=sc11")</f>
        <v>http://www.breaknews.com/sub_read.html?uid=342577&amp;section=sc11</v>
      </c>
      <c r="H8714">
        <v>0.41399999999999998</v>
      </c>
    </row>
    <row r="8715" spans="1:8" x14ac:dyDescent="0.3">
      <c r="A8715" t="s">
        <v>18176</v>
      </c>
      <c r="B8715" t="s">
        <v>26951</v>
      </c>
      <c r="C8715" t="s">
        <v>21965</v>
      </c>
      <c r="D8715" t="s">
        <v>21964</v>
      </c>
      <c r="E8715" s="2" t="s">
        <v>74</v>
      </c>
      <c r="F8715" t="s">
        <v>21963</v>
      </c>
      <c r="G8715" t="str">
        <f>HYPERLINK("https://n.news.naver.com/mnews/article/056/0011770337?sid=104")</f>
        <v>https://n.news.naver.com/mnews/article/056/0011770337?sid=104</v>
      </c>
      <c r="H8715">
        <v>0.29399999999999998</v>
      </c>
    </row>
    <row r="8716" spans="1:8" x14ac:dyDescent="0.3">
      <c r="A8716" t="s">
        <v>18176</v>
      </c>
      <c r="B8716" t="s">
        <v>26951</v>
      </c>
      <c r="C8716" t="s">
        <v>21967</v>
      </c>
      <c r="D8716" t="s">
        <v>21966</v>
      </c>
      <c r="E8716" s="2" t="s">
        <v>74</v>
      </c>
      <c r="F8716" t="s">
        <v>1786</v>
      </c>
      <c r="G8716" t="str">
        <f>HYPERLINK("https://sports.hankooki.com/news/articleView.html?idxno=6898020")</f>
        <v>https://sports.hankooki.com/news/articleView.html?idxno=6898020</v>
      </c>
      <c r="H8716">
        <v>0.36799999999999999</v>
      </c>
    </row>
    <row r="8717" spans="1:8" x14ac:dyDescent="0.3">
      <c r="A8717" t="s">
        <v>18176</v>
      </c>
      <c r="B8717" t="s">
        <v>26951</v>
      </c>
      <c r="C8717" t="s">
        <v>21969</v>
      </c>
      <c r="D8717" t="s">
        <v>21968</v>
      </c>
      <c r="E8717" s="2" t="s">
        <v>74</v>
      </c>
      <c r="F8717" t="s">
        <v>9277</v>
      </c>
      <c r="G8717" t="str">
        <f>HYPERLINK("http://www.eroun.net/news/articleView.html?idxno=7354")</f>
        <v>http://www.eroun.net/news/articleView.html?idxno=7354</v>
      </c>
      <c r="H8717">
        <v>0.34699999999999998</v>
      </c>
    </row>
    <row r="8718" spans="1:8" x14ac:dyDescent="0.3">
      <c r="A8718" t="s">
        <v>18176</v>
      </c>
      <c r="B8718" t="s">
        <v>26951</v>
      </c>
      <c r="C8718" t="s">
        <v>21972</v>
      </c>
      <c r="D8718" t="s">
        <v>21971</v>
      </c>
      <c r="E8718" s="2" t="s">
        <v>74</v>
      </c>
      <c r="F8718" t="s">
        <v>21970</v>
      </c>
      <c r="G8718" t="str">
        <f>HYPERLINK("http://www.etoday.co.kr/news/section/newsview.php?idxno=1242708")</f>
        <v>http://www.etoday.co.kr/news/section/newsview.php?idxno=1242708</v>
      </c>
      <c r="H8718">
        <v>0.26</v>
      </c>
    </row>
    <row r="8719" spans="1:8" x14ac:dyDescent="0.3">
      <c r="A8719" t="s">
        <v>18176</v>
      </c>
      <c r="B8719" t="s">
        <v>26951</v>
      </c>
      <c r="C8719" t="s">
        <v>21974</v>
      </c>
      <c r="D8719" t="s">
        <v>21973</v>
      </c>
      <c r="E8719" s="2" t="s">
        <v>74</v>
      </c>
      <c r="F8719" t="s">
        <v>10840</v>
      </c>
      <c r="G8719" t="str">
        <f>HYPERLINK("http://www.pdjournal.com/news/articleView.html?idxno=60779")</f>
        <v>http://www.pdjournal.com/news/articleView.html?idxno=60779</v>
      </c>
      <c r="H8719">
        <v>0.35099999999999998</v>
      </c>
    </row>
    <row r="8720" spans="1:8" x14ac:dyDescent="0.3">
      <c r="A8720" t="s">
        <v>18176</v>
      </c>
      <c r="B8720" t="s">
        <v>26951</v>
      </c>
      <c r="C8720" t="s">
        <v>21977</v>
      </c>
      <c r="D8720" t="s">
        <v>21976</v>
      </c>
      <c r="E8720" s="2" t="s">
        <v>74</v>
      </c>
      <c r="F8720" t="s">
        <v>21975</v>
      </c>
      <c r="G8720" t="str">
        <f>HYPERLINK("http://www.newspim.com/news/view/20160624000075")</f>
        <v>http://www.newspim.com/news/view/20160624000075</v>
      </c>
      <c r="H8720">
        <v>0.31</v>
      </c>
    </row>
    <row r="8721" spans="1:8" x14ac:dyDescent="0.3">
      <c r="A8721" t="s">
        <v>18176</v>
      </c>
      <c r="B8721" t="s">
        <v>26951</v>
      </c>
      <c r="C8721" t="s">
        <v>21979</v>
      </c>
      <c r="D8721" t="s">
        <v>21978</v>
      </c>
      <c r="E8721" s="2" t="s">
        <v>74</v>
      </c>
      <c r="F8721" t="s">
        <v>1822</v>
      </c>
      <c r="G8721" t="str">
        <f>HYPERLINK("http://www.breaknews.com/sub_read.html?uid=363879&amp;section=sc4")</f>
        <v>http://www.breaknews.com/sub_read.html?uid=363879&amp;section=sc4</v>
      </c>
      <c r="H8721">
        <v>0.34100000000000003</v>
      </c>
    </row>
    <row r="8722" spans="1:8" x14ac:dyDescent="0.3">
      <c r="A8722" t="s">
        <v>18176</v>
      </c>
      <c r="B8722" t="s">
        <v>26951</v>
      </c>
      <c r="C8722" t="s">
        <v>21980</v>
      </c>
      <c r="D8722" t="s">
        <v>20700</v>
      </c>
      <c r="E8722" s="2" t="s">
        <v>74</v>
      </c>
      <c r="F8722" t="s">
        <v>20699</v>
      </c>
      <c r="G8722" t="str">
        <f>HYPERLINK("https://www.ngetnews.com/news/articleView.html?idxno=510959")</f>
        <v>https://www.ngetnews.com/news/articleView.html?idxno=510959</v>
      </c>
      <c r="H8722">
        <v>0.36</v>
      </c>
    </row>
    <row r="8723" spans="1:8" x14ac:dyDescent="0.3">
      <c r="A8723" t="s">
        <v>18176</v>
      </c>
      <c r="B8723" t="s">
        <v>26951</v>
      </c>
      <c r="C8723" t="s">
        <v>21983</v>
      </c>
      <c r="D8723" t="s">
        <v>21982</v>
      </c>
      <c r="E8723" s="2" t="s">
        <v>74</v>
      </c>
      <c r="F8723" t="s">
        <v>21981</v>
      </c>
      <c r="G8723" t="str">
        <f>HYPERLINK("https://www.korea.kr/news/reporterView.do?newsId=148942309&amp;call_from=naver_news")</f>
        <v>https://www.korea.kr/news/reporterView.do?newsId=148942309&amp;call_from=naver_news</v>
      </c>
      <c r="H8723">
        <v>0.64</v>
      </c>
    </row>
    <row r="8724" spans="1:8" x14ac:dyDescent="0.3">
      <c r="A8724" t="s">
        <v>18176</v>
      </c>
      <c r="B8724" t="s">
        <v>26951</v>
      </c>
      <c r="C8724" t="s">
        <v>21986</v>
      </c>
      <c r="D8724" t="s">
        <v>21985</v>
      </c>
      <c r="E8724" s="2" t="s">
        <v>74</v>
      </c>
      <c r="F8724" t="s">
        <v>21984</v>
      </c>
      <c r="G8724" t="str">
        <f>HYPERLINK("https://www.lecturernews.com/news/articleView.html?idxno=181371")</f>
        <v>https://www.lecturernews.com/news/articleView.html?idxno=181371</v>
      </c>
      <c r="H8724">
        <v>0.98299999999999998</v>
      </c>
    </row>
    <row r="8725" spans="1:8" x14ac:dyDescent="0.3">
      <c r="A8725" t="s">
        <v>18176</v>
      </c>
      <c r="B8725" t="s">
        <v>26951</v>
      </c>
      <c r="C8725" t="s">
        <v>21989</v>
      </c>
      <c r="D8725" t="s">
        <v>21988</v>
      </c>
      <c r="E8725" s="2" t="s">
        <v>105</v>
      </c>
      <c r="F8725" t="s">
        <v>1101</v>
      </c>
      <c r="G8725" t="str">
        <f>HYPERLINK("http://www.incheontoday.com/news/articleView.html?idxno=263854")</f>
        <v>http://www.incheontoday.com/news/articleView.html?idxno=263854</v>
      </c>
      <c r="H8725">
        <v>0.84699999999999998</v>
      </c>
    </row>
    <row r="8726" spans="1:8" x14ac:dyDescent="0.3">
      <c r="A8726" t="s">
        <v>18176</v>
      </c>
      <c r="B8726" t="s">
        <v>26951</v>
      </c>
      <c r="C8726" t="s">
        <v>21992</v>
      </c>
      <c r="D8726" t="s">
        <v>21991</v>
      </c>
      <c r="E8726" s="2" t="s">
        <v>105</v>
      </c>
      <c r="F8726" t="s">
        <v>21990</v>
      </c>
      <c r="G8726" t="str">
        <f>HYPERLINK("https://n.news.naver.com/mnews/article/081/0003554107?sid=100")</f>
        <v>https://n.news.naver.com/mnews/article/081/0003554107?sid=100</v>
      </c>
      <c r="H8726">
        <v>0.20499999999999999</v>
      </c>
    </row>
    <row r="8727" spans="1:8" x14ac:dyDescent="0.3">
      <c r="A8727" t="s">
        <v>18176</v>
      </c>
      <c r="B8727" t="s">
        <v>26951</v>
      </c>
      <c r="C8727" t="s">
        <v>21994</v>
      </c>
      <c r="D8727" t="s">
        <v>21993</v>
      </c>
      <c r="E8727" s="2" t="s">
        <v>105</v>
      </c>
      <c r="F8727" t="s">
        <v>14248</v>
      </c>
      <c r="G8727" t="str">
        <f>HYPERLINK("https://n.news.naver.com/mnews/article/018/0006054274?sid=105")</f>
        <v>https://n.news.naver.com/mnews/article/018/0006054274?sid=105</v>
      </c>
      <c r="H8727">
        <v>0.23499999999999999</v>
      </c>
    </row>
    <row r="8728" spans="1:8" x14ac:dyDescent="0.3">
      <c r="A8728" t="s">
        <v>18176</v>
      </c>
      <c r="B8728" t="s">
        <v>26951</v>
      </c>
      <c r="C8728" t="s">
        <v>21997</v>
      </c>
      <c r="D8728" t="s">
        <v>21996</v>
      </c>
      <c r="E8728" s="2" t="s">
        <v>105</v>
      </c>
      <c r="F8728" t="s">
        <v>21995</v>
      </c>
      <c r="G8728" t="str">
        <f>HYPERLINK("http://www.nbntv.co.kr/news/articleView.html?idxno=269208")</f>
        <v>http://www.nbntv.co.kr/news/articleView.html?idxno=269208</v>
      </c>
      <c r="H8728">
        <v>0.17599999999999999</v>
      </c>
    </row>
    <row r="8729" spans="1:8" x14ac:dyDescent="0.3">
      <c r="A8729" t="s">
        <v>18176</v>
      </c>
      <c r="B8729" t="s">
        <v>26951</v>
      </c>
      <c r="C8729" t="s">
        <v>22000</v>
      </c>
      <c r="D8729" t="s">
        <v>21999</v>
      </c>
      <c r="E8729" s="2" t="s">
        <v>105</v>
      </c>
      <c r="F8729" t="s">
        <v>21998</v>
      </c>
      <c r="G8729" t="str">
        <f>HYPERLINK("http://www.jjan.kr/news/articleView.html?idxno=565974")</f>
        <v>http://www.jjan.kr/news/articleView.html?idxno=565974</v>
      </c>
      <c r="H8729">
        <v>0.33300000000000002</v>
      </c>
    </row>
    <row r="8730" spans="1:8" x14ac:dyDescent="0.3">
      <c r="A8730" t="s">
        <v>18176</v>
      </c>
      <c r="B8730" t="s">
        <v>26951</v>
      </c>
      <c r="C8730" t="s">
        <v>22002</v>
      </c>
      <c r="D8730" t="s">
        <v>22001</v>
      </c>
      <c r="E8730" s="2" t="s">
        <v>105</v>
      </c>
      <c r="F8730" t="s">
        <v>21080</v>
      </c>
      <c r="G8730" t="str">
        <f>HYPERLINK("http://www.opinionnews.co.kr/news/articleView.html?idxno=117835")</f>
        <v>http://www.opinionnews.co.kr/news/articleView.html?idxno=117835</v>
      </c>
      <c r="H8730">
        <v>0.27300000000000002</v>
      </c>
    </row>
    <row r="8731" spans="1:8" x14ac:dyDescent="0.3">
      <c r="A8731" t="s">
        <v>18176</v>
      </c>
      <c r="B8731" t="s">
        <v>26951</v>
      </c>
      <c r="C8731" t="s">
        <v>22005</v>
      </c>
      <c r="D8731" t="s">
        <v>22004</v>
      </c>
      <c r="E8731" s="2" t="s">
        <v>105</v>
      </c>
      <c r="F8731" t="s">
        <v>22003</v>
      </c>
      <c r="G8731" t="str">
        <f>HYPERLINK("http://www.bzeronews.com/news/articleView.html?idxno=716596")</f>
        <v>http://www.bzeronews.com/news/articleView.html?idxno=716596</v>
      </c>
      <c r="H8731">
        <v>0.98399999999999999</v>
      </c>
    </row>
    <row r="8732" spans="1:8" x14ac:dyDescent="0.3">
      <c r="A8732" t="s">
        <v>18176</v>
      </c>
      <c r="B8732" t="s">
        <v>26951</v>
      </c>
      <c r="C8732" t="s">
        <v>22007</v>
      </c>
      <c r="D8732" t="s">
        <v>22006</v>
      </c>
      <c r="E8732" s="2" t="s">
        <v>105</v>
      </c>
      <c r="F8732" t="s">
        <v>12458</v>
      </c>
      <c r="G8732" t="str">
        <f>HYPERLINK("https://www.dailysportshankook.co.kr/news/articleView.html?idxno=408623")</f>
        <v>https://www.dailysportshankook.co.kr/news/articleView.html?idxno=408623</v>
      </c>
      <c r="H8732">
        <v>0.66300000000000003</v>
      </c>
    </row>
    <row r="8733" spans="1:8" x14ac:dyDescent="0.3">
      <c r="A8733" t="s">
        <v>18176</v>
      </c>
      <c r="B8733" t="s">
        <v>26951</v>
      </c>
      <c r="C8733" t="s">
        <v>22010</v>
      </c>
      <c r="D8733" t="s">
        <v>22009</v>
      </c>
      <c r="E8733" s="2" t="s">
        <v>105</v>
      </c>
      <c r="F8733" t="s">
        <v>22008</v>
      </c>
      <c r="G8733" t="str">
        <f>HYPERLINK("https://n.news.naver.com/mnews/article/008/0002557758?sid=101")</f>
        <v>https://n.news.naver.com/mnews/article/008/0002557758?sid=101</v>
      </c>
      <c r="H8733">
        <v>0.48899999999999999</v>
      </c>
    </row>
    <row r="8734" spans="1:8" x14ac:dyDescent="0.3">
      <c r="A8734" t="s">
        <v>18176</v>
      </c>
      <c r="B8734" t="s">
        <v>26951</v>
      </c>
      <c r="C8734" t="s">
        <v>22013</v>
      </c>
      <c r="D8734" t="s">
        <v>22012</v>
      </c>
      <c r="E8734" s="2" t="s">
        <v>105</v>
      </c>
      <c r="F8734" t="s">
        <v>22011</v>
      </c>
      <c r="G8734" t="str">
        <f>HYPERLINK("https://n.news.naver.com/mnews/article/022/0004047575?sid=103")</f>
        <v>https://n.news.naver.com/mnews/article/022/0004047575?sid=103</v>
      </c>
      <c r="H8734">
        <v>0.26600000000000001</v>
      </c>
    </row>
    <row r="8735" spans="1:8" x14ac:dyDescent="0.3">
      <c r="A8735" t="s">
        <v>18176</v>
      </c>
      <c r="B8735" t="s">
        <v>26951</v>
      </c>
      <c r="C8735" t="s">
        <v>22014</v>
      </c>
      <c r="D8735" t="s">
        <v>20952</v>
      </c>
      <c r="E8735" s="2" t="s">
        <v>105</v>
      </c>
      <c r="F8735" t="s">
        <v>17820</v>
      </c>
      <c r="G8735" t="str">
        <f>HYPERLINK("https://www.jemin.com/news/articleView.html?idxno=818862")</f>
        <v>https://www.jemin.com/news/articleView.html?idxno=818862</v>
      </c>
      <c r="H8735">
        <v>0.26900000000000002</v>
      </c>
    </row>
    <row r="8736" spans="1:8" x14ac:dyDescent="0.3">
      <c r="A8736" t="s">
        <v>18176</v>
      </c>
      <c r="B8736" t="s">
        <v>26951</v>
      </c>
      <c r="C8736" t="s">
        <v>22017</v>
      </c>
      <c r="D8736" t="s">
        <v>22016</v>
      </c>
      <c r="E8736" s="2" t="s">
        <v>105</v>
      </c>
      <c r="F8736" t="s">
        <v>22015</v>
      </c>
      <c r="G8736" t="str">
        <f>HYPERLINK("https://n.news.naver.com/mnews/article/002/0002081101?sid=004")</f>
        <v>https://n.news.naver.com/mnews/article/002/0002081101?sid=004</v>
      </c>
      <c r="H8736">
        <v>0.186</v>
      </c>
    </row>
    <row r="8737" spans="1:8" x14ac:dyDescent="0.3">
      <c r="A8737" t="s">
        <v>18176</v>
      </c>
      <c r="B8737" t="s">
        <v>26951</v>
      </c>
      <c r="C8737" t="s">
        <v>22020</v>
      </c>
      <c r="D8737" t="s">
        <v>22019</v>
      </c>
      <c r="E8737" s="2" t="s">
        <v>105</v>
      </c>
      <c r="F8737" t="s">
        <v>22018</v>
      </c>
      <c r="G8737" t="str">
        <f>HYPERLINK("https://n.news.naver.com/mnews/article/119/0002971151?sid=101")</f>
        <v>https://n.news.naver.com/mnews/article/119/0002971151?sid=101</v>
      </c>
      <c r="H8737">
        <v>0.217</v>
      </c>
    </row>
    <row r="8738" spans="1:8" x14ac:dyDescent="0.3">
      <c r="A8738" t="s">
        <v>18176</v>
      </c>
      <c r="B8738" t="s">
        <v>26951</v>
      </c>
      <c r="C8738" t="s">
        <v>22022</v>
      </c>
      <c r="D8738" t="s">
        <v>22021</v>
      </c>
      <c r="E8738" s="2" t="s">
        <v>105</v>
      </c>
      <c r="F8738" t="s">
        <v>10788</v>
      </c>
      <c r="G8738" t="str">
        <f>HYPERLINK("https://www.lecturernews.com/news/articleView.html?idxno=181425")</f>
        <v>https://www.lecturernews.com/news/articleView.html?idxno=181425</v>
      </c>
      <c r="H8738">
        <v>0.622</v>
      </c>
    </row>
    <row r="8739" spans="1:8" x14ac:dyDescent="0.3">
      <c r="A8739" t="s">
        <v>18176</v>
      </c>
      <c r="B8739" t="s">
        <v>26951</v>
      </c>
      <c r="C8739" t="s">
        <v>22024</v>
      </c>
      <c r="D8739" t="s">
        <v>22023</v>
      </c>
      <c r="E8739" s="2" t="s">
        <v>105</v>
      </c>
      <c r="F8739" t="s">
        <v>10788</v>
      </c>
      <c r="G8739" t="str">
        <f>HYPERLINK("https://www.nc.press/news/articleView.html?idxno=568755")</f>
        <v>https://www.nc.press/news/articleView.html?idxno=568755</v>
      </c>
      <c r="H8739">
        <v>0.504</v>
      </c>
    </row>
    <row r="8740" spans="1:8" x14ac:dyDescent="0.3">
      <c r="A8740" t="s">
        <v>18176</v>
      </c>
      <c r="B8740" t="s">
        <v>26951</v>
      </c>
      <c r="C8740" t="s">
        <v>22026</v>
      </c>
      <c r="D8740" t="s">
        <v>22025</v>
      </c>
      <c r="E8740" s="2" t="s">
        <v>105</v>
      </c>
      <c r="F8740" t="s">
        <v>5342</v>
      </c>
      <c r="G8740" t="str">
        <f>HYPERLINK("https://n.news.naver.com/mnews/article/052/0002204763?sid=102")</f>
        <v>https://n.news.naver.com/mnews/article/052/0002204763?sid=102</v>
      </c>
      <c r="H8740">
        <v>0.23499999999999999</v>
      </c>
    </row>
    <row r="8741" spans="1:8" x14ac:dyDescent="0.3">
      <c r="A8741" t="s">
        <v>18176</v>
      </c>
      <c r="B8741" t="s">
        <v>26951</v>
      </c>
      <c r="C8741" t="s">
        <v>22028</v>
      </c>
      <c r="D8741" t="s">
        <v>22027</v>
      </c>
      <c r="E8741" s="2" t="s">
        <v>105</v>
      </c>
      <c r="F8741" t="s">
        <v>10997</v>
      </c>
      <c r="G8741" t="str">
        <f>HYPERLINK("http://www.safetimes.co.kr/news/articleView.html?idxno=104833")</f>
        <v>http://www.safetimes.co.kr/news/articleView.html?idxno=104833</v>
      </c>
      <c r="H8741">
        <v>6.9000000000000006E-2</v>
      </c>
    </row>
    <row r="8742" spans="1:8" x14ac:dyDescent="0.3">
      <c r="A8742" t="s">
        <v>18176</v>
      </c>
      <c r="B8742" t="s">
        <v>26951</v>
      </c>
      <c r="C8742" t="s">
        <v>22031</v>
      </c>
      <c r="D8742" t="s">
        <v>22030</v>
      </c>
      <c r="E8742" s="2" t="s">
        <v>105</v>
      </c>
      <c r="F8742" t="s">
        <v>22029</v>
      </c>
      <c r="G8742" t="str">
        <f>HYPERLINK("http://www.veritas-a.com/news/articleView.html?idxno=551036")</f>
        <v>http://www.veritas-a.com/news/articleView.html?idxno=551036</v>
      </c>
      <c r="H8742">
        <v>0.66100000000000003</v>
      </c>
    </row>
    <row r="8743" spans="1:8" x14ac:dyDescent="0.3">
      <c r="A8743" t="s">
        <v>18176</v>
      </c>
      <c r="B8743" t="s">
        <v>26951</v>
      </c>
      <c r="C8743" t="s">
        <v>22033</v>
      </c>
      <c r="D8743" t="s">
        <v>22032</v>
      </c>
      <c r="E8743" s="2" t="s">
        <v>105</v>
      </c>
      <c r="F8743" t="s">
        <v>8339</v>
      </c>
      <c r="G8743" t="str">
        <f>HYPERLINK("https://n.news.naver.com/mnews/article/214/0001432439?sid=100")</f>
        <v>https://n.news.naver.com/mnews/article/214/0001432439?sid=100</v>
      </c>
      <c r="H8743">
        <v>0.32500000000000001</v>
      </c>
    </row>
    <row r="8744" spans="1:8" x14ac:dyDescent="0.3">
      <c r="A8744" t="s">
        <v>18176</v>
      </c>
      <c r="B8744" t="s">
        <v>26951</v>
      </c>
      <c r="C8744" t="s">
        <v>22036</v>
      </c>
      <c r="D8744" t="s">
        <v>22035</v>
      </c>
      <c r="E8744" s="2" t="s">
        <v>105</v>
      </c>
      <c r="F8744" t="s">
        <v>22034</v>
      </c>
      <c r="G8744" t="str">
        <f>HYPERLINK("https://www.allurekorea.com/2021/12/13/%ec%96%b4%eb%96%bb%ea%b2%8c-%ec%a7%80%eb%83%88%ec%96%b4%ec%9a%94-21%eb%aa%85%ec%9d%98-%ec%82%ac%eb%9e%8c%eb%93%a4%ec%9d%98-2021%eb%85%84-%ec%9d%b4%ec%95%bc%ea%b8%b0/?utm_source=naver&amp;utm_medium=partnership")</f>
        <v>https://www.allurekorea.com/2021/12/13/%ec%96%b4%eb%96%bb%ea%b2%8c-%ec%a7%80%eb%83%88%ec%96%b4%ec%9a%94-21%eb%aa%85%ec%9d%98-%ec%82%ac%eb%9e%8c%eb%93%a4%ec%9d%98-2021%eb%85%84-%ec%9d%b4%ec%95%bc%ea%b8%b0/?utm_source=naver&amp;utm_medium=partnership</v>
      </c>
      <c r="H8744">
        <v>0.51</v>
      </c>
    </row>
    <row r="8745" spans="1:8" x14ac:dyDescent="0.3">
      <c r="A8745" t="s">
        <v>18176</v>
      </c>
      <c r="B8745" t="s">
        <v>26951</v>
      </c>
      <c r="C8745" t="s">
        <v>22039</v>
      </c>
      <c r="D8745" t="s">
        <v>22038</v>
      </c>
      <c r="E8745" s="2" t="s">
        <v>105</v>
      </c>
      <c r="F8745" t="s">
        <v>22037</v>
      </c>
      <c r="G8745" t="str">
        <f>HYPERLINK("https://n.news.naver.com/mnews/article/056/0011848534?sid=100")</f>
        <v>https://n.news.naver.com/mnews/article/056/0011848534?sid=100</v>
      </c>
      <c r="H8745">
        <v>0.307</v>
      </c>
    </row>
    <row r="8746" spans="1:8" x14ac:dyDescent="0.3">
      <c r="A8746" t="s">
        <v>18176</v>
      </c>
      <c r="B8746" t="s">
        <v>26951</v>
      </c>
      <c r="C8746" t="s">
        <v>22042</v>
      </c>
      <c r="D8746" t="s">
        <v>22041</v>
      </c>
      <c r="E8746" s="2" t="s">
        <v>105</v>
      </c>
      <c r="F8746" t="s">
        <v>22040</v>
      </c>
      <c r="G8746" t="str">
        <f>HYPERLINK("https://n.news.naver.com/mnews/article/055/0001271499?sid=103")</f>
        <v>https://n.news.naver.com/mnews/article/055/0001271499?sid=103</v>
      </c>
      <c r="H8746">
        <v>0.30599999999999999</v>
      </c>
    </row>
    <row r="8747" spans="1:8" x14ac:dyDescent="0.3">
      <c r="A8747" t="s">
        <v>18176</v>
      </c>
      <c r="B8747" t="s">
        <v>26951</v>
      </c>
      <c r="C8747" t="s">
        <v>22045</v>
      </c>
      <c r="D8747" t="s">
        <v>22044</v>
      </c>
      <c r="E8747" s="2" t="s">
        <v>105</v>
      </c>
      <c r="F8747" t="s">
        <v>22043</v>
      </c>
      <c r="G8747" t="str">
        <f>HYPERLINK("https://n.news.naver.com/mnews/article/056/0010726253?sid=100")</f>
        <v>https://n.news.naver.com/mnews/article/056/0010726253?sid=100</v>
      </c>
      <c r="H8747">
        <v>0.28899999999999998</v>
      </c>
    </row>
    <row r="8748" spans="1:8" x14ac:dyDescent="0.3">
      <c r="A8748" t="s">
        <v>18176</v>
      </c>
      <c r="B8748" t="s">
        <v>26951</v>
      </c>
      <c r="C8748" t="s">
        <v>22047</v>
      </c>
      <c r="D8748" t="s">
        <v>22046</v>
      </c>
      <c r="E8748" s="2" t="s">
        <v>105</v>
      </c>
      <c r="F8748" t="s">
        <v>9755</v>
      </c>
      <c r="G8748" t="str">
        <f>HYPERLINK("http://www.womentimes.co.kr/news/articleView.html?idxno=88672")</f>
        <v>http://www.womentimes.co.kr/news/articleView.html?idxno=88672</v>
      </c>
      <c r="H8748">
        <v>0.95399999999999996</v>
      </c>
    </row>
    <row r="8749" spans="1:8" x14ac:dyDescent="0.3">
      <c r="A8749" t="s">
        <v>18176</v>
      </c>
      <c r="B8749" t="s">
        <v>26951</v>
      </c>
      <c r="C8749" t="s">
        <v>22049</v>
      </c>
      <c r="D8749" t="s">
        <v>22048</v>
      </c>
      <c r="E8749" s="2" t="s">
        <v>105</v>
      </c>
      <c r="F8749" t="s">
        <v>21201</v>
      </c>
      <c r="G8749" t="str">
        <f>HYPERLINK("https://n.news.naver.com/mnews/article/088/0000150374?sid=102")</f>
        <v>https://n.news.naver.com/mnews/article/088/0000150374?sid=102</v>
      </c>
      <c r="H8749">
        <v>9.8000000000000004E-2</v>
      </c>
    </row>
    <row r="8750" spans="1:8" x14ac:dyDescent="0.3">
      <c r="A8750" t="s">
        <v>18176</v>
      </c>
      <c r="B8750" t="s">
        <v>26951</v>
      </c>
      <c r="C8750" t="s">
        <v>22051</v>
      </c>
      <c r="D8750" t="s">
        <v>22050</v>
      </c>
      <c r="E8750" s="2" t="s">
        <v>105</v>
      </c>
      <c r="F8750" t="s">
        <v>12600</v>
      </c>
      <c r="G8750" t="str">
        <f>HYPERLINK("https://n.news.naver.com/mnews/article/016/0002492386?sid=102")</f>
        <v>https://n.news.naver.com/mnews/article/016/0002492386?sid=102</v>
      </c>
      <c r="H8750">
        <v>0.23499999999999999</v>
      </c>
    </row>
    <row r="8751" spans="1:8" x14ac:dyDescent="0.3">
      <c r="A8751" t="s">
        <v>18176</v>
      </c>
      <c r="B8751" t="s">
        <v>26951</v>
      </c>
      <c r="C8751" t="s">
        <v>22053</v>
      </c>
      <c r="D8751" t="s">
        <v>22052</v>
      </c>
      <c r="E8751" s="2" t="s">
        <v>105</v>
      </c>
      <c r="F8751" t="s">
        <v>487</v>
      </c>
      <c r="G8751" t="str">
        <f>HYPERLINK("https://n.news.naver.com/mnews/article/011/0004502115?sid=100")</f>
        <v>https://n.news.naver.com/mnews/article/011/0004502115?sid=100</v>
      </c>
      <c r="H8751">
        <v>0.27600000000000002</v>
      </c>
    </row>
    <row r="8752" spans="1:8" x14ac:dyDescent="0.3">
      <c r="A8752" t="s">
        <v>18176</v>
      </c>
      <c r="B8752" t="s">
        <v>26951</v>
      </c>
      <c r="C8752" t="s">
        <v>22056</v>
      </c>
      <c r="D8752" t="s">
        <v>22055</v>
      </c>
      <c r="E8752" s="2" t="s">
        <v>105</v>
      </c>
      <c r="F8752" t="s">
        <v>22054</v>
      </c>
      <c r="G8752" t="str">
        <f>HYPERLINK("https://www.jemin.com/news/articleView.html?idxno=817129")</f>
        <v>https://www.jemin.com/news/articleView.html?idxno=817129</v>
      </c>
      <c r="H8752">
        <v>0.313</v>
      </c>
    </row>
    <row r="8753" spans="1:8" x14ac:dyDescent="0.3">
      <c r="A8753" t="s">
        <v>18176</v>
      </c>
      <c r="B8753" t="s">
        <v>26951</v>
      </c>
      <c r="C8753" t="s">
        <v>22058</v>
      </c>
      <c r="D8753" t="s">
        <v>22057</v>
      </c>
      <c r="E8753" s="2" t="s">
        <v>105</v>
      </c>
      <c r="F8753" t="s">
        <v>11310</v>
      </c>
      <c r="G8753" t="str">
        <f>HYPERLINK("http://www.ibulgyo.com/news/articleView.html?idxno=427801")</f>
        <v>http://www.ibulgyo.com/news/articleView.html?idxno=427801</v>
      </c>
      <c r="H8753">
        <v>0.60299999999999998</v>
      </c>
    </row>
    <row r="8754" spans="1:8" x14ac:dyDescent="0.3">
      <c r="A8754" t="s">
        <v>18176</v>
      </c>
      <c r="B8754" t="s">
        <v>26951</v>
      </c>
      <c r="C8754" t="s">
        <v>22060</v>
      </c>
      <c r="D8754" t="s">
        <v>22059</v>
      </c>
      <c r="E8754" s="2" t="s">
        <v>105</v>
      </c>
      <c r="F8754" t="s">
        <v>13874</v>
      </c>
      <c r="G8754" t="str">
        <f>HYPERLINK("https://www.dnews.co.kr/uhtml/view.jsp?idxno=202506242117480860218")</f>
        <v>https://www.dnews.co.kr/uhtml/view.jsp?idxno=202506242117480860218</v>
      </c>
      <c r="H8754">
        <v>0.85799999999999998</v>
      </c>
    </row>
    <row r="8755" spans="1:8" x14ac:dyDescent="0.3">
      <c r="A8755" t="s">
        <v>18176</v>
      </c>
      <c r="B8755" t="s">
        <v>26951</v>
      </c>
      <c r="C8755" t="s">
        <v>22062</v>
      </c>
      <c r="D8755" t="s">
        <v>22061</v>
      </c>
      <c r="E8755" s="2" t="s">
        <v>105</v>
      </c>
      <c r="F8755" t="s">
        <v>10412</v>
      </c>
      <c r="G8755" t="str">
        <f>HYPERLINK("https://n.news.naver.com/mnews/article/005/0001786475?sid=102")</f>
        <v>https://n.news.naver.com/mnews/article/005/0001786475?sid=102</v>
      </c>
      <c r="H8755">
        <v>0.214</v>
      </c>
    </row>
    <row r="8756" spans="1:8" x14ac:dyDescent="0.3">
      <c r="A8756" t="s">
        <v>18176</v>
      </c>
      <c r="B8756" t="s">
        <v>26951</v>
      </c>
      <c r="C8756" t="s">
        <v>22064</v>
      </c>
      <c r="D8756" t="s">
        <v>22063</v>
      </c>
      <c r="E8756" s="2" t="s">
        <v>105</v>
      </c>
      <c r="F8756" t="s">
        <v>1266</v>
      </c>
      <c r="G8756" t="str">
        <f>HYPERLINK("https://www.huffingtonpost.kr/news/articleView.html?idxno=234195")</f>
        <v>https://www.huffingtonpost.kr/news/articleView.html?idxno=234195</v>
      </c>
      <c r="H8756">
        <v>0.316</v>
      </c>
    </row>
    <row r="8757" spans="1:8" x14ac:dyDescent="0.3">
      <c r="A8757" t="s">
        <v>18176</v>
      </c>
      <c r="B8757" t="s">
        <v>26951</v>
      </c>
      <c r="C8757" t="s">
        <v>22066</v>
      </c>
      <c r="D8757" t="s">
        <v>22065</v>
      </c>
      <c r="E8757" s="2" t="s">
        <v>105</v>
      </c>
      <c r="F8757" t="s">
        <v>10398</v>
      </c>
      <c r="G8757" t="str">
        <f>HYPERLINK("https://www.jemin.com/news/articleView.html?idxno=813803")</f>
        <v>https://www.jemin.com/news/articleView.html?idxno=813803</v>
      </c>
      <c r="H8757">
        <v>0.501</v>
      </c>
    </row>
    <row r="8758" spans="1:8" x14ac:dyDescent="0.3">
      <c r="A8758" t="s">
        <v>18176</v>
      </c>
      <c r="B8758" t="s">
        <v>26951</v>
      </c>
      <c r="C8758" t="s">
        <v>22068</v>
      </c>
      <c r="D8758" t="s">
        <v>22067</v>
      </c>
      <c r="E8758" s="2" t="s">
        <v>105</v>
      </c>
      <c r="F8758" t="s">
        <v>7565</v>
      </c>
      <c r="G8758" t="str">
        <f>HYPERLINK("http://www.breaknews.com/1113184")</f>
        <v>http://www.breaknews.com/1113184</v>
      </c>
      <c r="H8758">
        <v>0.14399999999999999</v>
      </c>
    </row>
    <row r="8759" spans="1:8" x14ac:dyDescent="0.3">
      <c r="A8759" t="s">
        <v>18176</v>
      </c>
      <c r="B8759" t="s">
        <v>26951</v>
      </c>
      <c r="C8759" t="s">
        <v>22070</v>
      </c>
      <c r="D8759" t="s">
        <v>22069</v>
      </c>
      <c r="E8759" s="2" t="s">
        <v>105</v>
      </c>
      <c r="F8759" t="s">
        <v>15953</v>
      </c>
      <c r="G8759" t="str">
        <f>HYPERLINK("https://www.straightnews.co.kr/news/articleView.html?idxno=218067")</f>
        <v>https://www.straightnews.co.kr/news/articleView.html?idxno=218067</v>
      </c>
      <c r="H8759">
        <v>0.49199999999999999</v>
      </c>
    </row>
    <row r="8760" spans="1:8" x14ac:dyDescent="0.3">
      <c r="A8760" t="s">
        <v>18176</v>
      </c>
      <c r="B8760" t="s">
        <v>26951</v>
      </c>
      <c r="C8760" t="s">
        <v>22072</v>
      </c>
      <c r="D8760" t="s">
        <v>22071</v>
      </c>
      <c r="E8760" s="2" t="s">
        <v>105</v>
      </c>
      <c r="F8760" t="s">
        <v>12082</v>
      </c>
      <c r="G8760" t="str">
        <f>HYPERLINK("http://www.lecturernews.com/news/articleView.html?idxno=81737")</f>
        <v>http://www.lecturernews.com/news/articleView.html?idxno=81737</v>
      </c>
      <c r="H8760">
        <v>0.61299999999999999</v>
      </c>
    </row>
    <row r="8761" spans="1:8" x14ac:dyDescent="0.3">
      <c r="A8761" t="s">
        <v>18176</v>
      </c>
      <c r="B8761" t="s">
        <v>26951</v>
      </c>
      <c r="C8761" t="s">
        <v>22074</v>
      </c>
      <c r="D8761" t="s">
        <v>22073</v>
      </c>
      <c r="E8761" s="2" t="s">
        <v>105</v>
      </c>
      <c r="F8761" t="s">
        <v>19044</v>
      </c>
      <c r="G8761" t="str">
        <f>HYPERLINK("http://www.viva100.com/main/view.php?key=20180811010003372")</f>
        <v>http://www.viva100.com/main/view.php?key=20180811010003372</v>
      </c>
      <c r="H8761">
        <v>0.26700000000000002</v>
      </c>
    </row>
    <row r="8762" spans="1:8" x14ac:dyDescent="0.3">
      <c r="A8762" t="s">
        <v>18176</v>
      </c>
      <c r="B8762" t="s">
        <v>26951</v>
      </c>
      <c r="C8762" t="s">
        <v>22077</v>
      </c>
      <c r="D8762" t="s">
        <v>22076</v>
      </c>
      <c r="E8762" s="2" t="s">
        <v>105</v>
      </c>
      <c r="F8762" t="s">
        <v>22075</v>
      </c>
      <c r="G8762" t="str">
        <f>HYPERLINK("http://www.suhyupnews.co.kr/news/articleView.html?idxno=33402")</f>
        <v>http://www.suhyupnews.co.kr/news/articleView.html?idxno=33402</v>
      </c>
      <c r="H8762">
        <v>0.8</v>
      </c>
    </row>
    <row r="8763" spans="1:8" x14ac:dyDescent="0.3">
      <c r="A8763" t="s">
        <v>18176</v>
      </c>
      <c r="B8763" t="s">
        <v>26951</v>
      </c>
      <c r="C8763" t="s">
        <v>22079</v>
      </c>
      <c r="D8763" t="s">
        <v>22078</v>
      </c>
      <c r="E8763" s="2" t="s">
        <v>105</v>
      </c>
      <c r="F8763" t="s">
        <v>11805</v>
      </c>
      <c r="G8763" t="str">
        <f>HYPERLINK("http://www.greened.kr/news/articleView.html?idxno=305484")</f>
        <v>http://www.greened.kr/news/articleView.html?idxno=305484</v>
      </c>
      <c r="H8763">
        <v>0.48</v>
      </c>
    </row>
    <row r="8764" spans="1:8" x14ac:dyDescent="0.3">
      <c r="A8764" t="s">
        <v>18176</v>
      </c>
      <c r="B8764" t="s">
        <v>26951</v>
      </c>
      <c r="C8764" t="s">
        <v>22081</v>
      </c>
      <c r="D8764" t="s">
        <v>22080</v>
      </c>
      <c r="E8764" s="2" t="s">
        <v>105</v>
      </c>
      <c r="F8764" t="s">
        <v>10301</v>
      </c>
      <c r="G8764" t="str">
        <f>HYPERLINK("http://www.breaknews.com/1110009")</f>
        <v>http://www.breaknews.com/1110009</v>
      </c>
      <c r="H8764">
        <v>0.27300000000000002</v>
      </c>
    </row>
    <row r="8765" spans="1:8" x14ac:dyDescent="0.3">
      <c r="A8765" t="s">
        <v>18176</v>
      </c>
      <c r="B8765" t="s">
        <v>26951</v>
      </c>
      <c r="C8765" t="s">
        <v>22083</v>
      </c>
      <c r="D8765" t="s">
        <v>22082</v>
      </c>
      <c r="E8765" s="2" t="s">
        <v>105</v>
      </c>
      <c r="F8765" t="s">
        <v>8467</v>
      </c>
      <c r="G8765" t="str">
        <f>HYPERLINK("https://sports.hankooki.com/news/articleView.html?idxno=6898020")</f>
        <v>https://sports.hankooki.com/news/articleView.html?idxno=6898020</v>
      </c>
      <c r="H8765">
        <v>0.311</v>
      </c>
    </row>
    <row r="8766" spans="1:8" x14ac:dyDescent="0.3">
      <c r="A8766" t="s">
        <v>18176</v>
      </c>
      <c r="B8766" t="s">
        <v>26951</v>
      </c>
      <c r="C8766" t="s">
        <v>22085</v>
      </c>
      <c r="D8766" t="s">
        <v>21966</v>
      </c>
      <c r="E8766" s="2" t="s">
        <v>105</v>
      </c>
      <c r="F8766" t="s">
        <v>22084</v>
      </c>
      <c r="G8766" t="str">
        <f>HYPERLINK("https://sports.hankooki.com/news/articleView.html?idxno=6898020")</f>
        <v>https://sports.hankooki.com/news/articleView.html?idxno=6898020</v>
      </c>
      <c r="H8766">
        <v>0.38900000000000001</v>
      </c>
    </row>
    <row r="8767" spans="1:8" x14ac:dyDescent="0.3">
      <c r="A8767" t="s">
        <v>18176</v>
      </c>
      <c r="B8767" t="s">
        <v>26951</v>
      </c>
      <c r="C8767" t="s">
        <v>22087</v>
      </c>
      <c r="D8767" t="s">
        <v>22086</v>
      </c>
      <c r="E8767" s="2" t="s">
        <v>105</v>
      </c>
      <c r="F8767" t="s">
        <v>14816</v>
      </c>
      <c r="G8767" t="str">
        <f>HYPERLINK("https://n.news.naver.com/mnews/article/056/0010894050?sid=103")</f>
        <v>https://n.news.naver.com/mnews/article/056/0010894050?sid=103</v>
      </c>
      <c r="H8767">
        <v>0.33600000000000002</v>
      </c>
    </row>
    <row r="8768" spans="1:8" x14ac:dyDescent="0.3">
      <c r="A8768" t="s">
        <v>18176</v>
      </c>
      <c r="B8768" t="s">
        <v>26951</v>
      </c>
      <c r="C8768" t="s">
        <v>22090</v>
      </c>
      <c r="D8768" t="s">
        <v>22089</v>
      </c>
      <c r="E8768" s="2" t="s">
        <v>105</v>
      </c>
      <c r="F8768" t="s">
        <v>22088</v>
      </c>
      <c r="G8768" t="str">
        <f>HYPERLINK("https://n.news.naver.com/mnews/article/056/0010453334?sid=101")</f>
        <v>https://n.news.naver.com/mnews/article/056/0010453334?sid=101</v>
      </c>
      <c r="H8768">
        <v>0.22700000000000001</v>
      </c>
    </row>
    <row r="8769" spans="1:8" x14ac:dyDescent="0.3">
      <c r="A8769" t="s">
        <v>18176</v>
      </c>
      <c r="B8769" t="s">
        <v>26951</v>
      </c>
      <c r="C8769" t="s">
        <v>22093</v>
      </c>
      <c r="D8769" t="s">
        <v>22092</v>
      </c>
      <c r="E8769" s="2" t="s">
        <v>105</v>
      </c>
      <c r="F8769" t="s">
        <v>22091</v>
      </c>
      <c r="G8769" t="str">
        <f>HYPERLINK("https://n.news.naver.com/mnews/article/469/0000833242?sid=102")</f>
        <v>https://n.news.naver.com/mnews/article/469/0000833242?sid=102</v>
      </c>
      <c r="H8769">
        <v>0.28799999999999998</v>
      </c>
    </row>
    <row r="8770" spans="1:8" x14ac:dyDescent="0.3">
      <c r="A8770" t="s">
        <v>18176</v>
      </c>
      <c r="B8770" t="s">
        <v>26951</v>
      </c>
      <c r="C8770" t="s">
        <v>22094</v>
      </c>
      <c r="D8770" t="s">
        <v>21966</v>
      </c>
      <c r="E8770" s="2" t="s">
        <v>105</v>
      </c>
      <c r="F8770" t="s">
        <v>1810</v>
      </c>
      <c r="G8770" t="str">
        <f>HYPERLINK("https://sports.hankooki.com/news/articleView.html?idxno=6898020")</f>
        <v>https://sports.hankooki.com/news/articleView.html?idxno=6898020</v>
      </c>
      <c r="H8770">
        <v>0.374</v>
      </c>
    </row>
    <row r="8771" spans="1:8" x14ac:dyDescent="0.3">
      <c r="A8771" t="s">
        <v>18176</v>
      </c>
      <c r="B8771" t="s">
        <v>26951</v>
      </c>
      <c r="C8771" t="s">
        <v>22097</v>
      </c>
      <c r="D8771" t="s">
        <v>22096</v>
      </c>
      <c r="E8771" s="2" t="s">
        <v>105</v>
      </c>
      <c r="F8771" t="s">
        <v>22095</v>
      </c>
      <c r="G8771" t="str">
        <f>HYPERLINK("https://news.bbsi.co.kr/news/articleView.html?idxno=3091227")</f>
        <v>https://news.bbsi.co.kr/news/articleView.html?idxno=3091227</v>
      </c>
      <c r="H8771">
        <v>0.48699999999999999</v>
      </c>
    </row>
    <row r="8772" spans="1:8" x14ac:dyDescent="0.3">
      <c r="A8772" t="s">
        <v>18176</v>
      </c>
      <c r="B8772" t="s">
        <v>26951</v>
      </c>
      <c r="C8772" t="s">
        <v>22100</v>
      </c>
      <c r="D8772" t="s">
        <v>22099</v>
      </c>
      <c r="E8772" s="2" t="s">
        <v>105</v>
      </c>
      <c r="F8772" t="s">
        <v>22098</v>
      </c>
      <c r="G8772" t="str">
        <f>HYPERLINK("http://www.christiantoday.co.kr/articles/297288/20170214/한국-여성과-무슬림-남성의-결혼-무엇이-문제인가.htm")</f>
        <v>http://www.christiantoday.co.kr/articles/297288/20170214/한국-여성과-무슬림-남성의-결혼-무엇이-문제인가.htm</v>
      </c>
      <c r="H8772">
        <v>0.38500000000000001</v>
      </c>
    </row>
    <row r="8773" spans="1:8" x14ac:dyDescent="0.3">
      <c r="A8773" t="s">
        <v>18176</v>
      </c>
      <c r="B8773" t="s">
        <v>26951</v>
      </c>
      <c r="C8773" t="s">
        <v>22102</v>
      </c>
      <c r="D8773" t="s">
        <v>22101</v>
      </c>
      <c r="E8773" s="2" t="s">
        <v>105</v>
      </c>
      <c r="F8773" t="s">
        <v>11533</v>
      </c>
      <c r="G8773" t="str">
        <f>HYPERLINK("http://www.starnewsk.com/news/articleView.html?idxno=42091")</f>
        <v>http://www.starnewsk.com/news/articleView.html?idxno=42091</v>
      </c>
      <c r="H8773">
        <v>0.315</v>
      </c>
    </row>
    <row r="8774" spans="1:8" x14ac:dyDescent="0.3">
      <c r="A8774" t="s">
        <v>18176</v>
      </c>
      <c r="B8774" t="s">
        <v>26951</v>
      </c>
      <c r="C8774" t="s">
        <v>22104</v>
      </c>
      <c r="D8774" t="s">
        <v>22103</v>
      </c>
      <c r="E8774" s="2" t="s">
        <v>105</v>
      </c>
      <c r="F8774" t="s">
        <v>17998</v>
      </c>
      <c r="G8774" t="str">
        <f>HYPERLINK("https://www.jemin.com/news/articleView.html?idxno=817350")</f>
        <v>https://www.jemin.com/news/articleView.html?idxno=817350</v>
      </c>
      <c r="H8774">
        <v>0.55700000000000005</v>
      </c>
    </row>
    <row r="8775" spans="1:8" x14ac:dyDescent="0.3">
      <c r="A8775" t="s">
        <v>18176</v>
      </c>
      <c r="B8775" t="s">
        <v>26951</v>
      </c>
      <c r="C8775" t="s">
        <v>22106</v>
      </c>
      <c r="D8775" t="s">
        <v>22105</v>
      </c>
      <c r="E8775" s="2" t="s">
        <v>105</v>
      </c>
      <c r="F8775" t="s">
        <v>5342</v>
      </c>
      <c r="G8775" t="str">
        <f>HYPERLINK("https://www.dailysportshankook.co.kr/news/articleView.html?idxno=408623")</f>
        <v>https://www.dailysportshankook.co.kr/news/articleView.html?idxno=408623</v>
      </c>
      <c r="H8775">
        <v>0.623</v>
      </c>
    </row>
    <row r="8776" spans="1:8" x14ac:dyDescent="0.3">
      <c r="A8776" t="s">
        <v>18176</v>
      </c>
      <c r="B8776" t="s">
        <v>26951</v>
      </c>
      <c r="C8776" t="s">
        <v>22108</v>
      </c>
      <c r="D8776" t="s">
        <v>22107</v>
      </c>
      <c r="E8776" s="2" t="s">
        <v>105</v>
      </c>
      <c r="F8776" t="s">
        <v>9140</v>
      </c>
      <c r="G8776" t="str">
        <f>HYPERLINK("https://n.news.naver.com/mnews/article/056/0010429848?sid=104")</f>
        <v>https://n.news.naver.com/mnews/article/056/0010429848?sid=104</v>
      </c>
      <c r="H8776">
        <v>0.27400000000000002</v>
      </c>
    </row>
    <row r="8777" spans="1:8" x14ac:dyDescent="0.3">
      <c r="A8777" t="s">
        <v>18176</v>
      </c>
      <c r="B8777" t="s">
        <v>26951</v>
      </c>
      <c r="C8777" t="s">
        <v>22110</v>
      </c>
      <c r="D8777" t="s">
        <v>22109</v>
      </c>
      <c r="E8777" s="2" t="s">
        <v>105</v>
      </c>
      <c r="F8777" t="s">
        <v>12082</v>
      </c>
      <c r="G8777" t="str">
        <f>HYPERLINK("https://www.lecturernews.com/news/articleView.html?idxno=161258")</f>
        <v>https://www.lecturernews.com/news/articleView.html?idxno=161258</v>
      </c>
      <c r="H8777">
        <v>0.62</v>
      </c>
    </row>
    <row r="8778" spans="1:8" x14ac:dyDescent="0.3">
      <c r="A8778" t="s">
        <v>18176</v>
      </c>
      <c r="B8778" t="s">
        <v>26951</v>
      </c>
      <c r="C8778" t="s">
        <v>22112</v>
      </c>
      <c r="D8778" t="s">
        <v>22111</v>
      </c>
      <c r="E8778" s="2" t="s">
        <v>105</v>
      </c>
      <c r="F8778" t="s">
        <v>10506</v>
      </c>
      <c r="G8778" t="str">
        <f>HYPERLINK("http://www.lecturernews.com/news/articleView.html?idxno=77987")</f>
        <v>http://www.lecturernews.com/news/articleView.html?idxno=77987</v>
      </c>
      <c r="H8778">
        <v>0.16600000000000001</v>
      </c>
    </row>
    <row r="8779" spans="1:8" x14ac:dyDescent="0.3">
      <c r="A8779" t="s">
        <v>18176</v>
      </c>
      <c r="B8779" t="s">
        <v>26951</v>
      </c>
      <c r="C8779" t="s">
        <v>22114</v>
      </c>
      <c r="D8779" t="s">
        <v>22113</v>
      </c>
      <c r="E8779" s="2" t="s">
        <v>105</v>
      </c>
      <c r="F8779" t="s">
        <v>5342</v>
      </c>
      <c r="G8779" t="str">
        <f>HYPERLINK("https://www.dailysportshankook.co.kr/news/articleView.html?idxno=408624")</f>
        <v>https://www.dailysportshankook.co.kr/news/articleView.html?idxno=408624</v>
      </c>
      <c r="H8779">
        <v>0.60199999999999998</v>
      </c>
    </row>
    <row r="8780" spans="1:8" x14ac:dyDescent="0.3">
      <c r="A8780" t="s">
        <v>18176</v>
      </c>
      <c r="B8780" t="s">
        <v>26951</v>
      </c>
      <c r="C8780" t="s">
        <v>22116</v>
      </c>
      <c r="D8780" t="s">
        <v>22115</v>
      </c>
      <c r="E8780" s="2" t="s">
        <v>105</v>
      </c>
      <c r="F8780" t="s">
        <v>5342</v>
      </c>
      <c r="G8780" t="str">
        <f>HYPERLINK("https://n.news.naver.com/mnews/article/052/0002204763?sid=102")</f>
        <v>https://n.news.naver.com/mnews/article/052/0002204763?sid=102</v>
      </c>
      <c r="H8780">
        <v>0.23599999999999999</v>
      </c>
    </row>
    <row r="8781" spans="1:8" x14ac:dyDescent="0.3">
      <c r="A8781" t="s">
        <v>18176</v>
      </c>
      <c r="B8781" t="s">
        <v>26951</v>
      </c>
      <c r="C8781" t="s">
        <v>22118</v>
      </c>
      <c r="D8781" t="s">
        <v>22117</v>
      </c>
      <c r="E8781" s="2" t="s">
        <v>105</v>
      </c>
      <c r="F8781" t="s">
        <v>11393</v>
      </c>
      <c r="G8781" t="str">
        <f>HYPERLINK("https://www.vogue.co.kr/2021/07/19/msg%ec%9b%8c%eb%84%88%eb%b9%84%ec%97%ac-%ec%98%81%ec%9b%90%ed%95%98%eb%9d%bc/?utm_source=naver&amp;utm_medium=partnership")</f>
        <v>https://www.vogue.co.kr/2021/07/19/msg%ec%9b%8c%eb%84%88%eb%b9%84%ec%97%ac-%ec%98%81%ec%9b%90%ed%95%98%eb%9d%bc/?utm_source=naver&amp;utm_medium=partnership</v>
      </c>
      <c r="H8781">
        <v>0.49399999999999999</v>
      </c>
    </row>
    <row r="8782" spans="1:8" x14ac:dyDescent="0.3">
      <c r="A8782" t="s">
        <v>18176</v>
      </c>
      <c r="B8782" t="s">
        <v>26951</v>
      </c>
      <c r="C8782" t="s">
        <v>22121</v>
      </c>
      <c r="D8782" t="s">
        <v>22120</v>
      </c>
      <c r="E8782" s="2" t="s">
        <v>105</v>
      </c>
      <c r="F8782" t="s">
        <v>22119</v>
      </c>
      <c r="G8782" t="str">
        <f>HYPERLINK("https://n.news.naver.com/mnews/article/011/0002996074?sid=105")</f>
        <v>https://n.news.naver.com/mnews/article/011/0002996074?sid=105</v>
      </c>
      <c r="H8782">
        <v>0.23899999999999999</v>
      </c>
    </row>
    <row r="8783" spans="1:8" x14ac:dyDescent="0.3">
      <c r="A8783" t="s">
        <v>18176</v>
      </c>
      <c r="B8783" t="s">
        <v>26951</v>
      </c>
      <c r="C8783" t="s">
        <v>22123</v>
      </c>
      <c r="D8783" t="s">
        <v>22122</v>
      </c>
      <c r="E8783" s="2" t="s">
        <v>105</v>
      </c>
      <c r="F8783" t="s">
        <v>20991</v>
      </c>
      <c r="G8783" t="str">
        <f>HYPERLINK("https://www.beminor.com/news/articleView.html?idxno=27328")</f>
        <v>https://www.beminor.com/news/articleView.html?idxno=27328</v>
      </c>
      <c r="H8783">
        <v>0.03</v>
      </c>
    </row>
    <row r="8784" spans="1:8" x14ac:dyDescent="0.3">
      <c r="A8784" t="s">
        <v>18176</v>
      </c>
      <c r="B8784" t="s">
        <v>26951</v>
      </c>
      <c r="C8784" t="s">
        <v>22125</v>
      </c>
      <c r="D8784" t="s">
        <v>22124</v>
      </c>
      <c r="E8784" s="2" t="s">
        <v>105</v>
      </c>
      <c r="F8784" t="s">
        <v>21808</v>
      </c>
      <c r="G8784" t="str">
        <f>HYPERLINK("https://www.cwn.kr/news/articleView.html?idxno=28133")</f>
        <v>https://www.cwn.kr/news/articleView.html?idxno=28133</v>
      </c>
      <c r="H8784">
        <v>0.64400000000000002</v>
      </c>
    </row>
    <row r="8785" spans="1:8" x14ac:dyDescent="0.3">
      <c r="A8785" t="s">
        <v>18176</v>
      </c>
      <c r="B8785" t="s">
        <v>26951</v>
      </c>
      <c r="C8785" t="s">
        <v>22127</v>
      </c>
      <c r="D8785" t="s">
        <v>22126</v>
      </c>
      <c r="E8785" s="2" t="s">
        <v>105</v>
      </c>
      <c r="F8785" t="s">
        <v>8560</v>
      </c>
      <c r="G8785" t="str">
        <f>HYPERLINK("https://n.news.naver.com/mnews/article/057/0001876244?sid=102")</f>
        <v>https://n.news.naver.com/mnews/article/057/0001876244?sid=102</v>
      </c>
      <c r="H8785">
        <v>0.14499999999999999</v>
      </c>
    </row>
    <row r="8786" spans="1:8" x14ac:dyDescent="0.3">
      <c r="A8786" t="s">
        <v>18176</v>
      </c>
      <c r="B8786" t="s">
        <v>26951</v>
      </c>
      <c r="C8786" t="s">
        <v>22130</v>
      </c>
      <c r="D8786" t="s">
        <v>22129</v>
      </c>
      <c r="E8786" s="2" t="s">
        <v>105</v>
      </c>
      <c r="F8786" t="s">
        <v>22128</v>
      </c>
      <c r="G8786" t="str">
        <f>HYPERLINK("https://n.news.naver.com/mnews/article/214/0001138526?sid=100")</f>
        <v>https://n.news.naver.com/mnews/article/214/0001138526?sid=100</v>
      </c>
      <c r="H8786">
        <v>0.45600000000000002</v>
      </c>
    </row>
    <row r="8787" spans="1:8" x14ac:dyDescent="0.3">
      <c r="A8787" t="s">
        <v>18176</v>
      </c>
      <c r="B8787" t="s">
        <v>26951</v>
      </c>
      <c r="C8787" t="s">
        <v>22133</v>
      </c>
      <c r="D8787" t="s">
        <v>22132</v>
      </c>
      <c r="E8787" s="2" t="s">
        <v>105</v>
      </c>
      <c r="F8787" t="s">
        <v>22131</v>
      </c>
      <c r="G8787" t="str">
        <f>HYPERLINK("https://www.incheontoday.com/news/articleView.html?idxno=304658")</f>
        <v>https://www.incheontoday.com/news/articleView.html?idxno=304658</v>
      </c>
      <c r="H8787">
        <v>0.35599999999999998</v>
      </c>
    </row>
    <row r="8788" spans="1:8" x14ac:dyDescent="0.3">
      <c r="A8788" t="s">
        <v>18176</v>
      </c>
      <c r="B8788" t="s">
        <v>26951</v>
      </c>
      <c r="C8788" t="s">
        <v>22135</v>
      </c>
      <c r="D8788" t="s">
        <v>22134</v>
      </c>
      <c r="E8788" s="2" t="s">
        <v>105</v>
      </c>
      <c r="F8788" t="s">
        <v>7465</v>
      </c>
      <c r="G8788" t="str">
        <f>HYPERLINK("https://www.goodkyung.com/news/articleView.html?idxno=264404")</f>
        <v>https://www.goodkyung.com/news/articleView.html?idxno=264404</v>
      </c>
      <c r="H8788">
        <v>0.14099999999999999</v>
      </c>
    </row>
    <row r="8789" spans="1:8" x14ac:dyDescent="0.3">
      <c r="A8789" t="s">
        <v>18176</v>
      </c>
      <c r="B8789" t="s">
        <v>26951</v>
      </c>
      <c r="C8789" t="s">
        <v>22137</v>
      </c>
      <c r="D8789" t="s">
        <v>22136</v>
      </c>
      <c r="E8789" s="2" t="s">
        <v>105</v>
      </c>
      <c r="F8789" t="s">
        <v>10678</v>
      </c>
      <c r="G8789" t="str">
        <f>HYPERLINK("http://www.yeongnam.com/mnews/newsview.do?mode=newsView&amp;newskey=20170106.010220754420001")</f>
        <v>http://www.yeongnam.com/mnews/newsview.do?mode=newsView&amp;newskey=20170106.010220754420001</v>
      </c>
      <c r="H8789">
        <v>0.54100000000000004</v>
      </c>
    </row>
    <row r="8790" spans="1:8" x14ac:dyDescent="0.3">
      <c r="A8790" t="s">
        <v>18176</v>
      </c>
      <c r="B8790" t="s">
        <v>26951</v>
      </c>
      <c r="C8790" t="s">
        <v>22140</v>
      </c>
      <c r="D8790" t="s">
        <v>22139</v>
      </c>
      <c r="E8790" s="2" t="s">
        <v>133</v>
      </c>
      <c r="F8790" t="s">
        <v>22138</v>
      </c>
      <c r="G8790" t="str">
        <f>HYPERLINK("http://www.newsway.co.kr/view.php?tp=1&amp;ud=2016050414004359318")</f>
        <v>http://www.newsway.co.kr/view.php?tp=1&amp;ud=2016050414004359318</v>
      </c>
      <c r="H8790">
        <v>0.17499999999999999</v>
      </c>
    </row>
    <row r="8791" spans="1:8" x14ac:dyDescent="0.3">
      <c r="A8791" t="s">
        <v>18176</v>
      </c>
      <c r="B8791" t="s">
        <v>26951</v>
      </c>
      <c r="C8791" t="s">
        <v>22143</v>
      </c>
      <c r="D8791" t="s">
        <v>22142</v>
      </c>
      <c r="E8791" s="2" t="s">
        <v>133</v>
      </c>
      <c r="F8791" t="s">
        <v>22141</v>
      </c>
      <c r="G8791" t="str">
        <f>HYPERLINK("https://www.idomin.com/news/articleView.html?idxno=923570")</f>
        <v>https://www.idomin.com/news/articleView.html?idxno=923570</v>
      </c>
      <c r="H8791">
        <v>0.44800000000000001</v>
      </c>
    </row>
    <row r="8792" spans="1:8" x14ac:dyDescent="0.3">
      <c r="A8792" t="s">
        <v>18176</v>
      </c>
      <c r="B8792" t="s">
        <v>26951</v>
      </c>
      <c r="C8792" t="s">
        <v>22146</v>
      </c>
      <c r="D8792" t="s">
        <v>22145</v>
      </c>
      <c r="E8792" s="2" t="s">
        <v>133</v>
      </c>
      <c r="F8792" t="s">
        <v>22144</v>
      </c>
      <c r="G8792" t="str">
        <f>HYPERLINK("https://www.lecturernews.com/news/articleView.html?idxno=156668")</f>
        <v>https://www.lecturernews.com/news/articleView.html?idxno=156668</v>
      </c>
      <c r="H8792">
        <v>0.35199999999999998</v>
      </c>
    </row>
    <row r="8793" spans="1:8" x14ac:dyDescent="0.3">
      <c r="A8793" t="s">
        <v>18176</v>
      </c>
      <c r="B8793" t="s">
        <v>26951</v>
      </c>
      <c r="C8793" t="s">
        <v>22149</v>
      </c>
      <c r="D8793" t="s">
        <v>22148</v>
      </c>
      <c r="E8793" s="2" t="s">
        <v>133</v>
      </c>
      <c r="F8793" t="s">
        <v>22147</v>
      </c>
      <c r="G8793" t="str">
        <f>HYPERLINK("http://www.jbsori.com/news/articleView.html?idxno=13774")</f>
        <v>http://www.jbsori.com/news/articleView.html?idxno=13774</v>
      </c>
      <c r="H8793">
        <v>0.36099999999999999</v>
      </c>
    </row>
    <row r="8794" spans="1:8" x14ac:dyDescent="0.3">
      <c r="A8794" t="s">
        <v>18176</v>
      </c>
      <c r="B8794" t="s">
        <v>26951</v>
      </c>
      <c r="C8794" t="s">
        <v>22152</v>
      </c>
      <c r="D8794" t="s">
        <v>22151</v>
      </c>
      <c r="E8794" s="2" t="s">
        <v>133</v>
      </c>
      <c r="F8794" t="s">
        <v>22150</v>
      </c>
      <c r="G8794" t="str">
        <f>HYPERLINK("https://www.newspim.com/news/view/20250625000936")</f>
        <v>https://www.newspim.com/news/view/20250625000936</v>
      </c>
      <c r="H8794">
        <v>0.314</v>
      </c>
    </row>
    <row r="8795" spans="1:8" x14ac:dyDescent="0.3">
      <c r="A8795" t="s">
        <v>18176</v>
      </c>
      <c r="B8795" t="s">
        <v>26951</v>
      </c>
      <c r="C8795" t="s">
        <v>22155</v>
      </c>
      <c r="D8795" t="s">
        <v>22154</v>
      </c>
      <c r="E8795" s="2" t="s">
        <v>133</v>
      </c>
      <c r="F8795" t="s">
        <v>22153</v>
      </c>
      <c r="G8795" t="str">
        <f>HYPERLINK("http://www.jbsori.com/news/articleView.html?idxno=14016")</f>
        <v>http://www.jbsori.com/news/articleView.html?idxno=14016</v>
      </c>
      <c r="H8795">
        <v>0.25</v>
      </c>
    </row>
    <row r="8796" spans="1:8" x14ac:dyDescent="0.3">
      <c r="A8796" t="s">
        <v>18176</v>
      </c>
      <c r="B8796" t="s">
        <v>26951</v>
      </c>
      <c r="C8796" t="s">
        <v>22158</v>
      </c>
      <c r="D8796" t="s">
        <v>22157</v>
      </c>
      <c r="E8796" s="2" t="s">
        <v>133</v>
      </c>
      <c r="F8796" t="s">
        <v>22156</v>
      </c>
      <c r="G8796" t="str">
        <f>HYPERLINK("http://www.dynews.co.kr/news/articleView.html?idxno=225830")</f>
        <v>http://www.dynews.co.kr/news/articleView.html?idxno=225830</v>
      </c>
      <c r="H8796">
        <v>0.50600000000000001</v>
      </c>
    </row>
    <row r="8797" spans="1:8" x14ac:dyDescent="0.3">
      <c r="A8797" t="s">
        <v>18176</v>
      </c>
      <c r="B8797" t="s">
        <v>26951</v>
      </c>
      <c r="C8797" t="s">
        <v>22160</v>
      </c>
      <c r="D8797" t="s">
        <v>22159</v>
      </c>
      <c r="E8797" s="2" t="s">
        <v>133</v>
      </c>
      <c r="F8797" t="s">
        <v>15513</v>
      </c>
      <c r="G8797" t="str">
        <f>HYPERLINK("https://n.news.naver.com/mnews/article/056/0011978749?sid=100")</f>
        <v>https://n.news.naver.com/mnews/article/056/0011978749?sid=100</v>
      </c>
      <c r="H8797">
        <v>0.106</v>
      </c>
    </row>
    <row r="8798" spans="1:8" x14ac:dyDescent="0.3">
      <c r="A8798" t="s">
        <v>18176</v>
      </c>
      <c r="B8798" t="s">
        <v>26951</v>
      </c>
      <c r="C8798" t="s">
        <v>22162</v>
      </c>
      <c r="D8798" t="s">
        <v>22161</v>
      </c>
      <c r="E8798" s="2" t="s">
        <v>133</v>
      </c>
      <c r="F8798" t="s">
        <v>3329</v>
      </c>
      <c r="G8798" t="str">
        <f>HYPERLINK("https://www.lecturernews.com/news/articleView.html?idxno=181285")</f>
        <v>https://www.lecturernews.com/news/articleView.html?idxno=181285</v>
      </c>
      <c r="H8798">
        <v>0.56499999999999995</v>
      </c>
    </row>
    <row r="8799" spans="1:8" x14ac:dyDescent="0.3">
      <c r="A8799" t="s">
        <v>18176</v>
      </c>
      <c r="B8799" t="s">
        <v>26951</v>
      </c>
      <c r="C8799" t="s">
        <v>22164</v>
      </c>
      <c r="D8799" t="s">
        <v>22163</v>
      </c>
      <c r="E8799" s="2" t="s">
        <v>133</v>
      </c>
      <c r="F8799" t="s">
        <v>9234</v>
      </c>
      <c r="G8799" t="str">
        <f>HYPERLINK("http://www.jbsori.com/news/articleView.html?idxno=11802")</f>
        <v>http://www.jbsori.com/news/articleView.html?idxno=11802</v>
      </c>
      <c r="H8799">
        <v>0.45</v>
      </c>
    </row>
    <row r="8800" spans="1:8" x14ac:dyDescent="0.3">
      <c r="A8800" t="s">
        <v>18176</v>
      </c>
      <c r="B8800" t="s">
        <v>26951</v>
      </c>
      <c r="C8800" t="s">
        <v>22167</v>
      </c>
      <c r="D8800" t="s">
        <v>22166</v>
      </c>
      <c r="E8800" s="2" t="s">
        <v>133</v>
      </c>
      <c r="F8800" t="s">
        <v>22165</v>
      </c>
      <c r="G8800" t="str">
        <f>HYPERLINK("https://www.jemin.com/news/articleView.html?idxno=799374")</f>
        <v>https://www.jemin.com/news/articleView.html?idxno=799374</v>
      </c>
      <c r="H8800">
        <v>0.20100000000000001</v>
      </c>
    </row>
    <row r="8801" spans="1:8" x14ac:dyDescent="0.3">
      <c r="A8801" t="s">
        <v>18176</v>
      </c>
      <c r="B8801" t="s">
        <v>26951</v>
      </c>
      <c r="C8801" t="s">
        <v>22170</v>
      </c>
      <c r="D8801" t="s">
        <v>22169</v>
      </c>
      <c r="E8801" s="2" t="s">
        <v>133</v>
      </c>
      <c r="F8801" t="s">
        <v>22168</v>
      </c>
      <c r="G8801" t="str">
        <f>HYPERLINK("https://n.news.naver.com/mnews/article/056/0010653823?sid=103")</f>
        <v>https://n.news.naver.com/mnews/article/056/0010653823?sid=103</v>
      </c>
      <c r="H8801">
        <v>0.104</v>
      </c>
    </row>
    <row r="8802" spans="1:8" x14ac:dyDescent="0.3">
      <c r="A8802" t="s">
        <v>18176</v>
      </c>
      <c r="B8802" t="s">
        <v>26951</v>
      </c>
      <c r="C8802" t="s">
        <v>22173</v>
      </c>
      <c r="D8802" t="s">
        <v>22172</v>
      </c>
      <c r="E8802" s="2" t="s">
        <v>133</v>
      </c>
      <c r="F8802" t="s">
        <v>22171</v>
      </c>
      <c r="G8802" t="str">
        <f>HYPERLINK("https://www.pennmike.com/news/articleView.html?idxno=91791")</f>
        <v>https://www.pennmike.com/news/articleView.html?idxno=91791</v>
      </c>
      <c r="H8802">
        <v>0.54700000000000004</v>
      </c>
    </row>
    <row r="8803" spans="1:8" x14ac:dyDescent="0.3">
      <c r="A8803" t="s">
        <v>18176</v>
      </c>
      <c r="B8803" t="s">
        <v>26951</v>
      </c>
      <c r="C8803" t="s">
        <v>22176</v>
      </c>
      <c r="D8803" t="s">
        <v>22175</v>
      </c>
      <c r="E8803" s="2" t="s">
        <v>133</v>
      </c>
      <c r="F8803" t="s">
        <v>22174</v>
      </c>
      <c r="G8803" t="str">
        <f>HYPERLINK("http://www.iminju.net/news/articleView.html?idxno=132108")</f>
        <v>http://www.iminju.net/news/articleView.html?idxno=132108</v>
      </c>
      <c r="H8803">
        <v>0.96799999999999997</v>
      </c>
    </row>
    <row r="8804" spans="1:8" x14ac:dyDescent="0.3">
      <c r="A8804" t="s">
        <v>18176</v>
      </c>
      <c r="B8804" t="s">
        <v>26951</v>
      </c>
      <c r="C8804" t="s">
        <v>22179</v>
      </c>
      <c r="D8804" t="s">
        <v>22178</v>
      </c>
      <c r="E8804" s="2" t="s">
        <v>133</v>
      </c>
      <c r="F8804" t="s">
        <v>22177</v>
      </c>
      <c r="G8804" t="str">
        <f>HYPERLINK("https://www.getnews.co.kr/news/articleView.html?idxno=825903")</f>
        <v>https://www.getnews.co.kr/news/articleView.html?idxno=825903</v>
      </c>
      <c r="H8804">
        <v>0.35</v>
      </c>
    </row>
    <row r="8805" spans="1:8" x14ac:dyDescent="0.3">
      <c r="A8805" t="s">
        <v>18176</v>
      </c>
      <c r="B8805" t="s">
        <v>26951</v>
      </c>
      <c r="C8805" t="s">
        <v>22181</v>
      </c>
      <c r="D8805" t="s">
        <v>22180</v>
      </c>
      <c r="E8805" s="2" t="s">
        <v>133</v>
      </c>
      <c r="F8805" t="s">
        <v>12458</v>
      </c>
      <c r="G8805" t="str">
        <f>HYPERLINK("http://www.lecturernews.com/news/articleView.html?idxno=104287")</f>
        <v>http://www.lecturernews.com/news/articleView.html?idxno=104287</v>
      </c>
      <c r="H8805">
        <v>0.59199999999999997</v>
      </c>
    </row>
    <row r="8806" spans="1:8" x14ac:dyDescent="0.3">
      <c r="A8806" t="s">
        <v>18176</v>
      </c>
      <c r="B8806" t="s">
        <v>26951</v>
      </c>
      <c r="C8806" t="s">
        <v>22183</v>
      </c>
      <c r="D8806" t="s">
        <v>22182</v>
      </c>
      <c r="E8806" s="2" t="s">
        <v>133</v>
      </c>
      <c r="F8806" t="s">
        <v>18783</v>
      </c>
      <c r="G8806" t="str">
        <f>HYPERLINK("https://www.kukinews.com/article/view/kuk202506300088")</f>
        <v>https://www.kukinews.com/article/view/kuk202506300088</v>
      </c>
      <c r="H8806">
        <v>0.222</v>
      </c>
    </row>
    <row r="8807" spans="1:8" x14ac:dyDescent="0.3">
      <c r="A8807" t="s">
        <v>18176</v>
      </c>
      <c r="B8807" t="s">
        <v>26951</v>
      </c>
      <c r="C8807" t="s">
        <v>22186</v>
      </c>
      <c r="D8807" t="s">
        <v>22185</v>
      </c>
      <c r="E8807" s="2" t="s">
        <v>133</v>
      </c>
      <c r="F8807" t="s">
        <v>22184</v>
      </c>
      <c r="G8807" t="str">
        <f>HYPERLINK("https://www.viva100.com/main/view.php?key=20220803010000877")</f>
        <v>https://www.viva100.com/main/view.php?key=20220803010000877</v>
      </c>
      <c r="H8807">
        <v>0.34</v>
      </c>
    </row>
    <row r="8808" spans="1:8" x14ac:dyDescent="0.3">
      <c r="A8808" t="s">
        <v>18176</v>
      </c>
      <c r="B8808" t="s">
        <v>26951</v>
      </c>
      <c r="C8808" t="s">
        <v>22189</v>
      </c>
      <c r="D8808" t="s">
        <v>22188</v>
      </c>
      <c r="E8808" s="2" t="s">
        <v>133</v>
      </c>
      <c r="F8808" t="s">
        <v>22187</v>
      </c>
      <c r="G8808" t="str">
        <f>HYPERLINK("https://www.huffingtonpost.kr/entry/yoo-si-min-feminism_kr_62293d60e4b0296158362e3c?utm_id=naver")</f>
        <v>https://www.huffingtonpost.kr/entry/yoo-si-min-feminism_kr_62293d60e4b0296158362e3c?utm_id=naver</v>
      </c>
      <c r="H8808">
        <v>0.26</v>
      </c>
    </row>
    <row r="8809" spans="1:8" x14ac:dyDescent="0.3">
      <c r="A8809" t="s">
        <v>18176</v>
      </c>
      <c r="B8809" t="s">
        <v>26951</v>
      </c>
      <c r="C8809" t="s">
        <v>22191</v>
      </c>
      <c r="D8809" t="s">
        <v>22190</v>
      </c>
      <c r="E8809" s="2" t="s">
        <v>133</v>
      </c>
      <c r="F8809" t="s">
        <v>1327</v>
      </c>
      <c r="G8809" t="str">
        <f>HYPERLINK("https://n.news.naver.com/mnews/article/018/0006053937?sid=105")</f>
        <v>https://n.news.naver.com/mnews/article/018/0006053937?sid=105</v>
      </c>
      <c r="H8809">
        <v>0.253</v>
      </c>
    </row>
    <row r="8810" spans="1:8" x14ac:dyDescent="0.3">
      <c r="A8810" t="s">
        <v>18176</v>
      </c>
      <c r="B8810" t="s">
        <v>26951</v>
      </c>
      <c r="C8810" t="s">
        <v>22194</v>
      </c>
      <c r="D8810" t="s">
        <v>22193</v>
      </c>
      <c r="E8810" s="2" t="s">
        <v>133</v>
      </c>
      <c r="F8810" t="s">
        <v>22192</v>
      </c>
      <c r="G8810" t="str">
        <f>HYPERLINK("https://n.news.naver.com/mnews/article/005/0000854582?sid=103")</f>
        <v>https://n.news.naver.com/mnews/article/005/0000854582?sid=103</v>
      </c>
      <c r="H8810">
        <v>0.317</v>
      </c>
    </row>
    <row r="8811" spans="1:8" x14ac:dyDescent="0.3">
      <c r="A8811" t="s">
        <v>18176</v>
      </c>
      <c r="B8811" t="s">
        <v>26951</v>
      </c>
      <c r="C8811" t="s">
        <v>22197</v>
      </c>
      <c r="D8811" t="s">
        <v>22196</v>
      </c>
      <c r="E8811" s="2" t="s">
        <v>133</v>
      </c>
      <c r="F8811" t="s">
        <v>22195</v>
      </c>
      <c r="G8811" t="str">
        <f>HYPERLINK("https://n.news.naver.com/mnews/article/079/0004040425?sid=102")</f>
        <v>https://n.news.naver.com/mnews/article/079/0004040425?sid=102</v>
      </c>
      <c r="H8811">
        <v>0.34399999999999997</v>
      </c>
    </row>
    <row r="8812" spans="1:8" x14ac:dyDescent="0.3">
      <c r="A8812" t="s">
        <v>18176</v>
      </c>
      <c r="B8812" t="s">
        <v>26951</v>
      </c>
      <c r="C8812" t="s">
        <v>22200</v>
      </c>
      <c r="D8812" t="s">
        <v>22199</v>
      </c>
      <c r="E8812" s="2" t="s">
        <v>133</v>
      </c>
      <c r="F8812" t="s">
        <v>22198</v>
      </c>
      <c r="G8812" t="str">
        <f>HYPERLINK("http://www.ktsketch.co.kr/news/articleView.html?idxno=8465")</f>
        <v>http://www.ktsketch.co.kr/news/articleView.html?idxno=8465</v>
      </c>
      <c r="H8812">
        <v>0.39</v>
      </c>
    </row>
    <row r="8813" spans="1:8" x14ac:dyDescent="0.3">
      <c r="A8813" t="s">
        <v>18176</v>
      </c>
      <c r="B8813" t="s">
        <v>26951</v>
      </c>
      <c r="C8813" t="s">
        <v>22203</v>
      </c>
      <c r="D8813" t="s">
        <v>22202</v>
      </c>
      <c r="E8813" s="2" t="s">
        <v>133</v>
      </c>
      <c r="F8813" t="s">
        <v>22201</v>
      </c>
      <c r="G8813" t="str">
        <f>HYPERLINK("http://www.samdailbo.com/news/articleView.html?idxno=240257")</f>
        <v>http://www.samdailbo.com/news/articleView.html?idxno=240257</v>
      </c>
      <c r="H8813">
        <v>0.61899999999999999</v>
      </c>
    </row>
    <row r="8814" spans="1:8" x14ac:dyDescent="0.3">
      <c r="A8814" t="s">
        <v>18176</v>
      </c>
      <c r="B8814" t="s">
        <v>26951</v>
      </c>
      <c r="C8814" t="s">
        <v>22205</v>
      </c>
      <c r="D8814" t="s">
        <v>22204</v>
      </c>
      <c r="E8814" s="2" t="s">
        <v>133</v>
      </c>
      <c r="F8814" t="s">
        <v>12600</v>
      </c>
      <c r="G8814" t="str">
        <f>HYPERLINK("https://radio.ytn.co.kr/program/?f=2&amp;id=85833&amp;s_mcd=0452&amp;s_hcd=01")</f>
        <v>https://radio.ytn.co.kr/program/?f=2&amp;id=85833&amp;s_mcd=0452&amp;s_hcd=01</v>
      </c>
      <c r="H8814">
        <v>0.372</v>
      </c>
    </row>
    <row r="8815" spans="1:8" x14ac:dyDescent="0.3">
      <c r="A8815" t="s">
        <v>18176</v>
      </c>
      <c r="B8815" t="s">
        <v>26951</v>
      </c>
      <c r="C8815" t="s">
        <v>22207</v>
      </c>
      <c r="D8815" t="s">
        <v>22206</v>
      </c>
      <c r="E8815" s="2" t="s">
        <v>133</v>
      </c>
      <c r="F8815" t="s">
        <v>14183</v>
      </c>
      <c r="G8815" t="str">
        <f>HYPERLINK("http://www.sjbnews.com/news/articleView.html?idxno=608571")</f>
        <v>http://www.sjbnews.com/news/articleView.html?idxno=608571</v>
      </c>
      <c r="H8815">
        <v>0.61899999999999999</v>
      </c>
    </row>
    <row r="8816" spans="1:8" x14ac:dyDescent="0.3">
      <c r="A8816" t="s">
        <v>18176</v>
      </c>
      <c r="B8816" t="s">
        <v>26951</v>
      </c>
      <c r="C8816" t="s">
        <v>22210</v>
      </c>
      <c r="D8816" t="s">
        <v>22209</v>
      </c>
      <c r="E8816" s="2" t="s">
        <v>133</v>
      </c>
      <c r="F8816" t="s">
        <v>22208</v>
      </c>
      <c r="G8816" t="str">
        <f>HYPERLINK("http://www.dynews.co.kr/news/articleView.html?idxno=804520")</f>
        <v>http://www.dynews.co.kr/news/articleView.html?idxno=804520</v>
      </c>
      <c r="H8816">
        <v>0.41799999999999998</v>
      </c>
    </row>
    <row r="8817" spans="1:8" x14ac:dyDescent="0.3">
      <c r="A8817" t="s">
        <v>18176</v>
      </c>
      <c r="B8817" t="s">
        <v>26951</v>
      </c>
      <c r="C8817" t="s">
        <v>22213</v>
      </c>
      <c r="D8817" t="s">
        <v>22212</v>
      </c>
      <c r="E8817" s="2" t="s">
        <v>133</v>
      </c>
      <c r="F8817" t="s">
        <v>22211</v>
      </c>
      <c r="G8817" t="str">
        <f>HYPERLINK("https://www.safetimes.co.kr/news/articleView.html?idxno=231372")</f>
        <v>https://www.safetimes.co.kr/news/articleView.html?idxno=231372</v>
      </c>
      <c r="H8817">
        <v>5.8999999999999997E-2</v>
      </c>
    </row>
    <row r="8818" spans="1:8" x14ac:dyDescent="0.3">
      <c r="A8818" t="s">
        <v>18176</v>
      </c>
      <c r="B8818" t="s">
        <v>26951</v>
      </c>
      <c r="C8818" t="s">
        <v>22216</v>
      </c>
      <c r="D8818" t="s">
        <v>22215</v>
      </c>
      <c r="E8818" s="2" t="s">
        <v>133</v>
      </c>
      <c r="F8818" t="s">
        <v>22214</v>
      </c>
      <c r="G8818" t="str">
        <f>HYPERLINK("http://ch.yes24.com/Article/View/35904")</f>
        <v>http://ch.yes24.com/Article/View/35904</v>
      </c>
      <c r="H8818">
        <v>0.51800000000000002</v>
      </c>
    </row>
    <row r="8819" spans="1:8" x14ac:dyDescent="0.3">
      <c r="A8819" t="s">
        <v>18176</v>
      </c>
      <c r="B8819" t="s">
        <v>26951</v>
      </c>
      <c r="C8819" t="s">
        <v>22218</v>
      </c>
      <c r="D8819" t="s">
        <v>22217</v>
      </c>
      <c r="E8819" s="2" t="s">
        <v>133</v>
      </c>
      <c r="F8819" t="s">
        <v>11424</v>
      </c>
      <c r="G8819" t="str">
        <f>HYPERLINK("https://www.kpinews.kr/newsView/1065575406420927")</f>
        <v>https://www.kpinews.kr/newsView/1065575406420927</v>
      </c>
      <c r="H8819">
        <v>0.28199999999999997</v>
      </c>
    </row>
    <row r="8820" spans="1:8" x14ac:dyDescent="0.3">
      <c r="A8820" t="s">
        <v>18176</v>
      </c>
      <c r="B8820" t="s">
        <v>26951</v>
      </c>
      <c r="C8820" t="s">
        <v>22220</v>
      </c>
      <c r="D8820" t="s">
        <v>22219</v>
      </c>
      <c r="E8820" s="2" t="s">
        <v>133</v>
      </c>
      <c r="F8820" t="s">
        <v>12458</v>
      </c>
      <c r="G8820" t="str">
        <f>HYPERLINK("http://www.ikoreanspirit.com/news/articleView.html?idxno=72432")</f>
        <v>http://www.ikoreanspirit.com/news/articleView.html?idxno=72432</v>
      </c>
      <c r="H8820">
        <v>0.6</v>
      </c>
    </row>
    <row r="8821" spans="1:8" x14ac:dyDescent="0.3">
      <c r="A8821" t="s">
        <v>18176</v>
      </c>
      <c r="B8821" t="s">
        <v>26951</v>
      </c>
      <c r="C8821" t="s">
        <v>22222</v>
      </c>
      <c r="D8821" t="s">
        <v>22221</v>
      </c>
      <c r="E8821" s="2" t="s">
        <v>133</v>
      </c>
      <c r="F8821" t="s">
        <v>175</v>
      </c>
      <c r="G8821" t="str">
        <f>HYPERLINK("http://ilyo.co.kr/?ac=article_view&amp;entry_id=327616")</f>
        <v>http://ilyo.co.kr/?ac=article_view&amp;entry_id=327616</v>
      </c>
      <c r="H8821">
        <v>7.3999999999999996E-2</v>
      </c>
    </row>
    <row r="8822" spans="1:8" x14ac:dyDescent="0.3">
      <c r="A8822" t="s">
        <v>18176</v>
      </c>
      <c r="B8822" t="s">
        <v>26951</v>
      </c>
      <c r="C8822" t="s">
        <v>22224</v>
      </c>
      <c r="D8822" t="s">
        <v>22223</v>
      </c>
      <c r="E8822" s="2" t="s">
        <v>133</v>
      </c>
      <c r="F8822" t="s">
        <v>16402</v>
      </c>
      <c r="G8822" t="str">
        <f>HYPERLINK("https://www.cwn.kr/news/articleView.html?idxno=28133")</f>
        <v>https://www.cwn.kr/news/articleView.html?idxno=28133</v>
      </c>
      <c r="H8822">
        <v>0.64800000000000002</v>
      </c>
    </row>
    <row r="8823" spans="1:8" x14ac:dyDescent="0.3">
      <c r="A8823" t="s">
        <v>18176</v>
      </c>
      <c r="B8823" t="s">
        <v>26951</v>
      </c>
      <c r="C8823" t="s">
        <v>22226</v>
      </c>
      <c r="D8823" t="s">
        <v>22225</v>
      </c>
      <c r="E8823" s="2" t="s">
        <v>133</v>
      </c>
      <c r="F8823" t="s">
        <v>13669</v>
      </c>
      <c r="G8823" t="str">
        <f>HYPERLINK("http://www.namdonews.com/news/articleView.html?idxno=808123")</f>
        <v>http://www.namdonews.com/news/articleView.html?idxno=808123</v>
      </c>
      <c r="H8823">
        <v>0.64700000000000002</v>
      </c>
    </row>
    <row r="8824" spans="1:8" x14ac:dyDescent="0.3">
      <c r="A8824" t="s">
        <v>18176</v>
      </c>
      <c r="B8824" t="s">
        <v>26951</v>
      </c>
      <c r="C8824" t="s">
        <v>22228</v>
      </c>
      <c r="D8824" t="s">
        <v>22227</v>
      </c>
      <c r="E8824" s="2" t="s">
        <v>133</v>
      </c>
      <c r="F8824" t="s">
        <v>20324</v>
      </c>
      <c r="G8824" t="str">
        <f>HYPERLINK("http://www.kbmaeil.com/news/articleView.html?idxno=820602")</f>
        <v>http://www.kbmaeil.com/news/articleView.html?idxno=820602</v>
      </c>
      <c r="H8824">
        <v>0.67800000000000005</v>
      </c>
    </row>
    <row r="8825" spans="1:8" x14ac:dyDescent="0.3">
      <c r="A8825" t="s">
        <v>18176</v>
      </c>
      <c r="B8825" t="s">
        <v>26951</v>
      </c>
      <c r="C8825" t="s">
        <v>22231</v>
      </c>
      <c r="D8825" t="s">
        <v>22230</v>
      </c>
      <c r="E8825" s="2" t="s">
        <v>133</v>
      </c>
      <c r="F8825" t="s">
        <v>22229</v>
      </c>
      <c r="G8825" t="str">
        <f>HYPERLINK("https://www.jemin.com/news/articleView.html?idxno=799374")</f>
        <v>https://www.jemin.com/news/articleView.html?idxno=799374</v>
      </c>
      <c r="H8825">
        <v>0.16600000000000001</v>
      </c>
    </row>
    <row r="8826" spans="1:8" x14ac:dyDescent="0.3">
      <c r="A8826" t="s">
        <v>18176</v>
      </c>
      <c r="B8826" t="s">
        <v>26951</v>
      </c>
      <c r="C8826" t="s">
        <v>22234</v>
      </c>
      <c r="D8826" t="s">
        <v>22233</v>
      </c>
      <c r="E8826" s="2" t="s">
        <v>133</v>
      </c>
      <c r="F8826" t="s">
        <v>22232</v>
      </c>
      <c r="G8826" t="str">
        <f>HYPERLINK("https://sports.hankooki.com/news/articleView.html?idxno=6902310")</f>
        <v>https://sports.hankooki.com/news/articleView.html?idxno=6902310</v>
      </c>
      <c r="H8826">
        <v>0.28699999999999998</v>
      </c>
    </row>
    <row r="8827" spans="1:8" x14ac:dyDescent="0.3">
      <c r="A8827" t="s">
        <v>18176</v>
      </c>
      <c r="B8827" t="s">
        <v>26951</v>
      </c>
      <c r="C8827" t="s">
        <v>22237</v>
      </c>
      <c r="D8827" t="s">
        <v>22236</v>
      </c>
      <c r="E8827" s="2" t="s">
        <v>133</v>
      </c>
      <c r="F8827" t="s">
        <v>22235</v>
      </c>
      <c r="G8827" t="str">
        <f>HYPERLINK("https://news.bbsi.co.kr/news/articleView.html?idxno=4029959")</f>
        <v>https://news.bbsi.co.kr/news/articleView.html?idxno=4029959</v>
      </c>
      <c r="H8827">
        <v>0.46600000000000003</v>
      </c>
    </row>
    <row r="8828" spans="1:8" x14ac:dyDescent="0.3">
      <c r="A8828" t="s">
        <v>18176</v>
      </c>
      <c r="B8828" t="s">
        <v>26951</v>
      </c>
      <c r="C8828" t="s">
        <v>13598</v>
      </c>
      <c r="D8828" t="s">
        <v>13597</v>
      </c>
      <c r="E8828" s="2" t="s">
        <v>133</v>
      </c>
      <c r="F8828" t="s">
        <v>13596</v>
      </c>
      <c r="G8828" t="str">
        <f>HYPERLINK("https://n.news.naver.com/mnews/article/081/0003467669?sid=102")</f>
        <v>https://n.news.naver.com/mnews/article/081/0003467669?sid=102</v>
      </c>
      <c r="H8828">
        <v>0.26200000000000001</v>
      </c>
    </row>
    <row r="8829" spans="1:8" x14ac:dyDescent="0.3">
      <c r="A8829" t="s">
        <v>18176</v>
      </c>
      <c r="B8829" t="s">
        <v>26951</v>
      </c>
      <c r="C8829" t="s">
        <v>22240</v>
      </c>
      <c r="D8829" t="s">
        <v>22239</v>
      </c>
      <c r="E8829" s="2" t="s">
        <v>133</v>
      </c>
      <c r="F8829" t="s">
        <v>22238</v>
      </c>
      <c r="G8829" t="str">
        <f>HYPERLINK("https://n.news.naver.com/mnews/article/014/0005371036?sid=105")</f>
        <v>https://n.news.naver.com/mnews/article/014/0005371036?sid=105</v>
      </c>
      <c r="H8829">
        <v>8.2000000000000003E-2</v>
      </c>
    </row>
    <row r="8830" spans="1:8" x14ac:dyDescent="0.3">
      <c r="A8830" t="s">
        <v>18176</v>
      </c>
      <c r="B8830" t="s">
        <v>26951</v>
      </c>
      <c r="C8830" t="s">
        <v>22242</v>
      </c>
      <c r="D8830" t="s">
        <v>22241</v>
      </c>
      <c r="E8830" s="2" t="s">
        <v>133</v>
      </c>
      <c r="F8830" t="s">
        <v>20120</v>
      </c>
      <c r="G8830" t="str">
        <f>HYPERLINK("http://www.gokorea.kr/news/articleView.html?idxno=28909")</f>
        <v>http://www.gokorea.kr/news/articleView.html?idxno=28909</v>
      </c>
      <c r="H8830">
        <v>0.107</v>
      </c>
    </row>
    <row r="8831" spans="1:8" x14ac:dyDescent="0.3">
      <c r="A8831" t="s">
        <v>18176</v>
      </c>
      <c r="B8831" t="s">
        <v>26951</v>
      </c>
      <c r="C8831" t="s">
        <v>22244</v>
      </c>
      <c r="D8831" t="s">
        <v>22243</v>
      </c>
      <c r="E8831" s="2" t="s">
        <v>133</v>
      </c>
      <c r="F8831" t="s">
        <v>20460</v>
      </c>
      <c r="G8831" t="str">
        <f>HYPERLINK("https://n.news.naver.com/mnews/article/022/0004047489?sid=100")</f>
        <v>https://n.news.naver.com/mnews/article/022/0004047489?sid=100</v>
      </c>
      <c r="H8831">
        <v>0.33800000000000002</v>
      </c>
    </row>
    <row r="8832" spans="1:8" x14ac:dyDescent="0.3">
      <c r="A8832" t="s">
        <v>18176</v>
      </c>
      <c r="B8832" t="s">
        <v>26951</v>
      </c>
      <c r="C8832" t="s">
        <v>22246</v>
      </c>
      <c r="D8832" t="s">
        <v>22245</v>
      </c>
      <c r="E8832" s="2" t="s">
        <v>133</v>
      </c>
      <c r="F8832" t="s">
        <v>5087</v>
      </c>
      <c r="G8832" t="str">
        <f>HYPERLINK("https://n.news.naver.com/mnews/article/022/0003975391?sid=102")</f>
        <v>https://n.news.naver.com/mnews/article/022/0003975391?sid=102</v>
      </c>
      <c r="H8832">
        <v>0.28799999999999998</v>
      </c>
    </row>
    <row r="8833" spans="1:8" x14ac:dyDescent="0.3">
      <c r="A8833" t="s">
        <v>18176</v>
      </c>
      <c r="B8833" t="s">
        <v>26951</v>
      </c>
      <c r="C8833" t="s">
        <v>22249</v>
      </c>
      <c r="D8833" t="s">
        <v>22248</v>
      </c>
      <c r="E8833" s="2" t="s">
        <v>133</v>
      </c>
      <c r="F8833" t="s">
        <v>22247</v>
      </c>
      <c r="G8833" t="str">
        <f>HYPERLINK("http://www.dailian.co.kr/news/n_view.html?id=116832&amp;sc=naver&amp;kind=menu_code&amp;keys=4")</f>
        <v>http://www.dailian.co.kr/news/n_view.html?id=116832&amp;sc=naver&amp;kind=menu_code&amp;keys=4</v>
      </c>
      <c r="H8833">
        <v>5.3999999999999999E-2</v>
      </c>
    </row>
    <row r="8834" spans="1:8" x14ac:dyDescent="0.3">
      <c r="A8834" t="s">
        <v>18176</v>
      </c>
      <c r="B8834" t="s">
        <v>26951</v>
      </c>
      <c r="C8834" t="s">
        <v>13617</v>
      </c>
      <c r="D8834" t="s">
        <v>13616</v>
      </c>
      <c r="E8834" s="2" t="s">
        <v>133</v>
      </c>
      <c r="F8834" t="s">
        <v>9922</v>
      </c>
      <c r="G8834" t="str">
        <f>HYPERLINK("https://www.etoday.co.kr/news/view/2039170")</f>
        <v>https://www.etoday.co.kr/news/view/2039170</v>
      </c>
      <c r="H8834">
        <v>0.45500000000000002</v>
      </c>
    </row>
    <row r="8835" spans="1:8" x14ac:dyDescent="0.3">
      <c r="A8835" t="s">
        <v>18176</v>
      </c>
      <c r="B8835" t="s">
        <v>26951</v>
      </c>
      <c r="C8835" t="s">
        <v>22251</v>
      </c>
      <c r="D8835" t="s">
        <v>22250</v>
      </c>
      <c r="E8835" s="2" t="s">
        <v>133</v>
      </c>
      <c r="F8835" t="s">
        <v>9291</v>
      </c>
      <c r="G8835" t="str">
        <f>HYPERLINK("http://www.ilemonde.com/news/articleView.html?idxno=13110")</f>
        <v>http://www.ilemonde.com/news/articleView.html?idxno=13110</v>
      </c>
      <c r="H8835">
        <v>0.66900000000000004</v>
      </c>
    </row>
    <row r="8836" spans="1:8" x14ac:dyDescent="0.3">
      <c r="A8836" t="s">
        <v>18176</v>
      </c>
      <c r="B8836" t="s">
        <v>26951</v>
      </c>
      <c r="C8836" t="s">
        <v>22254</v>
      </c>
      <c r="D8836" t="s">
        <v>22253</v>
      </c>
      <c r="E8836" s="2" t="s">
        <v>133</v>
      </c>
      <c r="F8836" t="s">
        <v>22252</v>
      </c>
      <c r="G8836" t="str">
        <f>HYPERLINK("https://n.news.naver.com/mnews/article/052/0002176120?sid=102")</f>
        <v>https://n.news.naver.com/mnews/article/052/0002176120?sid=102</v>
      </c>
      <c r="H8836">
        <v>0.27200000000000002</v>
      </c>
    </row>
    <row r="8837" spans="1:8" x14ac:dyDescent="0.3">
      <c r="A8837" t="s">
        <v>18176</v>
      </c>
      <c r="B8837" t="s">
        <v>26951</v>
      </c>
      <c r="C8837" t="s">
        <v>22257</v>
      </c>
      <c r="D8837" t="s">
        <v>22256</v>
      </c>
      <c r="E8837" s="2" t="s">
        <v>133</v>
      </c>
      <c r="F8837" t="s">
        <v>22255</v>
      </c>
      <c r="G8837" t="str">
        <f>HYPERLINK("http://www.bzeronews.com/news/articleView.html?idxno=716988")</f>
        <v>http://www.bzeronews.com/news/articleView.html?idxno=716988</v>
      </c>
      <c r="H8837">
        <v>0.53300000000000003</v>
      </c>
    </row>
    <row r="8838" spans="1:8" x14ac:dyDescent="0.3">
      <c r="A8838" t="s">
        <v>18176</v>
      </c>
      <c r="B8838" t="s">
        <v>26951</v>
      </c>
      <c r="C8838" t="s">
        <v>22259</v>
      </c>
      <c r="D8838" t="s">
        <v>22258</v>
      </c>
      <c r="E8838" s="2" t="s">
        <v>133</v>
      </c>
      <c r="F8838" t="s">
        <v>5342</v>
      </c>
      <c r="G8838" t="str">
        <f>HYPERLINK("http://www.biztribune.co.kr/news/articleView.html?idxno=315437")</f>
        <v>http://www.biztribune.co.kr/news/articleView.html?idxno=315437</v>
      </c>
      <c r="H8838">
        <v>0.51900000000000002</v>
      </c>
    </row>
    <row r="8839" spans="1:8" x14ac:dyDescent="0.3">
      <c r="A8839" t="s">
        <v>18176</v>
      </c>
      <c r="B8839" t="s">
        <v>26951</v>
      </c>
      <c r="C8839" t="s">
        <v>22261</v>
      </c>
      <c r="D8839" t="s">
        <v>22260</v>
      </c>
      <c r="E8839" s="2" t="s">
        <v>133</v>
      </c>
      <c r="F8839" t="s">
        <v>19060</v>
      </c>
      <c r="G8839" t="str">
        <f>HYPERLINK("http://www.bzeronews.com/news/articleView.html?idxno=620086")</f>
        <v>http://www.bzeronews.com/news/articleView.html?idxno=620086</v>
      </c>
      <c r="H8839">
        <v>0.60099999999999998</v>
      </c>
    </row>
    <row r="8840" spans="1:8" x14ac:dyDescent="0.3">
      <c r="A8840" t="s">
        <v>18176</v>
      </c>
      <c r="B8840" t="s">
        <v>26951</v>
      </c>
      <c r="C8840" t="s">
        <v>22263</v>
      </c>
      <c r="D8840" t="s">
        <v>22262</v>
      </c>
      <c r="E8840" s="2" t="s">
        <v>133</v>
      </c>
      <c r="F8840" t="s">
        <v>12935</v>
      </c>
      <c r="G8840" t="str">
        <f>HYPERLINK("https://n.news.naver.com/mnews/article/014/0005362696?sid=103")</f>
        <v>https://n.news.naver.com/mnews/article/014/0005362696?sid=103</v>
      </c>
      <c r="H8840">
        <v>0.29299999999999998</v>
      </c>
    </row>
    <row r="8841" spans="1:8" x14ac:dyDescent="0.3">
      <c r="A8841" t="s">
        <v>18176</v>
      </c>
      <c r="B8841" t="s">
        <v>26951</v>
      </c>
      <c r="C8841" t="s">
        <v>22265</v>
      </c>
      <c r="D8841" t="s">
        <v>22264</v>
      </c>
      <c r="E8841" s="2" t="s">
        <v>133</v>
      </c>
      <c r="F8841" t="s">
        <v>12402</v>
      </c>
      <c r="G8841" t="str">
        <f>HYPERLINK("https://n.news.naver.com/mnews/article/006/0000130584?sid=102")</f>
        <v>https://n.news.naver.com/mnews/article/006/0000130584?sid=102</v>
      </c>
      <c r="H8841">
        <v>0.224</v>
      </c>
    </row>
    <row r="8842" spans="1:8" x14ac:dyDescent="0.3">
      <c r="A8842" t="s">
        <v>18176</v>
      </c>
      <c r="B8842" t="s">
        <v>26951</v>
      </c>
      <c r="C8842" t="s">
        <v>22267</v>
      </c>
      <c r="D8842" t="s">
        <v>22266</v>
      </c>
      <c r="E8842" s="2" t="s">
        <v>133</v>
      </c>
      <c r="F8842" t="s">
        <v>10506</v>
      </c>
      <c r="G8842" t="str">
        <f>HYPERLINK("https://n.news.naver.com/mnews/article/002/0002164530?sid=100")</f>
        <v>https://n.news.naver.com/mnews/article/002/0002164530?sid=100</v>
      </c>
      <c r="H8842">
        <v>6.4000000000000001E-2</v>
      </c>
    </row>
    <row r="8843" spans="1:8" x14ac:dyDescent="0.3">
      <c r="A8843" t="s">
        <v>18176</v>
      </c>
      <c r="B8843" t="s">
        <v>26951</v>
      </c>
      <c r="C8843" t="s">
        <v>22269</v>
      </c>
      <c r="D8843" t="s">
        <v>22268</v>
      </c>
      <c r="E8843" s="2" t="s">
        <v>133</v>
      </c>
      <c r="F8843" t="s">
        <v>7621</v>
      </c>
      <c r="G8843" t="str">
        <f>HYPERLINK("https://n.news.naver.com/mnews/article/022/0003473944?sid=102")</f>
        <v>https://n.news.naver.com/mnews/article/022/0003473944?sid=102</v>
      </c>
      <c r="H8843">
        <v>0.17299999999999999</v>
      </c>
    </row>
    <row r="8844" spans="1:8" x14ac:dyDescent="0.3">
      <c r="A8844" t="s">
        <v>18176</v>
      </c>
      <c r="B8844" t="s">
        <v>26951</v>
      </c>
      <c r="C8844" t="s">
        <v>22272</v>
      </c>
      <c r="D8844" t="s">
        <v>22271</v>
      </c>
      <c r="E8844" s="2" t="s">
        <v>133</v>
      </c>
      <c r="F8844" t="s">
        <v>22270</v>
      </c>
      <c r="G8844" t="str">
        <f>HYPERLINK("https://n.news.naver.com/mnews/article/081/0003554107?sid=100")</f>
        <v>https://n.news.naver.com/mnews/article/081/0003554107?sid=100</v>
      </c>
      <c r="H8844">
        <v>0.28499999999999998</v>
      </c>
    </row>
    <row r="8845" spans="1:8" x14ac:dyDescent="0.3">
      <c r="A8845" t="s">
        <v>18176</v>
      </c>
      <c r="B8845" t="s">
        <v>26951</v>
      </c>
      <c r="C8845" t="s">
        <v>22274</v>
      </c>
      <c r="D8845" t="s">
        <v>22273</v>
      </c>
      <c r="E8845" s="2" t="s">
        <v>133</v>
      </c>
      <c r="F8845" t="s">
        <v>10471</v>
      </c>
      <c r="G8845" t="str">
        <f>HYPERLINK("https://www.foodneconomy.com/news/articleView.html?idxno=233958")</f>
        <v>https://www.foodneconomy.com/news/articleView.html?idxno=233958</v>
      </c>
      <c r="H8845">
        <v>0.29499999999999998</v>
      </c>
    </row>
    <row r="8846" spans="1:8" x14ac:dyDescent="0.3">
      <c r="A8846" t="s">
        <v>18176</v>
      </c>
      <c r="B8846" t="s">
        <v>26951</v>
      </c>
      <c r="C8846" t="s">
        <v>22276</v>
      </c>
      <c r="D8846" t="s">
        <v>22275</v>
      </c>
      <c r="E8846" s="2" t="s">
        <v>133</v>
      </c>
      <c r="F8846" t="s">
        <v>13307</v>
      </c>
      <c r="G8846" t="str">
        <f>HYPERLINK("http://www.jejusori.net/news/articleView.html?idxno=401760")</f>
        <v>http://www.jejusori.net/news/articleView.html?idxno=401760</v>
      </c>
      <c r="H8846">
        <v>0.47099999999999997</v>
      </c>
    </row>
    <row r="8847" spans="1:8" x14ac:dyDescent="0.3">
      <c r="A8847" t="s">
        <v>18176</v>
      </c>
      <c r="B8847" t="s">
        <v>26951</v>
      </c>
      <c r="C8847" t="s">
        <v>22279</v>
      </c>
      <c r="D8847" t="s">
        <v>22278</v>
      </c>
      <c r="E8847" s="2" t="s">
        <v>133</v>
      </c>
      <c r="F8847" t="s">
        <v>22277</v>
      </c>
      <c r="G8847" t="str">
        <f>HYPERLINK("http://www.newsway.co.kr/view.php?tp=1&amp;ud=2014052813290652681")</f>
        <v>http://www.newsway.co.kr/view.php?tp=1&amp;ud=2014052813290652681</v>
      </c>
      <c r="H8847">
        <v>0.29899999999999999</v>
      </c>
    </row>
    <row r="8848" spans="1:8" x14ac:dyDescent="0.3">
      <c r="A8848" t="s">
        <v>18176</v>
      </c>
      <c r="B8848" t="s">
        <v>26951</v>
      </c>
      <c r="C8848" t="s">
        <v>22282</v>
      </c>
      <c r="D8848" t="s">
        <v>22281</v>
      </c>
      <c r="E8848" s="2" t="s">
        <v>133</v>
      </c>
      <c r="F8848" t="s">
        <v>22280</v>
      </c>
      <c r="G8848" t="str">
        <f>HYPERLINK("https://n.news.naver.com/mnews/article/016/0001277054?sid=102")</f>
        <v>https://n.news.naver.com/mnews/article/016/0001277054?sid=102</v>
      </c>
      <c r="H8848">
        <v>0.26900000000000002</v>
      </c>
    </row>
    <row r="8849" spans="1:8" x14ac:dyDescent="0.3">
      <c r="A8849" t="s">
        <v>18176</v>
      </c>
      <c r="B8849" t="s">
        <v>26951</v>
      </c>
      <c r="C8849" t="s">
        <v>22285</v>
      </c>
      <c r="D8849" t="s">
        <v>22284</v>
      </c>
      <c r="E8849" s="2" t="s">
        <v>133</v>
      </c>
      <c r="F8849" t="s">
        <v>22283</v>
      </c>
      <c r="G8849" t="str">
        <f>HYPERLINK("http://www.youthdaily.co.kr/news/article.html?no=82501")</f>
        <v>http://www.youthdaily.co.kr/news/article.html?no=82501</v>
      </c>
      <c r="H8849">
        <v>0.53500000000000003</v>
      </c>
    </row>
    <row r="8850" spans="1:8" x14ac:dyDescent="0.3">
      <c r="A8850" t="s">
        <v>18176</v>
      </c>
      <c r="B8850" t="s">
        <v>26951</v>
      </c>
      <c r="C8850" t="s">
        <v>22287</v>
      </c>
      <c r="D8850" t="s">
        <v>22286</v>
      </c>
      <c r="E8850" s="2" t="s">
        <v>133</v>
      </c>
      <c r="F8850" t="s">
        <v>1822</v>
      </c>
      <c r="G8850" t="str">
        <f>HYPERLINK("https://sports.hankooki.com/news/articleView.html?idxno=6901790")</f>
        <v>https://sports.hankooki.com/news/articleView.html?idxno=6901790</v>
      </c>
      <c r="H8850">
        <v>0.33200000000000002</v>
      </c>
    </row>
    <row r="8851" spans="1:8" x14ac:dyDescent="0.3">
      <c r="A8851" t="s">
        <v>18176</v>
      </c>
      <c r="B8851" t="s">
        <v>26951</v>
      </c>
      <c r="C8851" t="s">
        <v>22290</v>
      </c>
      <c r="D8851" t="s">
        <v>22289</v>
      </c>
      <c r="E8851" s="2" t="s">
        <v>133</v>
      </c>
      <c r="F8851" t="s">
        <v>22288</v>
      </c>
      <c r="G8851" t="str">
        <f>HYPERLINK("https://n.news.naver.com/mnews/article/214/0001014564?sid=100")</f>
        <v>https://n.news.naver.com/mnews/article/214/0001014564?sid=100</v>
      </c>
      <c r="H8851">
        <v>0.58399999999999996</v>
      </c>
    </row>
    <row r="8852" spans="1:8" x14ac:dyDescent="0.3">
      <c r="A8852" t="s">
        <v>18176</v>
      </c>
      <c r="B8852" t="s">
        <v>26951</v>
      </c>
      <c r="C8852" t="s">
        <v>22292</v>
      </c>
      <c r="D8852" t="s">
        <v>22291</v>
      </c>
      <c r="E8852" s="2" t="s">
        <v>133</v>
      </c>
      <c r="F8852" t="s">
        <v>13511</v>
      </c>
      <c r="G8852" t="str">
        <f>HYPERLINK("https://n.news.naver.com/mnews/article/014/0005368405?sid=102")</f>
        <v>https://n.news.naver.com/mnews/article/014/0005368405?sid=102</v>
      </c>
      <c r="H8852">
        <v>0.28899999999999998</v>
      </c>
    </row>
    <row r="8853" spans="1:8" x14ac:dyDescent="0.3">
      <c r="A8853" t="s">
        <v>18176</v>
      </c>
      <c r="B8853" t="s">
        <v>26951</v>
      </c>
      <c r="C8853" t="s">
        <v>22295</v>
      </c>
      <c r="D8853" t="s">
        <v>22294</v>
      </c>
      <c r="E8853" s="2" t="s">
        <v>7</v>
      </c>
      <c r="F8853" t="s">
        <v>22293</v>
      </c>
      <c r="G8853" t="str">
        <f>HYPERLINK("https://news.bbsi.co.kr/news/articleView.html?idxno=3145950")</f>
        <v>https://news.bbsi.co.kr/news/articleView.html?idxno=3145950</v>
      </c>
      <c r="H8853">
        <v>0.157</v>
      </c>
    </row>
    <row r="8854" spans="1:8" x14ac:dyDescent="0.3">
      <c r="A8854" t="s">
        <v>18176</v>
      </c>
      <c r="B8854" t="s">
        <v>26951</v>
      </c>
      <c r="C8854" t="s">
        <v>22298</v>
      </c>
      <c r="D8854" t="s">
        <v>22297</v>
      </c>
      <c r="E8854" s="2" t="s">
        <v>7</v>
      </c>
      <c r="F8854" t="s">
        <v>22296</v>
      </c>
      <c r="G8854" t="str">
        <f>HYPERLINK("https://n.news.naver.com/mnews/article/036/0000016270?sid=102")</f>
        <v>https://n.news.naver.com/mnews/article/036/0000016270?sid=102</v>
      </c>
      <c r="H8854">
        <v>0.379</v>
      </c>
    </row>
    <row r="8855" spans="1:8" x14ac:dyDescent="0.3">
      <c r="A8855" t="s">
        <v>18176</v>
      </c>
      <c r="B8855" t="s">
        <v>26951</v>
      </c>
      <c r="C8855" t="s">
        <v>22300</v>
      </c>
      <c r="D8855" t="s">
        <v>22299</v>
      </c>
      <c r="E8855" s="2" t="s">
        <v>7</v>
      </c>
      <c r="F8855" t="s">
        <v>10898</v>
      </c>
      <c r="G8855" t="str">
        <f>HYPERLINK("http://www.bigtanews.co.kr/news/articleView.html?idxno=11229")</f>
        <v>http://www.bigtanews.co.kr/news/articleView.html?idxno=11229</v>
      </c>
      <c r="H8855">
        <v>0.24299999999999999</v>
      </c>
    </row>
    <row r="8856" spans="1:8" x14ac:dyDescent="0.3">
      <c r="A8856" t="s">
        <v>18176</v>
      </c>
      <c r="B8856" t="s">
        <v>26951</v>
      </c>
      <c r="C8856" t="s">
        <v>22303</v>
      </c>
      <c r="D8856" t="s">
        <v>22302</v>
      </c>
      <c r="E8856" s="2" t="s">
        <v>7</v>
      </c>
      <c r="F8856" t="s">
        <v>22301</v>
      </c>
      <c r="G8856" t="str">
        <f>HYPERLINK("https://weekly.cnbnews.com/news/article.html?no=181823")</f>
        <v>https://weekly.cnbnews.com/news/article.html?no=181823</v>
      </c>
      <c r="H8856">
        <v>0.24199999999999999</v>
      </c>
    </row>
    <row r="8857" spans="1:8" x14ac:dyDescent="0.3">
      <c r="A8857" t="s">
        <v>18176</v>
      </c>
      <c r="B8857" t="s">
        <v>26951</v>
      </c>
      <c r="C8857" t="s">
        <v>22305</v>
      </c>
      <c r="D8857" t="s">
        <v>22304</v>
      </c>
      <c r="E8857" s="2" t="s">
        <v>7</v>
      </c>
      <c r="F8857" t="s">
        <v>14112</v>
      </c>
      <c r="G8857" t="str">
        <f>HYPERLINK("https://n.news.naver.com/mnews/article/214/0001081693?sid=100")</f>
        <v>https://n.news.naver.com/mnews/article/214/0001081693?sid=100</v>
      </c>
      <c r="H8857">
        <v>0.375</v>
      </c>
    </row>
    <row r="8858" spans="1:8" x14ac:dyDescent="0.3">
      <c r="A8858" t="s">
        <v>18176</v>
      </c>
      <c r="B8858" t="s">
        <v>26951</v>
      </c>
      <c r="C8858" t="s">
        <v>22307</v>
      </c>
      <c r="D8858" t="s">
        <v>22306</v>
      </c>
      <c r="E8858" s="2" t="s">
        <v>7</v>
      </c>
      <c r="F8858" t="s">
        <v>19268</v>
      </c>
      <c r="G8858" t="str">
        <f>HYPERLINK("http://www.interview365.com/news/articleView.html?idxno=108869")</f>
        <v>http://www.interview365.com/news/articleView.html?idxno=108869</v>
      </c>
      <c r="H8858">
        <v>0.28299999999999997</v>
      </c>
    </row>
    <row r="8859" spans="1:8" x14ac:dyDescent="0.3">
      <c r="A8859" t="s">
        <v>18176</v>
      </c>
      <c r="B8859" t="s">
        <v>26951</v>
      </c>
      <c r="C8859" t="s">
        <v>22310</v>
      </c>
      <c r="D8859" t="s">
        <v>22309</v>
      </c>
      <c r="E8859" s="2" t="s">
        <v>7</v>
      </c>
      <c r="F8859" t="s">
        <v>22308</v>
      </c>
      <c r="G8859" t="str">
        <f>HYPERLINK("https://n.news.naver.com/mnews/article/022/0004047762?sid=100")</f>
        <v>https://n.news.naver.com/mnews/article/022/0004047762?sid=100</v>
      </c>
      <c r="H8859">
        <v>0.30499999999999999</v>
      </c>
    </row>
    <row r="8860" spans="1:8" x14ac:dyDescent="0.3">
      <c r="A8860" t="s">
        <v>18176</v>
      </c>
      <c r="B8860" t="s">
        <v>26951</v>
      </c>
      <c r="C8860" t="s">
        <v>22312</v>
      </c>
      <c r="D8860" t="s">
        <v>22311</v>
      </c>
      <c r="E8860" s="2" t="s">
        <v>7</v>
      </c>
      <c r="F8860" t="s">
        <v>14251</v>
      </c>
      <c r="G8860" t="str">
        <f>HYPERLINK("https://n.news.naver.com/mnews/article/056/0011979516?sid=102")</f>
        <v>https://n.news.naver.com/mnews/article/056/0011979516?sid=102</v>
      </c>
      <c r="H8860">
        <v>0.153</v>
      </c>
    </row>
    <row r="8861" spans="1:8" x14ac:dyDescent="0.3">
      <c r="A8861" t="s">
        <v>18176</v>
      </c>
      <c r="B8861" t="s">
        <v>26951</v>
      </c>
      <c r="C8861" t="s">
        <v>22315</v>
      </c>
      <c r="D8861" t="s">
        <v>22314</v>
      </c>
      <c r="E8861" s="2" t="s">
        <v>7</v>
      </c>
      <c r="F8861" t="s">
        <v>22313</v>
      </c>
      <c r="G8861" t="str">
        <f>HYPERLINK("http://www.pennmike.com/news/articleView.html?idxno=66869")</f>
        <v>http://www.pennmike.com/news/articleView.html?idxno=66869</v>
      </c>
      <c r="H8861">
        <v>0.435</v>
      </c>
    </row>
    <row r="8862" spans="1:8" x14ac:dyDescent="0.3">
      <c r="A8862" t="s">
        <v>18176</v>
      </c>
      <c r="B8862" t="s">
        <v>26951</v>
      </c>
      <c r="C8862" t="s">
        <v>22317</v>
      </c>
      <c r="D8862" t="s">
        <v>22316</v>
      </c>
      <c r="E8862" s="2" t="s">
        <v>7</v>
      </c>
      <c r="F8862" t="s">
        <v>20037</v>
      </c>
      <c r="G8862" t="str">
        <f>HYPERLINK("https://n.news.naver.com/mnews/article/014/0005370944?sid=102")</f>
        <v>https://n.news.naver.com/mnews/article/014/0005370944?sid=102</v>
      </c>
      <c r="H8862">
        <v>0.38400000000000001</v>
      </c>
    </row>
    <row r="8863" spans="1:8" x14ac:dyDescent="0.3">
      <c r="A8863" t="s">
        <v>18176</v>
      </c>
      <c r="B8863" t="s">
        <v>26951</v>
      </c>
      <c r="C8863" t="s">
        <v>22320</v>
      </c>
      <c r="D8863" t="s">
        <v>22319</v>
      </c>
      <c r="E8863" s="2" t="s">
        <v>7</v>
      </c>
      <c r="F8863" t="s">
        <v>22318</v>
      </c>
      <c r="G8863" t="str">
        <f>HYPERLINK("https://n.news.naver.com/mnews/article/018/0006053974?sid=100")</f>
        <v>https://n.news.naver.com/mnews/article/018/0006053974?sid=100</v>
      </c>
      <c r="H8863">
        <v>8.0000000000000002E-3</v>
      </c>
    </row>
    <row r="8864" spans="1:8" x14ac:dyDescent="0.3">
      <c r="A8864" t="s">
        <v>18176</v>
      </c>
      <c r="B8864" t="s">
        <v>26951</v>
      </c>
      <c r="C8864" t="s">
        <v>22321</v>
      </c>
      <c r="D8864" t="s">
        <v>18044</v>
      </c>
      <c r="E8864" s="2" t="s">
        <v>7</v>
      </c>
      <c r="F8864" t="s">
        <v>19582</v>
      </c>
      <c r="G8864" t="str">
        <f>HYPERLINK("https://n.news.naver.com/mnews/article/057/0001894390?sid=102")</f>
        <v>https://n.news.naver.com/mnews/article/057/0001894390?sid=102</v>
      </c>
      <c r="H8864">
        <v>0.245</v>
      </c>
    </row>
    <row r="8865" spans="1:8" x14ac:dyDescent="0.3">
      <c r="A8865" t="s">
        <v>18176</v>
      </c>
      <c r="B8865" t="s">
        <v>26951</v>
      </c>
      <c r="C8865" t="s">
        <v>22324</v>
      </c>
      <c r="D8865" t="s">
        <v>22323</v>
      </c>
      <c r="E8865" s="2" t="s">
        <v>7</v>
      </c>
      <c r="F8865" t="s">
        <v>22322</v>
      </c>
      <c r="G8865" t="str">
        <f>HYPERLINK("https://www.christiantoday.co.kr/news/367909")</f>
        <v>https://www.christiantoday.co.kr/news/367909</v>
      </c>
      <c r="H8865">
        <v>0.50700000000000001</v>
      </c>
    </row>
    <row r="8866" spans="1:8" x14ac:dyDescent="0.3">
      <c r="A8866" t="s">
        <v>18176</v>
      </c>
      <c r="B8866" t="s">
        <v>26951</v>
      </c>
      <c r="C8866" t="s">
        <v>22326</v>
      </c>
      <c r="D8866" t="s">
        <v>22325</v>
      </c>
      <c r="E8866" s="2" t="s">
        <v>7</v>
      </c>
      <c r="F8866" t="s">
        <v>20056</v>
      </c>
      <c r="G8866" t="str">
        <f>HYPERLINK("https://www.newspim.com/news/view/20250630001136")</f>
        <v>https://www.newspim.com/news/view/20250630001136</v>
      </c>
      <c r="H8866">
        <v>0.52700000000000002</v>
      </c>
    </row>
    <row r="8867" spans="1:8" x14ac:dyDescent="0.3">
      <c r="A8867" t="s">
        <v>18176</v>
      </c>
      <c r="B8867" t="s">
        <v>26951</v>
      </c>
      <c r="C8867" t="s">
        <v>22328</v>
      </c>
      <c r="D8867" t="s">
        <v>22327</v>
      </c>
      <c r="E8867" s="2" t="s">
        <v>7</v>
      </c>
      <c r="F8867" t="s">
        <v>119</v>
      </c>
      <c r="G8867" t="str">
        <f>HYPERLINK("http://www.allurekorea.com/2020/11/30/2020_culture_3-%ec%a0%84%ec%8b%9c-%eb%93%9c%eb%9d%bc%eb%a7%88-%ec%98%88%eb%8a%a5/?utm_source=naver&amp;utm_medium=partnership")</f>
        <v>http://www.allurekorea.com/2020/11/30/2020_culture_3-%ec%a0%84%ec%8b%9c-%eb%93%9c%eb%9d%bc%eb%a7%88-%ec%98%88%eb%8a%a5/?utm_source=naver&amp;utm_medium=partnership</v>
      </c>
      <c r="H8867">
        <v>0.54200000000000004</v>
      </c>
    </row>
    <row r="8868" spans="1:8" x14ac:dyDescent="0.3">
      <c r="A8868" t="s">
        <v>18176</v>
      </c>
      <c r="B8868" t="s">
        <v>26951</v>
      </c>
      <c r="C8868" t="s">
        <v>22331</v>
      </c>
      <c r="D8868" t="s">
        <v>22330</v>
      </c>
      <c r="E8868" s="2" t="s">
        <v>7</v>
      </c>
      <c r="F8868" t="s">
        <v>22329</v>
      </c>
      <c r="G8868" t="str">
        <f>HYPERLINK("https://n.news.naver.com/mnews/article/081/0003554107?sid=100")</f>
        <v>https://n.news.naver.com/mnews/article/081/0003554107?sid=100</v>
      </c>
      <c r="H8868">
        <v>0.248</v>
      </c>
    </row>
    <row r="8869" spans="1:8" x14ac:dyDescent="0.3">
      <c r="A8869" t="s">
        <v>18176</v>
      </c>
      <c r="B8869" t="s">
        <v>26951</v>
      </c>
      <c r="C8869" t="s">
        <v>22334</v>
      </c>
      <c r="D8869" t="s">
        <v>22333</v>
      </c>
      <c r="E8869" s="2" t="s">
        <v>7</v>
      </c>
      <c r="F8869" t="s">
        <v>22332</v>
      </c>
      <c r="G8869" t="str">
        <f>HYPERLINK("http://ch.yes24.com/Article/View/31598")</f>
        <v>http://ch.yes24.com/Article/View/31598</v>
      </c>
      <c r="H8869">
        <v>0.621</v>
      </c>
    </row>
    <row r="8870" spans="1:8" x14ac:dyDescent="0.3">
      <c r="A8870" t="s">
        <v>18176</v>
      </c>
      <c r="B8870" t="s">
        <v>26951</v>
      </c>
      <c r="C8870" t="s">
        <v>22337</v>
      </c>
      <c r="D8870" t="s">
        <v>22336</v>
      </c>
      <c r="E8870" s="2" t="s">
        <v>7</v>
      </c>
      <c r="F8870" t="s">
        <v>22335</v>
      </c>
      <c r="G8870" t="str">
        <f>HYPERLINK("https://n.news.naver.com/mnews/article/214/0001429644?sid=100")</f>
        <v>https://n.news.naver.com/mnews/article/214/0001429644?sid=100</v>
      </c>
      <c r="H8870">
        <v>0.56100000000000005</v>
      </c>
    </row>
    <row r="8871" spans="1:8" x14ac:dyDescent="0.3">
      <c r="A8871" t="s">
        <v>18176</v>
      </c>
      <c r="B8871" t="s">
        <v>26951</v>
      </c>
      <c r="C8871" t="s">
        <v>22339</v>
      </c>
      <c r="D8871" t="s">
        <v>22338</v>
      </c>
      <c r="E8871" s="2" t="s">
        <v>7</v>
      </c>
      <c r="F8871" t="s">
        <v>10750</v>
      </c>
      <c r="G8871" t="str">
        <f>HYPERLINK("https://n.news.naver.com/mnews/article/022/0004047981?sid=103")</f>
        <v>https://n.news.naver.com/mnews/article/022/0004047981?sid=103</v>
      </c>
      <c r="H8871">
        <v>0.19900000000000001</v>
      </c>
    </row>
    <row r="8872" spans="1:8" x14ac:dyDescent="0.3">
      <c r="A8872" t="s">
        <v>18176</v>
      </c>
      <c r="B8872" t="s">
        <v>26951</v>
      </c>
      <c r="C8872" t="s">
        <v>22341</v>
      </c>
      <c r="D8872" t="s">
        <v>22340</v>
      </c>
      <c r="E8872" s="2" t="s">
        <v>7</v>
      </c>
      <c r="F8872" t="s">
        <v>1612</v>
      </c>
      <c r="G8872" t="str">
        <f>HYPERLINK("http://gamefocus.co.kr/detail.php?number=64656")</f>
        <v>http://gamefocus.co.kr/detail.php?number=64656</v>
      </c>
      <c r="H8872">
        <v>0.32300000000000001</v>
      </c>
    </row>
    <row r="8873" spans="1:8" x14ac:dyDescent="0.3">
      <c r="A8873" t="s">
        <v>18176</v>
      </c>
      <c r="B8873" t="s">
        <v>26951</v>
      </c>
      <c r="C8873" t="s">
        <v>22343</v>
      </c>
      <c r="D8873" t="s">
        <v>22342</v>
      </c>
      <c r="E8873" s="2" t="s">
        <v>7</v>
      </c>
      <c r="F8873" t="s">
        <v>119</v>
      </c>
      <c r="G8873" t="str">
        <f>HYPERLINK("http://www.sctoday.co.kr/news/articleView.html?idxno=45466")</f>
        <v>http://www.sctoday.co.kr/news/articleView.html?idxno=45466</v>
      </c>
      <c r="H8873">
        <v>0.96399999999999997</v>
      </c>
    </row>
    <row r="8874" spans="1:8" x14ac:dyDescent="0.3">
      <c r="A8874" t="s">
        <v>18176</v>
      </c>
      <c r="B8874" t="s">
        <v>26951</v>
      </c>
      <c r="C8874" t="s">
        <v>22346</v>
      </c>
      <c r="D8874" t="s">
        <v>22345</v>
      </c>
      <c r="E8874" s="2" t="s">
        <v>7</v>
      </c>
      <c r="F8874" t="s">
        <v>22344</v>
      </c>
      <c r="G8874" t="str">
        <f>HYPERLINK("http://www.newsmaker.or.kr/news/articleView.html?idxno=5029")</f>
        <v>http://www.newsmaker.or.kr/news/articleView.html?idxno=5029</v>
      </c>
      <c r="H8874">
        <v>9.8000000000000004E-2</v>
      </c>
    </row>
    <row r="8875" spans="1:8" x14ac:dyDescent="0.3">
      <c r="A8875" t="s">
        <v>18176</v>
      </c>
      <c r="B8875" t="s">
        <v>26951</v>
      </c>
      <c r="C8875" t="s">
        <v>22349</v>
      </c>
      <c r="D8875" t="s">
        <v>22348</v>
      </c>
      <c r="E8875" s="2" t="s">
        <v>7</v>
      </c>
      <c r="F8875" t="s">
        <v>22347</v>
      </c>
      <c r="G8875" t="str">
        <f>HYPERLINK("https://n.news.naver.com/mnews/article/081/0003554107?sid=100")</f>
        <v>https://n.news.naver.com/mnews/article/081/0003554107?sid=100</v>
      </c>
      <c r="H8875">
        <v>0.27800000000000002</v>
      </c>
    </row>
    <row r="8876" spans="1:8" x14ac:dyDescent="0.3">
      <c r="A8876" t="s">
        <v>18176</v>
      </c>
      <c r="B8876" t="s">
        <v>26951</v>
      </c>
      <c r="C8876" t="s">
        <v>22352</v>
      </c>
      <c r="D8876" t="s">
        <v>22351</v>
      </c>
      <c r="E8876" s="2" t="s">
        <v>7</v>
      </c>
      <c r="F8876" t="s">
        <v>22350</v>
      </c>
      <c r="G8876" t="str">
        <f>HYPERLINK("https://n.news.naver.com/mnews/article/214/0001433188?sid=104")</f>
        <v>https://n.news.naver.com/mnews/article/214/0001433188?sid=104</v>
      </c>
      <c r="H8876">
        <v>0.29599999999999999</v>
      </c>
    </row>
    <row r="8877" spans="1:8" x14ac:dyDescent="0.3">
      <c r="A8877" t="s">
        <v>18176</v>
      </c>
      <c r="B8877" t="s">
        <v>26951</v>
      </c>
      <c r="C8877" t="s">
        <v>22355</v>
      </c>
      <c r="D8877" t="s">
        <v>22354</v>
      </c>
      <c r="E8877" s="2" t="s">
        <v>7</v>
      </c>
      <c r="F8877" t="s">
        <v>22353</v>
      </c>
      <c r="G8877" t="str">
        <f>HYPERLINK("https://n.news.naver.com/mnews/article/014/0005370693?sid=102")</f>
        <v>https://n.news.naver.com/mnews/article/014/0005370693?sid=102</v>
      </c>
      <c r="H8877">
        <v>0.375</v>
      </c>
    </row>
    <row r="8878" spans="1:8" x14ac:dyDescent="0.3">
      <c r="A8878" t="s">
        <v>18176</v>
      </c>
      <c r="B8878" t="s">
        <v>26951</v>
      </c>
      <c r="C8878" t="s">
        <v>22358</v>
      </c>
      <c r="D8878" t="s">
        <v>22357</v>
      </c>
      <c r="E8878" s="2" t="s">
        <v>7</v>
      </c>
      <c r="F8878" t="s">
        <v>22356</v>
      </c>
      <c r="G8878" t="str">
        <f>HYPERLINK("https://n.news.naver.com/mnews/article/032/0003379139?sid=103")</f>
        <v>https://n.news.naver.com/mnews/article/032/0003379139?sid=103</v>
      </c>
      <c r="H8878">
        <v>0.19900000000000001</v>
      </c>
    </row>
    <row r="8879" spans="1:8" x14ac:dyDescent="0.3">
      <c r="A8879" t="s">
        <v>18176</v>
      </c>
      <c r="B8879" t="s">
        <v>26951</v>
      </c>
      <c r="C8879" t="s">
        <v>22361</v>
      </c>
      <c r="D8879" t="s">
        <v>22360</v>
      </c>
      <c r="E8879" s="2" t="s">
        <v>7</v>
      </c>
      <c r="F8879" t="s">
        <v>22359</v>
      </c>
      <c r="G8879" t="str">
        <f>HYPERLINK("https://www.ablenews.co.kr/news/articleView.html?idxno=218231")</f>
        <v>https://www.ablenews.co.kr/news/articleView.html?idxno=218231</v>
      </c>
      <c r="H8879">
        <v>0.496</v>
      </c>
    </row>
    <row r="8880" spans="1:8" x14ac:dyDescent="0.3">
      <c r="A8880" t="s">
        <v>18176</v>
      </c>
      <c r="B8880" t="s">
        <v>26951</v>
      </c>
      <c r="C8880" t="s">
        <v>22363</v>
      </c>
      <c r="D8880" t="s">
        <v>22362</v>
      </c>
      <c r="E8880" s="2" t="s">
        <v>7</v>
      </c>
      <c r="F8880" t="s">
        <v>5298</v>
      </c>
      <c r="G8880" t="str">
        <f>HYPERLINK("http://www.vogue.co.kr/?p=51186&amp;_C_=11")</f>
        <v>http://www.vogue.co.kr/?p=51186&amp;_C_=11</v>
      </c>
      <c r="H8880">
        <v>0.54900000000000004</v>
      </c>
    </row>
    <row r="8881" spans="1:8" x14ac:dyDescent="0.3">
      <c r="A8881" t="s">
        <v>18176</v>
      </c>
      <c r="B8881" t="s">
        <v>26951</v>
      </c>
      <c r="C8881" t="s">
        <v>22366</v>
      </c>
      <c r="D8881" t="s">
        <v>22365</v>
      </c>
      <c r="E8881" s="2" t="s">
        <v>7</v>
      </c>
      <c r="F8881" t="s">
        <v>22364</v>
      </c>
      <c r="G8881" t="str">
        <f>HYPERLINK("https://n.news.naver.com/mnews/article/056/0011964119?sid=154")</f>
        <v>https://n.news.naver.com/mnews/article/056/0011964119?sid=154</v>
      </c>
      <c r="H8881">
        <v>0.113</v>
      </c>
    </row>
    <row r="8882" spans="1:8" x14ac:dyDescent="0.3">
      <c r="A8882" t="s">
        <v>18176</v>
      </c>
      <c r="B8882" t="s">
        <v>26951</v>
      </c>
      <c r="C8882" t="s">
        <v>22369</v>
      </c>
      <c r="D8882" t="s">
        <v>22368</v>
      </c>
      <c r="E8882" s="2" t="s">
        <v>7</v>
      </c>
      <c r="F8882" t="s">
        <v>22367</v>
      </c>
      <c r="G8882" t="str">
        <f>HYPERLINK("https://www.womaneconomy.co.kr/news/articleView.html?idxno=224305")</f>
        <v>https://www.womaneconomy.co.kr/news/articleView.html?idxno=224305</v>
      </c>
      <c r="H8882">
        <v>0.20100000000000001</v>
      </c>
    </row>
    <row r="8883" spans="1:8" x14ac:dyDescent="0.3">
      <c r="A8883" t="s">
        <v>18176</v>
      </c>
      <c r="B8883" t="s">
        <v>26951</v>
      </c>
      <c r="C8883" t="s">
        <v>22371</v>
      </c>
      <c r="D8883" t="s">
        <v>22370</v>
      </c>
      <c r="E8883" s="2" t="s">
        <v>7</v>
      </c>
      <c r="F8883" t="s">
        <v>10764</v>
      </c>
      <c r="G8883" t="str">
        <f>HYPERLINK("http://www.breaknews.com/1122470")</f>
        <v>http://www.breaknews.com/1122470</v>
      </c>
      <c r="H8883">
        <v>0.123</v>
      </c>
    </row>
    <row r="8884" spans="1:8" x14ac:dyDescent="0.3">
      <c r="A8884" t="s">
        <v>18176</v>
      </c>
      <c r="B8884" t="s">
        <v>26951</v>
      </c>
      <c r="C8884" t="s">
        <v>18080</v>
      </c>
      <c r="D8884" t="s">
        <v>18079</v>
      </c>
      <c r="E8884" s="2" t="s">
        <v>7</v>
      </c>
      <c r="F8884" t="s">
        <v>10330</v>
      </c>
      <c r="G8884" t="str">
        <f>HYPERLINK("https://www.jemin.com/news/articleView.html?idxno=818369")</f>
        <v>https://www.jemin.com/news/articleView.html?idxno=818369</v>
      </c>
      <c r="H8884">
        <v>0.55300000000000005</v>
      </c>
    </row>
    <row r="8885" spans="1:8" x14ac:dyDescent="0.3">
      <c r="A8885" t="s">
        <v>18176</v>
      </c>
      <c r="B8885" t="s">
        <v>26951</v>
      </c>
      <c r="C8885" t="s">
        <v>22373</v>
      </c>
      <c r="D8885" t="s">
        <v>22372</v>
      </c>
      <c r="E8885" s="2" t="s">
        <v>7</v>
      </c>
      <c r="F8885" t="s">
        <v>19136</v>
      </c>
      <c r="G8885" t="str">
        <f>HYPERLINK("https://www.dailysportshankook.co.kr/news/articleView.html?idxno=408558")</f>
        <v>https://www.dailysportshankook.co.kr/news/articleView.html?idxno=408558</v>
      </c>
      <c r="H8885">
        <v>0.59099999999999997</v>
      </c>
    </row>
    <row r="8886" spans="1:8" x14ac:dyDescent="0.3">
      <c r="A8886" t="s">
        <v>18176</v>
      </c>
      <c r="B8886" t="s">
        <v>26951</v>
      </c>
      <c r="C8886" t="s">
        <v>22376</v>
      </c>
      <c r="D8886" t="s">
        <v>22375</v>
      </c>
      <c r="E8886" s="2" t="s">
        <v>7</v>
      </c>
      <c r="F8886" t="s">
        <v>22374</v>
      </c>
      <c r="G8886" t="str">
        <f>HYPERLINK("http://www.greened.kr/news/articleView.html?idxno=299873")</f>
        <v>http://www.greened.kr/news/articleView.html?idxno=299873</v>
      </c>
      <c r="H8886">
        <v>0.75600000000000001</v>
      </c>
    </row>
    <row r="8887" spans="1:8" x14ac:dyDescent="0.3">
      <c r="A8887" t="s">
        <v>18176</v>
      </c>
      <c r="B8887" t="s">
        <v>26951</v>
      </c>
      <c r="C8887" t="s">
        <v>22378</v>
      </c>
      <c r="D8887" t="s">
        <v>22377</v>
      </c>
      <c r="E8887" s="2" t="s">
        <v>7</v>
      </c>
      <c r="F8887" t="s">
        <v>22374</v>
      </c>
      <c r="G8887" t="str">
        <f>HYPERLINK("http://www.veritas-a.com/news/articleView.html?idxno=557732")</f>
        <v>http://www.veritas-a.com/news/articleView.html?idxno=557732</v>
      </c>
      <c r="H8887">
        <v>0.58599999999999997</v>
      </c>
    </row>
    <row r="8888" spans="1:8" x14ac:dyDescent="0.3">
      <c r="A8888" t="s">
        <v>18176</v>
      </c>
      <c r="B8888" t="s">
        <v>26951</v>
      </c>
      <c r="C8888" t="s">
        <v>22381</v>
      </c>
      <c r="D8888" t="s">
        <v>22380</v>
      </c>
      <c r="E8888" s="2" t="s">
        <v>7</v>
      </c>
      <c r="F8888" t="s">
        <v>22379</v>
      </c>
      <c r="G8888" t="str">
        <f>HYPERLINK("http://www.redian.org/archive/175242")</f>
        <v>http://www.redian.org/archive/175242</v>
      </c>
      <c r="H8888">
        <v>0.66800000000000004</v>
      </c>
    </row>
    <row r="8889" spans="1:8" x14ac:dyDescent="0.3">
      <c r="A8889" t="s">
        <v>18176</v>
      </c>
      <c r="B8889" t="s">
        <v>26951</v>
      </c>
      <c r="C8889" t="s">
        <v>18098</v>
      </c>
      <c r="D8889" t="s">
        <v>18097</v>
      </c>
      <c r="E8889" s="2" t="s">
        <v>7</v>
      </c>
      <c r="F8889" t="s">
        <v>18096</v>
      </c>
      <c r="G8889" t="str">
        <f>HYPERLINK("https://n.news.naver.com/mnews/article/088/0000325228?sid=102")</f>
        <v>https://n.news.naver.com/mnews/article/088/0000325228?sid=102</v>
      </c>
      <c r="H8889">
        <v>0.189</v>
      </c>
    </row>
    <row r="8890" spans="1:8" x14ac:dyDescent="0.3">
      <c r="A8890" t="s">
        <v>18176</v>
      </c>
      <c r="B8890" t="s">
        <v>26951</v>
      </c>
      <c r="C8890" t="s">
        <v>22384</v>
      </c>
      <c r="D8890" t="s">
        <v>22383</v>
      </c>
      <c r="E8890" s="2" t="s">
        <v>7</v>
      </c>
      <c r="F8890" t="s">
        <v>22382</v>
      </c>
      <c r="G8890" t="str">
        <f>HYPERLINK("https://www.eroun.net/news/articleView.html?idxno=58757")</f>
        <v>https://www.eroun.net/news/articleView.html?idxno=58757</v>
      </c>
      <c r="H8890">
        <v>0.33</v>
      </c>
    </row>
    <row r="8891" spans="1:8" x14ac:dyDescent="0.3">
      <c r="A8891" t="s">
        <v>18176</v>
      </c>
      <c r="B8891" t="s">
        <v>26951</v>
      </c>
      <c r="C8891" t="s">
        <v>22387</v>
      </c>
      <c r="D8891" t="s">
        <v>22386</v>
      </c>
      <c r="E8891" s="2" t="s">
        <v>7</v>
      </c>
      <c r="F8891" t="s">
        <v>22385</v>
      </c>
      <c r="G8891" t="str">
        <f>HYPERLINK("https://www.newspim.com/news/view/20250630001136")</f>
        <v>https://www.newspim.com/news/view/20250630001136</v>
      </c>
      <c r="H8891">
        <v>0.42399999999999999</v>
      </c>
    </row>
    <row r="8892" spans="1:8" x14ac:dyDescent="0.3">
      <c r="A8892" t="s">
        <v>18176</v>
      </c>
      <c r="B8892" t="s">
        <v>26951</v>
      </c>
      <c r="C8892" t="s">
        <v>22390</v>
      </c>
      <c r="D8892" t="s">
        <v>22389</v>
      </c>
      <c r="E8892" s="2" t="s">
        <v>7</v>
      </c>
      <c r="F8892" t="s">
        <v>22388</v>
      </c>
      <c r="G8892" t="str">
        <f>HYPERLINK("https://n.news.naver.com/mnews/article/056/0011496605?sid=103")</f>
        <v>https://n.news.naver.com/mnews/article/056/0011496605?sid=103</v>
      </c>
      <c r="H8892">
        <v>0.33200000000000002</v>
      </c>
    </row>
    <row r="8893" spans="1:8" x14ac:dyDescent="0.3">
      <c r="A8893" t="s">
        <v>18176</v>
      </c>
      <c r="B8893" t="s">
        <v>26951</v>
      </c>
      <c r="C8893" t="s">
        <v>22392</v>
      </c>
      <c r="D8893" t="s">
        <v>22391</v>
      </c>
      <c r="E8893" s="2" t="s">
        <v>7</v>
      </c>
      <c r="F8893" t="s">
        <v>2498</v>
      </c>
      <c r="G8893" t="str">
        <f>HYPERLINK("http://www.sisaon.co.kr/news/articleView.html?idxno=109809")</f>
        <v>http://www.sisaon.co.kr/news/articleView.html?idxno=109809</v>
      </c>
      <c r="H8893">
        <v>0.628</v>
      </c>
    </row>
    <row r="8894" spans="1:8" x14ac:dyDescent="0.3">
      <c r="A8894" t="s">
        <v>18176</v>
      </c>
      <c r="B8894" t="s">
        <v>26951</v>
      </c>
      <c r="C8894" t="s">
        <v>22395</v>
      </c>
      <c r="D8894" t="s">
        <v>22394</v>
      </c>
      <c r="E8894" s="2" t="s">
        <v>7</v>
      </c>
      <c r="F8894" t="s">
        <v>22393</v>
      </c>
      <c r="G8894" t="str">
        <f>HYPERLINK("http://www.etoday.co.kr/news/section/newsview.php?idxno=1064847")</f>
        <v>http://www.etoday.co.kr/news/section/newsview.php?idxno=1064847</v>
      </c>
      <c r="H8894">
        <v>0.37</v>
      </c>
    </row>
    <row r="8895" spans="1:8" x14ac:dyDescent="0.3">
      <c r="A8895" t="s">
        <v>18176</v>
      </c>
      <c r="B8895" t="s">
        <v>26951</v>
      </c>
      <c r="C8895" t="s">
        <v>22397</v>
      </c>
      <c r="D8895" t="s">
        <v>22396</v>
      </c>
      <c r="E8895" s="2" t="s">
        <v>7</v>
      </c>
      <c r="F8895" t="s">
        <v>4151</v>
      </c>
      <c r="G8895" t="str">
        <f>HYPERLINK("http://www.etoday.co.kr/news/section/newsview.php?idxno=1646022")</f>
        <v>http://www.etoday.co.kr/news/section/newsview.php?idxno=1646022</v>
      </c>
      <c r="H8895">
        <v>0.214</v>
      </c>
    </row>
    <row r="8896" spans="1:8" x14ac:dyDescent="0.3">
      <c r="A8896" t="s">
        <v>18176</v>
      </c>
      <c r="B8896" t="s">
        <v>26951</v>
      </c>
      <c r="C8896" t="s">
        <v>22399</v>
      </c>
      <c r="D8896" t="s">
        <v>22398</v>
      </c>
      <c r="E8896" s="2" t="s">
        <v>7</v>
      </c>
      <c r="F8896" t="s">
        <v>10398</v>
      </c>
      <c r="G8896" t="str">
        <f>HYPERLINK("http://www.lecturernews.com/news/articleView.html?idxno=85535")</f>
        <v>http://www.lecturernews.com/news/articleView.html?idxno=85535</v>
      </c>
      <c r="H8896">
        <v>0.56299999999999994</v>
      </c>
    </row>
    <row r="8897" spans="1:8" x14ac:dyDescent="0.3">
      <c r="A8897" t="s">
        <v>18176</v>
      </c>
      <c r="B8897" t="s">
        <v>26951</v>
      </c>
      <c r="C8897" t="s">
        <v>22402</v>
      </c>
      <c r="D8897" t="s">
        <v>22401</v>
      </c>
      <c r="E8897" s="2" t="s">
        <v>7</v>
      </c>
      <c r="F8897" t="s">
        <v>22400</v>
      </c>
      <c r="G8897" t="str">
        <f>HYPERLINK("https://www.etoday.co.kr/news/view/2482537")</f>
        <v>https://www.etoday.co.kr/news/view/2482537</v>
      </c>
      <c r="H8897">
        <v>0.26300000000000001</v>
      </c>
    </row>
    <row r="8898" spans="1:8" x14ac:dyDescent="0.3">
      <c r="A8898" t="s">
        <v>18176</v>
      </c>
      <c r="B8898" t="s">
        <v>26951</v>
      </c>
      <c r="C8898" t="s">
        <v>22404</v>
      </c>
      <c r="D8898" t="s">
        <v>22403</v>
      </c>
      <c r="E8898" s="2" t="s">
        <v>7</v>
      </c>
      <c r="F8898" t="s">
        <v>18090</v>
      </c>
      <c r="G8898" t="str">
        <f>HYPERLINK("https://n.news.naver.com/mnews/article/056/0011013104?sid=100")</f>
        <v>https://n.news.naver.com/mnews/article/056/0011013104?sid=100</v>
      </c>
      <c r="H8898">
        <v>0.20499999999999999</v>
      </c>
    </row>
    <row r="8899" spans="1:8" x14ac:dyDescent="0.3">
      <c r="A8899" t="s">
        <v>18176</v>
      </c>
      <c r="B8899" t="s">
        <v>26951</v>
      </c>
      <c r="C8899" t="s">
        <v>22406</v>
      </c>
      <c r="D8899" t="s">
        <v>22405</v>
      </c>
      <c r="E8899" s="2" t="s">
        <v>7</v>
      </c>
      <c r="F8899" t="s">
        <v>14243</v>
      </c>
      <c r="G8899" t="str">
        <f>HYPERLINK("http://www.knnews.co.kr/news/articleView.php?idxno=1463937")</f>
        <v>http://www.knnews.co.kr/news/articleView.php?idxno=1463937</v>
      </c>
      <c r="H8899">
        <v>0.53500000000000003</v>
      </c>
    </row>
    <row r="8900" spans="1:8" x14ac:dyDescent="0.3">
      <c r="A8900" t="s">
        <v>18176</v>
      </c>
      <c r="B8900" t="s">
        <v>26951</v>
      </c>
      <c r="C8900" t="s">
        <v>22408</v>
      </c>
      <c r="D8900" t="s">
        <v>22407</v>
      </c>
      <c r="E8900" s="2" t="s">
        <v>7</v>
      </c>
      <c r="F8900" t="s">
        <v>13259</v>
      </c>
      <c r="G8900" t="str">
        <f>HYPERLINK("https://www.kyeongin.com/article/1741405")</f>
        <v>https://www.kyeongin.com/article/1741405</v>
      </c>
      <c r="H8900">
        <v>0.41399999999999998</v>
      </c>
    </row>
    <row r="8901" spans="1:8" x14ac:dyDescent="0.3">
      <c r="A8901" t="s">
        <v>18176</v>
      </c>
      <c r="B8901" t="s">
        <v>26951</v>
      </c>
      <c r="C8901" t="s">
        <v>22410</v>
      </c>
      <c r="D8901" t="s">
        <v>22409</v>
      </c>
      <c r="E8901" s="2" t="s">
        <v>7</v>
      </c>
      <c r="F8901" t="s">
        <v>14243</v>
      </c>
      <c r="G8901" t="str">
        <f>HYPERLINK("http://www.energydaily.co.kr/news/articleView.html?idxno=104341")</f>
        <v>http://www.energydaily.co.kr/news/articleView.html?idxno=104341</v>
      </c>
      <c r="H8901">
        <v>0.67800000000000005</v>
      </c>
    </row>
    <row r="8902" spans="1:8" x14ac:dyDescent="0.3">
      <c r="A8902" t="s">
        <v>18176</v>
      </c>
      <c r="B8902" t="s">
        <v>26951</v>
      </c>
      <c r="C8902" t="s">
        <v>22413</v>
      </c>
      <c r="D8902" t="s">
        <v>22412</v>
      </c>
      <c r="E8902" s="2" t="s">
        <v>7</v>
      </c>
      <c r="F8902" t="s">
        <v>22411</v>
      </c>
      <c r="G8902" t="str">
        <f>HYPERLINK("https://sports.hankooki.com/news/articleView.html?idxno=6902310")</f>
        <v>https://sports.hankooki.com/news/articleView.html?idxno=6902310</v>
      </c>
      <c r="H8902">
        <v>0.47799999999999998</v>
      </c>
    </row>
    <row r="8903" spans="1:8" x14ac:dyDescent="0.3">
      <c r="A8903" t="s">
        <v>18176</v>
      </c>
      <c r="B8903" t="s">
        <v>26951</v>
      </c>
      <c r="C8903" t="s">
        <v>22415</v>
      </c>
      <c r="D8903" t="s">
        <v>22414</v>
      </c>
      <c r="E8903" s="2" t="s">
        <v>7</v>
      </c>
      <c r="F8903" t="s">
        <v>11924</v>
      </c>
      <c r="G8903" t="str">
        <f>HYPERLINK("https://www.ulsanpress.net/news/articleView.html?idxno=506038")</f>
        <v>https://www.ulsanpress.net/news/articleView.html?idxno=506038</v>
      </c>
      <c r="H8903">
        <v>0.36699999999999999</v>
      </c>
    </row>
    <row r="8904" spans="1:8" x14ac:dyDescent="0.3">
      <c r="A8904" t="s">
        <v>18176</v>
      </c>
      <c r="B8904" t="s">
        <v>26951</v>
      </c>
      <c r="C8904" t="s">
        <v>22417</v>
      </c>
      <c r="D8904" t="s">
        <v>22416</v>
      </c>
      <c r="E8904" s="2" t="s">
        <v>7</v>
      </c>
      <c r="F8904" t="s">
        <v>3829</v>
      </c>
      <c r="G8904" t="str">
        <f>HYPERLINK("https://www.econovill.com/news/articleView.html?idxno=701409")</f>
        <v>https://www.econovill.com/news/articleView.html?idxno=701409</v>
      </c>
      <c r="H8904">
        <v>0.624</v>
      </c>
    </row>
    <row r="8905" spans="1:8" x14ac:dyDescent="0.3">
      <c r="A8905" t="s">
        <v>18176</v>
      </c>
      <c r="B8905" t="s">
        <v>26951</v>
      </c>
      <c r="C8905" t="s">
        <v>22420</v>
      </c>
      <c r="D8905" t="s">
        <v>22419</v>
      </c>
      <c r="E8905" s="2" t="s">
        <v>7</v>
      </c>
      <c r="F8905" t="s">
        <v>22418</v>
      </c>
      <c r="G8905" t="str">
        <f>HYPERLINK("https://www.ulsanpress.net/news/articleView.html?idxno=553468")</f>
        <v>https://www.ulsanpress.net/news/articleView.html?idxno=553468</v>
      </c>
      <c r="H8905">
        <v>0.35599999999999998</v>
      </c>
    </row>
    <row r="8906" spans="1:8" x14ac:dyDescent="0.3">
      <c r="A8906" t="s">
        <v>18176</v>
      </c>
      <c r="B8906" t="s">
        <v>26951</v>
      </c>
      <c r="C8906" t="s">
        <v>22422</v>
      </c>
      <c r="D8906" t="s">
        <v>22421</v>
      </c>
      <c r="E8906" s="2" t="s">
        <v>7</v>
      </c>
      <c r="F8906" t="s">
        <v>15722</v>
      </c>
      <c r="G8906" t="str">
        <f>HYPERLINK("https://news.bbsi.co.kr/news/articleView.html?idxno=3145950")</f>
        <v>https://news.bbsi.co.kr/news/articleView.html?idxno=3145950</v>
      </c>
      <c r="H8906">
        <v>0.16500000000000001</v>
      </c>
    </row>
    <row r="8907" spans="1:8" x14ac:dyDescent="0.3">
      <c r="A8907" t="s">
        <v>18176</v>
      </c>
      <c r="B8907" t="s">
        <v>26951</v>
      </c>
      <c r="C8907" t="s">
        <v>22424</v>
      </c>
      <c r="D8907" t="s">
        <v>22423</v>
      </c>
      <c r="E8907" s="2" t="s">
        <v>7</v>
      </c>
      <c r="F8907" t="s">
        <v>20535</v>
      </c>
      <c r="G8907" t="str">
        <f>HYPERLINK("https://www.idaegu.com/news/articleView.html?idxno=639904")</f>
        <v>https://www.idaegu.com/news/articleView.html?idxno=639904</v>
      </c>
      <c r="H8907">
        <v>0.59599999999999997</v>
      </c>
    </row>
    <row r="8908" spans="1:8" x14ac:dyDescent="0.3">
      <c r="A8908" t="s">
        <v>18176</v>
      </c>
      <c r="B8908" t="s">
        <v>26951</v>
      </c>
      <c r="C8908" t="s">
        <v>22427</v>
      </c>
      <c r="D8908" t="s">
        <v>22426</v>
      </c>
      <c r="E8908" s="2" t="s">
        <v>7</v>
      </c>
      <c r="F8908" t="s">
        <v>22425</v>
      </c>
      <c r="G8908" t="str">
        <f>HYPERLINK("https://n.news.naver.com/mnews/article/081/0003554107?sid=100")</f>
        <v>https://n.news.naver.com/mnews/article/081/0003554107?sid=100</v>
      </c>
      <c r="H8908">
        <v>0.29299999999999998</v>
      </c>
    </row>
    <row r="8909" spans="1:8" x14ac:dyDescent="0.3">
      <c r="A8909" t="s">
        <v>18176</v>
      </c>
      <c r="B8909" t="s">
        <v>26951</v>
      </c>
      <c r="C8909" t="s">
        <v>22430</v>
      </c>
      <c r="D8909" t="s">
        <v>22429</v>
      </c>
      <c r="E8909" s="2" t="s">
        <v>7</v>
      </c>
      <c r="F8909" t="s">
        <v>22428</v>
      </c>
      <c r="G8909" t="str">
        <f>HYPERLINK("http://www.mhj21.com/145206")</f>
        <v>http://www.mhj21.com/145206</v>
      </c>
      <c r="H8909">
        <v>0.55600000000000005</v>
      </c>
    </row>
    <row r="8910" spans="1:8" x14ac:dyDescent="0.3">
      <c r="A8910" t="s">
        <v>18176</v>
      </c>
      <c r="B8910" t="s">
        <v>26951</v>
      </c>
      <c r="C8910" t="s">
        <v>22433</v>
      </c>
      <c r="D8910" t="s">
        <v>22432</v>
      </c>
      <c r="E8910" s="2" t="s">
        <v>7</v>
      </c>
      <c r="F8910" t="s">
        <v>22431</v>
      </c>
      <c r="G8910" t="str">
        <f>HYPERLINK("http://www.apnews.kr/news/articleView.html?idxno=3005313")</f>
        <v>http://www.apnews.kr/news/articleView.html?idxno=3005313</v>
      </c>
      <c r="H8910">
        <v>0.48399999999999999</v>
      </c>
    </row>
    <row r="8911" spans="1:8" x14ac:dyDescent="0.3">
      <c r="A8911" t="s">
        <v>18176</v>
      </c>
      <c r="B8911" t="s">
        <v>26951</v>
      </c>
      <c r="C8911" t="s">
        <v>22436</v>
      </c>
      <c r="D8911" t="s">
        <v>22435</v>
      </c>
      <c r="E8911" s="2" t="s">
        <v>7</v>
      </c>
      <c r="F8911" t="s">
        <v>22434</v>
      </c>
      <c r="G8911" t="str">
        <f>HYPERLINK("http://www.breaknews.com/978103")</f>
        <v>http://www.breaknews.com/978103</v>
      </c>
      <c r="H8911">
        <v>0.13500000000000001</v>
      </c>
    </row>
    <row r="8912" spans="1:8" x14ac:dyDescent="0.3">
      <c r="A8912" t="s">
        <v>18176</v>
      </c>
      <c r="B8912" t="s">
        <v>26951</v>
      </c>
      <c r="C8912" t="s">
        <v>22439</v>
      </c>
      <c r="D8912" t="s">
        <v>22438</v>
      </c>
      <c r="E8912" s="2" t="s">
        <v>7</v>
      </c>
      <c r="F8912" t="s">
        <v>22437</v>
      </c>
      <c r="G8912" t="str">
        <f>HYPERLINK("http://www.breaknews.com/1098380")</f>
        <v>http://www.breaknews.com/1098380</v>
      </c>
      <c r="H8912">
        <v>0.48499999999999999</v>
      </c>
    </row>
    <row r="8913" spans="1:8" x14ac:dyDescent="0.3">
      <c r="A8913" t="s">
        <v>18176</v>
      </c>
      <c r="B8913" t="s">
        <v>26951</v>
      </c>
      <c r="C8913" t="s">
        <v>22441</v>
      </c>
      <c r="D8913" t="s">
        <v>22440</v>
      </c>
      <c r="E8913" s="2" t="s">
        <v>7</v>
      </c>
      <c r="F8913" t="s">
        <v>19136</v>
      </c>
      <c r="G8913" t="str">
        <f>HYPERLINK("https://n.news.naver.com/mnews/article/277/0005608481?sid=103")</f>
        <v>https://n.news.naver.com/mnews/article/277/0005608481?sid=103</v>
      </c>
      <c r="H8913">
        <v>0.22500000000000001</v>
      </c>
    </row>
    <row r="8914" spans="1:8" x14ac:dyDescent="0.3">
      <c r="A8914" t="s">
        <v>18176</v>
      </c>
      <c r="B8914" t="s">
        <v>26951</v>
      </c>
      <c r="C8914" t="s">
        <v>22444</v>
      </c>
      <c r="D8914" t="s">
        <v>22443</v>
      </c>
      <c r="E8914" s="2" t="s">
        <v>7</v>
      </c>
      <c r="F8914" t="s">
        <v>22442</v>
      </c>
      <c r="G8914" t="str">
        <f>HYPERLINK("http://www.danbinews.com/news/articleView.html?idxno=25043")</f>
        <v>http://www.danbinews.com/news/articleView.html?idxno=25043</v>
      </c>
      <c r="H8914">
        <v>0.45700000000000002</v>
      </c>
    </row>
    <row r="8915" spans="1:8" x14ac:dyDescent="0.3">
      <c r="A8915" t="s">
        <v>18176</v>
      </c>
      <c r="B8915" t="s">
        <v>26951</v>
      </c>
      <c r="C8915" t="s">
        <v>22447</v>
      </c>
      <c r="D8915" t="s">
        <v>22446</v>
      </c>
      <c r="E8915" s="2" t="s">
        <v>7</v>
      </c>
      <c r="F8915" t="s">
        <v>22445</v>
      </c>
      <c r="G8915" t="str">
        <f>HYPERLINK("https://www.klnews.co.kr/news/articleView.html?idxno=317158")</f>
        <v>https://www.klnews.co.kr/news/articleView.html?idxno=317158</v>
      </c>
      <c r="H8915">
        <v>0.61699999999999999</v>
      </c>
    </row>
    <row r="8916" spans="1:8" x14ac:dyDescent="0.3">
      <c r="A8916" t="s">
        <v>18176</v>
      </c>
      <c r="B8916" t="s">
        <v>26951</v>
      </c>
      <c r="C8916" t="s">
        <v>22450</v>
      </c>
      <c r="D8916" t="s">
        <v>22449</v>
      </c>
      <c r="E8916" s="2" t="s">
        <v>7</v>
      </c>
      <c r="F8916" t="s">
        <v>22448</v>
      </c>
      <c r="G8916" t="str">
        <f>HYPERLINK("https://n.news.naver.com/mnews/article/008/0003520703?sid=101")</f>
        <v>https://n.news.naver.com/mnews/article/008/0003520703?sid=101</v>
      </c>
      <c r="H8916">
        <v>0.26900000000000002</v>
      </c>
    </row>
    <row r="8917" spans="1:8" x14ac:dyDescent="0.3">
      <c r="A8917" t="s">
        <v>18176</v>
      </c>
      <c r="B8917" t="s">
        <v>26951</v>
      </c>
      <c r="C8917" t="s">
        <v>22453</v>
      </c>
      <c r="D8917" t="s">
        <v>22452</v>
      </c>
      <c r="E8917" s="2" t="s">
        <v>7</v>
      </c>
      <c r="F8917" t="s">
        <v>22451</v>
      </c>
      <c r="G8917" t="str">
        <f>HYPERLINK("https://n.news.naver.com/mnews/article/119/0002974433?sid=103")</f>
        <v>https://n.news.naver.com/mnews/article/119/0002974433?sid=103</v>
      </c>
      <c r="H8917">
        <v>0.32500000000000001</v>
      </c>
    </row>
    <row r="8918" spans="1:8" x14ac:dyDescent="0.3">
      <c r="A8918" t="s">
        <v>18176</v>
      </c>
      <c r="B8918" t="s">
        <v>26951</v>
      </c>
      <c r="C8918" t="s">
        <v>22456</v>
      </c>
      <c r="D8918" t="s">
        <v>22455</v>
      </c>
      <c r="E8918" s="2" t="s">
        <v>7</v>
      </c>
      <c r="F8918" t="s">
        <v>22454</v>
      </c>
      <c r="G8918" t="str">
        <f>HYPERLINK("http://www.christiantoday.co.kr/news/328261")</f>
        <v>http://www.christiantoday.co.kr/news/328261</v>
      </c>
      <c r="H8918">
        <v>0.49</v>
      </c>
    </row>
    <row r="8919" spans="1:8" x14ac:dyDescent="0.3">
      <c r="A8919" t="s">
        <v>18176</v>
      </c>
      <c r="B8919" t="s">
        <v>26951</v>
      </c>
      <c r="C8919" t="s">
        <v>22458</v>
      </c>
      <c r="D8919" t="s">
        <v>22457</v>
      </c>
      <c r="E8919" s="2" t="s">
        <v>7</v>
      </c>
      <c r="F8919" t="s">
        <v>3745</v>
      </c>
      <c r="G8919" t="str">
        <f>HYPERLINK("https://www.jeonmae.co.kr/news/articleView.html?idxno=1149954")</f>
        <v>https://www.jeonmae.co.kr/news/articleView.html?idxno=1149954</v>
      </c>
      <c r="H8919">
        <v>0.21</v>
      </c>
    </row>
    <row r="8920" spans="1:8" x14ac:dyDescent="0.3">
      <c r="A8920" t="s">
        <v>18176</v>
      </c>
      <c r="B8920" t="s">
        <v>26951</v>
      </c>
      <c r="C8920" t="s">
        <v>22460</v>
      </c>
      <c r="D8920" t="s">
        <v>22459</v>
      </c>
      <c r="E8920" s="2" t="s">
        <v>7</v>
      </c>
      <c r="F8920" t="s">
        <v>10506</v>
      </c>
      <c r="G8920" t="str">
        <f>HYPERLINK("https://n.news.naver.com/mnews/article/022/0004036177?sid=103")</f>
        <v>https://n.news.naver.com/mnews/article/022/0004036177?sid=103</v>
      </c>
      <c r="H8920">
        <v>5.7000000000000002E-2</v>
      </c>
    </row>
    <row r="8921" spans="1:8" x14ac:dyDescent="0.3">
      <c r="A8921" t="s">
        <v>18176</v>
      </c>
      <c r="B8921" t="s">
        <v>26951</v>
      </c>
      <c r="C8921" t="s">
        <v>22462</v>
      </c>
      <c r="D8921" t="s">
        <v>22461</v>
      </c>
      <c r="E8921" s="2" t="s">
        <v>7</v>
      </c>
      <c r="F8921" t="s">
        <v>2718</v>
      </c>
      <c r="G8921" t="str">
        <f>HYPERLINK("http://www.namdonews.com/news/articleView.html?idxno=822847")</f>
        <v>http://www.namdonews.com/news/articleView.html?idxno=822847</v>
      </c>
      <c r="H8921">
        <v>0.38200000000000001</v>
      </c>
    </row>
    <row r="8922" spans="1:8" x14ac:dyDescent="0.3">
      <c r="A8922" t="s">
        <v>18176</v>
      </c>
      <c r="B8922" t="s">
        <v>26951</v>
      </c>
      <c r="C8922" t="s">
        <v>22465</v>
      </c>
      <c r="D8922" t="s">
        <v>22464</v>
      </c>
      <c r="E8922" s="2" t="s">
        <v>7</v>
      </c>
      <c r="F8922" t="s">
        <v>22463</v>
      </c>
      <c r="G8922" t="str">
        <f>HYPERLINK("https://weekly.cnbnews.com/news/article.html?no=155098")</f>
        <v>https://weekly.cnbnews.com/news/article.html?no=155098</v>
      </c>
      <c r="H8922">
        <v>0.30499999999999999</v>
      </c>
    </row>
    <row r="8923" spans="1:8" x14ac:dyDescent="0.3">
      <c r="A8923" t="s">
        <v>18176</v>
      </c>
      <c r="B8923" t="s">
        <v>26951</v>
      </c>
      <c r="C8923" t="s">
        <v>22468</v>
      </c>
      <c r="D8923" t="s">
        <v>22467</v>
      </c>
      <c r="E8923" s="2" t="s">
        <v>7</v>
      </c>
      <c r="F8923" t="s">
        <v>22466</v>
      </c>
      <c r="G8923" t="str">
        <f>HYPERLINK("https://n.news.naver.com/mnews/article/082/0000938049?sid=102")</f>
        <v>https://n.news.naver.com/mnews/article/082/0000938049?sid=102</v>
      </c>
      <c r="H8923">
        <v>0.18</v>
      </c>
    </row>
    <row r="8924" spans="1:8" x14ac:dyDescent="0.3">
      <c r="A8924" t="s">
        <v>18176</v>
      </c>
      <c r="B8924" t="s">
        <v>26951</v>
      </c>
      <c r="C8924" t="s">
        <v>22471</v>
      </c>
      <c r="D8924" t="s">
        <v>22470</v>
      </c>
      <c r="E8924" s="2" t="s">
        <v>7</v>
      </c>
      <c r="F8924" t="s">
        <v>22469</v>
      </c>
      <c r="G8924" t="str">
        <f>HYPERLINK("http://sports.hankooki.com/news/articleView.html?idxno=6794690")</f>
        <v>http://sports.hankooki.com/news/articleView.html?idxno=6794690</v>
      </c>
      <c r="H8924">
        <v>0.51600000000000001</v>
      </c>
    </row>
    <row r="8925" spans="1:8" x14ac:dyDescent="0.3">
      <c r="A8925" t="s">
        <v>18176</v>
      </c>
      <c r="B8925" t="s">
        <v>26951</v>
      </c>
      <c r="C8925" t="s">
        <v>22474</v>
      </c>
      <c r="D8925" t="s">
        <v>22473</v>
      </c>
      <c r="E8925" s="2" t="s">
        <v>7</v>
      </c>
      <c r="F8925" t="s">
        <v>22472</v>
      </c>
      <c r="G8925" t="str">
        <f>HYPERLINK("https://www.jjan.kr/article/20250613580066")</f>
        <v>https://www.jjan.kr/article/20250613580066</v>
      </c>
      <c r="H8925">
        <v>0.39600000000000002</v>
      </c>
    </row>
    <row r="8926" spans="1:8" x14ac:dyDescent="0.3">
      <c r="A8926" t="s">
        <v>18176</v>
      </c>
      <c r="B8926" t="s">
        <v>26951</v>
      </c>
      <c r="C8926" t="s">
        <v>22477</v>
      </c>
      <c r="D8926" t="s">
        <v>22476</v>
      </c>
      <c r="E8926" s="2" t="s">
        <v>7</v>
      </c>
      <c r="F8926" t="s">
        <v>22475</v>
      </c>
      <c r="G8926" t="str">
        <f>HYPERLINK("https://n.news.naver.com/mnews/article/016/0002491444?sid=102")</f>
        <v>https://n.news.naver.com/mnews/article/016/0002491444?sid=102</v>
      </c>
      <c r="H8926">
        <v>0.34300000000000003</v>
      </c>
    </row>
    <row r="8927" spans="1:8" x14ac:dyDescent="0.3">
      <c r="A8927" t="s">
        <v>18176</v>
      </c>
      <c r="B8927" t="s">
        <v>26951</v>
      </c>
      <c r="C8927" t="s">
        <v>22479</v>
      </c>
      <c r="D8927" t="s">
        <v>22478</v>
      </c>
      <c r="E8927" s="2" t="s">
        <v>7</v>
      </c>
      <c r="F8927" t="s">
        <v>19237</v>
      </c>
      <c r="G8927" t="str">
        <f>HYPERLINK("http://www.kyeonggi.com/news/articleView.html?idxno=2063500")</f>
        <v>http://www.kyeonggi.com/news/articleView.html?idxno=2063500</v>
      </c>
      <c r="H8927">
        <v>0.35599999999999998</v>
      </c>
    </row>
    <row r="8928" spans="1:8" x14ac:dyDescent="0.3">
      <c r="A8928" t="s">
        <v>18176</v>
      </c>
      <c r="B8928" t="s">
        <v>26951</v>
      </c>
      <c r="C8928" t="s">
        <v>22481</v>
      </c>
      <c r="D8928" t="s">
        <v>22480</v>
      </c>
      <c r="E8928" s="2" t="s">
        <v>7</v>
      </c>
      <c r="F8928" t="s">
        <v>10135</v>
      </c>
      <c r="G8928" t="str">
        <f>HYPERLINK("https://www.jemin.com/news/articleView.html?idxno=818258")</f>
        <v>https://www.jemin.com/news/articleView.html?idxno=818258</v>
      </c>
      <c r="H8928">
        <v>0.44400000000000001</v>
      </c>
    </row>
    <row r="8929" spans="1:8" x14ac:dyDescent="0.3">
      <c r="A8929" t="s">
        <v>18176</v>
      </c>
      <c r="B8929" t="s">
        <v>26951</v>
      </c>
      <c r="C8929" t="s">
        <v>22482</v>
      </c>
      <c r="D8929" t="s">
        <v>6764</v>
      </c>
      <c r="E8929" s="2" t="s">
        <v>7</v>
      </c>
      <c r="F8929" t="s">
        <v>17172</v>
      </c>
      <c r="G8929" t="str">
        <f>HYPERLINK("http://www.kyosu.net/news/articleView.html?idxno=138313")</f>
        <v>http://www.kyosu.net/news/articleView.html?idxno=138313</v>
      </c>
      <c r="H8929">
        <v>0.51400000000000001</v>
      </c>
    </row>
    <row r="8930" spans="1:8" x14ac:dyDescent="0.3">
      <c r="A8930" t="s">
        <v>22483</v>
      </c>
      <c r="B8930" t="s">
        <v>26951</v>
      </c>
      <c r="C8930" t="s">
        <v>22486</v>
      </c>
      <c r="D8930" t="s">
        <v>22485</v>
      </c>
      <c r="E8930" s="2" t="s">
        <v>7</v>
      </c>
      <c r="F8930" t="s">
        <v>22484</v>
      </c>
      <c r="G8930" t="str">
        <f>HYPERLINK("https://www.etoday.co.kr/news/view/2481747")</f>
        <v>https://www.etoday.co.kr/news/view/2481747</v>
      </c>
      <c r="H8930">
        <v>0.51</v>
      </c>
    </row>
    <row r="8931" spans="1:8" x14ac:dyDescent="0.3">
      <c r="A8931" t="s">
        <v>22483</v>
      </c>
      <c r="B8931" t="s">
        <v>26951</v>
      </c>
      <c r="C8931" t="s">
        <v>22488</v>
      </c>
      <c r="D8931" t="s">
        <v>22487</v>
      </c>
      <c r="E8931" s="2" t="s">
        <v>74</v>
      </c>
      <c r="F8931" t="s">
        <v>14905</v>
      </c>
      <c r="G8931" t="str">
        <f>HYPERLINK("https://www.etoday.co.kr/news/view/2482825")</f>
        <v>https://www.etoday.co.kr/news/view/2482825</v>
      </c>
      <c r="H8931">
        <v>0.25800000000000001</v>
      </c>
    </row>
    <row r="8932" spans="1:8" x14ac:dyDescent="0.3">
      <c r="A8932" t="s">
        <v>22483</v>
      </c>
      <c r="B8932" t="s">
        <v>26951</v>
      </c>
      <c r="C8932" t="s">
        <v>22490</v>
      </c>
      <c r="D8932" t="s">
        <v>22489</v>
      </c>
      <c r="E8932" s="2" t="s">
        <v>105</v>
      </c>
      <c r="F8932" t="s">
        <v>1274</v>
      </c>
      <c r="G8932" t="str">
        <f>HYPERLINK("https://www.etoday.co.kr/news/view/2483443")</f>
        <v>https://www.etoday.co.kr/news/view/2483443</v>
      </c>
      <c r="H8932">
        <v>0.51500000000000001</v>
      </c>
    </row>
    <row r="8933" spans="1:8" x14ac:dyDescent="0.3">
      <c r="A8933" t="s">
        <v>22483</v>
      </c>
      <c r="B8933" t="s">
        <v>26951</v>
      </c>
      <c r="C8933" t="s">
        <v>22493</v>
      </c>
      <c r="D8933" t="s">
        <v>22492</v>
      </c>
      <c r="E8933" s="2" t="s">
        <v>105</v>
      </c>
      <c r="F8933" t="s">
        <v>22491</v>
      </c>
      <c r="G8933" t="str">
        <f>HYPERLINK("https://n.news.naver.com/mnews/article/277/0005614207?sid=104")</f>
        <v>https://n.news.naver.com/mnews/article/277/0005614207?sid=104</v>
      </c>
      <c r="H8933">
        <v>0.17</v>
      </c>
    </row>
    <row r="8934" spans="1:8" x14ac:dyDescent="0.3">
      <c r="A8934" t="s">
        <v>22483</v>
      </c>
      <c r="B8934" t="s">
        <v>26951</v>
      </c>
      <c r="C8934" t="s">
        <v>22495</v>
      </c>
      <c r="D8934" t="s">
        <v>22494</v>
      </c>
      <c r="E8934" s="2" t="s">
        <v>133</v>
      </c>
      <c r="F8934" t="s">
        <v>4384</v>
      </c>
      <c r="G8934" t="str">
        <f>HYPERLINK("http://www.4th.kr/news/articleView.html?idxno=2089380")</f>
        <v>http://www.4th.kr/news/articleView.html?idxno=2089380</v>
      </c>
      <c r="H8934">
        <v>0.39</v>
      </c>
    </row>
    <row r="8935" spans="1:8" x14ac:dyDescent="0.3">
      <c r="A8935" t="s">
        <v>22483</v>
      </c>
      <c r="B8935" t="s">
        <v>26951</v>
      </c>
      <c r="C8935" t="s">
        <v>22497</v>
      </c>
      <c r="D8935" t="s">
        <v>22496</v>
      </c>
      <c r="E8935" s="2" t="s">
        <v>133</v>
      </c>
      <c r="F8935" t="s">
        <v>1298</v>
      </c>
      <c r="G8935" t="str">
        <f>HYPERLINK("https://www.etoday.co.kr/news/view/2481999")</f>
        <v>https://www.etoday.co.kr/news/view/2481999</v>
      </c>
      <c r="H8935">
        <v>0.496</v>
      </c>
    </row>
    <row r="8936" spans="1:8" x14ac:dyDescent="0.3">
      <c r="A8936" t="s">
        <v>22483</v>
      </c>
      <c r="B8936" t="s">
        <v>26951</v>
      </c>
      <c r="C8936" t="s">
        <v>22499</v>
      </c>
      <c r="D8936" t="s">
        <v>22498</v>
      </c>
      <c r="E8936" s="2" t="s">
        <v>133</v>
      </c>
      <c r="F8936" t="s">
        <v>951</v>
      </c>
      <c r="G8936" t="str">
        <f>HYPERLINK("https://www.greened.kr/news/articleView.html?idxno=325081")</f>
        <v>https://www.greened.kr/news/articleView.html?idxno=325081</v>
      </c>
      <c r="H8936">
        <v>0.42699999999999999</v>
      </c>
    </row>
    <row r="8937" spans="1:8" x14ac:dyDescent="0.3">
      <c r="A8937" t="s">
        <v>22483</v>
      </c>
      <c r="B8937" t="s">
        <v>26951</v>
      </c>
      <c r="C8937" t="s">
        <v>22501</v>
      </c>
      <c r="D8937" t="s">
        <v>22500</v>
      </c>
      <c r="E8937" s="2" t="s">
        <v>172</v>
      </c>
      <c r="F8937" t="s">
        <v>4387</v>
      </c>
      <c r="G8937" t="str">
        <f>HYPERLINK("https://www.etoday.co.kr/news/view/2401541")</f>
        <v>https://www.etoday.co.kr/news/view/2401541</v>
      </c>
      <c r="H8937">
        <v>0.14399999999999999</v>
      </c>
    </row>
    <row r="8938" spans="1:8" x14ac:dyDescent="0.3">
      <c r="A8938" t="s">
        <v>22483</v>
      </c>
      <c r="B8938" t="s">
        <v>26951</v>
      </c>
      <c r="C8938" t="s">
        <v>22503</v>
      </c>
      <c r="D8938" t="s">
        <v>22502</v>
      </c>
      <c r="E8938" s="2" t="s">
        <v>172</v>
      </c>
      <c r="F8938" t="s">
        <v>93</v>
      </c>
      <c r="G8938" t="str">
        <f>HYPERLINK("https://www.etoday.co.kr/news/view/2481748")</f>
        <v>https://www.etoday.co.kr/news/view/2481748</v>
      </c>
      <c r="H8938">
        <v>0.23</v>
      </c>
    </row>
    <row r="8939" spans="1:8" x14ac:dyDescent="0.3">
      <c r="A8939" t="s">
        <v>22483</v>
      </c>
      <c r="B8939" t="s">
        <v>26951</v>
      </c>
      <c r="C8939" t="s">
        <v>22505</v>
      </c>
      <c r="D8939" t="s">
        <v>22504</v>
      </c>
      <c r="E8939" s="2" t="s">
        <v>196</v>
      </c>
      <c r="F8939" t="s">
        <v>93</v>
      </c>
      <c r="G8939" t="str">
        <f>HYPERLINK("https://www.etoday.co.kr/news/view/2481357")</f>
        <v>https://www.etoday.co.kr/news/view/2481357</v>
      </c>
      <c r="H8939">
        <v>0.249</v>
      </c>
    </row>
    <row r="8940" spans="1:8" x14ac:dyDescent="0.3">
      <c r="A8940" t="s">
        <v>22483</v>
      </c>
      <c r="B8940" t="s">
        <v>26951</v>
      </c>
      <c r="C8940" t="s">
        <v>22507</v>
      </c>
      <c r="D8940" t="s">
        <v>22506</v>
      </c>
      <c r="E8940" s="2" t="s">
        <v>230</v>
      </c>
      <c r="F8940" t="s">
        <v>2902</v>
      </c>
      <c r="G8940" t="str">
        <f>HYPERLINK("https://n.news.naver.com/mnews/article/044/0000271817?sid=104")</f>
        <v>https://n.news.naver.com/mnews/article/044/0000271817?sid=104</v>
      </c>
      <c r="H8940">
        <v>0.11799999999999999</v>
      </c>
    </row>
    <row r="8941" spans="1:8" x14ac:dyDescent="0.3">
      <c r="A8941" t="s">
        <v>22483</v>
      </c>
      <c r="B8941" t="s">
        <v>26951</v>
      </c>
      <c r="C8941" t="s">
        <v>22509</v>
      </c>
      <c r="D8941" t="s">
        <v>22508</v>
      </c>
      <c r="E8941" s="2" t="s">
        <v>280</v>
      </c>
      <c r="F8941" t="s">
        <v>298</v>
      </c>
      <c r="G8941" t="str">
        <f>HYPERLINK("http://www.ntoday.co.kr/news/articleView.html?idxno=98318")</f>
        <v>http://www.ntoday.co.kr/news/articleView.html?idxno=98318</v>
      </c>
      <c r="H8941">
        <v>0.66900000000000004</v>
      </c>
    </row>
    <row r="8942" spans="1:8" x14ac:dyDescent="0.3">
      <c r="A8942" t="s">
        <v>22483</v>
      </c>
      <c r="B8942" t="s">
        <v>26951</v>
      </c>
      <c r="C8942" t="s">
        <v>22511</v>
      </c>
      <c r="D8942" t="s">
        <v>22510</v>
      </c>
      <c r="E8942" s="2" t="s">
        <v>313</v>
      </c>
      <c r="F8942" t="s">
        <v>4384</v>
      </c>
      <c r="G8942" t="str">
        <f>HYPERLINK("http://www.youthdaily.co.kr/news/article.html?no=62544")</f>
        <v>http://www.youthdaily.co.kr/news/article.html?no=62544</v>
      </c>
      <c r="H8942">
        <v>0.63500000000000001</v>
      </c>
    </row>
    <row r="8943" spans="1:8" x14ac:dyDescent="0.3">
      <c r="A8943" t="s">
        <v>22483</v>
      </c>
      <c r="B8943" t="s">
        <v>26951</v>
      </c>
      <c r="C8943" t="s">
        <v>22514</v>
      </c>
      <c r="D8943" t="s">
        <v>22513</v>
      </c>
      <c r="E8943" s="2" t="s">
        <v>313</v>
      </c>
      <c r="F8943" t="s">
        <v>22512</v>
      </c>
      <c r="G8943" t="str">
        <f>HYPERLINK("https://www.etoday.co.kr/news/view/2422174")</f>
        <v>https://www.etoday.co.kr/news/view/2422174</v>
      </c>
      <c r="H8943">
        <v>0.39400000000000002</v>
      </c>
    </row>
    <row r="8944" spans="1:8" x14ac:dyDescent="0.3">
      <c r="A8944" t="s">
        <v>22483</v>
      </c>
      <c r="B8944" t="s">
        <v>26951</v>
      </c>
      <c r="C8944" t="s">
        <v>22516</v>
      </c>
      <c r="D8944" t="s">
        <v>22515</v>
      </c>
      <c r="E8944" s="2" t="s">
        <v>356</v>
      </c>
      <c r="F8944" t="s">
        <v>93</v>
      </c>
      <c r="G8944" t="str">
        <f>HYPERLINK("https://www.etoday.co.kr/news/view/2479964")</f>
        <v>https://www.etoday.co.kr/news/view/2479964</v>
      </c>
      <c r="H8944">
        <v>0.307</v>
      </c>
    </row>
    <row r="8945" spans="1:8" x14ac:dyDescent="0.3">
      <c r="A8945" t="s">
        <v>22483</v>
      </c>
      <c r="B8945" t="s">
        <v>26951</v>
      </c>
      <c r="C8945" t="s">
        <v>22519</v>
      </c>
      <c r="D8945" t="s">
        <v>22518</v>
      </c>
      <c r="E8945" s="2" t="s">
        <v>356</v>
      </c>
      <c r="F8945" t="s">
        <v>22517</v>
      </c>
      <c r="G8945" t="str">
        <f>HYPERLINK("https://www.etoday.co.kr/news/view/2085079")</f>
        <v>https://www.etoday.co.kr/news/view/2085079</v>
      </c>
      <c r="H8945">
        <v>0.49199999999999999</v>
      </c>
    </row>
    <row r="8946" spans="1:8" x14ac:dyDescent="0.3">
      <c r="A8946" t="s">
        <v>22483</v>
      </c>
      <c r="B8946" t="s">
        <v>26951</v>
      </c>
      <c r="C8946" t="s">
        <v>22522</v>
      </c>
      <c r="D8946" t="s">
        <v>22521</v>
      </c>
      <c r="E8946" s="2" t="s">
        <v>418</v>
      </c>
      <c r="F8946" t="s">
        <v>22520</v>
      </c>
      <c r="G8946" t="str">
        <f>HYPERLINK("https://www.etoday.co.kr/news/view/2479511")</f>
        <v>https://www.etoday.co.kr/news/view/2479511</v>
      </c>
      <c r="H8946">
        <v>0.81399999999999995</v>
      </c>
    </row>
    <row r="8947" spans="1:8" x14ac:dyDescent="0.3">
      <c r="A8947" t="s">
        <v>22483</v>
      </c>
      <c r="B8947" t="s">
        <v>26951</v>
      </c>
      <c r="C8947" t="s">
        <v>22525</v>
      </c>
      <c r="D8947" t="s">
        <v>22524</v>
      </c>
      <c r="E8947" s="2" t="s">
        <v>418</v>
      </c>
      <c r="F8947" t="s">
        <v>22523</v>
      </c>
      <c r="G8947" t="str">
        <f>HYPERLINK("https://www.etoday.co.kr/news/view/2479266")</f>
        <v>https://www.etoday.co.kr/news/view/2479266</v>
      </c>
      <c r="H8947">
        <v>0.89500000000000002</v>
      </c>
    </row>
    <row r="8948" spans="1:8" x14ac:dyDescent="0.3">
      <c r="A8948" t="s">
        <v>22483</v>
      </c>
      <c r="B8948" t="s">
        <v>26951</v>
      </c>
      <c r="C8948" t="s">
        <v>22527</v>
      </c>
      <c r="D8948" t="s">
        <v>22526</v>
      </c>
      <c r="E8948" s="2" t="s">
        <v>418</v>
      </c>
      <c r="F8948" t="s">
        <v>15953</v>
      </c>
      <c r="G8948" t="str">
        <f>HYPERLINK("https://www.etoday.co.kr/news/view/2439746")</f>
        <v>https://www.etoday.co.kr/news/view/2439746</v>
      </c>
      <c r="H8948">
        <v>0.26400000000000001</v>
      </c>
    </row>
    <row r="8949" spans="1:8" x14ac:dyDescent="0.3">
      <c r="A8949" t="s">
        <v>22483</v>
      </c>
      <c r="B8949" t="s">
        <v>26951</v>
      </c>
      <c r="C8949" t="s">
        <v>22530</v>
      </c>
      <c r="D8949" t="s">
        <v>22529</v>
      </c>
      <c r="E8949" s="2" t="s">
        <v>481</v>
      </c>
      <c r="F8949" t="s">
        <v>22528</v>
      </c>
      <c r="G8949" t="str">
        <f>HYPERLINK("https://news.einfomax.co.kr/news/articleView.html?idxno=4342440")</f>
        <v>https://news.einfomax.co.kr/news/articleView.html?idxno=4342440</v>
      </c>
      <c r="H8949">
        <v>0.432</v>
      </c>
    </row>
    <row r="8950" spans="1:8" x14ac:dyDescent="0.3">
      <c r="A8950" t="s">
        <v>22483</v>
      </c>
      <c r="B8950" t="s">
        <v>26951</v>
      </c>
      <c r="C8950" t="s">
        <v>22532</v>
      </c>
      <c r="D8950" t="s">
        <v>22531</v>
      </c>
      <c r="E8950" s="2" t="s">
        <v>517</v>
      </c>
      <c r="F8950" t="s">
        <v>1795</v>
      </c>
      <c r="G8950" t="str">
        <f>HYPERLINK("https://www.etoday.co.kr/news/view/2478583")</f>
        <v>https://www.etoday.co.kr/news/view/2478583</v>
      </c>
      <c r="H8950">
        <v>0.38900000000000001</v>
      </c>
    </row>
    <row r="8951" spans="1:8" x14ac:dyDescent="0.3">
      <c r="A8951" t="s">
        <v>22483</v>
      </c>
      <c r="B8951" t="s">
        <v>26951</v>
      </c>
      <c r="C8951" t="s">
        <v>22534</v>
      </c>
      <c r="D8951" t="s">
        <v>22533</v>
      </c>
      <c r="E8951" s="2" t="s">
        <v>517</v>
      </c>
      <c r="F8951" t="s">
        <v>3822</v>
      </c>
      <c r="G8951" t="str">
        <f>HYPERLINK("https://www.ntoday.co.kr/news/articleView.html?idxno=114929")</f>
        <v>https://www.ntoday.co.kr/news/articleView.html?idxno=114929</v>
      </c>
      <c r="H8951">
        <v>0.40899999999999997</v>
      </c>
    </row>
    <row r="8952" spans="1:8" x14ac:dyDescent="0.3">
      <c r="A8952" t="s">
        <v>22483</v>
      </c>
      <c r="B8952" t="s">
        <v>26951</v>
      </c>
      <c r="C8952" t="s">
        <v>22536</v>
      </c>
      <c r="D8952" t="s">
        <v>22535</v>
      </c>
      <c r="E8952" s="2" t="s">
        <v>517</v>
      </c>
      <c r="F8952" t="s">
        <v>14905</v>
      </c>
      <c r="G8952" t="str">
        <f>HYPERLINK("https://www.etoday.co.kr/news/view/2478344")</f>
        <v>https://www.etoday.co.kr/news/view/2478344</v>
      </c>
      <c r="H8952">
        <v>0.27200000000000002</v>
      </c>
    </row>
    <row r="8953" spans="1:8" x14ac:dyDescent="0.3">
      <c r="A8953" t="s">
        <v>22483</v>
      </c>
      <c r="B8953" t="s">
        <v>26951</v>
      </c>
      <c r="C8953" t="s">
        <v>22538</v>
      </c>
      <c r="D8953" t="s">
        <v>22537</v>
      </c>
      <c r="E8953" s="2" t="s">
        <v>538</v>
      </c>
      <c r="F8953" t="s">
        <v>1189</v>
      </c>
      <c r="G8953" t="str">
        <f>HYPERLINK("https://www.widedaily.com/news/articleView.html?idxno=269532")</f>
        <v>https://www.widedaily.com/news/articleView.html?idxno=269532</v>
      </c>
      <c r="H8953">
        <v>0.50600000000000001</v>
      </c>
    </row>
    <row r="8954" spans="1:8" x14ac:dyDescent="0.3">
      <c r="A8954" t="s">
        <v>22483</v>
      </c>
      <c r="B8954" t="s">
        <v>26951</v>
      </c>
      <c r="C8954" t="s">
        <v>22540</v>
      </c>
      <c r="D8954" t="s">
        <v>22539</v>
      </c>
      <c r="E8954" s="2" t="s">
        <v>572</v>
      </c>
      <c r="F8954" t="s">
        <v>4572</v>
      </c>
      <c r="G8954" t="str">
        <f>HYPERLINK("http://www.etoday.co.kr/news/section/newsview.php?TM=news&amp;SM=0799&amp;idxno=449177")</f>
        <v>http://www.etoday.co.kr/news/section/newsview.php?TM=news&amp;SM=0799&amp;idxno=449177</v>
      </c>
      <c r="H8954">
        <v>0.40699999999999997</v>
      </c>
    </row>
    <row r="8955" spans="1:8" x14ac:dyDescent="0.3">
      <c r="A8955" t="s">
        <v>22483</v>
      </c>
      <c r="B8955" t="s">
        <v>26951</v>
      </c>
      <c r="C8955" t="s">
        <v>22542</v>
      </c>
      <c r="D8955" t="s">
        <v>22541</v>
      </c>
      <c r="E8955" s="2" t="s">
        <v>609</v>
      </c>
      <c r="F8955" t="s">
        <v>89</v>
      </c>
      <c r="G8955" t="str">
        <f>HYPERLINK("https://www.ntoday.co.kr/news/articleView.html?idxno=109017")</f>
        <v>https://www.ntoday.co.kr/news/articleView.html?idxno=109017</v>
      </c>
      <c r="H8955">
        <v>0.46500000000000002</v>
      </c>
    </row>
    <row r="8956" spans="1:8" x14ac:dyDescent="0.3">
      <c r="A8956" t="s">
        <v>22483</v>
      </c>
      <c r="B8956" t="s">
        <v>26951</v>
      </c>
      <c r="C8956" t="s">
        <v>22544</v>
      </c>
      <c r="D8956" t="s">
        <v>22543</v>
      </c>
      <c r="E8956" s="2" t="s">
        <v>609</v>
      </c>
      <c r="F8956" t="s">
        <v>4183</v>
      </c>
      <c r="G8956" t="str">
        <f>HYPERLINK("http://www.sisaon.co.kr/news/articleView.html?idxno=143829")</f>
        <v>http://www.sisaon.co.kr/news/articleView.html?idxno=143829</v>
      </c>
      <c r="H8956">
        <v>0.24199999999999999</v>
      </c>
    </row>
    <row r="8957" spans="1:8" x14ac:dyDescent="0.3">
      <c r="A8957" t="s">
        <v>22483</v>
      </c>
      <c r="B8957" t="s">
        <v>26951</v>
      </c>
      <c r="C8957" t="s">
        <v>22546</v>
      </c>
      <c r="D8957" t="s">
        <v>22545</v>
      </c>
      <c r="E8957" s="2" t="s">
        <v>653</v>
      </c>
      <c r="F8957" t="s">
        <v>658</v>
      </c>
      <c r="G8957" t="str">
        <f>HYPERLINK("https://www.etoday.co.kr/news/view/2477537")</f>
        <v>https://www.etoday.co.kr/news/view/2477537</v>
      </c>
      <c r="H8957">
        <v>0.78300000000000003</v>
      </c>
    </row>
    <row r="8958" spans="1:8" x14ac:dyDescent="0.3">
      <c r="A8958" t="s">
        <v>22483</v>
      </c>
      <c r="B8958" t="s">
        <v>26951</v>
      </c>
      <c r="C8958" t="s">
        <v>22548</v>
      </c>
      <c r="D8958" t="s">
        <v>22547</v>
      </c>
      <c r="E8958" s="2" t="s">
        <v>653</v>
      </c>
      <c r="F8958" t="s">
        <v>1005</v>
      </c>
      <c r="G8958" t="str">
        <f>HYPERLINK("https://weekly.hankooki.com/news/articleView.html?idxno=7115220")</f>
        <v>https://weekly.hankooki.com/news/articleView.html?idxno=7115220</v>
      </c>
      <c r="H8958">
        <v>0.68799999999999994</v>
      </c>
    </row>
    <row r="8959" spans="1:8" x14ac:dyDescent="0.3">
      <c r="A8959" t="s">
        <v>22483</v>
      </c>
      <c r="B8959" t="s">
        <v>26951</v>
      </c>
      <c r="C8959" t="s">
        <v>22550</v>
      </c>
      <c r="D8959" t="s">
        <v>22549</v>
      </c>
      <c r="E8959" s="2" t="s">
        <v>653</v>
      </c>
      <c r="F8959" t="s">
        <v>460</v>
      </c>
      <c r="G8959" t="str">
        <f>HYPERLINK("https://www.etoday.co.kr/news/view/2469587")</f>
        <v>https://www.etoday.co.kr/news/view/2469587</v>
      </c>
      <c r="H8959">
        <v>0.317</v>
      </c>
    </row>
    <row r="8960" spans="1:8" x14ac:dyDescent="0.3">
      <c r="A8960" t="s">
        <v>22483</v>
      </c>
      <c r="B8960" t="s">
        <v>26951</v>
      </c>
      <c r="C8960" t="s">
        <v>22552</v>
      </c>
      <c r="D8960" t="s">
        <v>22551</v>
      </c>
      <c r="E8960" s="2" t="s">
        <v>725</v>
      </c>
      <c r="F8960" t="s">
        <v>1531</v>
      </c>
      <c r="G8960" t="str">
        <f>HYPERLINK("https://www.tokenpost.kr/article-108881")</f>
        <v>https://www.tokenpost.kr/article-108881</v>
      </c>
      <c r="H8960">
        <v>0.497</v>
      </c>
    </row>
    <row r="8961" spans="1:8" x14ac:dyDescent="0.3">
      <c r="A8961" t="s">
        <v>22483</v>
      </c>
      <c r="B8961" t="s">
        <v>26951</v>
      </c>
      <c r="C8961" t="s">
        <v>22554</v>
      </c>
      <c r="D8961" t="s">
        <v>22553</v>
      </c>
      <c r="E8961" s="2" t="s">
        <v>799</v>
      </c>
      <c r="F8961" t="s">
        <v>4337</v>
      </c>
      <c r="G8961" t="str">
        <f>HYPERLINK("http://www.newsworker.co.kr/news/articleView.html?idxno=380997")</f>
        <v>http://www.newsworker.co.kr/news/articleView.html?idxno=380997</v>
      </c>
      <c r="H8961">
        <v>0.56000000000000005</v>
      </c>
    </row>
    <row r="8962" spans="1:8" x14ac:dyDescent="0.3">
      <c r="A8962" t="s">
        <v>22483</v>
      </c>
      <c r="B8962" t="s">
        <v>26951</v>
      </c>
      <c r="C8962" t="s">
        <v>22556</v>
      </c>
      <c r="D8962" t="s">
        <v>22555</v>
      </c>
      <c r="E8962" s="2" t="s">
        <v>903</v>
      </c>
      <c r="F8962" t="s">
        <v>843</v>
      </c>
      <c r="G8962" t="str">
        <f>HYPERLINK("https://www.etoday.co.kr/news/view/2450830")</f>
        <v>https://www.etoday.co.kr/news/view/2450830</v>
      </c>
      <c r="H8962">
        <v>0.52400000000000002</v>
      </c>
    </row>
    <row r="8963" spans="1:8" x14ac:dyDescent="0.3">
      <c r="A8963" t="s">
        <v>22483</v>
      </c>
      <c r="B8963" t="s">
        <v>26951</v>
      </c>
      <c r="C8963" t="s">
        <v>22558</v>
      </c>
      <c r="D8963" t="s">
        <v>22557</v>
      </c>
      <c r="E8963" s="2" t="s">
        <v>903</v>
      </c>
      <c r="F8963" t="s">
        <v>17327</v>
      </c>
      <c r="G8963" t="str">
        <f>HYPERLINK("https://n.news.naver.com/mnews/article/018/0006054175?sid=102")</f>
        <v>https://n.news.naver.com/mnews/article/018/0006054175?sid=102</v>
      </c>
      <c r="H8963">
        <v>0.27200000000000002</v>
      </c>
    </row>
    <row r="8964" spans="1:8" x14ac:dyDescent="0.3">
      <c r="A8964" t="s">
        <v>22559</v>
      </c>
      <c r="B8964" t="s">
        <v>26951</v>
      </c>
      <c r="C8964" t="s">
        <v>22561</v>
      </c>
      <c r="D8964" t="s">
        <v>22560</v>
      </c>
      <c r="E8964" s="2" t="s">
        <v>74</v>
      </c>
      <c r="F8964" t="s">
        <v>4321</v>
      </c>
      <c r="G8964" t="str">
        <f>HYPERLINK("https://www.womaneconomy.co.kr/news/articleView.html?idxno=236578")</f>
        <v>https://www.womaneconomy.co.kr/news/articleView.html?idxno=236578</v>
      </c>
      <c r="H8964">
        <v>0.55900000000000005</v>
      </c>
    </row>
    <row r="8965" spans="1:8" x14ac:dyDescent="0.3">
      <c r="A8965" t="s">
        <v>22559</v>
      </c>
      <c r="B8965" t="s">
        <v>26951</v>
      </c>
      <c r="C8965" t="s">
        <v>22564</v>
      </c>
      <c r="D8965" t="s">
        <v>22563</v>
      </c>
      <c r="E8965" s="2" t="s">
        <v>105</v>
      </c>
      <c r="F8965" t="s">
        <v>22562</v>
      </c>
      <c r="G8965" t="str">
        <f>HYPERLINK("http://www.breaknews.com/1128517")</f>
        <v>http://www.breaknews.com/1128517</v>
      </c>
      <c r="H8965">
        <v>0.187</v>
      </c>
    </row>
    <row r="8966" spans="1:8" x14ac:dyDescent="0.3">
      <c r="A8966" t="s">
        <v>22559</v>
      </c>
      <c r="B8966" t="s">
        <v>26951</v>
      </c>
      <c r="C8966" t="s">
        <v>22567</v>
      </c>
      <c r="D8966" t="s">
        <v>22566</v>
      </c>
      <c r="E8966" s="2" t="s">
        <v>172</v>
      </c>
      <c r="F8966" t="s">
        <v>22565</v>
      </c>
      <c r="G8966" t="str">
        <f>HYPERLINK("http://www.withinnews.co.kr/news/view.html?section=1&amp;category=163&amp;item=&amp;no=20136")</f>
        <v>http://www.withinnews.co.kr/news/view.html?section=1&amp;category=163&amp;item=&amp;no=20136</v>
      </c>
      <c r="H8966">
        <v>0.54400000000000004</v>
      </c>
    </row>
    <row r="8967" spans="1:8" x14ac:dyDescent="0.3">
      <c r="A8967" t="s">
        <v>22559</v>
      </c>
      <c r="B8967" t="s">
        <v>26951</v>
      </c>
      <c r="C8967" t="s">
        <v>22569</v>
      </c>
      <c r="D8967" t="s">
        <v>22568</v>
      </c>
      <c r="E8967" s="2" t="s">
        <v>230</v>
      </c>
      <c r="F8967" t="s">
        <v>22562</v>
      </c>
      <c r="G8967" t="str">
        <f>HYPERLINK("http://www.breaknews.com/1126880")</f>
        <v>http://www.breaknews.com/1126880</v>
      </c>
      <c r="H8967">
        <v>0.41099999999999998</v>
      </c>
    </row>
    <row r="8968" spans="1:8" x14ac:dyDescent="0.3">
      <c r="A8968" t="s">
        <v>22559</v>
      </c>
      <c r="B8968" t="s">
        <v>26951</v>
      </c>
      <c r="C8968" t="s">
        <v>22571</v>
      </c>
      <c r="D8968" t="s">
        <v>22570</v>
      </c>
      <c r="E8968" s="2" t="s">
        <v>267</v>
      </c>
      <c r="F8968" t="s">
        <v>1084</v>
      </c>
      <c r="G8968" t="str">
        <f>HYPERLINK("https://n.news.naver.com/mnews/article/018/0006054175?sid=102")</f>
        <v>https://n.news.naver.com/mnews/article/018/0006054175?sid=102</v>
      </c>
      <c r="H8968">
        <v>0.315</v>
      </c>
    </row>
    <row r="8969" spans="1:8" x14ac:dyDescent="0.3">
      <c r="A8969" t="s">
        <v>22559</v>
      </c>
      <c r="B8969" t="s">
        <v>26951</v>
      </c>
      <c r="C8969" t="s">
        <v>22574</v>
      </c>
      <c r="D8969" t="s">
        <v>22573</v>
      </c>
      <c r="E8969" s="2" t="s">
        <v>394</v>
      </c>
      <c r="F8969" t="s">
        <v>22572</v>
      </c>
      <c r="G8969" t="str">
        <f>HYPERLINK("http://www.breaknews.com/1125049")</f>
        <v>http://www.breaknews.com/1125049</v>
      </c>
      <c r="H8969">
        <v>0.34</v>
      </c>
    </row>
    <row r="8970" spans="1:8" x14ac:dyDescent="0.3">
      <c r="A8970" t="s">
        <v>22559</v>
      </c>
      <c r="B8970" t="s">
        <v>26951</v>
      </c>
      <c r="C8970" t="s">
        <v>22577</v>
      </c>
      <c r="D8970" t="s">
        <v>22576</v>
      </c>
      <c r="E8970" s="2" t="s">
        <v>394</v>
      </c>
      <c r="F8970" t="s">
        <v>22575</v>
      </c>
      <c r="G8970" t="str">
        <f>HYPERLINK("http://www.breaknews.com/1125991")</f>
        <v>http://www.breaknews.com/1125991</v>
      </c>
      <c r="H8970">
        <v>0.40300000000000002</v>
      </c>
    </row>
    <row r="8971" spans="1:8" x14ac:dyDescent="0.3">
      <c r="A8971" t="s">
        <v>22559</v>
      </c>
      <c r="B8971" t="s">
        <v>26951</v>
      </c>
      <c r="C8971" t="s">
        <v>22580</v>
      </c>
      <c r="D8971" t="s">
        <v>22579</v>
      </c>
      <c r="E8971" s="2" t="s">
        <v>538</v>
      </c>
      <c r="F8971" t="s">
        <v>22578</v>
      </c>
      <c r="G8971" t="str">
        <f>HYPERLINK("http://www.breaknews.com/1123786")</f>
        <v>http://www.breaknews.com/1123786</v>
      </c>
      <c r="H8971">
        <v>0.46300000000000002</v>
      </c>
    </row>
    <row r="8972" spans="1:8" x14ac:dyDescent="0.3">
      <c r="A8972" t="s">
        <v>22559</v>
      </c>
      <c r="B8972" t="s">
        <v>26951</v>
      </c>
      <c r="C8972" t="s">
        <v>22582</v>
      </c>
      <c r="D8972" t="s">
        <v>22581</v>
      </c>
      <c r="E8972" s="2" t="s">
        <v>609</v>
      </c>
      <c r="F8972" t="s">
        <v>22572</v>
      </c>
      <c r="G8972" t="str">
        <f>HYPERLINK("http://www.breaknews.com/1123516")</f>
        <v>http://www.breaknews.com/1123516</v>
      </c>
      <c r="H8972">
        <v>0.4</v>
      </c>
    </row>
    <row r="8973" spans="1:8" x14ac:dyDescent="0.3">
      <c r="A8973" t="s">
        <v>22559</v>
      </c>
      <c r="B8973" t="s">
        <v>26951</v>
      </c>
      <c r="C8973" t="s">
        <v>22585</v>
      </c>
      <c r="D8973" t="s">
        <v>22584</v>
      </c>
      <c r="E8973" s="2" t="s">
        <v>609</v>
      </c>
      <c r="F8973" t="s">
        <v>22583</v>
      </c>
      <c r="G8973" t="str">
        <f>HYPERLINK("https://n.news.naver.com/mnews/article/005/0001782104?sid=102")</f>
        <v>https://n.news.naver.com/mnews/article/005/0001782104?sid=102</v>
      </c>
      <c r="H8973">
        <v>0.3</v>
      </c>
    </row>
    <row r="8974" spans="1:8" x14ac:dyDescent="0.3">
      <c r="A8974" t="s">
        <v>22559</v>
      </c>
      <c r="B8974" t="s">
        <v>26951</v>
      </c>
      <c r="C8974" t="s">
        <v>22588</v>
      </c>
      <c r="D8974" t="s">
        <v>22587</v>
      </c>
      <c r="E8974" s="2" t="s">
        <v>742</v>
      </c>
      <c r="F8974" t="s">
        <v>22586</v>
      </c>
      <c r="G8974" t="str">
        <f>HYPERLINK("https://www.sommeliertimes.com/news/articleView.html?idxno=126955")</f>
        <v>https://www.sommeliertimes.com/news/articleView.html?idxno=126955</v>
      </c>
      <c r="H8974">
        <v>0.192</v>
      </c>
    </row>
    <row r="8975" spans="1:8" x14ac:dyDescent="0.3">
      <c r="A8975" t="s">
        <v>22559</v>
      </c>
      <c r="B8975" t="s">
        <v>26951</v>
      </c>
      <c r="C8975" t="s">
        <v>22591</v>
      </c>
      <c r="D8975" t="s">
        <v>22590</v>
      </c>
      <c r="E8975" s="2" t="s">
        <v>799</v>
      </c>
      <c r="F8975" t="s">
        <v>22589</v>
      </c>
      <c r="G8975" t="str">
        <f>HYPERLINK("https://www.kmaeil.com/news/articleView.html?idxno=505812")</f>
        <v>https://www.kmaeil.com/news/articleView.html?idxno=505812</v>
      </c>
      <c r="H8975">
        <v>0.88300000000000001</v>
      </c>
    </row>
    <row r="8976" spans="1:8" x14ac:dyDescent="0.3">
      <c r="A8976" t="s">
        <v>22559</v>
      </c>
      <c r="B8976" t="s">
        <v>26951</v>
      </c>
      <c r="C8976" t="s">
        <v>22594</v>
      </c>
      <c r="D8976" t="s">
        <v>22593</v>
      </c>
      <c r="E8976" s="2" t="s">
        <v>860</v>
      </c>
      <c r="F8976" t="s">
        <v>22592</v>
      </c>
      <c r="G8976" t="str">
        <f>HYPERLINK("https://news.bbsi.co.kr/news/articleView.html?idxno=4037031")</f>
        <v>https://news.bbsi.co.kr/news/articleView.html?idxno=4037031</v>
      </c>
      <c r="H8976">
        <v>0.254</v>
      </c>
    </row>
    <row r="8977" spans="1:8" x14ac:dyDescent="0.3">
      <c r="A8977" t="s">
        <v>22597</v>
      </c>
      <c r="B8977" t="s">
        <v>26951</v>
      </c>
      <c r="C8977" t="s">
        <v>22600</v>
      </c>
      <c r="D8977" t="s">
        <v>22599</v>
      </c>
      <c r="E8977" s="2" t="s">
        <v>74</v>
      </c>
      <c r="F8977" t="s">
        <v>22598</v>
      </c>
      <c r="G8977" t="str">
        <f>HYPERLINK("https://n.news.naver.com/mnews/article/016/0000284353?sid=102")</f>
        <v>https://n.news.naver.com/mnews/article/016/0000284353?sid=102</v>
      </c>
      <c r="H8977">
        <v>0.24399999999999999</v>
      </c>
    </row>
    <row r="8978" spans="1:8" x14ac:dyDescent="0.3">
      <c r="A8978" t="s">
        <v>22597</v>
      </c>
      <c r="B8978" t="s">
        <v>26951</v>
      </c>
      <c r="C8978" t="s">
        <v>22603</v>
      </c>
      <c r="D8978" t="s">
        <v>22602</v>
      </c>
      <c r="E8978" s="2" t="s">
        <v>133</v>
      </c>
      <c r="F8978" t="s">
        <v>22601</v>
      </c>
      <c r="G8978" t="str">
        <f>HYPERLINK("https://n.news.naver.com/mnews/article/044/0000096817?sid=104")</f>
        <v>https://n.news.naver.com/mnews/article/044/0000096817?sid=104</v>
      </c>
      <c r="H8978">
        <v>0.27800000000000002</v>
      </c>
    </row>
    <row r="8979" spans="1:8" x14ac:dyDescent="0.3">
      <c r="A8979" t="s">
        <v>22597</v>
      </c>
      <c r="B8979" t="s">
        <v>26951</v>
      </c>
      <c r="C8979" t="s">
        <v>22606</v>
      </c>
      <c r="D8979" t="s">
        <v>22605</v>
      </c>
      <c r="E8979" s="2" t="s">
        <v>172</v>
      </c>
      <c r="F8979" t="s">
        <v>22604</v>
      </c>
      <c r="G8979" t="str">
        <f>HYPERLINK("http://www.apnews.kr/news/articleView.html?idxno=3003876")</f>
        <v>http://www.apnews.kr/news/articleView.html?idxno=3003876</v>
      </c>
      <c r="H8979">
        <v>0.437</v>
      </c>
    </row>
    <row r="8980" spans="1:8" x14ac:dyDescent="0.3">
      <c r="A8980" t="s">
        <v>22597</v>
      </c>
      <c r="B8980" t="s">
        <v>26951</v>
      </c>
      <c r="C8980" t="s">
        <v>22608</v>
      </c>
      <c r="D8980" t="s">
        <v>22607</v>
      </c>
      <c r="E8980" s="2" t="s">
        <v>196</v>
      </c>
      <c r="F8980" t="s">
        <v>22601</v>
      </c>
      <c r="G8980" t="str">
        <f>HYPERLINK("https://n.news.naver.com/mnews/article/044/0000096817?sid=104")</f>
        <v>https://n.news.naver.com/mnews/article/044/0000096817?sid=104</v>
      </c>
      <c r="H8980">
        <v>0.32200000000000001</v>
      </c>
    </row>
    <row r="8981" spans="1:8" x14ac:dyDescent="0.3">
      <c r="A8981" t="s">
        <v>22597</v>
      </c>
      <c r="B8981" t="s">
        <v>26951</v>
      </c>
      <c r="C8981" t="s">
        <v>22610</v>
      </c>
      <c r="D8981" t="s">
        <v>22609</v>
      </c>
      <c r="E8981" s="2" t="s">
        <v>230</v>
      </c>
      <c r="F8981" t="s">
        <v>22601</v>
      </c>
      <c r="G8981" t="str">
        <f>HYPERLINK("https://n.news.naver.com/mnews/article/044/0000096817?sid=104")</f>
        <v>https://n.news.naver.com/mnews/article/044/0000096817?sid=104</v>
      </c>
      <c r="H8981">
        <v>0.30099999999999999</v>
      </c>
    </row>
    <row r="8982" spans="1:8" x14ac:dyDescent="0.3">
      <c r="A8982" t="s">
        <v>22597</v>
      </c>
      <c r="B8982" t="s">
        <v>26951</v>
      </c>
      <c r="C8982" t="s">
        <v>22613</v>
      </c>
      <c r="D8982" t="s">
        <v>22612</v>
      </c>
      <c r="E8982" s="2" t="s">
        <v>538</v>
      </c>
      <c r="F8982" t="s">
        <v>22293</v>
      </c>
      <c r="G8982" t="str">
        <f>HYPERLINK("https://www.siminilbo.co.kr/news/newsview.php?ncode=1160286351960145")</f>
        <v>https://www.siminilbo.co.kr/news/newsview.php?ncode=1160286351960145</v>
      </c>
      <c r="H8982">
        <v>0.51</v>
      </c>
    </row>
    <row r="8983" spans="1:8" x14ac:dyDescent="0.3">
      <c r="A8983" t="s">
        <v>22597</v>
      </c>
      <c r="B8983" t="s">
        <v>26951</v>
      </c>
      <c r="C8983" t="s">
        <v>22615</v>
      </c>
      <c r="D8983" t="s">
        <v>22614</v>
      </c>
      <c r="E8983" s="2" t="s">
        <v>572</v>
      </c>
      <c r="F8983" t="s">
        <v>22611</v>
      </c>
      <c r="G8983" t="str">
        <f>HYPERLINK("https://n.news.naver.com/mnews/article/044/0000096817?sid=104")</f>
        <v>https://n.news.naver.com/mnews/article/044/0000096817?sid=104</v>
      </c>
      <c r="H8983">
        <v>0.221</v>
      </c>
    </row>
    <row r="8984" spans="1:8" x14ac:dyDescent="0.3">
      <c r="A8984" t="s">
        <v>22597</v>
      </c>
      <c r="B8984" t="s">
        <v>26951</v>
      </c>
      <c r="C8984" t="s">
        <v>22618</v>
      </c>
      <c r="D8984" t="s">
        <v>22617</v>
      </c>
      <c r="E8984" s="2" t="s">
        <v>742</v>
      </c>
      <c r="F8984" t="s">
        <v>22601</v>
      </c>
      <c r="G8984" t="str">
        <f>HYPERLINK("https://n.news.naver.com/mnews/article/044/0000096817?sid=104")</f>
        <v>https://n.news.naver.com/mnews/article/044/0000096817?sid=104</v>
      </c>
      <c r="H8984">
        <v>0.34699999999999998</v>
      </c>
    </row>
    <row r="8985" spans="1:8" x14ac:dyDescent="0.3">
      <c r="A8985" t="s">
        <v>22597</v>
      </c>
      <c r="B8985" t="s">
        <v>26951</v>
      </c>
      <c r="C8985" t="s">
        <v>22621</v>
      </c>
      <c r="D8985" t="s">
        <v>22620</v>
      </c>
      <c r="E8985" s="2" t="s">
        <v>742</v>
      </c>
      <c r="F8985" t="s">
        <v>22619</v>
      </c>
      <c r="G8985" t="str">
        <f>HYPERLINK("http://www.choicenews.co.kr/news/articleView.html?idxno=148358")</f>
        <v>http://www.choicenews.co.kr/news/articleView.html?idxno=148358</v>
      </c>
      <c r="H8985">
        <v>0.79200000000000004</v>
      </c>
    </row>
    <row r="8986" spans="1:8" x14ac:dyDescent="0.3">
      <c r="A8986" t="s">
        <v>22622</v>
      </c>
      <c r="B8986" t="s">
        <v>26951</v>
      </c>
      <c r="C8986" t="s">
        <v>22625</v>
      </c>
      <c r="D8986" t="s">
        <v>22624</v>
      </c>
      <c r="E8986" s="2" t="s">
        <v>7</v>
      </c>
      <c r="F8986" t="s">
        <v>22623</v>
      </c>
      <c r="G8986" t="str">
        <f>HYPERLINK("https://www.joongdo.co.kr/web/view.php?key=20250630010009100")</f>
        <v>https://www.joongdo.co.kr/web/view.php?key=20250630010009100</v>
      </c>
      <c r="H8986">
        <v>0.33200000000000002</v>
      </c>
    </row>
    <row r="8987" spans="1:8" x14ac:dyDescent="0.3">
      <c r="A8987" t="s">
        <v>22622</v>
      </c>
      <c r="B8987" t="s">
        <v>26951</v>
      </c>
      <c r="C8987" t="s">
        <v>22628</v>
      </c>
      <c r="D8987" t="s">
        <v>22627</v>
      </c>
      <c r="E8987" s="2" t="s">
        <v>66</v>
      </c>
      <c r="F8987" t="s">
        <v>22626</v>
      </c>
      <c r="G8987" t="str">
        <f>HYPERLINK("https://www.womaneconomy.co.kr/news/articleView.html?idxno=237543")</f>
        <v>https://www.womaneconomy.co.kr/news/articleView.html?idxno=237543</v>
      </c>
      <c r="H8987">
        <v>0.38300000000000001</v>
      </c>
    </row>
    <row r="8988" spans="1:8" x14ac:dyDescent="0.3">
      <c r="A8988" t="s">
        <v>22622</v>
      </c>
      <c r="B8988" t="s">
        <v>26951</v>
      </c>
      <c r="C8988" t="s">
        <v>22631</v>
      </c>
      <c r="D8988" t="s">
        <v>22630</v>
      </c>
      <c r="E8988" s="2" t="s">
        <v>66</v>
      </c>
      <c r="F8988" t="s">
        <v>22629</v>
      </c>
      <c r="G8988" t="str">
        <f>HYPERLINK("https://www.incheonilbo.com/news/articleView.html?idxno=1294211")</f>
        <v>https://www.incheonilbo.com/news/articleView.html?idxno=1294211</v>
      </c>
      <c r="H8988">
        <v>0.4</v>
      </c>
    </row>
    <row r="8989" spans="1:8" x14ac:dyDescent="0.3">
      <c r="A8989" t="s">
        <v>22622</v>
      </c>
      <c r="B8989" t="s">
        <v>26951</v>
      </c>
      <c r="C8989" t="s">
        <v>22633</v>
      </c>
      <c r="D8989" t="s">
        <v>22632</v>
      </c>
      <c r="E8989" s="2" t="s">
        <v>66</v>
      </c>
      <c r="F8989" t="s">
        <v>22629</v>
      </c>
      <c r="G8989" t="str">
        <f>HYPERLINK("http://www.kihoilbo.co.kr/news/articleView.html?idxno=1148501")</f>
        <v>http://www.kihoilbo.co.kr/news/articleView.html?idxno=1148501</v>
      </c>
      <c r="H8989">
        <v>0.316</v>
      </c>
    </row>
    <row r="8990" spans="1:8" x14ac:dyDescent="0.3">
      <c r="A8990" t="s">
        <v>22622</v>
      </c>
      <c r="B8990" t="s">
        <v>26951</v>
      </c>
      <c r="C8990" t="s">
        <v>22635</v>
      </c>
      <c r="D8990" t="s">
        <v>22634</v>
      </c>
      <c r="E8990" s="2" t="s">
        <v>66</v>
      </c>
      <c r="F8990" t="s">
        <v>22629</v>
      </c>
      <c r="G8990" t="str">
        <f>HYPERLINK("https://www.incheonilbo.com/news/articleView.html?idxno=1293803")</f>
        <v>https://www.incheonilbo.com/news/articleView.html?idxno=1293803</v>
      </c>
      <c r="H8990">
        <v>0.64200000000000002</v>
      </c>
    </row>
    <row r="8991" spans="1:8" x14ac:dyDescent="0.3">
      <c r="A8991" t="s">
        <v>22622</v>
      </c>
      <c r="B8991" t="s">
        <v>26951</v>
      </c>
      <c r="C8991" t="s">
        <v>22637</v>
      </c>
      <c r="D8991" t="s">
        <v>22636</v>
      </c>
      <c r="E8991" s="2" t="s">
        <v>66</v>
      </c>
      <c r="F8991" t="s">
        <v>22629</v>
      </c>
      <c r="G8991" t="str">
        <f>HYPERLINK("https://www.kmaeil.com/news/articleView.html?idxno=480395")</f>
        <v>https://www.kmaeil.com/news/articleView.html?idxno=480395</v>
      </c>
      <c r="H8991">
        <v>0.31900000000000001</v>
      </c>
    </row>
    <row r="8992" spans="1:8" x14ac:dyDescent="0.3">
      <c r="A8992" t="s">
        <v>22622</v>
      </c>
      <c r="B8992" t="s">
        <v>26951</v>
      </c>
      <c r="C8992" t="s">
        <v>22639</v>
      </c>
      <c r="D8992" t="s">
        <v>22638</v>
      </c>
      <c r="E8992" s="2" t="s">
        <v>74</v>
      </c>
      <c r="F8992" t="s">
        <v>20470</v>
      </c>
      <c r="G8992" t="str">
        <f>HYPERLINK("https://n.news.naver.com/mnews/article/008/0005015900?sid=165")</f>
        <v>https://n.news.naver.com/mnews/article/008/0005015900?sid=165</v>
      </c>
      <c r="H8992">
        <v>8.8999999999999996E-2</v>
      </c>
    </row>
    <row r="8993" spans="1:8" x14ac:dyDescent="0.3">
      <c r="A8993" t="s">
        <v>22622</v>
      </c>
      <c r="B8993" t="s">
        <v>26951</v>
      </c>
      <c r="C8993" t="s">
        <v>22642</v>
      </c>
      <c r="D8993" t="s">
        <v>22641</v>
      </c>
      <c r="E8993" s="2" t="s">
        <v>105</v>
      </c>
      <c r="F8993" t="s">
        <v>22640</v>
      </c>
      <c r="G8993" t="str">
        <f>HYPERLINK("https://www.incheonilbo.com/news/articleView.html?idxno=1294168")</f>
        <v>https://www.incheonilbo.com/news/articleView.html?idxno=1294168</v>
      </c>
      <c r="H8993">
        <v>0.71</v>
      </c>
    </row>
    <row r="8994" spans="1:8" x14ac:dyDescent="0.3">
      <c r="A8994" t="s">
        <v>22622</v>
      </c>
      <c r="B8994" t="s">
        <v>26951</v>
      </c>
      <c r="C8994" t="s">
        <v>22645</v>
      </c>
      <c r="D8994" t="s">
        <v>22644</v>
      </c>
      <c r="E8994" s="2" t="s">
        <v>133</v>
      </c>
      <c r="F8994" t="s">
        <v>22643</v>
      </c>
      <c r="G8994" t="str">
        <f>HYPERLINK("http://www.incheonin.com/news/articleView.html?idxno=110487")</f>
        <v>http://www.incheonin.com/news/articleView.html?idxno=110487</v>
      </c>
      <c r="H8994">
        <v>0.96799999999999997</v>
      </c>
    </row>
    <row r="8995" spans="1:8" x14ac:dyDescent="0.3">
      <c r="A8995" t="s">
        <v>22622</v>
      </c>
      <c r="B8995" t="s">
        <v>26951</v>
      </c>
      <c r="C8995" t="s">
        <v>22648</v>
      </c>
      <c r="D8995" t="s">
        <v>22647</v>
      </c>
      <c r="E8995" s="2" t="s">
        <v>133</v>
      </c>
      <c r="F8995" t="s">
        <v>22646</v>
      </c>
      <c r="G8995" t="str">
        <f>HYPERLINK("http://www.fntoday.co.kr/news/articleView.html?idxno=355846")</f>
        <v>http://www.fntoday.co.kr/news/articleView.html?idxno=355846</v>
      </c>
      <c r="H8995">
        <v>0.22500000000000001</v>
      </c>
    </row>
    <row r="8996" spans="1:8" x14ac:dyDescent="0.3">
      <c r="A8996" t="s">
        <v>22622</v>
      </c>
      <c r="B8996" t="s">
        <v>26951</v>
      </c>
      <c r="C8996" t="s">
        <v>22651</v>
      </c>
      <c r="D8996" t="s">
        <v>22650</v>
      </c>
      <c r="E8996" s="2" t="s">
        <v>133</v>
      </c>
      <c r="F8996" t="s">
        <v>22649</v>
      </c>
      <c r="G8996" t="str">
        <f>HYPERLINK("http://www.kihoilbo.co.kr/news/articleView.html?idxno=1142098")</f>
        <v>http://www.kihoilbo.co.kr/news/articleView.html?idxno=1142098</v>
      </c>
      <c r="H8996">
        <v>0.40300000000000002</v>
      </c>
    </row>
    <row r="8997" spans="1:8" x14ac:dyDescent="0.3">
      <c r="A8997" t="s">
        <v>22622</v>
      </c>
      <c r="B8997" t="s">
        <v>26951</v>
      </c>
      <c r="C8997" t="s">
        <v>22653</v>
      </c>
      <c r="D8997" t="s">
        <v>22652</v>
      </c>
      <c r="E8997" s="2" t="s">
        <v>172</v>
      </c>
      <c r="F8997" t="s">
        <v>3722</v>
      </c>
      <c r="G8997" t="str">
        <f>HYPERLINK("http://www.incheonin.com/news/articleView.html?idxno=97587")</f>
        <v>http://www.incheonin.com/news/articleView.html?idxno=97587</v>
      </c>
      <c r="H8997">
        <v>0.63700000000000001</v>
      </c>
    </row>
    <row r="8998" spans="1:8" x14ac:dyDescent="0.3">
      <c r="A8998" t="s">
        <v>22622</v>
      </c>
      <c r="B8998" t="s">
        <v>26951</v>
      </c>
      <c r="C8998" t="s">
        <v>22656</v>
      </c>
      <c r="D8998" t="s">
        <v>22655</v>
      </c>
      <c r="E8998" s="2" t="s">
        <v>196</v>
      </c>
      <c r="F8998" t="s">
        <v>22654</v>
      </c>
      <c r="G8998" t="str">
        <f>HYPERLINK("https://www.asiaa.co.kr/news/articleView.html?idxno=215871")</f>
        <v>https://www.asiaa.co.kr/news/articleView.html?idxno=215871</v>
      </c>
      <c r="H8998">
        <v>0.93500000000000005</v>
      </c>
    </row>
    <row r="8999" spans="1:8" x14ac:dyDescent="0.3">
      <c r="A8999" t="s">
        <v>22622</v>
      </c>
      <c r="B8999" t="s">
        <v>26951</v>
      </c>
      <c r="C8999" t="s">
        <v>22658</v>
      </c>
      <c r="D8999" t="s">
        <v>22657</v>
      </c>
      <c r="E8999" s="2" t="s">
        <v>230</v>
      </c>
      <c r="F8999" t="s">
        <v>22629</v>
      </c>
      <c r="G8999" t="str">
        <f>HYPERLINK("https://news.ifm.kr/news/articleView.html?idxno=440420")</f>
        <v>https://news.ifm.kr/news/articleView.html?idxno=440420</v>
      </c>
      <c r="H8999">
        <v>0.53100000000000003</v>
      </c>
    </row>
    <row r="9000" spans="1:8" x14ac:dyDescent="0.3">
      <c r="A9000" t="s">
        <v>22622</v>
      </c>
      <c r="B9000" t="s">
        <v>26951</v>
      </c>
      <c r="C9000" t="s">
        <v>22660</v>
      </c>
      <c r="D9000" t="s">
        <v>22659</v>
      </c>
      <c r="E9000" s="2" t="s">
        <v>230</v>
      </c>
      <c r="F9000" t="s">
        <v>22629</v>
      </c>
      <c r="G9000" t="str">
        <f>HYPERLINK("https://www.incheonilbo.com/news/articleView.html?idxno=1293051")</f>
        <v>https://www.incheonilbo.com/news/articleView.html?idxno=1293051</v>
      </c>
      <c r="H9000">
        <v>0.58499999999999996</v>
      </c>
    </row>
    <row r="9001" spans="1:8" x14ac:dyDescent="0.3">
      <c r="A9001" t="s">
        <v>22622</v>
      </c>
      <c r="B9001" t="s">
        <v>26951</v>
      </c>
      <c r="C9001" t="s">
        <v>22662</v>
      </c>
      <c r="D9001" t="s">
        <v>22661</v>
      </c>
      <c r="E9001" s="2" t="s">
        <v>230</v>
      </c>
      <c r="F9001" t="s">
        <v>22629</v>
      </c>
      <c r="G9001" t="str">
        <f>HYPERLINK("https://www.incheonilbo.com/news/articleView.html?idxno=1292315")</f>
        <v>https://www.incheonilbo.com/news/articleView.html?idxno=1292315</v>
      </c>
      <c r="H9001">
        <v>0.29199999999999998</v>
      </c>
    </row>
    <row r="9002" spans="1:8" x14ac:dyDescent="0.3">
      <c r="A9002" t="s">
        <v>22622</v>
      </c>
      <c r="B9002" t="s">
        <v>26951</v>
      </c>
      <c r="C9002" t="s">
        <v>22664</v>
      </c>
      <c r="D9002" t="s">
        <v>22663</v>
      </c>
      <c r="E9002" s="2" t="s">
        <v>230</v>
      </c>
      <c r="F9002" t="s">
        <v>22629</v>
      </c>
      <c r="G9002" t="str">
        <f>HYPERLINK("https://www.incheonilbo.com/news/articleView.html?idxno=1291596")</f>
        <v>https://www.incheonilbo.com/news/articleView.html?idxno=1291596</v>
      </c>
      <c r="H9002">
        <v>0.42599999999999999</v>
      </c>
    </row>
    <row r="9003" spans="1:8" x14ac:dyDescent="0.3">
      <c r="A9003" t="s">
        <v>22622</v>
      </c>
      <c r="B9003" t="s">
        <v>26951</v>
      </c>
      <c r="C9003" t="s">
        <v>22667</v>
      </c>
      <c r="D9003" t="s">
        <v>22666</v>
      </c>
      <c r="E9003" s="2" t="s">
        <v>230</v>
      </c>
      <c r="F9003" t="s">
        <v>22665</v>
      </c>
      <c r="G9003" t="str">
        <f>HYPERLINK("http://www.kyeongin.com/main/view.php?key=20221213010002505")</f>
        <v>http://www.kyeongin.com/main/view.php?key=20221213010002505</v>
      </c>
      <c r="H9003">
        <v>0.253</v>
      </c>
    </row>
    <row r="9004" spans="1:8" x14ac:dyDescent="0.3">
      <c r="A9004" t="s">
        <v>22622</v>
      </c>
      <c r="B9004" t="s">
        <v>26951</v>
      </c>
      <c r="C9004" t="s">
        <v>22669</v>
      </c>
      <c r="D9004" t="s">
        <v>22668</v>
      </c>
      <c r="E9004" s="2" t="s">
        <v>356</v>
      </c>
      <c r="F9004" t="s">
        <v>715</v>
      </c>
      <c r="G9004" t="str">
        <f>HYPERLINK("https://www.kgnews.co.kr/news/article.html?no=842147")</f>
        <v>https://www.kgnews.co.kr/news/article.html?no=842147</v>
      </c>
      <c r="H9004">
        <v>0.48299999999999998</v>
      </c>
    </row>
    <row r="9005" spans="1:8" x14ac:dyDescent="0.3">
      <c r="A9005" t="s">
        <v>22622</v>
      </c>
      <c r="B9005" t="s">
        <v>26951</v>
      </c>
      <c r="C9005" t="s">
        <v>22671</v>
      </c>
      <c r="D9005" t="s">
        <v>22670</v>
      </c>
      <c r="E9005" s="2" t="s">
        <v>356</v>
      </c>
      <c r="F9005" t="s">
        <v>22572</v>
      </c>
      <c r="G9005" t="str">
        <f>HYPERLINK("http://www.golfin.co.kr/news/articleView.html?idxno=7238")</f>
        <v>http://www.golfin.co.kr/news/articleView.html?idxno=7238</v>
      </c>
      <c r="H9005">
        <v>0.60499999999999998</v>
      </c>
    </row>
    <row r="9006" spans="1:8" x14ac:dyDescent="0.3">
      <c r="A9006" t="s">
        <v>22622</v>
      </c>
      <c r="B9006" t="s">
        <v>26951</v>
      </c>
      <c r="C9006" t="s">
        <v>22673</v>
      </c>
      <c r="D9006" t="s">
        <v>22672</v>
      </c>
      <c r="E9006" s="2" t="s">
        <v>356</v>
      </c>
      <c r="F9006" t="s">
        <v>19986</v>
      </c>
      <c r="G9006" t="str">
        <f>HYPERLINK("https://www.kmaeil.com/news/articleView.html?idxno=509838")</f>
        <v>https://www.kmaeil.com/news/articleView.html?idxno=509838</v>
      </c>
      <c r="H9006">
        <v>0.95499999999999996</v>
      </c>
    </row>
    <row r="9007" spans="1:8" x14ac:dyDescent="0.3">
      <c r="A9007" t="s">
        <v>22622</v>
      </c>
      <c r="B9007" t="s">
        <v>26951</v>
      </c>
      <c r="C9007" t="s">
        <v>22675</v>
      </c>
      <c r="D9007" t="s">
        <v>22674</v>
      </c>
      <c r="E9007" s="2" t="s">
        <v>394</v>
      </c>
      <c r="F9007" t="s">
        <v>4367</v>
      </c>
      <c r="G9007" t="str">
        <f>HYPERLINK("https://www.dnews.co.kr/uhtml/view.jsp?idxno=202401191210367540084")</f>
        <v>https://www.dnews.co.kr/uhtml/view.jsp?idxno=202401191210367540084</v>
      </c>
      <c r="H9007">
        <v>0.63200000000000001</v>
      </c>
    </row>
    <row r="9008" spans="1:8" x14ac:dyDescent="0.3">
      <c r="A9008" t="s">
        <v>22622</v>
      </c>
      <c r="B9008" t="s">
        <v>26951</v>
      </c>
      <c r="C9008" t="s">
        <v>22678</v>
      </c>
      <c r="D9008" t="s">
        <v>22677</v>
      </c>
      <c r="E9008" s="2" t="s">
        <v>394</v>
      </c>
      <c r="F9008" t="s">
        <v>22676</v>
      </c>
      <c r="G9008" t="str">
        <f>HYPERLINK("https://www.dnews.co.kr/uhtml/view.jsp?idxno=202409271147053640188")</f>
        <v>https://www.dnews.co.kr/uhtml/view.jsp?idxno=202409271147053640188</v>
      </c>
      <c r="H9008">
        <v>0.59599999999999997</v>
      </c>
    </row>
    <row r="9009" spans="1:8" x14ac:dyDescent="0.3">
      <c r="A9009" t="s">
        <v>22622</v>
      </c>
      <c r="B9009" t="s">
        <v>26951</v>
      </c>
      <c r="C9009" t="s">
        <v>22680</v>
      </c>
      <c r="D9009" t="s">
        <v>22679</v>
      </c>
      <c r="E9009" s="2" t="s">
        <v>394</v>
      </c>
      <c r="F9009" t="s">
        <v>715</v>
      </c>
      <c r="G9009" t="str">
        <f>HYPERLINK("https://www.incheonilbo.com/news/articleView.html?idxno=1293031")</f>
        <v>https://www.incheonilbo.com/news/articleView.html?idxno=1293031</v>
      </c>
      <c r="H9009">
        <v>0.64600000000000002</v>
      </c>
    </row>
    <row r="9010" spans="1:8" x14ac:dyDescent="0.3">
      <c r="A9010" t="s">
        <v>22622</v>
      </c>
      <c r="B9010" t="s">
        <v>26951</v>
      </c>
      <c r="C9010" t="s">
        <v>22682</v>
      </c>
      <c r="D9010" t="s">
        <v>22681</v>
      </c>
      <c r="E9010" s="2" t="s">
        <v>394</v>
      </c>
      <c r="F9010" t="s">
        <v>715</v>
      </c>
      <c r="G9010" t="str">
        <f>HYPERLINK("https://www.youthdaily.co.kr/news/article.html?no=146654")</f>
        <v>https://www.youthdaily.co.kr/news/article.html?no=146654</v>
      </c>
      <c r="H9010">
        <v>0.41599999999999998</v>
      </c>
    </row>
    <row r="9011" spans="1:8" x14ac:dyDescent="0.3">
      <c r="A9011" t="s">
        <v>22622</v>
      </c>
      <c r="B9011" t="s">
        <v>26951</v>
      </c>
      <c r="C9011" t="s">
        <v>22684</v>
      </c>
      <c r="D9011" t="s">
        <v>22683</v>
      </c>
      <c r="E9011" s="2" t="s">
        <v>481</v>
      </c>
      <c r="F9011" t="s">
        <v>8098</v>
      </c>
      <c r="G9011" t="str">
        <f>HYPERLINK("https://www.kgnews.co.kr/news/article.html?no=620436")</f>
        <v>https://www.kgnews.co.kr/news/article.html?no=620436</v>
      </c>
      <c r="H9011">
        <v>0.13800000000000001</v>
      </c>
    </row>
    <row r="9012" spans="1:8" x14ac:dyDescent="0.3">
      <c r="A9012" t="s">
        <v>22622</v>
      </c>
      <c r="B9012" t="s">
        <v>26951</v>
      </c>
      <c r="C9012" t="s">
        <v>22686</v>
      </c>
      <c r="D9012" t="s">
        <v>22685</v>
      </c>
      <c r="E9012" s="2" t="s">
        <v>502</v>
      </c>
      <c r="F9012" t="s">
        <v>8098</v>
      </c>
      <c r="G9012" t="str">
        <f>HYPERLINK("https://www.kgnews.co.kr/news/article.html?no=620436")</f>
        <v>https://www.kgnews.co.kr/news/article.html?no=620436</v>
      </c>
      <c r="H9012">
        <v>0.19400000000000001</v>
      </c>
    </row>
    <row r="9013" spans="1:8" x14ac:dyDescent="0.3">
      <c r="A9013" t="s">
        <v>22622</v>
      </c>
      <c r="B9013" t="s">
        <v>26951</v>
      </c>
      <c r="C9013" t="s">
        <v>22688</v>
      </c>
      <c r="D9013" t="s">
        <v>22687</v>
      </c>
      <c r="E9013" s="2" t="s">
        <v>502</v>
      </c>
      <c r="F9013" t="s">
        <v>3722</v>
      </c>
      <c r="G9013" t="str">
        <f>HYPERLINK("https://www.incheonilbo.com/news/articleView.html?idxno=1286205")</f>
        <v>https://www.incheonilbo.com/news/articleView.html?idxno=1286205</v>
      </c>
      <c r="H9013">
        <v>0.221</v>
      </c>
    </row>
    <row r="9014" spans="1:8" x14ac:dyDescent="0.3">
      <c r="A9014" t="s">
        <v>22622</v>
      </c>
      <c r="B9014" t="s">
        <v>26951</v>
      </c>
      <c r="C9014" t="s">
        <v>22691</v>
      </c>
      <c r="D9014" t="s">
        <v>22690</v>
      </c>
      <c r="E9014" s="2" t="s">
        <v>517</v>
      </c>
      <c r="F9014" t="s">
        <v>22689</v>
      </c>
      <c r="G9014" t="str">
        <f>HYPERLINK("http://www.bosa.co.kr/news/articleView.html?idxno=2250780")</f>
        <v>http://www.bosa.co.kr/news/articleView.html?idxno=2250780</v>
      </c>
      <c r="H9014">
        <v>0.74099999999999999</v>
      </c>
    </row>
    <row r="9015" spans="1:8" x14ac:dyDescent="0.3">
      <c r="A9015" t="s">
        <v>22622</v>
      </c>
      <c r="B9015" t="s">
        <v>26951</v>
      </c>
      <c r="C9015" t="s">
        <v>22694</v>
      </c>
      <c r="D9015" t="s">
        <v>22693</v>
      </c>
      <c r="E9015" s="2" t="s">
        <v>538</v>
      </c>
      <c r="F9015" t="s">
        <v>22692</v>
      </c>
      <c r="G9015" t="str">
        <f>HYPERLINK("https://www.incheonilbo.com/news/articleView.html?idxno=1291973")</f>
        <v>https://www.incheonilbo.com/news/articleView.html?idxno=1291973</v>
      </c>
      <c r="H9015">
        <v>0.56899999999999995</v>
      </c>
    </row>
    <row r="9016" spans="1:8" x14ac:dyDescent="0.3">
      <c r="A9016" t="s">
        <v>22622</v>
      </c>
      <c r="B9016" t="s">
        <v>26951</v>
      </c>
      <c r="C9016" t="s">
        <v>22696</v>
      </c>
      <c r="D9016" t="s">
        <v>22695</v>
      </c>
      <c r="E9016" s="2" t="s">
        <v>538</v>
      </c>
      <c r="F9016" t="s">
        <v>54</v>
      </c>
      <c r="G9016" t="str">
        <f>HYPERLINK("http://www.ikld.kr/news/articleView.html?idxno=241819")</f>
        <v>http://www.ikld.kr/news/articleView.html?idxno=241819</v>
      </c>
      <c r="H9016">
        <v>0.154</v>
      </c>
    </row>
    <row r="9017" spans="1:8" x14ac:dyDescent="0.3">
      <c r="A9017" t="s">
        <v>22622</v>
      </c>
      <c r="B9017" t="s">
        <v>26951</v>
      </c>
      <c r="C9017" t="s">
        <v>5929</v>
      </c>
      <c r="D9017" t="s">
        <v>5928</v>
      </c>
      <c r="E9017" s="2" t="s">
        <v>538</v>
      </c>
      <c r="F9017" t="s">
        <v>1098</v>
      </c>
      <c r="G9017" t="str">
        <f>HYPERLINK("http://www.sisaon.co.kr/news/articleView.html?idxno=103141")</f>
        <v>http://www.sisaon.co.kr/news/articleView.html?idxno=103141</v>
      </c>
      <c r="H9017">
        <v>0.68200000000000005</v>
      </c>
    </row>
    <row r="9018" spans="1:8" x14ac:dyDescent="0.3">
      <c r="A9018" t="s">
        <v>22622</v>
      </c>
      <c r="B9018" t="s">
        <v>26951</v>
      </c>
      <c r="C9018" t="s">
        <v>22699</v>
      </c>
      <c r="D9018" t="s">
        <v>22698</v>
      </c>
      <c r="E9018" s="2" t="s">
        <v>538</v>
      </c>
      <c r="F9018" t="s">
        <v>22697</v>
      </c>
      <c r="G9018" t="str">
        <f>HYPERLINK("https://www.youthdaily.co.kr/news/article.html?no=188114")</f>
        <v>https://www.youthdaily.co.kr/news/article.html?no=188114</v>
      </c>
      <c r="H9018">
        <v>0.39900000000000002</v>
      </c>
    </row>
    <row r="9019" spans="1:8" x14ac:dyDescent="0.3">
      <c r="A9019" t="s">
        <v>22622</v>
      </c>
      <c r="B9019" t="s">
        <v>26951</v>
      </c>
      <c r="C9019" t="s">
        <v>22701</v>
      </c>
      <c r="D9019" t="s">
        <v>22700</v>
      </c>
      <c r="E9019" s="2" t="s">
        <v>538</v>
      </c>
      <c r="F9019" t="s">
        <v>22697</v>
      </c>
      <c r="G9019" t="str">
        <f>HYPERLINK("https://www.kmaeil.com/news/articleView.html?idxno=511245")</f>
        <v>https://www.kmaeil.com/news/articleView.html?idxno=511245</v>
      </c>
      <c r="H9019">
        <v>0.48</v>
      </c>
    </row>
    <row r="9020" spans="1:8" x14ac:dyDescent="0.3">
      <c r="A9020" t="s">
        <v>22622</v>
      </c>
      <c r="B9020" t="s">
        <v>26951</v>
      </c>
      <c r="C9020" t="s">
        <v>22703</v>
      </c>
      <c r="D9020" t="s">
        <v>22702</v>
      </c>
      <c r="E9020" s="2" t="s">
        <v>609</v>
      </c>
      <c r="F9020" t="s">
        <v>1328</v>
      </c>
      <c r="G9020" t="str">
        <f>HYPERLINK("https://www.incheonilbo.com/news/articleView.html?idxno=1291951")</f>
        <v>https://www.incheonilbo.com/news/articleView.html?idxno=1291951</v>
      </c>
      <c r="H9020">
        <v>0.51100000000000001</v>
      </c>
    </row>
    <row r="9021" spans="1:8" x14ac:dyDescent="0.3">
      <c r="A9021" t="s">
        <v>22622</v>
      </c>
      <c r="B9021" t="s">
        <v>26951</v>
      </c>
      <c r="C9021" t="s">
        <v>22706</v>
      </c>
      <c r="D9021" t="s">
        <v>22705</v>
      </c>
      <c r="E9021" s="2" t="s">
        <v>725</v>
      </c>
      <c r="F9021" t="s">
        <v>22704</v>
      </c>
      <c r="G9021" t="str">
        <f>HYPERLINK("http://www.kyeongin.com/main/view.php?key=20240610010000762")</f>
        <v>http://www.kyeongin.com/main/view.php?key=20240610010000762</v>
      </c>
      <c r="H9021">
        <v>0.60099999999999998</v>
      </c>
    </row>
    <row r="9022" spans="1:8" x14ac:dyDescent="0.3">
      <c r="A9022" t="s">
        <v>22622</v>
      </c>
      <c r="B9022" t="s">
        <v>26951</v>
      </c>
      <c r="C9022" t="s">
        <v>22709</v>
      </c>
      <c r="D9022" t="s">
        <v>22708</v>
      </c>
      <c r="E9022" s="2" t="s">
        <v>840</v>
      </c>
      <c r="F9022" t="s">
        <v>22707</v>
      </c>
      <c r="G9022" t="str">
        <f>HYPERLINK("https://www.incheonilbo.com/news/articleView.html?idxno=1291224")</f>
        <v>https://www.incheonilbo.com/news/articleView.html?idxno=1291224</v>
      </c>
      <c r="H9022">
        <v>0.78100000000000003</v>
      </c>
    </row>
    <row r="9023" spans="1:8" x14ac:dyDescent="0.3">
      <c r="A9023" t="s">
        <v>22710</v>
      </c>
      <c r="B9023" t="s">
        <v>26951</v>
      </c>
      <c r="C9023" t="s">
        <v>22713</v>
      </c>
      <c r="D9023" t="s">
        <v>22712</v>
      </c>
      <c r="E9023" s="2" t="s">
        <v>7</v>
      </c>
      <c r="F9023" t="s">
        <v>22711</v>
      </c>
      <c r="G9023" t="str">
        <f>HYPERLINK("https://n.news.naver.com/mnews/article/081/0003514904?sid=102")</f>
        <v>https://n.news.naver.com/mnews/article/081/0003514904?sid=102</v>
      </c>
      <c r="H9023">
        <v>0.27100000000000002</v>
      </c>
    </row>
    <row r="9024" spans="1:8" x14ac:dyDescent="0.3">
      <c r="A9024" t="s">
        <v>22710</v>
      </c>
      <c r="B9024" t="s">
        <v>26951</v>
      </c>
      <c r="C9024" t="s">
        <v>22715</v>
      </c>
      <c r="D9024" t="s">
        <v>22714</v>
      </c>
      <c r="E9024" s="2" t="s">
        <v>7</v>
      </c>
      <c r="F9024" t="s">
        <v>8694</v>
      </c>
      <c r="G9024" t="str">
        <f>HYPERLINK("https://n.news.naver.com/mnews/article/022/0004047762?sid=100")</f>
        <v>https://n.news.naver.com/mnews/article/022/0004047762?sid=100</v>
      </c>
      <c r="H9024">
        <v>0.217</v>
      </c>
    </row>
    <row r="9025" spans="1:8" x14ac:dyDescent="0.3">
      <c r="A9025" t="s">
        <v>22710</v>
      </c>
      <c r="B9025" t="s">
        <v>26951</v>
      </c>
      <c r="C9025" t="s">
        <v>22717</v>
      </c>
      <c r="D9025" t="s">
        <v>22716</v>
      </c>
      <c r="E9025" s="2" t="s">
        <v>66</v>
      </c>
      <c r="F9025" t="s">
        <v>9637</v>
      </c>
      <c r="G9025" t="str">
        <f>HYPERLINK("http://www.newspenguin.com/news/articleView.html?idxno=19069")</f>
        <v>http://www.newspenguin.com/news/articleView.html?idxno=19069</v>
      </c>
      <c r="H9025">
        <v>0.41099999999999998</v>
      </c>
    </row>
    <row r="9026" spans="1:8" x14ac:dyDescent="0.3">
      <c r="A9026" t="s">
        <v>22710</v>
      </c>
      <c r="B9026" t="s">
        <v>26951</v>
      </c>
      <c r="C9026" t="s">
        <v>22720</v>
      </c>
      <c r="D9026" t="s">
        <v>22719</v>
      </c>
      <c r="E9026" s="2" t="s">
        <v>66</v>
      </c>
      <c r="F9026" t="s">
        <v>22718</v>
      </c>
      <c r="G9026" t="str">
        <f>HYPERLINK("https://www.etoday.co.kr/news/view/2474737")</f>
        <v>https://www.etoday.co.kr/news/view/2474737</v>
      </c>
      <c r="H9026">
        <v>0.14799999999999999</v>
      </c>
    </row>
    <row r="9027" spans="1:8" x14ac:dyDescent="0.3">
      <c r="A9027" t="s">
        <v>22710</v>
      </c>
      <c r="B9027" t="s">
        <v>26951</v>
      </c>
      <c r="C9027" t="s">
        <v>22722</v>
      </c>
      <c r="D9027" t="s">
        <v>22721</v>
      </c>
      <c r="E9027" s="2" t="s">
        <v>74</v>
      </c>
      <c r="F9027" t="s">
        <v>4409</v>
      </c>
      <c r="G9027" t="str">
        <f>HYPERLINK("http://www.obsnews.co.kr/news/articleView.html?idxno=1167493")</f>
        <v>http://www.obsnews.co.kr/news/articleView.html?idxno=1167493</v>
      </c>
      <c r="H9027">
        <v>0.51400000000000001</v>
      </c>
    </row>
    <row r="9028" spans="1:8" x14ac:dyDescent="0.3">
      <c r="A9028" t="s">
        <v>22710</v>
      </c>
      <c r="B9028" t="s">
        <v>26951</v>
      </c>
      <c r="C9028" t="s">
        <v>22724</v>
      </c>
      <c r="D9028" t="s">
        <v>22723</v>
      </c>
      <c r="E9028" s="2" t="s">
        <v>133</v>
      </c>
      <c r="F9028" t="s">
        <v>1257</v>
      </c>
      <c r="G9028" t="str">
        <f>HYPERLINK("https://www.pinpointnews.co.kr/news/articleView.html?idxno=351628")</f>
        <v>https://www.pinpointnews.co.kr/news/articleView.html?idxno=351628</v>
      </c>
      <c r="H9028">
        <v>0.55300000000000005</v>
      </c>
    </row>
    <row r="9029" spans="1:8" x14ac:dyDescent="0.3">
      <c r="A9029" t="s">
        <v>22710</v>
      </c>
      <c r="B9029" t="s">
        <v>26951</v>
      </c>
      <c r="C9029" t="s">
        <v>22727</v>
      </c>
      <c r="D9029" t="s">
        <v>22726</v>
      </c>
      <c r="E9029" s="2" t="s">
        <v>133</v>
      </c>
      <c r="F9029" t="s">
        <v>22725</v>
      </c>
      <c r="G9029" t="str">
        <f>HYPERLINK("https://www.jjan.kr/article/20241015580145")</f>
        <v>https://www.jjan.kr/article/20241015580145</v>
      </c>
      <c r="H9029">
        <v>0.27500000000000002</v>
      </c>
    </row>
    <row r="9030" spans="1:8" x14ac:dyDescent="0.3">
      <c r="A9030" t="s">
        <v>22710</v>
      </c>
      <c r="B9030" t="s">
        <v>26951</v>
      </c>
      <c r="C9030" t="s">
        <v>22730</v>
      </c>
      <c r="D9030" t="s">
        <v>22729</v>
      </c>
      <c r="E9030" s="2" t="s">
        <v>133</v>
      </c>
      <c r="F9030" t="s">
        <v>22728</v>
      </c>
      <c r="G9030" t="str">
        <f>HYPERLINK("https://www.newsfreezone.co.kr/news/articleView.html?idxno=632984")</f>
        <v>https://www.newsfreezone.co.kr/news/articleView.html?idxno=632984</v>
      </c>
      <c r="H9030">
        <v>0.89700000000000002</v>
      </c>
    </row>
    <row r="9031" spans="1:8" x14ac:dyDescent="0.3">
      <c r="A9031" t="s">
        <v>22710</v>
      </c>
      <c r="B9031" t="s">
        <v>26951</v>
      </c>
      <c r="C9031" t="s">
        <v>22733</v>
      </c>
      <c r="D9031" t="s">
        <v>22732</v>
      </c>
      <c r="E9031" s="2" t="s">
        <v>172</v>
      </c>
      <c r="F9031" t="s">
        <v>22731</v>
      </c>
      <c r="G9031" t="str">
        <f>HYPERLINK("https://golfhankook.hankooki.com/news/articleView.html?idxno=20015462")</f>
        <v>https://golfhankook.hankooki.com/news/articleView.html?idxno=20015462</v>
      </c>
      <c r="H9031">
        <v>0.60299999999999998</v>
      </c>
    </row>
    <row r="9032" spans="1:8" x14ac:dyDescent="0.3">
      <c r="A9032" t="s">
        <v>22710</v>
      </c>
      <c r="B9032" t="s">
        <v>26951</v>
      </c>
      <c r="C9032" t="s">
        <v>22736</v>
      </c>
      <c r="D9032" t="s">
        <v>22735</v>
      </c>
      <c r="E9032" s="2" t="s">
        <v>196</v>
      </c>
      <c r="F9032" t="s">
        <v>22734</v>
      </c>
      <c r="G9032" t="str">
        <f>HYPERLINK("http://www.koit.co.kr/news/articleView.html?idxno=129594")</f>
        <v>http://www.koit.co.kr/news/articleView.html?idxno=129594</v>
      </c>
      <c r="H9032">
        <v>0.625</v>
      </c>
    </row>
    <row r="9033" spans="1:8" x14ac:dyDescent="0.3">
      <c r="A9033" t="s">
        <v>22710</v>
      </c>
      <c r="B9033" t="s">
        <v>26951</v>
      </c>
      <c r="C9033" t="s">
        <v>22738</v>
      </c>
      <c r="D9033" t="s">
        <v>22737</v>
      </c>
      <c r="E9033" s="2" t="s">
        <v>230</v>
      </c>
      <c r="F9033" t="s">
        <v>3773</v>
      </c>
      <c r="G9033" t="str">
        <f>HYPERLINK("https://www.newstree.kr/newsView/ntr202506270026")</f>
        <v>https://www.newstree.kr/newsView/ntr202506270026</v>
      </c>
      <c r="H9033">
        <v>0.14799999999999999</v>
      </c>
    </row>
    <row r="9034" spans="1:8" x14ac:dyDescent="0.3">
      <c r="A9034" t="s">
        <v>22710</v>
      </c>
      <c r="B9034" t="s">
        <v>26951</v>
      </c>
      <c r="C9034" t="s">
        <v>22741</v>
      </c>
      <c r="D9034" t="s">
        <v>22740</v>
      </c>
      <c r="E9034" s="2" t="s">
        <v>230</v>
      </c>
      <c r="F9034" t="s">
        <v>22739</v>
      </c>
      <c r="G9034" t="str">
        <f>HYPERLINK("https://www.newscj.com/news/articleView.html?idxno=3284416")</f>
        <v>https://www.newscj.com/news/articleView.html?idxno=3284416</v>
      </c>
      <c r="H9034">
        <v>0.98599999999999999</v>
      </c>
    </row>
    <row r="9035" spans="1:8" x14ac:dyDescent="0.3">
      <c r="A9035" t="s">
        <v>22710</v>
      </c>
      <c r="B9035" t="s">
        <v>26951</v>
      </c>
      <c r="C9035" t="s">
        <v>22744</v>
      </c>
      <c r="D9035" t="s">
        <v>22743</v>
      </c>
      <c r="E9035" s="2" t="s">
        <v>230</v>
      </c>
      <c r="F9035" t="s">
        <v>22742</v>
      </c>
      <c r="G9035" t="str">
        <f>HYPERLINK("https://www.newspim.com/news/view/20250617000046")</f>
        <v>https://www.newspim.com/news/view/20250617000046</v>
      </c>
      <c r="H9035">
        <v>0.52600000000000002</v>
      </c>
    </row>
    <row r="9036" spans="1:8" x14ac:dyDescent="0.3">
      <c r="A9036" t="s">
        <v>22710</v>
      </c>
      <c r="B9036" t="s">
        <v>26951</v>
      </c>
      <c r="C9036" t="s">
        <v>22747</v>
      </c>
      <c r="D9036" t="s">
        <v>22746</v>
      </c>
      <c r="E9036" s="2" t="s">
        <v>230</v>
      </c>
      <c r="F9036" t="s">
        <v>22745</v>
      </c>
      <c r="G9036" t="str">
        <f>HYPERLINK("https://www.etoday.co.kr/news/view/2481549")</f>
        <v>https://www.etoday.co.kr/news/view/2481549</v>
      </c>
      <c r="H9036">
        <v>0.57499999999999996</v>
      </c>
    </row>
    <row r="9037" spans="1:8" x14ac:dyDescent="0.3">
      <c r="A9037" t="s">
        <v>22710</v>
      </c>
      <c r="B9037" t="s">
        <v>26951</v>
      </c>
      <c r="C9037" t="s">
        <v>22750</v>
      </c>
      <c r="D9037" t="s">
        <v>22749</v>
      </c>
      <c r="E9037" s="2" t="s">
        <v>267</v>
      </c>
      <c r="F9037" t="s">
        <v>22748</v>
      </c>
      <c r="G9037" t="str">
        <f>HYPERLINK("https://kookbang.dema.mil.kr/newsWeb/20250624/1/ATCE_CTGR_0020020023/view.do")</f>
        <v>https://kookbang.dema.mil.kr/newsWeb/20250624/1/ATCE_CTGR_0020020023/view.do</v>
      </c>
      <c r="H9037">
        <v>0.746</v>
      </c>
    </row>
    <row r="9038" spans="1:8" x14ac:dyDescent="0.3">
      <c r="A9038" t="s">
        <v>22710</v>
      </c>
      <c r="B9038" t="s">
        <v>26951</v>
      </c>
      <c r="C9038" t="s">
        <v>22752</v>
      </c>
      <c r="D9038" t="s">
        <v>22751</v>
      </c>
      <c r="E9038" s="2" t="s">
        <v>267</v>
      </c>
      <c r="F9038" t="s">
        <v>200</v>
      </c>
      <c r="G9038" t="str">
        <f>HYPERLINK("https://n.news.naver.com/mnews/article/030/0000043292?sid=105")</f>
        <v>https://n.news.naver.com/mnews/article/030/0000043292?sid=105</v>
      </c>
      <c r="H9038">
        <v>0.61599999999999999</v>
      </c>
    </row>
    <row r="9039" spans="1:8" x14ac:dyDescent="0.3">
      <c r="A9039" t="s">
        <v>22710</v>
      </c>
      <c r="B9039" t="s">
        <v>26951</v>
      </c>
      <c r="C9039" t="s">
        <v>22754</v>
      </c>
      <c r="D9039" t="s">
        <v>22753</v>
      </c>
      <c r="E9039" s="2" t="s">
        <v>280</v>
      </c>
      <c r="F9039" t="s">
        <v>4758</v>
      </c>
      <c r="G9039" t="str">
        <f>HYPERLINK("https://n.news.naver.com/mnews/article/030/0000206841?sid=105")</f>
        <v>https://n.news.naver.com/mnews/article/030/0000206841?sid=105</v>
      </c>
      <c r="H9039">
        <v>0.28100000000000003</v>
      </c>
    </row>
    <row r="9040" spans="1:8" x14ac:dyDescent="0.3">
      <c r="A9040" t="s">
        <v>22710</v>
      </c>
      <c r="B9040" t="s">
        <v>26951</v>
      </c>
      <c r="C9040" t="s">
        <v>22757</v>
      </c>
      <c r="D9040" t="s">
        <v>22756</v>
      </c>
      <c r="E9040" s="2" t="s">
        <v>313</v>
      </c>
      <c r="F9040" t="s">
        <v>22755</v>
      </c>
      <c r="G9040" t="str">
        <f>HYPERLINK("http://www.dynews.co.kr/news/articleView.html?idxno=779441")</f>
        <v>http://www.dynews.co.kr/news/articleView.html?idxno=779441</v>
      </c>
      <c r="H9040">
        <v>0.41199999999999998</v>
      </c>
    </row>
    <row r="9041" spans="1:8" x14ac:dyDescent="0.3">
      <c r="A9041" t="s">
        <v>22710</v>
      </c>
      <c r="B9041" t="s">
        <v>26951</v>
      </c>
      <c r="C9041" t="s">
        <v>22760</v>
      </c>
      <c r="D9041" t="s">
        <v>22759</v>
      </c>
      <c r="E9041" s="2" t="s">
        <v>313</v>
      </c>
      <c r="F9041" t="s">
        <v>22758</v>
      </c>
      <c r="G9041" t="str">
        <f>HYPERLINK("https://www.idomin.com/news/articleView.html?idxno=934456")</f>
        <v>https://www.idomin.com/news/articleView.html?idxno=934456</v>
      </c>
      <c r="H9041">
        <v>0.61</v>
      </c>
    </row>
    <row r="9042" spans="1:8" x14ac:dyDescent="0.3">
      <c r="A9042" t="s">
        <v>22710</v>
      </c>
      <c r="B9042" t="s">
        <v>26951</v>
      </c>
      <c r="C9042" t="s">
        <v>22763</v>
      </c>
      <c r="D9042" t="s">
        <v>22762</v>
      </c>
      <c r="E9042" s="2" t="s">
        <v>356</v>
      </c>
      <c r="F9042" t="s">
        <v>22761</v>
      </c>
      <c r="G9042" t="str">
        <f>HYPERLINK("http://www.medisobizanews.com/news/articleView.html?idxno=126651")</f>
        <v>http://www.medisobizanews.com/news/articleView.html?idxno=126651</v>
      </c>
      <c r="H9042">
        <v>0.504</v>
      </c>
    </row>
    <row r="9043" spans="1:8" x14ac:dyDescent="0.3">
      <c r="A9043" t="s">
        <v>22710</v>
      </c>
      <c r="B9043" t="s">
        <v>26951</v>
      </c>
      <c r="C9043" t="s">
        <v>22766</v>
      </c>
      <c r="D9043" t="s">
        <v>22765</v>
      </c>
      <c r="E9043" s="2" t="s">
        <v>356</v>
      </c>
      <c r="F9043" t="s">
        <v>22764</v>
      </c>
      <c r="G9043" t="str">
        <f>HYPERLINK("http://www.yeongnam.com/mnews/newsview.do?mode=newsView&amp;newskey=20171223.010230804540001")</f>
        <v>http://www.yeongnam.com/mnews/newsview.do?mode=newsView&amp;newskey=20171223.010230804540001</v>
      </c>
      <c r="H9043">
        <v>0.45300000000000001</v>
      </c>
    </row>
    <row r="9044" spans="1:8" x14ac:dyDescent="0.3">
      <c r="A9044" t="s">
        <v>22710</v>
      </c>
      <c r="B9044" t="s">
        <v>26951</v>
      </c>
      <c r="C9044" t="s">
        <v>22769</v>
      </c>
      <c r="D9044" t="s">
        <v>22768</v>
      </c>
      <c r="E9044" s="2" t="s">
        <v>418</v>
      </c>
      <c r="F9044" t="s">
        <v>22767</v>
      </c>
      <c r="G9044" t="str">
        <f>HYPERLINK("https://www.apnews.kr/news/articleView.html?idxno=3023482")</f>
        <v>https://www.apnews.kr/news/articleView.html?idxno=3023482</v>
      </c>
      <c r="H9044">
        <v>0.53800000000000003</v>
      </c>
    </row>
    <row r="9045" spans="1:8" x14ac:dyDescent="0.3">
      <c r="A9045" t="s">
        <v>22710</v>
      </c>
      <c r="B9045" t="s">
        <v>26951</v>
      </c>
      <c r="C9045" t="s">
        <v>22771</v>
      </c>
      <c r="D9045" t="s">
        <v>22770</v>
      </c>
      <c r="E9045" s="2" t="s">
        <v>418</v>
      </c>
      <c r="F9045" t="s">
        <v>10287</v>
      </c>
      <c r="G9045" t="str">
        <f>HYPERLINK("http://www.seouleconews.com/news/articleView.html?idxno=84217")</f>
        <v>http://www.seouleconews.com/news/articleView.html?idxno=84217</v>
      </c>
      <c r="H9045">
        <v>0.65400000000000003</v>
      </c>
    </row>
    <row r="9046" spans="1:8" x14ac:dyDescent="0.3">
      <c r="A9046" t="s">
        <v>22710</v>
      </c>
      <c r="B9046" t="s">
        <v>26951</v>
      </c>
      <c r="C9046" t="s">
        <v>22774</v>
      </c>
      <c r="D9046" t="s">
        <v>22773</v>
      </c>
      <c r="E9046" s="2" t="s">
        <v>418</v>
      </c>
      <c r="F9046" t="s">
        <v>22772</v>
      </c>
      <c r="G9046" t="str">
        <f>HYPERLINK("https://www.apnews.kr/news/articleView.html?idxno=3031062")</f>
        <v>https://www.apnews.kr/news/articleView.html?idxno=3031062</v>
      </c>
      <c r="H9046">
        <v>0.502</v>
      </c>
    </row>
    <row r="9047" spans="1:8" x14ac:dyDescent="0.3">
      <c r="A9047" t="s">
        <v>22710</v>
      </c>
      <c r="B9047" t="s">
        <v>26951</v>
      </c>
      <c r="C9047" t="s">
        <v>22776</v>
      </c>
      <c r="D9047" t="s">
        <v>22775</v>
      </c>
      <c r="E9047" s="2" t="s">
        <v>452</v>
      </c>
      <c r="F9047" t="s">
        <v>588</v>
      </c>
      <c r="G9047" t="str">
        <f>HYPERLINK("https://www.kfenews.co.kr/news/articleView.html?idxno=640266")</f>
        <v>https://www.kfenews.co.kr/news/articleView.html?idxno=640266</v>
      </c>
      <c r="H9047">
        <v>0.628</v>
      </c>
    </row>
    <row r="9048" spans="1:8" x14ac:dyDescent="0.3">
      <c r="A9048" t="s">
        <v>22710</v>
      </c>
      <c r="B9048" t="s">
        <v>26951</v>
      </c>
      <c r="C9048" t="s">
        <v>22778</v>
      </c>
      <c r="D9048" t="s">
        <v>22777</v>
      </c>
      <c r="E9048" s="2" t="s">
        <v>502</v>
      </c>
      <c r="F9048" t="s">
        <v>205</v>
      </c>
      <c r="G9048" t="str">
        <f>HYPERLINK("https://n.news.naver.com/mnews/article/030/0003321636?sid=104")</f>
        <v>https://n.news.naver.com/mnews/article/030/0003321636?sid=104</v>
      </c>
      <c r="H9048">
        <v>0.17</v>
      </c>
    </row>
    <row r="9049" spans="1:8" x14ac:dyDescent="0.3">
      <c r="A9049" t="s">
        <v>22710</v>
      </c>
      <c r="B9049" t="s">
        <v>26951</v>
      </c>
      <c r="C9049" t="s">
        <v>22780</v>
      </c>
      <c r="D9049" t="s">
        <v>22779</v>
      </c>
      <c r="E9049" s="2" t="s">
        <v>517</v>
      </c>
      <c r="F9049" t="s">
        <v>4409</v>
      </c>
      <c r="G9049" t="str">
        <f>HYPERLINK("http://www.viva100.com/main/view.php?key=20170712010004294")</f>
        <v>http://www.viva100.com/main/view.php?key=20170712010004294</v>
      </c>
      <c r="H9049">
        <v>0.54300000000000004</v>
      </c>
    </row>
    <row r="9050" spans="1:8" x14ac:dyDescent="0.3">
      <c r="A9050" t="s">
        <v>22710</v>
      </c>
      <c r="B9050" t="s">
        <v>26951</v>
      </c>
      <c r="C9050" t="s">
        <v>22782</v>
      </c>
      <c r="D9050" t="s">
        <v>22781</v>
      </c>
      <c r="E9050" s="2" t="s">
        <v>538</v>
      </c>
      <c r="F9050" t="s">
        <v>5630</v>
      </c>
      <c r="G9050" t="str">
        <f>HYPERLINK("http://www.sisaon.co.kr/news/articleView.html?idxno=172703")</f>
        <v>http://www.sisaon.co.kr/news/articleView.html?idxno=172703</v>
      </c>
      <c r="H9050">
        <v>0.45500000000000002</v>
      </c>
    </row>
    <row r="9051" spans="1:8" x14ac:dyDescent="0.3">
      <c r="A9051" t="s">
        <v>22710</v>
      </c>
      <c r="B9051" t="s">
        <v>26951</v>
      </c>
      <c r="C9051" t="s">
        <v>22784</v>
      </c>
      <c r="D9051" t="s">
        <v>22783</v>
      </c>
      <c r="E9051" s="2" t="s">
        <v>572</v>
      </c>
      <c r="F9051" t="s">
        <v>4409</v>
      </c>
      <c r="G9051" t="str">
        <f>HYPERLINK("http://bravo.etoday.co.kr/view/atc_view.php?varAtcId=9212")</f>
        <v>http://bravo.etoday.co.kr/view/atc_view.php?varAtcId=9212</v>
      </c>
      <c r="H9051">
        <v>0.67900000000000005</v>
      </c>
    </row>
    <row r="9052" spans="1:8" x14ac:dyDescent="0.3">
      <c r="A9052" t="s">
        <v>22710</v>
      </c>
      <c r="B9052" t="s">
        <v>26951</v>
      </c>
      <c r="C9052" t="s">
        <v>22787</v>
      </c>
      <c r="D9052" t="s">
        <v>22786</v>
      </c>
      <c r="E9052" s="2" t="s">
        <v>572</v>
      </c>
      <c r="F9052" t="s">
        <v>22785</v>
      </c>
      <c r="G9052" t="str">
        <f>HYPERLINK("https://n.news.naver.com/mnews/article/030/0003191659?sid=105")</f>
        <v>https://n.news.naver.com/mnews/article/030/0003191659?sid=105</v>
      </c>
      <c r="H9052">
        <v>0.17699999999999999</v>
      </c>
    </row>
    <row r="9053" spans="1:8" x14ac:dyDescent="0.3">
      <c r="A9053" t="s">
        <v>22710</v>
      </c>
      <c r="B9053" t="s">
        <v>26951</v>
      </c>
      <c r="C9053" t="s">
        <v>22790</v>
      </c>
      <c r="D9053" t="s">
        <v>22789</v>
      </c>
      <c r="E9053" s="2" t="s">
        <v>653</v>
      </c>
      <c r="F9053" t="s">
        <v>22788</v>
      </c>
      <c r="G9053" t="str">
        <f>HYPERLINK("https://n.news.naver.com/mnews/article/030/0003324004?sid=103")</f>
        <v>https://n.news.naver.com/mnews/article/030/0003324004?sid=103</v>
      </c>
      <c r="H9053">
        <v>0.2</v>
      </c>
    </row>
    <row r="9054" spans="1:8" x14ac:dyDescent="0.3">
      <c r="A9054" t="s">
        <v>22710</v>
      </c>
      <c r="B9054" t="s">
        <v>26951</v>
      </c>
      <c r="C9054" t="s">
        <v>22792</v>
      </c>
      <c r="D9054" t="s">
        <v>22791</v>
      </c>
      <c r="E9054" s="2" t="s">
        <v>711</v>
      </c>
      <c r="F9054" t="s">
        <v>3979</v>
      </c>
      <c r="G9054" t="str">
        <f>HYPERLINK("https://n.news.naver.com/mnews/article/030/0002910622?sid=101")</f>
        <v>https://n.news.naver.com/mnews/article/030/0002910622?sid=101</v>
      </c>
      <c r="H9054">
        <v>0.27</v>
      </c>
    </row>
    <row r="9055" spans="1:8" x14ac:dyDescent="0.3">
      <c r="A9055" t="s">
        <v>22710</v>
      </c>
      <c r="B9055" t="s">
        <v>26951</v>
      </c>
      <c r="C9055" t="s">
        <v>22795</v>
      </c>
      <c r="D9055" t="s">
        <v>22794</v>
      </c>
      <c r="E9055" s="2" t="s">
        <v>711</v>
      </c>
      <c r="F9055" t="s">
        <v>22793</v>
      </c>
      <c r="G9055" t="str">
        <f>HYPERLINK("http://www.newsmp.com/news/articleView.html?idxno=247034")</f>
        <v>http://www.newsmp.com/news/articleView.html?idxno=247034</v>
      </c>
      <c r="H9055">
        <v>0.41699999999999998</v>
      </c>
    </row>
    <row r="9056" spans="1:8" x14ac:dyDescent="0.3">
      <c r="A9056" t="s">
        <v>22710</v>
      </c>
      <c r="B9056" t="s">
        <v>26951</v>
      </c>
      <c r="C9056" t="s">
        <v>22797</v>
      </c>
      <c r="D9056" t="s">
        <v>22796</v>
      </c>
      <c r="E9056" s="2" t="s">
        <v>711</v>
      </c>
      <c r="F9056" t="s">
        <v>3979</v>
      </c>
      <c r="G9056" t="str">
        <f>HYPERLINK("https://n.news.naver.com/mnews/article/030/0000005282?sid=105")</f>
        <v>https://n.news.naver.com/mnews/article/030/0000005282?sid=105</v>
      </c>
      <c r="H9056">
        <v>0.47</v>
      </c>
    </row>
    <row r="9057" spans="1:8" x14ac:dyDescent="0.3">
      <c r="A9057" t="s">
        <v>22710</v>
      </c>
      <c r="B9057" t="s">
        <v>26951</v>
      </c>
      <c r="C9057" t="s">
        <v>22799</v>
      </c>
      <c r="D9057" t="s">
        <v>22798</v>
      </c>
      <c r="E9057" s="2" t="s">
        <v>742</v>
      </c>
      <c r="F9057" t="s">
        <v>4409</v>
      </c>
      <c r="G9057" t="str">
        <f>HYPERLINK("http://www.tournews21.com/news/articleView.html?idxno=42445")</f>
        <v>http://www.tournews21.com/news/articleView.html?idxno=42445</v>
      </c>
      <c r="H9057">
        <v>0.69499999999999995</v>
      </c>
    </row>
    <row r="9058" spans="1:8" x14ac:dyDescent="0.3">
      <c r="A9058" t="s">
        <v>22710</v>
      </c>
      <c r="B9058" t="s">
        <v>26951</v>
      </c>
      <c r="C9058" t="s">
        <v>22801</v>
      </c>
      <c r="D9058" t="s">
        <v>22800</v>
      </c>
      <c r="E9058" s="2" t="s">
        <v>742</v>
      </c>
      <c r="F9058" t="s">
        <v>4858</v>
      </c>
      <c r="G9058" t="str">
        <f>HYPERLINK("https://www.theguru.co.kr/news/article.html?no=87595")</f>
        <v>https://www.theguru.co.kr/news/article.html?no=87595</v>
      </c>
      <c r="H9058">
        <v>0.30099999999999999</v>
      </c>
    </row>
    <row r="9059" spans="1:8" x14ac:dyDescent="0.3">
      <c r="A9059" t="s">
        <v>22710</v>
      </c>
      <c r="B9059" t="s">
        <v>26951</v>
      </c>
      <c r="C9059" t="s">
        <v>22804</v>
      </c>
      <c r="D9059" t="s">
        <v>22803</v>
      </c>
      <c r="E9059" s="2" t="s">
        <v>799</v>
      </c>
      <c r="F9059" t="s">
        <v>22802</v>
      </c>
      <c r="G9059" t="str">
        <f>HYPERLINK("https://www.kfenews.co.kr/news/articleView.html?idxno=632042")</f>
        <v>https://www.kfenews.co.kr/news/articleView.html?idxno=632042</v>
      </c>
      <c r="H9059">
        <v>0.23100000000000001</v>
      </c>
    </row>
    <row r="9060" spans="1:8" x14ac:dyDescent="0.3">
      <c r="A9060" t="s">
        <v>22710</v>
      </c>
      <c r="B9060" t="s">
        <v>26951</v>
      </c>
      <c r="C9060" t="s">
        <v>22807</v>
      </c>
      <c r="D9060" t="s">
        <v>22806</v>
      </c>
      <c r="E9060" s="2" t="s">
        <v>799</v>
      </c>
      <c r="F9060" t="s">
        <v>22805</v>
      </c>
      <c r="G9060" t="str">
        <f>HYPERLINK("https://n.news.naver.com/mnews/article/030/0003327123?sid=101")</f>
        <v>https://n.news.naver.com/mnews/article/030/0003327123?sid=101</v>
      </c>
      <c r="H9060">
        <v>0.13300000000000001</v>
      </c>
    </row>
    <row r="9061" spans="1:8" x14ac:dyDescent="0.3">
      <c r="A9061" t="s">
        <v>22710</v>
      </c>
      <c r="B9061" t="s">
        <v>26951</v>
      </c>
      <c r="C9061" t="s">
        <v>22810</v>
      </c>
      <c r="D9061" t="s">
        <v>22809</v>
      </c>
      <c r="E9061" s="2" t="s">
        <v>799</v>
      </c>
      <c r="F9061" t="s">
        <v>22808</v>
      </c>
      <c r="G9061" t="str">
        <f>HYPERLINK("https://www.ltn.kr/news/articleView.html?idxno=48891")</f>
        <v>https://www.ltn.kr/news/articleView.html?idxno=48891</v>
      </c>
      <c r="H9061">
        <v>0.378</v>
      </c>
    </row>
    <row r="9062" spans="1:8" x14ac:dyDescent="0.3">
      <c r="A9062" t="s">
        <v>22710</v>
      </c>
      <c r="B9062" t="s">
        <v>26951</v>
      </c>
      <c r="C9062" t="s">
        <v>22812</v>
      </c>
      <c r="D9062" t="s">
        <v>22811</v>
      </c>
      <c r="E9062" s="2" t="s">
        <v>840</v>
      </c>
      <c r="F9062" t="s">
        <v>805</v>
      </c>
      <c r="G9062" t="str">
        <f>HYPERLINK("https://www.kfenews.co.kr/news/articleView.html?idxno=638274")</f>
        <v>https://www.kfenews.co.kr/news/articleView.html?idxno=638274</v>
      </c>
      <c r="H9062">
        <v>0.85199999999999998</v>
      </c>
    </row>
    <row r="9063" spans="1:8" x14ac:dyDescent="0.3">
      <c r="A9063" t="s">
        <v>22813</v>
      </c>
      <c r="B9063" t="s">
        <v>26951</v>
      </c>
      <c r="C9063" t="s">
        <v>22816</v>
      </c>
      <c r="D9063" t="s">
        <v>22815</v>
      </c>
      <c r="E9063" s="2" t="s">
        <v>7</v>
      </c>
      <c r="F9063" t="s">
        <v>22814</v>
      </c>
      <c r="G9063" t="str">
        <f>HYPERLINK("https://n.news.naver.com/mnews/article/082/0000258759?sid=103")</f>
        <v>https://n.news.naver.com/mnews/article/082/0000258759?sid=103</v>
      </c>
      <c r="H9063">
        <v>5.6000000000000001E-2</v>
      </c>
    </row>
    <row r="9064" spans="1:8" x14ac:dyDescent="0.3">
      <c r="A9064" t="s">
        <v>22813</v>
      </c>
      <c r="B9064" t="s">
        <v>26951</v>
      </c>
      <c r="C9064" t="s">
        <v>22818</v>
      </c>
      <c r="D9064" t="s">
        <v>22817</v>
      </c>
      <c r="E9064" s="2" t="s">
        <v>7</v>
      </c>
      <c r="F9064" t="s">
        <v>14694</v>
      </c>
      <c r="G9064" t="str">
        <f>HYPERLINK("https://n.news.naver.com/mnews/article/658/0000111892?sid=101")</f>
        <v>https://n.news.naver.com/mnews/article/658/0000111892?sid=101</v>
      </c>
      <c r="H9064">
        <v>0.153</v>
      </c>
    </row>
    <row r="9065" spans="1:8" x14ac:dyDescent="0.3">
      <c r="A9065" t="s">
        <v>22813</v>
      </c>
      <c r="B9065" t="s">
        <v>26951</v>
      </c>
      <c r="C9065" t="s">
        <v>22820</v>
      </c>
      <c r="D9065" t="s">
        <v>22819</v>
      </c>
      <c r="E9065" s="2" t="s">
        <v>7</v>
      </c>
      <c r="F9065" t="s">
        <v>857</v>
      </c>
      <c r="G9065" t="str">
        <f>HYPERLINK("https://www.apnews.kr/news/articleView.html?idxno=3036114")</f>
        <v>https://www.apnews.kr/news/articleView.html?idxno=3036114</v>
      </c>
      <c r="H9065">
        <v>0.17599999999999999</v>
      </c>
    </row>
    <row r="9066" spans="1:8" x14ac:dyDescent="0.3">
      <c r="A9066" t="s">
        <v>22813</v>
      </c>
      <c r="B9066" t="s">
        <v>26951</v>
      </c>
      <c r="C9066" t="s">
        <v>22823</v>
      </c>
      <c r="D9066" t="s">
        <v>22822</v>
      </c>
      <c r="E9066" s="2" t="s">
        <v>66</v>
      </c>
      <c r="F9066" t="s">
        <v>22821</v>
      </c>
      <c r="G9066" t="str">
        <f>HYPERLINK("http://www.ksilbo.co.kr/news/articleView.html?idxno=505667")</f>
        <v>http://www.ksilbo.co.kr/news/articleView.html?idxno=505667</v>
      </c>
      <c r="H9066">
        <v>0.218</v>
      </c>
    </row>
    <row r="9067" spans="1:8" x14ac:dyDescent="0.3">
      <c r="A9067" t="s">
        <v>22813</v>
      </c>
      <c r="B9067" t="s">
        <v>26951</v>
      </c>
      <c r="C9067" t="s">
        <v>22826</v>
      </c>
      <c r="D9067" t="s">
        <v>22825</v>
      </c>
      <c r="E9067" s="2" t="s">
        <v>105</v>
      </c>
      <c r="F9067" t="s">
        <v>22824</v>
      </c>
      <c r="G9067" t="str">
        <f>HYPERLINK("http://www.straightnews.co.kr/news/articleView.html?idxno=41191")</f>
        <v>http://www.straightnews.co.kr/news/articleView.html?idxno=41191</v>
      </c>
      <c r="H9067">
        <v>0.27300000000000002</v>
      </c>
    </row>
    <row r="9068" spans="1:8" x14ac:dyDescent="0.3">
      <c r="A9068" t="s">
        <v>22813</v>
      </c>
      <c r="B9068" t="s">
        <v>26951</v>
      </c>
      <c r="C9068" t="s">
        <v>22829</v>
      </c>
      <c r="D9068" t="s">
        <v>22828</v>
      </c>
      <c r="E9068" s="2" t="s">
        <v>105</v>
      </c>
      <c r="F9068" t="s">
        <v>22827</v>
      </c>
      <c r="G9068" t="str">
        <f>HYPERLINK("https://www.getnews.co.kr/news/articleView.html?idxno=827484")</f>
        <v>https://www.getnews.co.kr/news/articleView.html?idxno=827484</v>
      </c>
      <c r="H9068">
        <v>0.63800000000000001</v>
      </c>
    </row>
    <row r="9069" spans="1:8" x14ac:dyDescent="0.3">
      <c r="A9069" t="s">
        <v>22813</v>
      </c>
      <c r="B9069" t="s">
        <v>26951</v>
      </c>
      <c r="C9069" t="s">
        <v>22831</v>
      </c>
      <c r="D9069" t="s">
        <v>22830</v>
      </c>
      <c r="E9069" s="2" t="s">
        <v>105</v>
      </c>
      <c r="F9069" t="s">
        <v>14694</v>
      </c>
      <c r="G9069" t="str">
        <f>HYPERLINK("https://n.news.naver.com/mnews/article/658/0000111674?sid=101")</f>
        <v>https://n.news.naver.com/mnews/article/658/0000111674?sid=101</v>
      </c>
      <c r="H9069">
        <v>0.28599999999999998</v>
      </c>
    </row>
    <row r="9070" spans="1:8" x14ac:dyDescent="0.3">
      <c r="A9070" t="s">
        <v>22813</v>
      </c>
      <c r="B9070" t="s">
        <v>26951</v>
      </c>
      <c r="C9070" t="s">
        <v>22833</v>
      </c>
      <c r="D9070" t="s">
        <v>22832</v>
      </c>
      <c r="E9070" s="2" t="s">
        <v>105</v>
      </c>
      <c r="F9070" t="s">
        <v>857</v>
      </c>
      <c r="G9070" t="str">
        <f>HYPERLINK("https://www.apnews.kr/news/articleView.html?idxno=3036114")</f>
        <v>https://www.apnews.kr/news/articleView.html?idxno=3036114</v>
      </c>
      <c r="H9070">
        <v>0.16700000000000001</v>
      </c>
    </row>
    <row r="9071" spans="1:8" x14ac:dyDescent="0.3">
      <c r="A9071" t="s">
        <v>22813</v>
      </c>
      <c r="B9071" t="s">
        <v>26951</v>
      </c>
      <c r="C9071" t="s">
        <v>22835</v>
      </c>
      <c r="D9071" t="s">
        <v>22834</v>
      </c>
      <c r="E9071" s="2" t="s">
        <v>133</v>
      </c>
      <c r="F9071" t="s">
        <v>14632</v>
      </c>
      <c r="G9071" t="str">
        <f>HYPERLINK("https://www.nbntv.kr/news/articleView.html?idxno=205291")</f>
        <v>https://www.nbntv.kr/news/articleView.html?idxno=205291</v>
      </c>
      <c r="H9071">
        <v>0.17</v>
      </c>
    </row>
    <row r="9072" spans="1:8" x14ac:dyDescent="0.3">
      <c r="A9072" t="s">
        <v>22813</v>
      </c>
      <c r="B9072" t="s">
        <v>26951</v>
      </c>
      <c r="C9072" t="s">
        <v>22837</v>
      </c>
      <c r="D9072" t="s">
        <v>22836</v>
      </c>
      <c r="E9072" s="2" t="s">
        <v>133</v>
      </c>
      <c r="F9072" t="s">
        <v>1657</v>
      </c>
      <c r="G9072" t="str">
        <f>HYPERLINK("https://www.smarttoday.co.kr/news/articleView.html?idxno=84020")</f>
        <v>https://www.smarttoday.co.kr/news/articleView.html?idxno=84020</v>
      </c>
      <c r="H9072">
        <v>0.63500000000000001</v>
      </c>
    </row>
    <row r="9073" spans="1:8" x14ac:dyDescent="0.3">
      <c r="A9073" t="s">
        <v>22813</v>
      </c>
      <c r="B9073" t="s">
        <v>26951</v>
      </c>
      <c r="C9073" t="s">
        <v>22839</v>
      </c>
      <c r="D9073" t="s">
        <v>22838</v>
      </c>
      <c r="E9073" s="2" t="s">
        <v>172</v>
      </c>
      <c r="F9073" t="s">
        <v>521</v>
      </c>
      <c r="G9073" t="str">
        <f>HYPERLINK("http://www.sisaon.co.kr/news/articleView.html?idxno=172689")</f>
        <v>http://www.sisaon.co.kr/news/articleView.html?idxno=172689</v>
      </c>
      <c r="H9073">
        <v>0.37</v>
      </c>
    </row>
    <row r="9074" spans="1:8" x14ac:dyDescent="0.3">
      <c r="A9074" t="s">
        <v>22813</v>
      </c>
      <c r="B9074" t="s">
        <v>26951</v>
      </c>
      <c r="C9074" t="s">
        <v>22841</v>
      </c>
      <c r="D9074" t="s">
        <v>22840</v>
      </c>
      <c r="E9074" s="2" t="s">
        <v>172</v>
      </c>
      <c r="F9074" t="s">
        <v>857</v>
      </c>
      <c r="G9074" t="str">
        <f>HYPERLINK("https://www.kgnews.co.kr/news/article.html?no=852581")</f>
        <v>https://www.kgnews.co.kr/news/article.html?no=852581</v>
      </c>
      <c r="H9074">
        <v>0.216</v>
      </c>
    </row>
    <row r="9075" spans="1:8" x14ac:dyDescent="0.3">
      <c r="A9075" t="s">
        <v>22813</v>
      </c>
      <c r="B9075" t="s">
        <v>26951</v>
      </c>
      <c r="C9075" t="s">
        <v>22843</v>
      </c>
      <c r="D9075" t="s">
        <v>22842</v>
      </c>
      <c r="E9075" s="2" t="s">
        <v>196</v>
      </c>
      <c r="F9075" t="s">
        <v>111</v>
      </c>
      <c r="G9075" t="str">
        <f>HYPERLINK("http://www.ikld.kr/news/articleView.html?idxno=46584")</f>
        <v>http://www.ikld.kr/news/articleView.html?idxno=46584</v>
      </c>
      <c r="H9075">
        <v>9.1999999999999998E-2</v>
      </c>
    </row>
    <row r="9076" spans="1:8" x14ac:dyDescent="0.3">
      <c r="A9076" t="s">
        <v>22813</v>
      </c>
      <c r="B9076" t="s">
        <v>26951</v>
      </c>
      <c r="C9076" t="s">
        <v>22845</v>
      </c>
      <c r="D9076" t="s">
        <v>22844</v>
      </c>
      <c r="E9076" s="2" t="s">
        <v>230</v>
      </c>
      <c r="F9076" t="s">
        <v>22821</v>
      </c>
      <c r="G9076" t="str">
        <f>HYPERLINK("https://n.news.naver.com/mnews/article/082/0000281836?sid=103")</f>
        <v>https://n.news.naver.com/mnews/article/082/0000281836?sid=103</v>
      </c>
      <c r="H9076">
        <v>0.22800000000000001</v>
      </c>
    </row>
    <row r="9077" spans="1:8" x14ac:dyDescent="0.3">
      <c r="A9077" t="s">
        <v>22813</v>
      </c>
      <c r="B9077" t="s">
        <v>26951</v>
      </c>
      <c r="C9077" t="s">
        <v>22848</v>
      </c>
      <c r="D9077" t="s">
        <v>22847</v>
      </c>
      <c r="E9077" s="2" t="s">
        <v>230</v>
      </c>
      <c r="F9077" t="s">
        <v>22846</v>
      </c>
      <c r="G9077" t="str">
        <f>HYPERLINK("https://n.news.naver.com/mnews/article/658/0000111033?sid=101")</f>
        <v>https://n.news.naver.com/mnews/article/658/0000111033?sid=101</v>
      </c>
      <c r="H9077">
        <v>0.16600000000000001</v>
      </c>
    </row>
    <row r="9078" spans="1:8" x14ac:dyDescent="0.3">
      <c r="A9078" t="s">
        <v>22813</v>
      </c>
      <c r="B9078" t="s">
        <v>26951</v>
      </c>
      <c r="C9078" t="s">
        <v>22851</v>
      </c>
      <c r="D9078" t="s">
        <v>22850</v>
      </c>
      <c r="E9078" s="2" t="s">
        <v>356</v>
      </c>
      <c r="F9078" t="s">
        <v>22849</v>
      </c>
      <c r="G9078" t="str">
        <f>HYPERLINK("http://www.jejusori.net/news/articleView.html?idxno=140009")</f>
        <v>http://www.jejusori.net/news/articleView.html?idxno=140009</v>
      </c>
      <c r="H9078">
        <v>0.54400000000000004</v>
      </c>
    </row>
    <row r="9079" spans="1:8" x14ac:dyDescent="0.3">
      <c r="A9079" t="s">
        <v>22813</v>
      </c>
      <c r="B9079" t="s">
        <v>26951</v>
      </c>
      <c r="C9079" t="s">
        <v>22854</v>
      </c>
      <c r="D9079" t="s">
        <v>22853</v>
      </c>
      <c r="E9079" s="2" t="s">
        <v>356</v>
      </c>
      <c r="F9079" t="s">
        <v>22852</v>
      </c>
      <c r="G9079" t="str">
        <f>HYPERLINK("https://n.news.naver.com/mnews/article/082/0000535218?sid=102")</f>
        <v>https://n.news.naver.com/mnews/article/082/0000535218?sid=102</v>
      </c>
      <c r="H9079">
        <v>0.314</v>
      </c>
    </row>
    <row r="9080" spans="1:8" x14ac:dyDescent="0.3">
      <c r="A9080" t="s">
        <v>22813</v>
      </c>
      <c r="B9080" t="s">
        <v>26951</v>
      </c>
      <c r="C9080" t="s">
        <v>22856</v>
      </c>
      <c r="D9080" t="s">
        <v>22855</v>
      </c>
      <c r="E9080" s="2" t="s">
        <v>356</v>
      </c>
      <c r="F9080" t="s">
        <v>2046</v>
      </c>
      <c r="G9080" t="str">
        <f>HYPERLINK("https://www.naeil.com/news/read/552576?ref=naver")</f>
        <v>https://www.naeil.com/news/read/552576?ref=naver</v>
      </c>
      <c r="H9080">
        <v>0.59099999999999997</v>
      </c>
    </row>
    <row r="9081" spans="1:8" x14ac:dyDescent="0.3">
      <c r="A9081" t="s">
        <v>22813</v>
      </c>
      <c r="B9081" t="s">
        <v>26951</v>
      </c>
      <c r="C9081" t="s">
        <v>22858</v>
      </c>
      <c r="D9081" t="s">
        <v>22857</v>
      </c>
      <c r="E9081" s="2" t="s">
        <v>356</v>
      </c>
      <c r="F9081" t="s">
        <v>2046</v>
      </c>
      <c r="G9081" t="str">
        <f>HYPERLINK("https://n.news.naver.com/mnews/article/658/0000110788?sid=103")</f>
        <v>https://n.news.naver.com/mnews/article/658/0000110788?sid=103</v>
      </c>
      <c r="H9081">
        <v>0.27</v>
      </c>
    </row>
    <row r="9082" spans="1:8" x14ac:dyDescent="0.3">
      <c r="A9082" t="s">
        <v>22813</v>
      </c>
      <c r="B9082" t="s">
        <v>26951</v>
      </c>
      <c r="C9082" t="s">
        <v>22860</v>
      </c>
      <c r="D9082" t="s">
        <v>22859</v>
      </c>
      <c r="E9082" s="2" t="s">
        <v>356</v>
      </c>
      <c r="F9082" t="s">
        <v>2046</v>
      </c>
      <c r="G9082" t="str">
        <f>HYPERLINK("https://n.news.naver.com/mnews/article/658/0000109291?sid=103")</f>
        <v>https://n.news.naver.com/mnews/article/658/0000109291?sid=103</v>
      </c>
      <c r="H9082">
        <v>0.27100000000000002</v>
      </c>
    </row>
    <row r="9083" spans="1:8" x14ac:dyDescent="0.3">
      <c r="A9083" t="s">
        <v>22813</v>
      </c>
      <c r="B9083" t="s">
        <v>26951</v>
      </c>
      <c r="C9083" t="s">
        <v>22862</v>
      </c>
      <c r="D9083" t="s">
        <v>22861</v>
      </c>
      <c r="E9083" s="2" t="s">
        <v>356</v>
      </c>
      <c r="F9083" t="s">
        <v>22821</v>
      </c>
      <c r="G9083" t="str">
        <f>HYPERLINK("http://www.iusm.co.kr/news/articleView.html?idxno=289704")</f>
        <v>http://www.iusm.co.kr/news/articleView.html?idxno=289704</v>
      </c>
      <c r="H9083">
        <v>0.182</v>
      </c>
    </row>
    <row r="9084" spans="1:8" x14ac:dyDescent="0.3">
      <c r="A9084" t="s">
        <v>22813</v>
      </c>
      <c r="B9084" t="s">
        <v>26951</v>
      </c>
      <c r="C9084" t="s">
        <v>22865</v>
      </c>
      <c r="D9084" t="s">
        <v>22864</v>
      </c>
      <c r="E9084" s="2" t="s">
        <v>394</v>
      </c>
      <c r="F9084" t="s">
        <v>22863</v>
      </c>
      <c r="G9084" t="str">
        <f>HYPERLINK("http://www.ksilbo.co.kr/news/articleView.html?idxno=607614")</f>
        <v>http://www.ksilbo.co.kr/news/articleView.html?idxno=607614</v>
      </c>
      <c r="H9084">
        <v>0.34</v>
      </c>
    </row>
    <row r="9085" spans="1:8" x14ac:dyDescent="0.3">
      <c r="A9085" t="s">
        <v>22813</v>
      </c>
      <c r="B9085" t="s">
        <v>26951</v>
      </c>
      <c r="C9085" t="s">
        <v>22867</v>
      </c>
      <c r="D9085" t="s">
        <v>22866</v>
      </c>
      <c r="E9085" s="2" t="s">
        <v>452</v>
      </c>
      <c r="F9085" t="s">
        <v>197</v>
      </c>
      <c r="G9085" t="str">
        <f>HYPERLINK("https://www.greened.kr/news/articleView.html?idxno=328049")</f>
        <v>https://www.greened.kr/news/articleView.html?idxno=328049</v>
      </c>
      <c r="H9085">
        <v>0.54600000000000004</v>
      </c>
    </row>
    <row r="9086" spans="1:8" x14ac:dyDescent="0.3">
      <c r="A9086" t="s">
        <v>22813</v>
      </c>
      <c r="B9086" t="s">
        <v>26951</v>
      </c>
      <c r="C9086" t="s">
        <v>14698</v>
      </c>
      <c r="D9086" t="s">
        <v>14697</v>
      </c>
      <c r="E9086" s="2" t="s">
        <v>517</v>
      </c>
      <c r="F9086" t="s">
        <v>1242</v>
      </c>
      <c r="G9086" t="str">
        <f>HYPERLINK("http://www.knnews.co.kr/news/articleView.php?idxno=1206683")</f>
        <v>http://www.knnews.co.kr/news/articleView.php?idxno=1206683</v>
      </c>
      <c r="H9086">
        <v>0.4</v>
      </c>
    </row>
    <row r="9087" spans="1:8" x14ac:dyDescent="0.3">
      <c r="A9087" t="s">
        <v>22813</v>
      </c>
      <c r="B9087" t="s">
        <v>26951</v>
      </c>
      <c r="C9087" t="s">
        <v>22870</v>
      </c>
      <c r="D9087" t="s">
        <v>22869</v>
      </c>
      <c r="E9087" s="2" t="s">
        <v>538</v>
      </c>
      <c r="F9087" t="s">
        <v>22868</v>
      </c>
      <c r="G9087" t="str">
        <f>HYPERLINK("https://www.getnews.co.kr/news/articleView.html?idxno=825740")</f>
        <v>https://www.getnews.co.kr/news/articleView.html?idxno=825740</v>
      </c>
      <c r="H9087">
        <v>0.73099999999999998</v>
      </c>
    </row>
    <row r="9088" spans="1:8" x14ac:dyDescent="0.3">
      <c r="A9088" t="s">
        <v>22813</v>
      </c>
      <c r="B9088" t="s">
        <v>26951</v>
      </c>
      <c r="C9088" t="s">
        <v>22873</v>
      </c>
      <c r="D9088" t="s">
        <v>22872</v>
      </c>
      <c r="E9088" s="2" t="s">
        <v>538</v>
      </c>
      <c r="F9088" t="s">
        <v>22871</v>
      </c>
      <c r="G9088" t="str">
        <f>HYPERLINK("https://www.jeonmae.co.kr/news/articleView.html?idxno=933896")</f>
        <v>https://www.jeonmae.co.kr/news/articleView.html?idxno=933896</v>
      </c>
      <c r="H9088">
        <v>0.28000000000000003</v>
      </c>
    </row>
    <row r="9089" spans="1:8" x14ac:dyDescent="0.3">
      <c r="A9089" t="s">
        <v>22813</v>
      </c>
      <c r="B9089" t="s">
        <v>26951</v>
      </c>
      <c r="C9089" t="s">
        <v>22875</v>
      </c>
      <c r="D9089" t="s">
        <v>22874</v>
      </c>
      <c r="E9089" s="2" t="s">
        <v>538</v>
      </c>
      <c r="F9089" t="s">
        <v>2718</v>
      </c>
      <c r="G9089" t="str">
        <f>HYPERLINK("http://www.insightkorea.co.kr//news/articleView.html?idxno=26176")</f>
        <v>http://www.insightkorea.co.kr//news/articleView.html?idxno=26176</v>
      </c>
      <c r="H9089">
        <v>0.54700000000000004</v>
      </c>
    </row>
    <row r="9090" spans="1:8" x14ac:dyDescent="0.3">
      <c r="A9090" t="s">
        <v>22813</v>
      </c>
      <c r="B9090" t="s">
        <v>26951</v>
      </c>
      <c r="C9090" t="s">
        <v>22878</v>
      </c>
      <c r="D9090" t="s">
        <v>22877</v>
      </c>
      <c r="E9090" s="2" t="s">
        <v>572</v>
      </c>
      <c r="F9090" t="s">
        <v>22876</v>
      </c>
      <c r="G9090" t="str">
        <f>HYPERLINK("https://n.news.naver.com/mnews/article/022/0004047872?sid=101")</f>
        <v>https://n.news.naver.com/mnews/article/022/0004047872?sid=101</v>
      </c>
      <c r="H9090">
        <v>0.255</v>
      </c>
    </row>
    <row r="9091" spans="1:8" x14ac:dyDescent="0.3">
      <c r="A9091" t="s">
        <v>22813</v>
      </c>
      <c r="B9091" t="s">
        <v>26951</v>
      </c>
      <c r="C9091" t="s">
        <v>22881</v>
      </c>
      <c r="D9091" t="s">
        <v>22880</v>
      </c>
      <c r="E9091" s="2" t="s">
        <v>572</v>
      </c>
      <c r="F9091" t="s">
        <v>22879</v>
      </c>
      <c r="G9091" t="str">
        <f>HYPERLINK("https://www.greened.kr/news/articleView.html?idxno=327429")</f>
        <v>https://www.greened.kr/news/articleView.html?idxno=327429</v>
      </c>
      <c r="H9091">
        <v>0.42799999999999999</v>
      </c>
    </row>
    <row r="9092" spans="1:8" x14ac:dyDescent="0.3">
      <c r="A9092" t="s">
        <v>22813</v>
      </c>
      <c r="B9092" t="s">
        <v>26951</v>
      </c>
      <c r="C9092" t="s">
        <v>22883</v>
      </c>
      <c r="D9092" t="s">
        <v>22882</v>
      </c>
      <c r="E9092" s="2" t="s">
        <v>653</v>
      </c>
      <c r="F9092" t="s">
        <v>22846</v>
      </c>
      <c r="G9092" t="str">
        <f>HYPERLINK("https://n.news.naver.com/mnews/article/658/0000109739?sid=101")</f>
        <v>https://n.news.naver.com/mnews/article/658/0000109739?sid=101</v>
      </c>
      <c r="H9092">
        <v>0.14899999999999999</v>
      </c>
    </row>
    <row r="9093" spans="1:8" x14ac:dyDescent="0.3">
      <c r="A9093" t="s">
        <v>22813</v>
      </c>
      <c r="B9093" t="s">
        <v>26951</v>
      </c>
      <c r="C9093" t="s">
        <v>22885</v>
      </c>
      <c r="D9093" t="s">
        <v>22884</v>
      </c>
      <c r="E9093" s="2" t="s">
        <v>653</v>
      </c>
      <c r="F9093" t="s">
        <v>160</v>
      </c>
      <c r="G9093" t="str">
        <f>HYPERLINK("https://www.vogue.co.kr/2025/06/08/%eb%b2%84%eb%a6%ac%ec%a7%80-%eb%aa%bb%ed%95%9c-%eb%ac%bc%ea%b1%b4%ec%9d%98-%ec%8b%ac%eb%a6%ac%ed%95%99/?utm_source=naver&amp;utm_medium=partnership")</f>
        <v>https://www.vogue.co.kr/2025/06/08/%eb%b2%84%eb%a6%ac%ec%a7%80-%eb%aa%bb%ed%95%9c-%eb%ac%bc%ea%b1%b4%ec%9d%98-%ec%8b%ac%eb%a6%ac%ed%95%99/?utm_source=naver&amp;utm_medium=partnership</v>
      </c>
      <c r="H9093">
        <v>0.628</v>
      </c>
    </row>
    <row r="9094" spans="1:8" x14ac:dyDescent="0.3">
      <c r="A9094" t="s">
        <v>22813</v>
      </c>
      <c r="B9094" t="s">
        <v>26951</v>
      </c>
      <c r="C9094" t="s">
        <v>22887</v>
      </c>
      <c r="D9094" t="s">
        <v>22886</v>
      </c>
      <c r="E9094" s="2" t="s">
        <v>653</v>
      </c>
      <c r="F9094" t="s">
        <v>3627</v>
      </c>
      <c r="G9094" t="str">
        <f>HYPERLINK("https://weekly.cnbnews.com/news/article.html?no=151173")</f>
        <v>https://weekly.cnbnews.com/news/article.html?no=151173</v>
      </c>
      <c r="H9094">
        <v>0.42099999999999999</v>
      </c>
    </row>
    <row r="9095" spans="1:8" x14ac:dyDescent="0.3">
      <c r="A9095" t="s">
        <v>22813</v>
      </c>
      <c r="B9095" t="s">
        <v>26951</v>
      </c>
      <c r="C9095" t="s">
        <v>22890</v>
      </c>
      <c r="D9095" t="s">
        <v>22889</v>
      </c>
      <c r="E9095" s="2" t="s">
        <v>692</v>
      </c>
      <c r="F9095" t="s">
        <v>22888</v>
      </c>
      <c r="G9095" t="str">
        <f>HYPERLINK("http://www.doctorstimes.com/news/articleView.html?idxno=215979")</f>
        <v>http://www.doctorstimes.com/news/articleView.html?idxno=215979</v>
      </c>
      <c r="H9095">
        <v>0.55000000000000004</v>
      </c>
    </row>
    <row r="9096" spans="1:8" x14ac:dyDescent="0.3">
      <c r="A9096" t="s">
        <v>22813</v>
      </c>
      <c r="B9096" t="s">
        <v>26951</v>
      </c>
      <c r="C9096" t="s">
        <v>22892</v>
      </c>
      <c r="D9096" t="s">
        <v>22891</v>
      </c>
      <c r="E9096" s="2" t="s">
        <v>692</v>
      </c>
      <c r="F9096" t="s">
        <v>22821</v>
      </c>
      <c r="G9096" t="str">
        <f>HYPERLINK("http://www.iusm.co.kr/news/articleView.html?idxno=247725")</f>
        <v>http://www.iusm.co.kr/news/articleView.html?idxno=247725</v>
      </c>
      <c r="H9096">
        <v>0.23499999999999999</v>
      </c>
    </row>
    <row r="9097" spans="1:8" x14ac:dyDescent="0.3">
      <c r="A9097" t="s">
        <v>22813</v>
      </c>
      <c r="B9097" t="s">
        <v>26951</v>
      </c>
      <c r="C9097" t="s">
        <v>22894</v>
      </c>
      <c r="D9097" t="s">
        <v>22893</v>
      </c>
      <c r="E9097" s="2" t="s">
        <v>725</v>
      </c>
      <c r="F9097" t="s">
        <v>22821</v>
      </c>
      <c r="G9097" t="str">
        <f>HYPERLINK("http://www.iusm.co.kr/news/articleView.html?idxno=298818")</f>
        <v>http://www.iusm.co.kr/news/articleView.html?idxno=298818</v>
      </c>
      <c r="H9097">
        <v>0.30499999999999999</v>
      </c>
    </row>
    <row r="9098" spans="1:8" x14ac:dyDescent="0.3">
      <c r="A9098" t="s">
        <v>22813</v>
      </c>
      <c r="B9098" t="s">
        <v>26951</v>
      </c>
      <c r="C9098" t="s">
        <v>22896</v>
      </c>
      <c r="D9098" t="s">
        <v>22895</v>
      </c>
      <c r="E9098" s="2" t="s">
        <v>725</v>
      </c>
      <c r="F9098" t="s">
        <v>89</v>
      </c>
      <c r="G9098" t="str">
        <f>HYPERLINK("https://www.newspim.com/news/view/20250123000592")</f>
        <v>https://www.newspim.com/news/view/20250123000592</v>
      </c>
      <c r="H9098">
        <v>0.45100000000000001</v>
      </c>
    </row>
    <row r="9099" spans="1:8" x14ac:dyDescent="0.3">
      <c r="A9099" t="s">
        <v>22813</v>
      </c>
      <c r="B9099" t="s">
        <v>26951</v>
      </c>
      <c r="C9099" t="s">
        <v>22898</v>
      </c>
      <c r="D9099" t="s">
        <v>22897</v>
      </c>
      <c r="E9099" s="2" t="s">
        <v>725</v>
      </c>
      <c r="F9099" t="s">
        <v>14694</v>
      </c>
      <c r="G9099" t="str">
        <f>HYPERLINK("https://n.news.naver.com/mnews/article/658/0000109436?sid=102")</f>
        <v>https://n.news.naver.com/mnews/article/658/0000109436?sid=102</v>
      </c>
      <c r="H9099">
        <v>0.23200000000000001</v>
      </c>
    </row>
    <row r="9100" spans="1:8" x14ac:dyDescent="0.3">
      <c r="A9100" t="s">
        <v>22813</v>
      </c>
      <c r="B9100" t="s">
        <v>26951</v>
      </c>
      <c r="C9100" t="s">
        <v>22900</v>
      </c>
      <c r="D9100" t="s">
        <v>22899</v>
      </c>
      <c r="E9100" s="2" t="s">
        <v>742</v>
      </c>
      <c r="F9100" t="s">
        <v>2555</v>
      </c>
      <c r="G9100" t="str">
        <f>HYPERLINK("http://www.outdoornews.co.kr/news/articleView.html?idxno=12272")</f>
        <v>http://www.outdoornews.co.kr/news/articleView.html?idxno=12272</v>
      </c>
      <c r="H9100">
        <v>0.34599999999999997</v>
      </c>
    </row>
    <row r="9101" spans="1:8" x14ac:dyDescent="0.3">
      <c r="A9101" t="s">
        <v>22813</v>
      </c>
      <c r="B9101" t="s">
        <v>26951</v>
      </c>
      <c r="C9101" t="s">
        <v>22903</v>
      </c>
      <c r="D9101" t="s">
        <v>22902</v>
      </c>
      <c r="E9101" s="2" t="s">
        <v>799</v>
      </c>
      <c r="F9101" t="s">
        <v>22901</v>
      </c>
      <c r="G9101" t="str">
        <f>HYPERLINK("https://n.news.naver.com/mnews/article/082/0000469166?sid=102")</f>
        <v>https://n.news.naver.com/mnews/article/082/0000469166?sid=102</v>
      </c>
      <c r="H9101">
        <v>0.23400000000000001</v>
      </c>
    </row>
    <row r="9102" spans="1:8" x14ac:dyDescent="0.3">
      <c r="A9102" t="s">
        <v>22813</v>
      </c>
      <c r="B9102" t="s">
        <v>26951</v>
      </c>
      <c r="C9102" t="s">
        <v>22905</v>
      </c>
      <c r="D9102" t="s">
        <v>22904</v>
      </c>
      <c r="E9102" s="2" t="s">
        <v>799</v>
      </c>
      <c r="F9102" t="s">
        <v>857</v>
      </c>
      <c r="G9102" t="str">
        <f>HYPERLINK("http://www.jbnews.com/news/articleView.html?idxno=633243")</f>
        <v>http://www.jbnews.com/news/articleView.html?idxno=633243</v>
      </c>
      <c r="H9102">
        <v>0.26200000000000001</v>
      </c>
    </row>
    <row r="9103" spans="1:8" x14ac:dyDescent="0.3">
      <c r="A9103" t="s">
        <v>22813</v>
      </c>
      <c r="B9103" t="s">
        <v>26951</v>
      </c>
      <c r="C9103" t="s">
        <v>22907</v>
      </c>
      <c r="D9103" t="s">
        <v>22906</v>
      </c>
      <c r="E9103" s="2" t="s">
        <v>840</v>
      </c>
      <c r="F9103" t="s">
        <v>857</v>
      </c>
      <c r="G9103" t="str">
        <f>HYPERLINK("https://www.apnews.kr/news/articleView.html?idxno=3035347")</f>
        <v>https://www.apnews.kr/news/articleView.html?idxno=3035347</v>
      </c>
      <c r="H9103">
        <v>0.23100000000000001</v>
      </c>
    </row>
    <row r="9104" spans="1:8" x14ac:dyDescent="0.3">
      <c r="A9104" t="s">
        <v>22813</v>
      </c>
      <c r="B9104" t="s">
        <v>26951</v>
      </c>
      <c r="C9104" t="s">
        <v>22909</v>
      </c>
      <c r="D9104" t="s">
        <v>22908</v>
      </c>
      <c r="E9104" s="2" t="s">
        <v>840</v>
      </c>
      <c r="F9104" t="s">
        <v>14301</v>
      </c>
      <c r="G9104" t="str">
        <f>HYPERLINK("http://www.tournews21.com/news/articleView.html?idxno=47249")</f>
        <v>http://www.tournews21.com/news/articleView.html?idxno=47249</v>
      </c>
      <c r="H9104">
        <v>0.47</v>
      </c>
    </row>
    <row r="9105" spans="1:8" x14ac:dyDescent="0.3">
      <c r="A9105" t="s">
        <v>22813</v>
      </c>
      <c r="B9105" t="s">
        <v>26951</v>
      </c>
      <c r="C9105" t="s">
        <v>22912</v>
      </c>
      <c r="D9105" t="s">
        <v>22911</v>
      </c>
      <c r="E9105" s="2" t="s">
        <v>860</v>
      </c>
      <c r="F9105" t="s">
        <v>22910</v>
      </c>
      <c r="G9105" t="str">
        <f>HYPERLINK("https://www.naeil.com/news/read/552576?ref=naver")</f>
        <v>https://www.naeil.com/news/read/552576?ref=naver</v>
      </c>
      <c r="H9105">
        <v>0.40400000000000003</v>
      </c>
    </row>
    <row r="9106" spans="1:8" x14ac:dyDescent="0.3">
      <c r="A9106" t="s">
        <v>22813</v>
      </c>
      <c r="B9106" t="s">
        <v>26951</v>
      </c>
      <c r="C9106" t="s">
        <v>22914</v>
      </c>
      <c r="D9106" t="s">
        <v>22913</v>
      </c>
      <c r="E9106" s="2" t="s">
        <v>860</v>
      </c>
      <c r="F9106" t="s">
        <v>2074</v>
      </c>
      <c r="G9106" t="str">
        <f>HYPERLINK("http://www.lkp.news/news/articleView.html?idxno=65584")</f>
        <v>http://www.lkp.news/news/articleView.html?idxno=65584</v>
      </c>
      <c r="H9106">
        <v>0.33300000000000002</v>
      </c>
    </row>
    <row r="9107" spans="1:8" x14ac:dyDescent="0.3">
      <c r="A9107" t="s">
        <v>22813</v>
      </c>
      <c r="B9107" t="s">
        <v>26951</v>
      </c>
      <c r="C9107" t="s">
        <v>22916</v>
      </c>
      <c r="D9107" t="s">
        <v>22915</v>
      </c>
      <c r="E9107" s="2" t="s">
        <v>860</v>
      </c>
      <c r="F9107" t="s">
        <v>857</v>
      </c>
      <c r="G9107" t="str">
        <f>HYPERLINK("http://www.sisaon.co.kr/news/articleView.html?idxno=167925")</f>
        <v>http://www.sisaon.co.kr/news/articleView.html?idxno=167925</v>
      </c>
      <c r="H9107">
        <v>0.14899999999999999</v>
      </c>
    </row>
    <row r="9108" spans="1:8" x14ac:dyDescent="0.3">
      <c r="A9108" t="s">
        <v>22813</v>
      </c>
      <c r="B9108" t="s">
        <v>26951</v>
      </c>
      <c r="C9108" t="s">
        <v>22919</v>
      </c>
      <c r="D9108" t="s">
        <v>22918</v>
      </c>
      <c r="E9108" s="2" t="s">
        <v>860</v>
      </c>
      <c r="F9108" t="s">
        <v>22917</v>
      </c>
      <c r="G9108" t="str">
        <f>HYPERLINK("http://www.metroseoul.co.kr/article/20250701500453")</f>
        <v>http://www.metroseoul.co.kr/article/20250701500453</v>
      </c>
      <c r="H9108">
        <v>0.624</v>
      </c>
    </row>
    <row r="9109" spans="1:8" x14ac:dyDescent="0.3">
      <c r="A9109" t="s">
        <v>22813</v>
      </c>
      <c r="B9109" t="s">
        <v>26951</v>
      </c>
      <c r="C9109" t="s">
        <v>22922</v>
      </c>
      <c r="D9109" t="s">
        <v>22921</v>
      </c>
      <c r="E9109" s="2" t="s">
        <v>903</v>
      </c>
      <c r="F9109" t="s">
        <v>22920</v>
      </c>
      <c r="G9109" t="str">
        <f>HYPERLINK("https://n.news.naver.com/mnews/article/658/0000008594?sid=102")</f>
        <v>https://n.news.naver.com/mnews/article/658/0000008594?sid=102</v>
      </c>
      <c r="H9109">
        <v>0.35499999999999998</v>
      </c>
    </row>
    <row r="9110" spans="1:8" x14ac:dyDescent="0.3">
      <c r="A9110" t="s">
        <v>22813</v>
      </c>
      <c r="B9110" t="s">
        <v>26951</v>
      </c>
      <c r="C9110" t="s">
        <v>22925</v>
      </c>
      <c r="D9110" t="s">
        <v>22924</v>
      </c>
      <c r="E9110" s="2" t="s">
        <v>903</v>
      </c>
      <c r="F9110" t="s">
        <v>22923</v>
      </c>
      <c r="G9110" t="str">
        <f>HYPERLINK("http://www.youthdaily.co.kr/news/article.html?no=80469")</f>
        <v>http://www.youthdaily.co.kr/news/article.html?no=80469</v>
      </c>
      <c r="H9110">
        <v>0.72799999999999998</v>
      </c>
    </row>
    <row r="9111" spans="1:8" x14ac:dyDescent="0.3">
      <c r="A9111" t="s">
        <v>22926</v>
      </c>
      <c r="B9111" t="s">
        <v>26951</v>
      </c>
      <c r="C9111" t="s">
        <v>22928</v>
      </c>
      <c r="D9111" t="s">
        <v>22927</v>
      </c>
      <c r="E9111" s="2" t="s">
        <v>7</v>
      </c>
      <c r="F9111" t="s">
        <v>3663</v>
      </c>
      <c r="G9111" t="str">
        <f>HYPERLINK("http://www.itdaily.kr/news/articleView.html?idxno=231869")</f>
        <v>http://www.itdaily.kr/news/articleView.html?idxno=231869</v>
      </c>
      <c r="H9111">
        <v>0.192</v>
      </c>
    </row>
    <row r="9112" spans="1:8" x14ac:dyDescent="0.3">
      <c r="A9112" t="s">
        <v>22926</v>
      </c>
      <c r="B9112" t="s">
        <v>26951</v>
      </c>
      <c r="C9112" t="s">
        <v>22931</v>
      </c>
      <c r="D9112" t="s">
        <v>22930</v>
      </c>
      <c r="E9112" s="2" t="s">
        <v>7</v>
      </c>
      <c r="F9112" t="s">
        <v>22929</v>
      </c>
      <c r="G9112" t="str">
        <f>HYPERLINK("https://www.ajunews.com/view/20240304082127771")</f>
        <v>https://www.ajunews.com/view/20240304082127771</v>
      </c>
      <c r="H9112">
        <v>0.151</v>
      </c>
    </row>
    <row r="9113" spans="1:8" x14ac:dyDescent="0.3">
      <c r="A9113" t="s">
        <v>22926</v>
      </c>
      <c r="B9113" t="s">
        <v>26951</v>
      </c>
      <c r="C9113" t="s">
        <v>22933</v>
      </c>
      <c r="D9113" t="s">
        <v>22932</v>
      </c>
      <c r="E9113" s="2" t="s">
        <v>133</v>
      </c>
      <c r="F9113" t="s">
        <v>10298</v>
      </c>
      <c r="G9113" t="str">
        <f>HYPERLINK("https://www.dnews.co.kr/uhtml/view.jsp?idxno=202506252222008730402")</f>
        <v>https://www.dnews.co.kr/uhtml/view.jsp?idxno=202506252222008730402</v>
      </c>
      <c r="H9113">
        <v>0.378</v>
      </c>
    </row>
    <row r="9114" spans="1:8" x14ac:dyDescent="0.3">
      <c r="A9114" t="s">
        <v>22926</v>
      </c>
      <c r="B9114" t="s">
        <v>26951</v>
      </c>
      <c r="C9114" t="s">
        <v>22936</v>
      </c>
      <c r="D9114" t="s">
        <v>22935</v>
      </c>
      <c r="E9114" s="2" t="s">
        <v>133</v>
      </c>
      <c r="F9114" t="s">
        <v>22934</v>
      </c>
      <c r="G9114" t="str">
        <f>HYPERLINK("https://n.news.naver.com/mnews/article/052/0000998093?sid=102")</f>
        <v>https://n.news.naver.com/mnews/article/052/0000998093?sid=102</v>
      </c>
      <c r="H9114">
        <v>4.2000000000000003E-2</v>
      </c>
    </row>
    <row r="9115" spans="1:8" x14ac:dyDescent="0.3">
      <c r="A9115" t="s">
        <v>22926</v>
      </c>
      <c r="B9115" t="s">
        <v>26951</v>
      </c>
      <c r="C9115" t="s">
        <v>22939</v>
      </c>
      <c r="D9115" t="s">
        <v>22938</v>
      </c>
      <c r="E9115" s="2" t="s">
        <v>133</v>
      </c>
      <c r="F9115" t="s">
        <v>22937</v>
      </c>
      <c r="G9115" t="str">
        <f>HYPERLINK("https://www.tokenpost.kr/article-199214")</f>
        <v>https://www.tokenpost.kr/article-199214</v>
      </c>
      <c r="H9115">
        <v>0.46700000000000003</v>
      </c>
    </row>
    <row r="9116" spans="1:8" x14ac:dyDescent="0.3">
      <c r="A9116" t="s">
        <v>22926</v>
      </c>
      <c r="B9116" t="s">
        <v>26951</v>
      </c>
      <c r="C9116" t="s">
        <v>22941</v>
      </c>
      <c r="D9116" t="s">
        <v>22940</v>
      </c>
      <c r="E9116" s="2" t="s">
        <v>230</v>
      </c>
      <c r="F9116" t="s">
        <v>642</v>
      </c>
      <c r="G9116" t="str">
        <f>HYPERLINK("http://www.veritas-a.com/news/articleView.html?idxno=545228")</f>
        <v>http://www.veritas-a.com/news/articleView.html?idxno=545228</v>
      </c>
      <c r="H9116">
        <v>0.44900000000000001</v>
      </c>
    </row>
    <row r="9117" spans="1:8" x14ac:dyDescent="0.3">
      <c r="A9117" t="s">
        <v>22926</v>
      </c>
      <c r="B9117" t="s">
        <v>26951</v>
      </c>
      <c r="C9117" t="s">
        <v>22944</v>
      </c>
      <c r="D9117" t="s">
        <v>22943</v>
      </c>
      <c r="E9117" s="2" t="s">
        <v>230</v>
      </c>
      <c r="F9117" t="s">
        <v>22942</v>
      </c>
      <c r="G9117" t="str">
        <f>HYPERLINK("https://n.news.naver.com/mnews/article/008/0005203613?sid=101")</f>
        <v>https://n.news.naver.com/mnews/article/008/0005203613?sid=101</v>
      </c>
      <c r="H9117">
        <v>0.22500000000000001</v>
      </c>
    </row>
    <row r="9118" spans="1:8" x14ac:dyDescent="0.3">
      <c r="A9118" t="s">
        <v>22926</v>
      </c>
      <c r="B9118" t="s">
        <v>26951</v>
      </c>
      <c r="C9118" t="s">
        <v>22947</v>
      </c>
      <c r="D9118" t="s">
        <v>22946</v>
      </c>
      <c r="E9118" s="2" t="s">
        <v>267</v>
      </c>
      <c r="F9118" t="s">
        <v>22945</v>
      </c>
      <c r="G9118" t="str">
        <f>HYPERLINK("https://www.ajunews.com/view/20250622225856459")</f>
        <v>https://www.ajunews.com/view/20250622225856459</v>
      </c>
      <c r="H9118">
        <v>0.57699999999999996</v>
      </c>
    </row>
    <row r="9119" spans="1:8" x14ac:dyDescent="0.3">
      <c r="A9119" t="s">
        <v>22926</v>
      </c>
      <c r="B9119" t="s">
        <v>26951</v>
      </c>
      <c r="C9119" t="s">
        <v>22949</v>
      </c>
      <c r="D9119" t="s">
        <v>22948</v>
      </c>
      <c r="E9119" s="2" t="s">
        <v>280</v>
      </c>
      <c r="F9119" t="s">
        <v>22945</v>
      </c>
      <c r="G9119" t="str">
        <f>HYPERLINK("https://daily.hankooki.com/news/articleView.html?idxno=1232466")</f>
        <v>https://daily.hankooki.com/news/articleView.html?idxno=1232466</v>
      </c>
      <c r="H9119">
        <v>0.79</v>
      </c>
    </row>
    <row r="9120" spans="1:8" x14ac:dyDescent="0.3">
      <c r="A9120" t="s">
        <v>22926</v>
      </c>
      <c r="B9120" t="s">
        <v>26951</v>
      </c>
      <c r="C9120" t="s">
        <v>22951</v>
      </c>
      <c r="D9120" t="s">
        <v>22950</v>
      </c>
      <c r="E9120" s="2" t="s">
        <v>280</v>
      </c>
      <c r="F9120" t="s">
        <v>22945</v>
      </c>
      <c r="G9120" t="str">
        <f>HYPERLINK("https://www.newsgn.com/news/articleView.html?idxno=488904")</f>
        <v>https://www.newsgn.com/news/articleView.html?idxno=488904</v>
      </c>
      <c r="H9120">
        <v>0.75900000000000001</v>
      </c>
    </row>
    <row r="9121" spans="1:8" x14ac:dyDescent="0.3">
      <c r="A9121" t="s">
        <v>22926</v>
      </c>
      <c r="B9121" t="s">
        <v>26951</v>
      </c>
      <c r="C9121" t="s">
        <v>22953</v>
      </c>
      <c r="D9121" t="s">
        <v>22952</v>
      </c>
      <c r="E9121" s="2" t="s">
        <v>280</v>
      </c>
      <c r="F9121" t="s">
        <v>22945</v>
      </c>
      <c r="G9121" t="str">
        <f>HYPERLINK("https://daily.hankooki.com/news/articleView.html?idxno=1233822")</f>
        <v>https://daily.hankooki.com/news/articleView.html?idxno=1233822</v>
      </c>
      <c r="H9121">
        <v>0.76700000000000002</v>
      </c>
    </row>
    <row r="9122" spans="1:8" x14ac:dyDescent="0.3">
      <c r="A9122" t="s">
        <v>22926</v>
      </c>
      <c r="B9122" t="s">
        <v>26951</v>
      </c>
      <c r="C9122" t="s">
        <v>22955</v>
      </c>
      <c r="D9122" t="s">
        <v>22954</v>
      </c>
      <c r="E9122" s="2" t="s">
        <v>280</v>
      </c>
      <c r="F9122" t="s">
        <v>22945</v>
      </c>
      <c r="G9122" t="str">
        <f>HYPERLINK("https://www.getnews.co.kr/news/articleView.html?idxno=827323")</f>
        <v>https://www.getnews.co.kr/news/articleView.html?idxno=827323</v>
      </c>
      <c r="H9122">
        <v>0.69499999999999995</v>
      </c>
    </row>
    <row r="9123" spans="1:8" x14ac:dyDescent="0.3">
      <c r="A9123" t="s">
        <v>22926</v>
      </c>
      <c r="B9123" t="s">
        <v>26951</v>
      </c>
      <c r="C9123" t="s">
        <v>22957</v>
      </c>
      <c r="D9123" t="s">
        <v>22956</v>
      </c>
      <c r="E9123" s="2" t="s">
        <v>280</v>
      </c>
      <c r="F9123" t="s">
        <v>22945</v>
      </c>
      <c r="G9123" t="str">
        <f>HYPERLINK("https://www.newsgn.com/news/articleView.html?idxno=489280")</f>
        <v>https://www.newsgn.com/news/articleView.html?idxno=489280</v>
      </c>
      <c r="H9123">
        <v>0.74399999999999999</v>
      </c>
    </row>
    <row r="9124" spans="1:8" x14ac:dyDescent="0.3">
      <c r="A9124" t="s">
        <v>22926</v>
      </c>
      <c r="B9124" t="s">
        <v>26951</v>
      </c>
      <c r="C9124" t="s">
        <v>22959</v>
      </c>
      <c r="D9124" t="s">
        <v>22958</v>
      </c>
      <c r="E9124" s="2" t="s">
        <v>280</v>
      </c>
      <c r="F9124" t="s">
        <v>22945</v>
      </c>
      <c r="G9124" t="str">
        <f>HYPERLINK("https://www.newsgn.com/news/articleView.html?idxno=489079")</f>
        <v>https://www.newsgn.com/news/articleView.html?idxno=489079</v>
      </c>
      <c r="H9124">
        <v>0.59899999999999998</v>
      </c>
    </row>
    <row r="9125" spans="1:8" x14ac:dyDescent="0.3">
      <c r="A9125" t="s">
        <v>22926</v>
      </c>
      <c r="B9125" t="s">
        <v>26951</v>
      </c>
      <c r="C9125" t="s">
        <v>22961</v>
      </c>
      <c r="D9125" t="s">
        <v>22960</v>
      </c>
      <c r="E9125" s="2" t="s">
        <v>313</v>
      </c>
      <c r="F9125" t="s">
        <v>951</v>
      </c>
      <c r="G9125" t="str">
        <f>HYPERLINK("http://www.greened.kr/news/articleView.html?idxno=302042")</f>
        <v>http://www.greened.kr/news/articleView.html?idxno=302042</v>
      </c>
      <c r="H9125">
        <v>0.61</v>
      </c>
    </row>
    <row r="9126" spans="1:8" x14ac:dyDescent="0.3">
      <c r="A9126" t="s">
        <v>22926</v>
      </c>
      <c r="B9126" t="s">
        <v>26951</v>
      </c>
      <c r="C9126" t="s">
        <v>22963</v>
      </c>
      <c r="D9126" t="s">
        <v>22962</v>
      </c>
      <c r="E9126" s="2" t="s">
        <v>356</v>
      </c>
      <c r="F9126" t="s">
        <v>22945</v>
      </c>
      <c r="G9126" t="str">
        <f>HYPERLINK("https://www.cnbnews.com/news/article.html?no=733158")</f>
        <v>https://www.cnbnews.com/news/article.html?no=733158</v>
      </c>
      <c r="H9126">
        <v>0.80200000000000005</v>
      </c>
    </row>
    <row r="9127" spans="1:8" x14ac:dyDescent="0.3">
      <c r="A9127" t="s">
        <v>22926</v>
      </c>
      <c r="B9127" t="s">
        <v>26951</v>
      </c>
      <c r="C9127" t="s">
        <v>22965</v>
      </c>
      <c r="D9127" t="s">
        <v>22964</v>
      </c>
      <c r="E9127" s="2" t="s">
        <v>356</v>
      </c>
      <c r="F9127" t="s">
        <v>22945</v>
      </c>
      <c r="G9127" t="str">
        <f>HYPERLINK("https://daily.hankooki.com/news/articleView.html?idxno=1231833")</f>
        <v>https://daily.hankooki.com/news/articleView.html?idxno=1231833</v>
      </c>
      <c r="H9127">
        <v>0.79600000000000004</v>
      </c>
    </row>
    <row r="9128" spans="1:8" x14ac:dyDescent="0.3">
      <c r="A9128" t="s">
        <v>22926</v>
      </c>
      <c r="B9128" t="s">
        <v>26951</v>
      </c>
      <c r="C9128" t="s">
        <v>22967</v>
      </c>
      <c r="D9128" t="s">
        <v>22966</v>
      </c>
      <c r="E9128" s="2" t="s">
        <v>356</v>
      </c>
      <c r="F9128" t="s">
        <v>22945</v>
      </c>
      <c r="G9128" t="str">
        <f>HYPERLINK("https://www.m-economynews.com/news/article.html?no=55994")</f>
        <v>https://www.m-economynews.com/news/article.html?no=55994</v>
      </c>
      <c r="H9128">
        <v>0.624</v>
      </c>
    </row>
    <row r="9129" spans="1:8" x14ac:dyDescent="0.3">
      <c r="A9129" t="s">
        <v>22926</v>
      </c>
      <c r="B9129" t="s">
        <v>26951</v>
      </c>
      <c r="C9129" t="s">
        <v>22969</v>
      </c>
      <c r="D9129" t="s">
        <v>22968</v>
      </c>
      <c r="E9129" s="2" t="s">
        <v>356</v>
      </c>
      <c r="F9129" t="s">
        <v>22945</v>
      </c>
      <c r="G9129" t="str">
        <f>HYPERLINK("https://daily.hankooki.com/news/articleView.html?idxno=1231926")</f>
        <v>https://daily.hankooki.com/news/articleView.html?idxno=1231926</v>
      </c>
      <c r="H9129">
        <v>0.80800000000000005</v>
      </c>
    </row>
    <row r="9130" spans="1:8" x14ac:dyDescent="0.3">
      <c r="A9130" t="s">
        <v>22926</v>
      </c>
      <c r="B9130" t="s">
        <v>26951</v>
      </c>
      <c r="C9130" t="s">
        <v>22972</v>
      </c>
      <c r="D9130" t="s">
        <v>22971</v>
      </c>
      <c r="E9130" s="2" t="s">
        <v>394</v>
      </c>
      <c r="F9130" t="s">
        <v>22970</v>
      </c>
      <c r="G9130" t="str">
        <f>HYPERLINK("http://www.smedaily.co.kr/news/articleView.html?idxno=329333")</f>
        <v>http://www.smedaily.co.kr/news/articleView.html?idxno=329333</v>
      </c>
      <c r="H9130">
        <v>0.89300000000000002</v>
      </c>
    </row>
    <row r="9131" spans="1:8" x14ac:dyDescent="0.3">
      <c r="A9131" t="s">
        <v>22926</v>
      </c>
      <c r="B9131" t="s">
        <v>26951</v>
      </c>
      <c r="C9131" t="s">
        <v>22974</v>
      </c>
      <c r="D9131" t="s">
        <v>22973</v>
      </c>
      <c r="E9131" s="2" t="s">
        <v>418</v>
      </c>
      <c r="F9131" t="s">
        <v>22945</v>
      </c>
      <c r="G9131" t="str">
        <f>HYPERLINK("https://www.newsgn.com/news/articleView.html?idxno=488415")</f>
        <v>https://www.newsgn.com/news/articleView.html?idxno=488415</v>
      </c>
      <c r="H9131">
        <v>0.71299999999999997</v>
      </c>
    </row>
    <row r="9132" spans="1:8" x14ac:dyDescent="0.3">
      <c r="A9132" t="s">
        <v>22926</v>
      </c>
      <c r="B9132" t="s">
        <v>26951</v>
      </c>
      <c r="C9132" t="s">
        <v>22976</v>
      </c>
      <c r="D9132" t="s">
        <v>22975</v>
      </c>
      <c r="E9132" s="2" t="s">
        <v>418</v>
      </c>
      <c r="F9132" t="s">
        <v>22945</v>
      </c>
      <c r="G9132" t="str">
        <f>HYPERLINK("https://daily.hankooki.com/news/articleView.html?idxno=1230013")</f>
        <v>https://daily.hankooki.com/news/articleView.html?idxno=1230013</v>
      </c>
      <c r="H9132">
        <v>0.69899999999999995</v>
      </c>
    </row>
    <row r="9133" spans="1:8" x14ac:dyDescent="0.3">
      <c r="A9133" t="s">
        <v>22926</v>
      </c>
      <c r="B9133" t="s">
        <v>26951</v>
      </c>
      <c r="C9133" t="s">
        <v>22978</v>
      </c>
      <c r="D9133" t="s">
        <v>22977</v>
      </c>
      <c r="E9133" s="2" t="s">
        <v>418</v>
      </c>
      <c r="F9133" t="s">
        <v>22945</v>
      </c>
      <c r="G9133" t="str">
        <f>HYPERLINK("https://www.viva100.com/article/20250618500263")</f>
        <v>https://www.viva100.com/article/20250618500263</v>
      </c>
      <c r="H9133">
        <v>0.61699999999999999</v>
      </c>
    </row>
    <row r="9134" spans="1:8" x14ac:dyDescent="0.3">
      <c r="A9134" t="s">
        <v>22926</v>
      </c>
      <c r="B9134" t="s">
        <v>26951</v>
      </c>
      <c r="C9134" t="s">
        <v>22980</v>
      </c>
      <c r="D9134" t="s">
        <v>22979</v>
      </c>
      <c r="E9134" s="2" t="s">
        <v>418</v>
      </c>
      <c r="F9134" t="s">
        <v>22945</v>
      </c>
      <c r="G9134" t="str">
        <f>HYPERLINK("https://www.naeil.com/news/read/551472?ref=naver")</f>
        <v>https://www.naeil.com/news/read/551472?ref=naver</v>
      </c>
      <c r="H9134">
        <v>0.72499999999999998</v>
      </c>
    </row>
    <row r="9135" spans="1:8" x14ac:dyDescent="0.3">
      <c r="A9135" t="s">
        <v>22926</v>
      </c>
      <c r="B9135" t="s">
        <v>26951</v>
      </c>
      <c r="C9135" t="s">
        <v>22982</v>
      </c>
      <c r="D9135" t="s">
        <v>22981</v>
      </c>
      <c r="E9135" s="2" t="s">
        <v>418</v>
      </c>
      <c r="F9135" t="s">
        <v>22945</v>
      </c>
      <c r="G9135" t="str">
        <f>HYPERLINK("https://www.newspim.com/news/view/20250617000894")</f>
        <v>https://www.newspim.com/news/view/20250617000894</v>
      </c>
      <c r="H9135">
        <v>0.61399999999999999</v>
      </c>
    </row>
    <row r="9136" spans="1:8" x14ac:dyDescent="0.3">
      <c r="A9136" t="s">
        <v>22926</v>
      </c>
      <c r="B9136" t="s">
        <v>26951</v>
      </c>
      <c r="C9136" t="s">
        <v>22984</v>
      </c>
      <c r="D9136" t="s">
        <v>22983</v>
      </c>
      <c r="E9136" s="2" t="s">
        <v>418</v>
      </c>
      <c r="F9136" t="s">
        <v>22945</v>
      </c>
      <c r="G9136" t="str">
        <f>HYPERLINK("http://www.kbmaeil.com/news/articleView.html?idxno=968860")</f>
        <v>http://www.kbmaeil.com/news/articleView.html?idxno=968860</v>
      </c>
      <c r="H9136">
        <v>0.48</v>
      </c>
    </row>
    <row r="9137" spans="1:8" x14ac:dyDescent="0.3">
      <c r="A9137" t="s">
        <v>22926</v>
      </c>
      <c r="B9137" t="s">
        <v>26951</v>
      </c>
      <c r="C9137" t="s">
        <v>22986</v>
      </c>
      <c r="D9137" t="s">
        <v>22985</v>
      </c>
      <c r="E9137" s="2" t="s">
        <v>418</v>
      </c>
      <c r="F9137" t="s">
        <v>22945</v>
      </c>
      <c r="G9137" t="str">
        <f>HYPERLINK("https://n.news.naver.com/mnews/article/014/0005364113?sid=102")</f>
        <v>https://n.news.naver.com/mnews/article/014/0005364113?sid=102</v>
      </c>
      <c r="H9137">
        <v>0.20599999999999999</v>
      </c>
    </row>
    <row r="9138" spans="1:8" x14ac:dyDescent="0.3">
      <c r="A9138" t="s">
        <v>22926</v>
      </c>
      <c r="B9138" t="s">
        <v>26951</v>
      </c>
      <c r="C9138" t="s">
        <v>22988</v>
      </c>
      <c r="D9138" t="s">
        <v>22987</v>
      </c>
      <c r="E9138" s="2" t="s">
        <v>452</v>
      </c>
      <c r="F9138" t="s">
        <v>588</v>
      </c>
      <c r="G9138" t="str">
        <f>HYPERLINK("https://n.news.naver.com/mnews/article/079/0004040084?sid=102")</f>
        <v>https://n.news.naver.com/mnews/article/079/0004040084?sid=102</v>
      </c>
      <c r="H9138">
        <v>0.309</v>
      </c>
    </row>
    <row r="9139" spans="1:8" x14ac:dyDescent="0.3">
      <c r="A9139" t="s">
        <v>22926</v>
      </c>
      <c r="B9139" t="s">
        <v>26951</v>
      </c>
      <c r="C9139" t="s">
        <v>22990</v>
      </c>
      <c r="D9139" t="s">
        <v>22989</v>
      </c>
      <c r="E9139" s="2" t="s">
        <v>452</v>
      </c>
      <c r="F9139" t="s">
        <v>22945</v>
      </c>
      <c r="G9139" t="str">
        <f>HYPERLINK("https://n.news.naver.com/mnews/article/032/0002611777?sid=102")</f>
        <v>https://n.news.naver.com/mnews/article/032/0002611777?sid=102</v>
      </c>
      <c r="H9139">
        <v>0.159</v>
      </c>
    </row>
    <row r="9140" spans="1:8" x14ac:dyDescent="0.3">
      <c r="A9140" t="s">
        <v>22926</v>
      </c>
      <c r="B9140" t="s">
        <v>26951</v>
      </c>
      <c r="C9140" t="s">
        <v>22992</v>
      </c>
      <c r="D9140" t="s">
        <v>22991</v>
      </c>
      <c r="E9140" s="2" t="s">
        <v>452</v>
      </c>
      <c r="F9140" t="s">
        <v>22945</v>
      </c>
      <c r="G9140" t="str">
        <f>HYPERLINK("http://www.newsfreezone.co.kr/news/articleView.html?idxno=386818")</f>
        <v>http://www.newsfreezone.co.kr/news/articleView.html?idxno=386818</v>
      </c>
      <c r="H9140">
        <v>0.44</v>
      </c>
    </row>
    <row r="9141" spans="1:8" x14ac:dyDescent="0.3">
      <c r="A9141" t="s">
        <v>22926</v>
      </c>
      <c r="B9141" t="s">
        <v>26951</v>
      </c>
      <c r="C9141" t="s">
        <v>22995</v>
      </c>
      <c r="D9141" t="s">
        <v>22994</v>
      </c>
      <c r="E9141" s="2" t="s">
        <v>481</v>
      </c>
      <c r="F9141" t="s">
        <v>22993</v>
      </c>
      <c r="G9141" t="str">
        <f>HYPERLINK("https://www.theguru.co.kr/news/article.html?no=44810")</f>
        <v>https://www.theguru.co.kr/news/article.html?no=44810</v>
      </c>
      <c r="H9141">
        <v>0.27800000000000002</v>
      </c>
    </row>
    <row r="9142" spans="1:8" x14ac:dyDescent="0.3">
      <c r="A9142" t="s">
        <v>22926</v>
      </c>
      <c r="B9142" t="s">
        <v>26951</v>
      </c>
      <c r="C9142" t="s">
        <v>22998</v>
      </c>
      <c r="D9142" t="s">
        <v>22997</v>
      </c>
      <c r="E9142" s="2" t="s">
        <v>502</v>
      </c>
      <c r="F9142" t="s">
        <v>22996</v>
      </c>
      <c r="G9142" t="str">
        <f>HYPERLINK("http://www.etoday.co.kr/news/section/newsview.php?TM=news&amp;SM=0299&amp;idxno=385332")</f>
        <v>http://www.etoday.co.kr/news/section/newsview.php?TM=news&amp;SM=0299&amp;idxno=385332</v>
      </c>
      <c r="H9142">
        <v>0.20200000000000001</v>
      </c>
    </row>
    <row r="9143" spans="1:8" x14ac:dyDescent="0.3">
      <c r="A9143" t="s">
        <v>22926</v>
      </c>
      <c r="B9143" t="s">
        <v>26951</v>
      </c>
      <c r="C9143" t="s">
        <v>23000</v>
      </c>
      <c r="D9143" t="s">
        <v>22999</v>
      </c>
      <c r="E9143" s="2" t="s">
        <v>609</v>
      </c>
      <c r="F9143" t="s">
        <v>212</v>
      </c>
      <c r="G9143" t="str">
        <f>HYPERLINK("https://n.news.naver.com/mnews/article/011/0004218748?sid=104")</f>
        <v>https://n.news.naver.com/mnews/article/011/0004218748?sid=104</v>
      </c>
      <c r="H9143">
        <v>0.186</v>
      </c>
    </row>
    <row r="9144" spans="1:8" x14ac:dyDescent="0.3">
      <c r="A9144" t="s">
        <v>22926</v>
      </c>
      <c r="B9144" t="s">
        <v>26951</v>
      </c>
      <c r="C9144" t="s">
        <v>23002</v>
      </c>
      <c r="D9144" t="s">
        <v>23001</v>
      </c>
      <c r="E9144" s="2" t="s">
        <v>692</v>
      </c>
      <c r="F9144" t="s">
        <v>805</v>
      </c>
      <c r="G9144" t="str">
        <f>HYPERLINK("https://www.joongboo.com/news/articleView.html?idxno=363696898")</f>
        <v>https://www.joongboo.com/news/articleView.html?idxno=363696898</v>
      </c>
      <c r="H9144">
        <v>0.25900000000000001</v>
      </c>
    </row>
    <row r="9145" spans="1:8" x14ac:dyDescent="0.3">
      <c r="A9145" t="s">
        <v>22926</v>
      </c>
      <c r="B9145" t="s">
        <v>26951</v>
      </c>
      <c r="C9145" t="s">
        <v>23005</v>
      </c>
      <c r="D9145" t="s">
        <v>23004</v>
      </c>
      <c r="E9145" s="2" t="s">
        <v>711</v>
      </c>
      <c r="F9145" t="s">
        <v>23003</v>
      </c>
      <c r="G9145" t="str">
        <f>HYPERLINK("https://www.straightnews.co.kr/news/articleView.html?idxno=266787")</f>
        <v>https://www.straightnews.co.kr/news/articleView.html?idxno=266787</v>
      </c>
      <c r="H9145">
        <v>0.65400000000000003</v>
      </c>
    </row>
    <row r="9146" spans="1:8" x14ac:dyDescent="0.3">
      <c r="A9146" t="s">
        <v>22926</v>
      </c>
      <c r="B9146" t="s">
        <v>26951</v>
      </c>
      <c r="C9146" t="s">
        <v>23008</v>
      </c>
      <c r="D9146" t="s">
        <v>23007</v>
      </c>
      <c r="E9146" s="2" t="s">
        <v>742</v>
      </c>
      <c r="F9146" t="s">
        <v>23006</v>
      </c>
      <c r="G9146" t="str">
        <f>HYPERLINK("https://www.dongponews.net/news/articleView.html?idxno=52872")</f>
        <v>https://www.dongponews.net/news/articleView.html?idxno=52872</v>
      </c>
      <c r="H9146">
        <v>0.60799999999999998</v>
      </c>
    </row>
    <row r="9147" spans="1:8" x14ac:dyDescent="0.3">
      <c r="A9147" t="s">
        <v>23009</v>
      </c>
      <c r="B9147" t="s">
        <v>26951</v>
      </c>
      <c r="C9147" t="s">
        <v>23011</v>
      </c>
      <c r="D9147" t="s">
        <v>23010</v>
      </c>
      <c r="E9147" s="2" t="s">
        <v>7</v>
      </c>
      <c r="F9147" t="s">
        <v>4806</v>
      </c>
      <c r="G9147" t="str">
        <f>HYPERLINK("https://n.news.naver.com/mnews/article/214/0001216740?sid=100")</f>
        <v>https://n.news.naver.com/mnews/article/214/0001216740?sid=100</v>
      </c>
      <c r="H9147">
        <v>0.40200000000000002</v>
      </c>
    </row>
    <row r="9148" spans="1:8" x14ac:dyDescent="0.3">
      <c r="A9148" t="s">
        <v>23009</v>
      </c>
      <c r="B9148" t="s">
        <v>26951</v>
      </c>
      <c r="C9148" t="s">
        <v>23013</v>
      </c>
      <c r="D9148" t="s">
        <v>23012</v>
      </c>
      <c r="E9148" s="2" t="s">
        <v>7</v>
      </c>
      <c r="F9148" t="s">
        <v>5773</v>
      </c>
      <c r="G9148" t="str">
        <f>HYPERLINK("https://www.ntoday.co.kr/news/articleView.html?idxno=107260")</f>
        <v>https://www.ntoday.co.kr/news/articleView.html?idxno=107260</v>
      </c>
      <c r="H9148">
        <v>0.39600000000000002</v>
      </c>
    </row>
    <row r="9149" spans="1:8" x14ac:dyDescent="0.3">
      <c r="A9149" t="s">
        <v>23009</v>
      </c>
      <c r="B9149" t="s">
        <v>26951</v>
      </c>
      <c r="C9149" t="s">
        <v>23015</v>
      </c>
      <c r="D9149" t="s">
        <v>23014</v>
      </c>
      <c r="E9149" s="2" t="s">
        <v>7</v>
      </c>
      <c r="F9149" t="s">
        <v>5271</v>
      </c>
      <c r="G9149" t="str">
        <f>HYPERLINK("https://n.news.naver.com/mnews/article/002/0002165231?sid=100")</f>
        <v>https://n.news.naver.com/mnews/article/002/0002165231?sid=100</v>
      </c>
      <c r="H9149">
        <v>6.6000000000000003E-2</v>
      </c>
    </row>
    <row r="9150" spans="1:8" x14ac:dyDescent="0.3">
      <c r="A9150" t="s">
        <v>23009</v>
      </c>
      <c r="B9150" t="s">
        <v>26951</v>
      </c>
      <c r="C9150" t="s">
        <v>23018</v>
      </c>
      <c r="D9150" t="s">
        <v>23017</v>
      </c>
      <c r="E9150" s="2" t="s">
        <v>7</v>
      </c>
      <c r="F9150" t="s">
        <v>23016</v>
      </c>
      <c r="G9150" t="str">
        <f>HYPERLINK("http://www.sisafocus.co.kr/news/articleView.html?idxno=341992")</f>
        <v>http://www.sisafocus.co.kr/news/articleView.html?idxno=341992</v>
      </c>
      <c r="H9150">
        <v>0.27600000000000002</v>
      </c>
    </row>
    <row r="9151" spans="1:8" x14ac:dyDescent="0.3">
      <c r="A9151" t="s">
        <v>23009</v>
      </c>
      <c r="B9151" t="s">
        <v>26951</v>
      </c>
      <c r="C9151" t="s">
        <v>23020</v>
      </c>
      <c r="D9151" t="s">
        <v>23019</v>
      </c>
      <c r="E9151" s="2" t="s">
        <v>7</v>
      </c>
      <c r="F9151" t="s">
        <v>3745</v>
      </c>
      <c r="G9151" t="str">
        <f>HYPERLINK("https://www.jeonmae.co.kr/news/articleView.html?idxno=1149941")</f>
        <v>https://www.jeonmae.co.kr/news/articleView.html?idxno=1149941</v>
      </c>
      <c r="H9151">
        <v>0.26500000000000001</v>
      </c>
    </row>
    <row r="9152" spans="1:8" x14ac:dyDescent="0.3">
      <c r="A9152" t="s">
        <v>23009</v>
      </c>
      <c r="B9152" t="s">
        <v>26951</v>
      </c>
      <c r="C9152" t="s">
        <v>23022</v>
      </c>
      <c r="D9152" t="s">
        <v>23021</v>
      </c>
      <c r="E9152" s="2" t="s">
        <v>7</v>
      </c>
      <c r="F9152" t="s">
        <v>3745</v>
      </c>
      <c r="G9152" t="str">
        <f>HYPERLINK("https://www.jeonmae.co.kr/news/articleView.html?idxno=1161271")</f>
        <v>https://www.jeonmae.co.kr/news/articleView.html?idxno=1161271</v>
      </c>
      <c r="H9152">
        <v>0.99199999999999999</v>
      </c>
    </row>
    <row r="9153" spans="1:8" x14ac:dyDescent="0.3">
      <c r="A9153" t="s">
        <v>23009</v>
      </c>
      <c r="B9153" t="s">
        <v>26951</v>
      </c>
      <c r="C9153" t="s">
        <v>23024</v>
      </c>
      <c r="D9153" t="s">
        <v>23023</v>
      </c>
      <c r="E9153" s="2" t="s">
        <v>7</v>
      </c>
      <c r="F9153" t="s">
        <v>3745</v>
      </c>
      <c r="G9153" t="str">
        <f>HYPERLINK("https://weekly.cnbnews.com/news/article.html?no=181638")</f>
        <v>https://weekly.cnbnews.com/news/article.html?no=181638</v>
      </c>
      <c r="H9153">
        <v>0.95499999999999996</v>
      </c>
    </row>
    <row r="9154" spans="1:8" x14ac:dyDescent="0.3">
      <c r="A9154" t="s">
        <v>23009</v>
      </c>
      <c r="B9154" t="s">
        <v>26951</v>
      </c>
      <c r="C9154" t="s">
        <v>23026</v>
      </c>
      <c r="D9154" t="s">
        <v>23025</v>
      </c>
      <c r="E9154" s="2" t="s">
        <v>7</v>
      </c>
      <c r="F9154" t="s">
        <v>3745</v>
      </c>
      <c r="G9154" t="str">
        <f>HYPERLINK("https://www.jeonmae.co.kr/news/articleView.html?idxno=1161221")</f>
        <v>https://www.jeonmae.co.kr/news/articleView.html?idxno=1161221</v>
      </c>
      <c r="H9154">
        <v>0.99199999999999999</v>
      </c>
    </row>
    <row r="9155" spans="1:8" x14ac:dyDescent="0.3">
      <c r="A9155" t="s">
        <v>23009</v>
      </c>
      <c r="B9155" t="s">
        <v>26951</v>
      </c>
      <c r="C9155" t="s">
        <v>23028</v>
      </c>
      <c r="D9155" t="s">
        <v>23027</v>
      </c>
      <c r="E9155" s="2" t="s">
        <v>7</v>
      </c>
      <c r="F9155" t="s">
        <v>3745</v>
      </c>
      <c r="G9155" t="str">
        <f>HYPERLINK("https://www.jeonmae.co.kr/news/articleView.html?idxno=1161213")</f>
        <v>https://www.jeonmae.co.kr/news/articleView.html?idxno=1161213</v>
      </c>
      <c r="H9155">
        <v>0.99299999999999999</v>
      </c>
    </row>
    <row r="9156" spans="1:8" x14ac:dyDescent="0.3">
      <c r="A9156" t="s">
        <v>23009</v>
      </c>
      <c r="B9156" t="s">
        <v>26951</v>
      </c>
      <c r="C9156" t="s">
        <v>23030</v>
      </c>
      <c r="D9156" t="s">
        <v>23029</v>
      </c>
      <c r="E9156" s="2" t="s">
        <v>7</v>
      </c>
      <c r="F9156" t="s">
        <v>3745</v>
      </c>
      <c r="G9156" t="str">
        <f>HYPERLINK("https://www.jeonmae.co.kr/news/articleView.html?idxno=1161208")</f>
        <v>https://www.jeonmae.co.kr/news/articleView.html?idxno=1161208</v>
      </c>
      <c r="H9156">
        <v>0.98599999999999999</v>
      </c>
    </row>
    <row r="9157" spans="1:8" x14ac:dyDescent="0.3">
      <c r="A9157" t="s">
        <v>23009</v>
      </c>
      <c r="B9157" t="s">
        <v>26951</v>
      </c>
      <c r="C9157" t="s">
        <v>23032</v>
      </c>
      <c r="D9157" t="s">
        <v>23031</v>
      </c>
      <c r="E9157" s="2" t="s">
        <v>7</v>
      </c>
      <c r="F9157" t="s">
        <v>3745</v>
      </c>
      <c r="G9157" t="str">
        <f>HYPERLINK("https://www.jeonmae.co.kr/news/articleView.html?idxno=1161194")</f>
        <v>https://www.jeonmae.co.kr/news/articleView.html?idxno=1161194</v>
      </c>
      <c r="H9157">
        <v>0.995</v>
      </c>
    </row>
    <row r="9158" spans="1:8" x14ac:dyDescent="0.3">
      <c r="A9158" t="s">
        <v>23009</v>
      </c>
      <c r="B9158" t="s">
        <v>26951</v>
      </c>
      <c r="C9158" t="s">
        <v>23034</v>
      </c>
      <c r="D9158" t="s">
        <v>23033</v>
      </c>
      <c r="E9158" s="2" t="s">
        <v>7</v>
      </c>
      <c r="F9158" t="s">
        <v>3745</v>
      </c>
      <c r="G9158" t="str">
        <f>HYPERLINK("https://www.jeonmae.co.kr/news/articleView.html?idxno=1161187")</f>
        <v>https://www.jeonmae.co.kr/news/articleView.html?idxno=1161187</v>
      </c>
      <c r="H9158">
        <v>0.98699999999999999</v>
      </c>
    </row>
    <row r="9159" spans="1:8" x14ac:dyDescent="0.3">
      <c r="A9159" t="s">
        <v>23009</v>
      </c>
      <c r="B9159" t="s">
        <v>26951</v>
      </c>
      <c r="C9159" t="s">
        <v>23036</v>
      </c>
      <c r="D9159" t="s">
        <v>23035</v>
      </c>
      <c r="E9159" s="2" t="s">
        <v>7</v>
      </c>
      <c r="F9159" t="s">
        <v>3745</v>
      </c>
      <c r="G9159" t="str">
        <f>HYPERLINK("https://www.jeonmae.co.kr/news/articleView.html?idxno=1149941")</f>
        <v>https://www.jeonmae.co.kr/news/articleView.html?idxno=1149941</v>
      </c>
      <c r="H9159">
        <v>0.29399999999999998</v>
      </c>
    </row>
    <row r="9160" spans="1:8" x14ac:dyDescent="0.3">
      <c r="A9160" t="s">
        <v>23009</v>
      </c>
      <c r="B9160" t="s">
        <v>26951</v>
      </c>
      <c r="C9160" t="s">
        <v>23038</v>
      </c>
      <c r="D9160" t="s">
        <v>23037</v>
      </c>
      <c r="E9160" s="2" t="s">
        <v>7</v>
      </c>
      <c r="F9160" t="s">
        <v>857</v>
      </c>
      <c r="G9160" t="str">
        <f>HYPERLINK("http://www.ilyoseoul.co.kr/news/articleView.html?idxno=493295")</f>
        <v>http://www.ilyoseoul.co.kr/news/articleView.html?idxno=493295</v>
      </c>
      <c r="H9160">
        <v>0.17599999999999999</v>
      </c>
    </row>
    <row r="9161" spans="1:8" x14ac:dyDescent="0.3">
      <c r="A9161" t="s">
        <v>23009</v>
      </c>
      <c r="B9161" t="s">
        <v>26951</v>
      </c>
      <c r="C9161" t="s">
        <v>23040</v>
      </c>
      <c r="D9161" t="s">
        <v>23039</v>
      </c>
      <c r="E9161" s="2" t="s">
        <v>7</v>
      </c>
      <c r="F9161" t="s">
        <v>3745</v>
      </c>
      <c r="G9161" t="str">
        <f>HYPERLINK("https://www.siminilbo.co.kr/news/newsview.php?ncode=1160286564002482")</f>
        <v>https://www.siminilbo.co.kr/news/newsview.php?ncode=1160286564002482</v>
      </c>
      <c r="H9161">
        <v>0.77</v>
      </c>
    </row>
    <row r="9162" spans="1:8" x14ac:dyDescent="0.3">
      <c r="A9162" t="s">
        <v>23009</v>
      </c>
      <c r="B9162" t="s">
        <v>26951</v>
      </c>
      <c r="C9162" t="s">
        <v>23042</v>
      </c>
      <c r="D9162" t="s">
        <v>23041</v>
      </c>
      <c r="E9162" s="2" t="s">
        <v>7</v>
      </c>
      <c r="F9162" t="s">
        <v>3745</v>
      </c>
      <c r="G9162" t="str">
        <f>HYPERLINK("https://www.geconomy.co.kr/news/article.html?no=302183")</f>
        <v>https://www.geconomy.co.kr/news/article.html?no=302183</v>
      </c>
      <c r="H9162">
        <v>0.73199999999999998</v>
      </c>
    </row>
    <row r="9163" spans="1:8" x14ac:dyDescent="0.3">
      <c r="A9163" t="s">
        <v>23009</v>
      </c>
      <c r="B9163" t="s">
        <v>26951</v>
      </c>
      <c r="C9163" t="s">
        <v>23044</v>
      </c>
      <c r="D9163" t="s">
        <v>23043</v>
      </c>
      <c r="E9163" s="2" t="s">
        <v>7</v>
      </c>
      <c r="F9163" t="s">
        <v>776</v>
      </c>
      <c r="G9163" t="str">
        <f>HYPERLINK("https://www.kbmaeil.com/news/articleView.html?idxno=1016838")</f>
        <v>https://www.kbmaeil.com/news/articleView.html?idxno=1016838</v>
      </c>
      <c r="H9163">
        <v>0.57899999999999996</v>
      </c>
    </row>
    <row r="9164" spans="1:8" x14ac:dyDescent="0.3">
      <c r="A9164" t="s">
        <v>23009</v>
      </c>
      <c r="B9164" t="s">
        <v>26951</v>
      </c>
      <c r="C9164" t="s">
        <v>23046</v>
      </c>
      <c r="D9164" t="s">
        <v>23045</v>
      </c>
      <c r="E9164" s="2" t="s">
        <v>7</v>
      </c>
      <c r="F9164" t="s">
        <v>3745</v>
      </c>
      <c r="G9164" t="str">
        <f>HYPERLINK("https://www.nspna.com/news/?mode=view&amp;newsid=763083")</f>
        <v>https://www.nspna.com/news/?mode=view&amp;newsid=763083</v>
      </c>
      <c r="H9164">
        <v>0.65700000000000003</v>
      </c>
    </row>
    <row r="9165" spans="1:8" x14ac:dyDescent="0.3">
      <c r="A9165" t="s">
        <v>23009</v>
      </c>
      <c r="B9165" t="s">
        <v>26951</v>
      </c>
      <c r="C9165" t="s">
        <v>23048</v>
      </c>
      <c r="D9165" t="s">
        <v>23047</v>
      </c>
      <c r="E9165" s="2" t="s">
        <v>7</v>
      </c>
      <c r="F9165" t="s">
        <v>3745</v>
      </c>
      <c r="G9165" t="str">
        <f>HYPERLINK("https://www.jeonmae.co.kr/news/articleView.html?idxno=1149941")</f>
        <v>https://www.jeonmae.co.kr/news/articleView.html?idxno=1149941</v>
      </c>
      <c r="H9165">
        <v>0.26500000000000001</v>
      </c>
    </row>
    <row r="9166" spans="1:8" x14ac:dyDescent="0.3">
      <c r="A9166" t="s">
        <v>23009</v>
      </c>
      <c r="B9166" t="s">
        <v>26951</v>
      </c>
      <c r="C9166" t="s">
        <v>23050</v>
      </c>
      <c r="D9166" t="s">
        <v>23049</v>
      </c>
      <c r="E9166" s="2" t="s">
        <v>7</v>
      </c>
      <c r="F9166" t="s">
        <v>3745</v>
      </c>
      <c r="G9166" t="str">
        <f>HYPERLINK("http://www.ttlnews.com/news/articleView.html?idxno=3006839")</f>
        <v>http://www.ttlnews.com/news/articleView.html?idxno=3006839</v>
      </c>
      <c r="H9166">
        <v>0.875</v>
      </c>
    </row>
    <row r="9167" spans="1:8" x14ac:dyDescent="0.3">
      <c r="A9167" t="s">
        <v>23009</v>
      </c>
      <c r="B9167" t="s">
        <v>26951</v>
      </c>
      <c r="C9167" t="s">
        <v>23052</v>
      </c>
      <c r="D9167" t="s">
        <v>23051</v>
      </c>
      <c r="E9167" s="2" t="s">
        <v>7</v>
      </c>
      <c r="F9167" t="s">
        <v>677</v>
      </c>
      <c r="G9167" t="str">
        <f>HYPERLINK("https://n.news.naver.com/mnews/article/214/0001432295?sid=100")</f>
        <v>https://n.news.naver.com/mnews/article/214/0001432295?sid=100</v>
      </c>
      <c r="H9167">
        <v>0.48</v>
      </c>
    </row>
    <row r="9168" spans="1:8" x14ac:dyDescent="0.3">
      <c r="A9168" t="s">
        <v>23009</v>
      </c>
      <c r="B9168" t="s">
        <v>26951</v>
      </c>
      <c r="C9168" t="s">
        <v>23056</v>
      </c>
      <c r="D9168" t="s">
        <v>23055</v>
      </c>
      <c r="E9168" s="2" t="s">
        <v>66</v>
      </c>
      <c r="F9168" t="s">
        <v>23054</v>
      </c>
      <c r="G9168" t="str">
        <f>HYPERLINK("https://www.catholictimes.org/article/20250623500146")</f>
        <v>https://www.catholictimes.org/article/20250623500146</v>
      </c>
      <c r="H9168">
        <v>0.245</v>
      </c>
    </row>
    <row r="9169" spans="1:8" x14ac:dyDescent="0.3">
      <c r="A9169" t="s">
        <v>23009</v>
      </c>
      <c r="B9169" t="s">
        <v>26951</v>
      </c>
      <c r="C9169" t="s">
        <v>23059</v>
      </c>
      <c r="D9169" t="s">
        <v>23058</v>
      </c>
      <c r="E9169" s="2" t="s">
        <v>74</v>
      </c>
      <c r="F9169" t="s">
        <v>23057</v>
      </c>
      <c r="G9169" t="str">
        <f>HYPERLINK("https://www.huffingtonpost.kr/news/articleView.html?idxno=205486")</f>
        <v>https://www.huffingtonpost.kr/news/articleView.html?idxno=205486</v>
      </c>
      <c r="H9169">
        <v>0.54300000000000004</v>
      </c>
    </row>
    <row r="9170" spans="1:8" x14ac:dyDescent="0.3">
      <c r="A9170" t="s">
        <v>23009</v>
      </c>
      <c r="B9170" t="s">
        <v>26951</v>
      </c>
      <c r="C9170" t="s">
        <v>23061</v>
      </c>
      <c r="D9170" t="s">
        <v>23060</v>
      </c>
      <c r="E9170" s="2" t="s">
        <v>74</v>
      </c>
      <c r="F9170" t="s">
        <v>2046</v>
      </c>
      <c r="G9170" t="str">
        <f>HYPERLINK("https://n.news.naver.com/mnews/article/088/0000491624?sid=102")</f>
        <v>https://n.news.naver.com/mnews/article/088/0000491624?sid=102</v>
      </c>
      <c r="H9170">
        <v>0.26</v>
      </c>
    </row>
    <row r="9171" spans="1:8" x14ac:dyDescent="0.3">
      <c r="A9171" t="s">
        <v>23009</v>
      </c>
      <c r="B9171" t="s">
        <v>26951</v>
      </c>
      <c r="C9171" t="s">
        <v>23063</v>
      </c>
      <c r="D9171" t="s">
        <v>23062</v>
      </c>
      <c r="E9171" s="2" t="s">
        <v>105</v>
      </c>
      <c r="F9171" t="s">
        <v>5776</v>
      </c>
      <c r="G9171" t="str">
        <f>HYPERLINK("http://www.economytalk.kr/news/articleView.html?idxno=409140")</f>
        <v>http://www.economytalk.kr/news/articleView.html?idxno=409140</v>
      </c>
      <c r="H9171">
        <v>0.47</v>
      </c>
    </row>
    <row r="9172" spans="1:8" x14ac:dyDescent="0.3">
      <c r="A9172" t="s">
        <v>23009</v>
      </c>
      <c r="B9172" t="s">
        <v>26951</v>
      </c>
      <c r="C9172" t="s">
        <v>23065</v>
      </c>
      <c r="D9172" t="s">
        <v>23064</v>
      </c>
      <c r="E9172" s="2" t="s">
        <v>105</v>
      </c>
      <c r="F9172" t="s">
        <v>3745</v>
      </c>
      <c r="G9172" t="str">
        <f>HYPERLINK("https://www.siminilbo.co.kr/news/newsview.php?ncode=1160285604672702")</f>
        <v>https://www.siminilbo.co.kr/news/newsview.php?ncode=1160285604672702</v>
      </c>
      <c r="H9172">
        <v>0.81699999999999995</v>
      </c>
    </row>
    <row r="9173" spans="1:8" x14ac:dyDescent="0.3">
      <c r="A9173" t="s">
        <v>23009</v>
      </c>
      <c r="B9173" t="s">
        <v>26951</v>
      </c>
      <c r="C9173" t="s">
        <v>23067</v>
      </c>
      <c r="D9173" t="s">
        <v>23066</v>
      </c>
      <c r="E9173" s="2" t="s">
        <v>105</v>
      </c>
      <c r="F9173" t="s">
        <v>3745</v>
      </c>
      <c r="G9173" t="str">
        <f>HYPERLINK("https://www.jeonmae.co.kr/news/articleView.html?idxno=1149941")</f>
        <v>https://www.jeonmae.co.kr/news/articleView.html?idxno=1149941</v>
      </c>
      <c r="H9173">
        <v>0.248</v>
      </c>
    </row>
    <row r="9174" spans="1:8" x14ac:dyDescent="0.3">
      <c r="A9174" t="s">
        <v>23009</v>
      </c>
      <c r="B9174" t="s">
        <v>26951</v>
      </c>
      <c r="C9174" t="s">
        <v>23069</v>
      </c>
      <c r="D9174" t="s">
        <v>23068</v>
      </c>
      <c r="E9174" s="2" t="s">
        <v>105</v>
      </c>
      <c r="F9174" t="s">
        <v>3745</v>
      </c>
      <c r="G9174" t="str">
        <f>HYPERLINK("https://www.jeonmae.co.kr/news/articleView.html?idxno=1160717")</f>
        <v>https://www.jeonmae.co.kr/news/articleView.html?idxno=1160717</v>
      </c>
      <c r="H9174">
        <v>0.98499999999999999</v>
      </c>
    </row>
    <row r="9175" spans="1:8" x14ac:dyDescent="0.3">
      <c r="A9175" t="s">
        <v>23009</v>
      </c>
      <c r="B9175" t="s">
        <v>26951</v>
      </c>
      <c r="C9175" t="s">
        <v>23071</v>
      </c>
      <c r="D9175" t="s">
        <v>23070</v>
      </c>
      <c r="E9175" s="2" t="s">
        <v>105</v>
      </c>
      <c r="F9175" t="s">
        <v>3745</v>
      </c>
      <c r="G9175" t="str">
        <f>HYPERLINK("https://www.jeonmae.co.kr/news/articleView.html?idxno=1160702")</f>
        <v>https://www.jeonmae.co.kr/news/articleView.html?idxno=1160702</v>
      </c>
      <c r="H9175">
        <v>0.97699999999999998</v>
      </c>
    </row>
    <row r="9176" spans="1:8" x14ac:dyDescent="0.3">
      <c r="A9176" t="s">
        <v>23009</v>
      </c>
      <c r="B9176" t="s">
        <v>26951</v>
      </c>
      <c r="C9176" t="s">
        <v>23073</v>
      </c>
      <c r="D9176" t="s">
        <v>23072</v>
      </c>
      <c r="E9176" s="2" t="s">
        <v>105</v>
      </c>
      <c r="F9176" t="s">
        <v>3745</v>
      </c>
      <c r="G9176" t="str">
        <f>HYPERLINK("https://weekly.cnbnews.com/news/article.html?no=181465")</f>
        <v>https://weekly.cnbnews.com/news/article.html?no=181465</v>
      </c>
      <c r="H9176">
        <v>0.90200000000000002</v>
      </c>
    </row>
    <row r="9177" spans="1:8" x14ac:dyDescent="0.3">
      <c r="A9177" t="s">
        <v>23009</v>
      </c>
      <c r="B9177" t="s">
        <v>26951</v>
      </c>
      <c r="C9177" t="s">
        <v>23075</v>
      </c>
      <c r="D9177" t="s">
        <v>23074</v>
      </c>
      <c r="E9177" s="2" t="s">
        <v>105</v>
      </c>
      <c r="F9177" t="s">
        <v>3745</v>
      </c>
      <c r="G9177" t="str">
        <f>HYPERLINK("https://www.jeonmae.co.kr/news/articleView.html?idxno=1160698")</f>
        <v>https://www.jeonmae.co.kr/news/articleView.html?idxno=1160698</v>
      </c>
      <c r="H9177">
        <v>0.99</v>
      </c>
    </row>
    <row r="9178" spans="1:8" x14ac:dyDescent="0.3">
      <c r="A9178" t="s">
        <v>23009</v>
      </c>
      <c r="B9178" t="s">
        <v>26951</v>
      </c>
      <c r="C9178" t="s">
        <v>23077</v>
      </c>
      <c r="D9178" t="s">
        <v>23076</v>
      </c>
      <c r="E9178" s="2" t="s">
        <v>105</v>
      </c>
      <c r="F9178" t="s">
        <v>3745</v>
      </c>
      <c r="G9178" t="str">
        <f>HYPERLINK("https://www.tournews21.com/news/articleView.html?idxno=107563")</f>
        <v>https://www.tournews21.com/news/articleView.html?idxno=107563</v>
      </c>
      <c r="H9178">
        <v>0.91800000000000004</v>
      </c>
    </row>
    <row r="9179" spans="1:8" x14ac:dyDescent="0.3">
      <c r="A9179" t="s">
        <v>23009</v>
      </c>
      <c r="B9179" t="s">
        <v>26951</v>
      </c>
      <c r="C9179" t="s">
        <v>23079</v>
      </c>
      <c r="D9179" t="s">
        <v>23078</v>
      </c>
      <c r="E9179" s="2" t="s">
        <v>105</v>
      </c>
      <c r="F9179" t="s">
        <v>3745</v>
      </c>
      <c r="G9179" t="str">
        <f>HYPERLINK("https://weekly.cnbnews.com/news/article.html?no=181346")</f>
        <v>https://weekly.cnbnews.com/news/article.html?no=181346</v>
      </c>
      <c r="H9179">
        <v>0.94599999999999995</v>
      </c>
    </row>
    <row r="9180" spans="1:8" x14ac:dyDescent="0.3">
      <c r="A9180" t="s">
        <v>23009</v>
      </c>
      <c r="B9180" t="s">
        <v>26951</v>
      </c>
      <c r="C9180" t="s">
        <v>23081</v>
      </c>
      <c r="D9180" t="s">
        <v>23080</v>
      </c>
      <c r="E9180" s="2" t="s">
        <v>105</v>
      </c>
      <c r="F9180" t="s">
        <v>2774</v>
      </c>
      <c r="G9180" t="str">
        <f>HYPERLINK("https://n.news.naver.com/mnews/article/014/0005370944?sid=102")</f>
        <v>https://n.news.naver.com/mnews/article/014/0005370944?sid=102</v>
      </c>
      <c r="H9180">
        <v>0.30599999999999999</v>
      </c>
    </row>
    <row r="9181" spans="1:8" x14ac:dyDescent="0.3">
      <c r="A9181" t="s">
        <v>23009</v>
      </c>
      <c r="B9181" t="s">
        <v>26951</v>
      </c>
      <c r="C9181" t="s">
        <v>23083</v>
      </c>
      <c r="D9181" t="s">
        <v>23082</v>
      </c>
      <c r="E9181" s="2" t="s">
        <v>105</v>
      </c>
      <c r="F9181" t="s">
        <v>2459</v>
      </c>
      <c r="G9181" t="str">
        <f>HYPERLINK("https://n.news.naver.com/mnews/article/002/0002287451?sid=100")</f>
        <v>https://n.news.naver.com/mnews/article/002/0002287451?sid=100</v>
      </c>
      <c r="H9181">
        <v>0.30499999999999999</v>
      </c>
    </row>
    <row r="9182" spans="1:8" x14ac:dyDescent="0.3">
      <c r="A9182" t="s">
        <v>23009</v>
      </c>
      <c r="B9182" t="s">
        <v>26951</v>
      </c>
      <c r="C9182" t="s">
        <v>23085</v>
      </c>
      <c r="D9182" t="s">
        <v>23084</v>
      </c>
      <c r="E9182" s="2" t="s">
        <v>105</v>
      </c>
      <c r="F9182" t="s">
        <v>3745</v>
      </c>
      <c r="G9182" t="str">
        <f>HYPERLINK("https://www.jeonmae.co.kr/news/articleView.html?idxno=1160667")</f>
        <v>https://www.jeonmae.co.kr/news/articleView.html?idxno=1160667</v>
      </c>
      <c r="H9182">
        <v>0.98899999999999999</v>
      </c>
    </row>
    <row r="9183" spans="1:8" x14ac:dyDescent="0.3">
      <c r="A9183" t="s">
        <v>23009</v>
      </c>
      <c r="B9183" t="s">
        <v>26951</v>
      </c>
      <c r="C9183" t="s">
        <v>23087</v>
      </c>
      <c r="D9183" t="s">
        <v>23086</v>
      </c>
      <c r="E9183" s="2" t="s">
        <v>105</v>
      </c>
      <c r="F9183" t="s">
        <v>3745</v>
      </c>
      <c r="G9183" t="str">
        <f>HYPERLINK("https://www.geconomy.co.kr/news/article.html?no=301572")</f>
        <v>https://www.geconomy.co.kr/news/article.html?no=301572</v>
      </c>
      <c r="H9183">
        <v>0.89400000000000002</v>
      </c>
    </row>
    <row r="9184" spans="1:8" x14ac:dyDescent="0.3">
      <c r="A9184" t="s">
        <v>23009</v>
      </c>
      <c r="B9184" t="s">
        <v>26951</v>
      </c>
      <c r="C9184" t="s">
        <v>23089</v>
      </c>
      <c r="D9184" t="s">
        <v>23088</v>
      </c>
      <c r="E9184" s="2" t="s">
        <v>105</v>
      </c>
      <c r="F9184" t="s">
        <v>3745</v>
      </c>
      <c r="G9184" t="str">
        <f>HYPERLINK("https://www.jeonmae.co.kr/news/articleView.html?idxno=1149941")</f>
        <v>https://www.jeonmae.co.kr/news/articleView.html?idxno=1149941</v>
      </c>
      <c r="H9184">
        <v>0.316</v>
      </c>
    </row>
    <row r="9185" spans="1:8" x14ac:dyDescent="0.3">
      <c r="A9185" t="s">
        <v>23009</v>
      </c>
      <c r="B9185" t="s">
        <v>26951</v>
      </c>
      <c r="C9185" t="s">
        <v>23092</v>
      </c>
      <c r="D9185" t="s">
        <v>23091</v>
      </c>
      <c r="E9185" s="2" t="s">
        <v>133</v>
      </c>
      <c r="F9185" t="s">
        <v>23090</v>
      </c>
      <c r="G9185" t="str">
        <f>HYPERLINK("http://jmagazine.joins.com/monthly/view/310284")</f>
        <v>http://jmagazine.joins.com/monthly/view/310284</v>
      </c>
      <c r="H9185">
        <v>0.54300000000000004</v>
      </c>
    </row>
    <row r="9186" spans="1:8" x14ac:dyDescent="0.3">
      <c r="A9186" t="s">
        <v>23009</v>
      </c>
      <c r="B9186" t="s">
        <v>26951</v>
      </c>
      <c r="C9186" t="s">
        <v>23094</v>
      </c>
      <c r="D9186" t="s">
        <v>23093</v>
      </c>
      <c r="E9186" s="2" t="s">
        <v>133</v>
      </c>
      <c r="F9186" t="s">
        <v>3745</v>
      </c>
      <c r="G9186" t="str">
        <f>HYPERLINK("https://www.jeonmae.co.kr/news/articleView.html?idxno=1160601")</f>
        <v>https://www.jeonmae.co.kr/news/articleView.html?idxno=1160601</v>
      </c>
      <c r="H9186">
        <v>0.996</v>
      </c>
    </row>
    <row r="9187" spans="1:8" x14ac:dyDescent="0.3">
      <c r="A9187" t="s">
        <v>23009</v>
      </c>
      <c r="B9187" t="s">
        <v>26951</v>
      </c>
      <c r="C9187" t="s">
        <v>23097</v>
      </c>
      <c r="D9187" t="s">
        <v>23096</v>
      </c>
      <c r="E9187" s="2" t="s">
        <v>133</v>
      </c>
      <c r="F9187" t="s">
        <v>23095</v>
      </c>
      <c r="G9187" t="str">
        <f>HYPERLINK("https://www.jeonmae.co.kr/news/articleView.html?idxno=1161763")</f>
        <v>https://www.jeonmae.co.kr/news/articleView.html?idxno=1161763</v>
      </c>
      <c r="H9187">
        <v>0.29899999999999999</v>
      </c>
    </row>
    <row r="9188" spans="1:8" x14ac:dyDescent="0.3">
      <c r="A9188" t="s">
        <v>23009</v>
      </c>
      <c r="B9188" t="s">
        <v>26951</v>
      </c>
      <c r="C9188" t="s">
        <v>23099</v>
      </c>
      <c r="D9188" t="s">
        <v>23098</v>
      </c>
      <c r="E9188" s="2" t="s">
        <v>133</v>
      </c>
      <c r="F9188" t="s">
        <v>3745</v>
      </c>
      <c r="G9188" t="str">
        <f>HYPERLINK("https://www.jeonmae.co.kr/news/articleView.html?idxno=1149941")</f>
        <v>https://www.jeonmae.co.kr/news/articleView.html?idxno=1149941</v>
      </c>
      <c r="H9188">
        <v>0.316</v>
      </c>
    </row>
    <row r="9189" spans="1:8" x14ac:dyDescent="0.3">
      <c r="A9189" t="s">
        <v>23009</v>
      </c>
      <c r="B9189" t="s">
        <v>26951</v>
      </c>
      <c r="C9189" t="s">
        <v>23101</v>
      </c>
      <c r="D9189" t="s">
        <v>23100</v>
      </c>
      <c r="E9189" s="2" t="s">
        <v>133</v>
      </c>
      <c r="F9189" t="s">
        <v>3745</v>
      </c>
      <c r="G9189" t="str">
        <f>HYPERLINK("https://www.jeonmae.co.kr/news/articleView.html?idxno=1095350")</f>
        <v>https://www.jeonmae.co.kr/news/articleView.html?idxno=1095350</v>
      </c>
      <c r="H9189">
        <v>0.45600000000000002</v>
      </c>
    </row>
    <row r="9190" spans="1:8" x14ac:dyDescent="0.3">
      <c r="A9190" t="s">
        <v>23009</v>
      </c>
      <c r="B9190" t="s">
        <v>26951</v>
      </c>
      <c r="C9190" t="s">
        <v>23103</v>
      </c>
      <c r="D9190" t="s">
        <v>23102</v>
      </c>
      <c r="E9190" s="2" t="s">
        <v>133</v>
      </c>
      <c r="F9190" t="s">
        <v>3745</v>
      </c>
      <c r="G9190" t="str">
        <f>HYPERLINK("https://www.jeonmae.co.kr/news/articleView.html?idxno=1161763")</f>
        <v>https://www.jeonmae.co.kr/news/articleView.html?idxno=1161763</v>
      </c>
      <c r="H9190">
        <v>0.38</v>
      </c>
    </row>
    <row r="9191" spans="1:8" x14ac:dyDescent="0.3">
      <c r="A9191" t="s">
        <v>23009</v>
      </c>
      <c r="B9191" t="s">
        <v>26951</v>
      </c>
      <c r="C9191" t="s">
        <v>23105</v>
      </c>
      <c r="D9191" t="s">
        <v>23104</v>
      </c>
      <c r="E9191" s="2" t="s">
        <v>133</v>
      </c>
      <c r="F9191" t="s">
        <v>3745</v>
      </c>
      <c r="G9191" t="str">
        <f>HYPERLINK("https://www.jeonmae.co.kr/news/articleView.html?idxno=1149946")</f>
        <v>https://www.jeonmae.co.kr/news/articleView.html?idxno=1149946</v>
      </c>
      <c r="H9191">
        <v>0.35799999999999998</v>
      </c>
    </row>
    <row r="9192" spans="1:8" x14ac:dyDescent="0.3">
      <c r="A9192" t="s">
        <v>23009</v>
      </c>
      <c r="B9192" t="s">
        <v>26951</v>
      </c>
      <c r="C9192" t="s">
        <v>23107</v>
      </c>
      <c r="D9192" t="s">
        <v>23106</v>
      </c>
      <c r="E9192" s="2" t="s">
        <v>133</v>
      </c>
      <c r="F9192" t="s">
        <v>3745</v>
      </c>
      <c r="G9192" t="str">
        <f>HYPERLINK("https://weekly.cnbnews.com/news/article.html?no=181234")</f>
        <v>https://weekly.cnbnews.com/news/article.html?no=181234</v>
      </c>
      <c r="H9192">
        <v>0.95699999999999996</v>
      </c>
    </row>
    <row r="9193" spans="1:8" x14ac:dyDescent="0.3">
      <c r="A9193" t="s">
        <v>23009</v>
      </c>
      <c r="B9193" t="s">
        <v>26951</v>
      </c>
      <c r="C9193" t="s">
        <v>23109</v>
      </c>
      <c r="D9193" t="s">
        <v>23108</v>
      </c>
      <c r="E9193" s="2" t="s">
        <v>133</v>
      </c>
      <c r="F9193" t="s">
        <v>3745</v>
      </c>
      <c r="G9193" t="str">
        <f>HYPERLINK("https://www.jeonmae.co.kr/news/articleView.html?idxno=1149946")</f>
        <v>https://www.jeonmae.co.kr/news/articleView.html?idxno=1149946</v>
      </c>
      <c r="H9193">
        <v>0.28100000000000003</v>
      </c>
    </row>
    <row r="9194" spans="1:8" x14ac:dyDescent="0.3">
      <c r="A9194" t="s">
        <v>23009</v>
      </c>
      <c r="B9194" t="s">
        <v>26951</v>
      </c>
      <c r="C9194" t="s">
        <v>23111</v>
      </c>
      <c r="D9194" t="s">
        <v>23110</v>
      </c>
      <c r="E9194" s="2" t="s">
        <v>133</v>
      </c>
      <c r="F9194" t="s">
        <v>3745</v>
      </c>
      <c r="G9194" t="str">
        <f>HYPERLINK("https://www.jeonmae.co.kr/news/articleView.html?idxno=1160225")</f>
        <v>https://www.jeonmae.co.kr/news/articleView.html?idxno=1160225</v>
      </c>
      <c r="H9194">
        <v>0.98899999999999999</v>
      </c>
    </row>
    <row r="9195" spans="1:8" x14ac:dyDescent="0.3">
      <c r="A9195" t="s">
        <v>23009</v>
      </c>
      <c r="B9195" t="s">
        <v>26951</v>
      </c>
      <c r="C9195" t="s">
        <v>23113</v>
      </c>
      <c r="D9195" t="s">
        <v>23112</v>
      </c>
      <c r="E9195" s="2" t="s">
        <v>133</v>
      </c>
      <c r="F9195" t="s">
        <v>3745</v>
      </c>
      <c r="G9195" t="str">
        <f>HYPERLINK("https://www.jeonmae.co.kr/news/articleView.html?idxno=1160224")</f>
        <v>https://www.jeonmae.co.kr/news/articleView.html?idxno=1160224</v>
      </c>
      <c r="H9195">
        <v>0.97599999999999998</v>
      </c>
    </row>
    <row r="9196" spans="1:8" x14ac:dyDescent="0.3">
      <c r="A9196" t="s">
        <v>23009</v>
      </c>
      <c r="B9196" t="s">
        <v>26951</v>
      </c>
      <c r="C9196" t="s">
        <v>23115</v>
      </c>
      <c r="D9196" t="s">
        <v>23114</v>
      </c>
      <c r="E9196" s="2" t="s">
        <v>133</v>
      </c>
      <c r="F9196" t="s">
        <v>3745</v>
      </c>
      <c r="G9196" t="str">
        <f>HYPERLINK("https://www.geconomy.co.kr/news/article.html?no=301815")</f>
        <v>https://www.geconomy.co.kr/news/article.html?no=301815</v>
      </c>
      <c r="H9196">
        <v>0.80100000000000005</v>
      </c>
    </row>
    <row r="9197" spans="1:8" x14ac:dyDescent="0.3">
      <c r="A9197" t="s">
        <v>23009</v>
      </c>
      <c r="B9197" t="s">
        <v>26951</v>
      </c>
      <c r="C9197" t="s">
        <v>23117</v>
      </c>
      <c r="D9197" t="s">
        <v>23116</v>
      </c>
      <c r="E9197" s="2" t="s">
        <v>133</v>
      </c>
      <c r="F9197" t="s">
        <v>857</v>
      </c>
      <c r="G9197" t="str">
        <f>HYPERLINK("https://srn.hcn.co.kr/user/news/BD_newsView.do?news_category=02&amp;story_id=NS2025042800055&amp;story_seq=0&amp;soCode=114&amp;socttSn=NS2025042800055&amp;socttSeq=0")</f>
        <v>https://srn.hcn.co.kr/user/news/BD_newsView.do?news_category=02&amp;story_id=NS2025042800055&amp;story_seq=0&amp;soCode=114&amp;socttSn=NS2025042800055&amp;socttSeq=0</v>
      </c>
      <c r="H9197">
        <v>0.254</v>
      </c>
    </row>
    <row r="9198" spans="1:8" x14ac:dyDescent="0.3">
      <c r="A9198" t="s">
        <v>23009</v>
      </c>
      <c r="B9198" t="s">
        <v>26951</v>
      </c>
      <c r="C9198" t="s">
        <v>23119</v>
      </c>
      <c r="D9198" t="s">
        <v>23118</v>
      </c>
      <c r="E9198" s="2" t="s">
        <v>172</v>
      </c>
      <c r="F9198" t="s">
        <v>3745</v>
      </c>
      <c r="G9198" t="str">
        <f>HYPERLINK("https://weekly.cnbnews.com/news/article.html?no=181080")</f>
        <v>https://weekly.cnbnews.com/news/article.html?no=181080</v>
      </c>
      <c r="H9198">
        <v>0.88800000000000001</v>
      </c>
    </row>
    <row r="9199" spans="1:8" x14ac:dyDescent="0.3">
      <c r="A9199" t="s">
        <v>23009</v>
      </c>
      <c r="B9199" t="s">
        <v>26951</v>
      </c>
      <c r="C9199" t="s">
        <v>23121</v>
      </c>
      <c r="D9199" t="s">
        <v>23120</v>
      </c>
      <c r="E9199" s="2" t="s">
        <v>172</v>
      </c>
      <c r="F9199" t="s">
        <v>3745</v>
      </c>
      <c r="G9199" t="str">
        <f>HYPERLINK("https://www.jeonmae.co.kr/news/articleView.html?idxno=888042")</f>
        <v>https://www.jeonmae.co.kr/news/articleView.html?idxno=888042</v>
      </c>
      <c r="H9199">
        <v>0.48799999999999999</v>
      </c>
    </row>
    <row r="9200" spans="1:8" x14ac:dyDescent="0.3">
      <c r="A9200" t="s">
        <v>23009</v>
      </c>
      <c r="B9200" t="s">
        <v>26951</v>
      </c>
      <c r="C9200" t="s">
        <v>23124</v>
      </c>
      <c r="D9200" t="s">
        <v>23123</v>
      </c>
      <c r="E9200" s="2" t="s">
        <v>172</v>
      </c>
      <c r="F9200" t="s">
        <v>23122</v>
      </c>
      <c r="G9200" t="str">
        <f>HYPERLINK("http://www.wonnews.co.kr/news/articleView.html?idxno=202389")</f>
        <v>http://www.wonnews.co.kr/news/articleView.html?idxno=202389</v>
      </c>
      <c r="H9200">
        <v>0.437</v>
      </c>
    </row>
    <row r="9201" spans="1:8" x14ac:dyDescent="0.3">
      <c r="A9201" t="s">
        <v>23009</v>
      </c>
      <c r="B9201" t="s">
        <v>26951</v>
      </c>
      <c r="C9201" t="s">
        <v>23126</v>
      </c>
      <c r="D9201" t="s">
        <v>23125</v>
      </c>
      <c r="E9201" s="2" t="s">
        <v>172</v>
      </c>
      <c r="F9201" t="s">
        <v>3745</v>
      </c>
      <c r="G9201" t="str">
        <f>HYPERLINK("https://www.jeonmae.co.kr/news/articleView.html?idxno=1159547")</f>
        <v>https://www.jeonmae.co.kr/news/articleView.html?idxno=1159547</v>
      </c>
      <c r="H9201">
        <v>0.99199999999999999</v>
      </c>
    </row>
    <row r="9202" spans="1:8" x14ac:dyDescent="0.3">
      <c r="A9202" t="s">
        <v>23009</v>
      </c>
      <c r="B9202" t="s">
        <v>26951</v>
      </c>
      <c r="C9202" t="s">
        <v>23128</v>
      </c>
      <c r="D9202" t="s">
        <v>23127</v>
      </c>
      <c r="E9202" s="2" t="s">
        <v>196</v>
      </c>
      <c r="F9202" t="s">
        <v>967</v>
      </c>
      <c r="G9202" t="str">
        <f>HYPERLINK("https://www.bbc.com/korean/articles/c9qvw947z03o?xtor=AL-73-%5Bpartner%5D-%5Bnaver%5D-%5Bheadline%5D-%5Bkorean%5D-%5Bbizdev%5D-%5Bisapi%5D")</f>
        <v>https://www.bbc.com/korean/articles/c9qvw947z03o?xtor=AL-73-%5Bpartner%5D-%5Bnaver%5D-%5Bheadline%5D-%5Bkorean%5D-%5Bbizdev%5D-%5Bisapi%5D</v>
      </c>
      <c r="H9202">
        <v>0.46600000000000003</v>
      </c>
    </row>
    <row r="9203" spans="1:8" x14ac:dyDescent="0.3">
      <c r="A9203" t="s">
        <v>23009</v>
      </c>
      <c r="B9203" t="s">
        <v>26951</v>
      </c>
      <c r="C9203" t="s">
        <v>23130</v>
      </c>
      <c r="D9203" t="s">
        <v>23129</v>
      </c>
      <c r="E9203" s="2" t="s">
        <v>196</v>
      </c>
      <c r="F9203" t="s">
        <v>3745</v>
      </c>
      <c r="G9203" t="str">
        <f>HYPERLINK("https://www.jeonmae.co.kr/news/articleView.html?idxno=1159544")</f>
        <v>https://www.jeonmae.co.kr/news/articleView.html?idxno=1159544</v>
      </c>
      <c r="H9203">
        <v>0.997</v>
      </c>
    </row>
    <row r="9204" spans="1:8" x14ac:dyDescent="0.3">
      <c r="A9204" t="s">
        <v>23009</v>
      </c>
      <c r="B9204" t="s">
        <v>26951</v>
      </c>
      <c r="C9204" t="s">
        <v>23132</v>
      </c>
      <c r="D9204" t="s">
        <v>23131</v>
      </c>
      <c r="E9204" s="2" t="s">
        <v>196</v>
      </c>
      <c r="F9204" t="s">
        <v>3745</v>
      </c>
      <c r="G9204" t="str">
        <f>HYPERLINK("https://www.jeonmae.co.kr/news/articleView.html?idxno=1159325")</f>
        <v>https://www.jeonmae.co.kr/news/articleView.html?idxno=1159325</v>
      </c>
      <c r="H9204">
        <v>0.99299999999999999</v>
      </c>
    </row>
    <row r="9205" spans="1:8" x14ac:dyDescent="0.3">
      <c r="A9205" t="s">
        <v>23009</v>
      </c>
      <c r="B9205" t="s">
        <v>26951</v>
      </c>
      <c r="C9205" t="s">
        <v>23134</v>
      </c>
      <c r="D9205" t="s">
        <v>23133</v>
      </c>
      <c r="E9205" s="2" t="s">
        <v>196</v>
      </c>
      <c r="F9205" t="s">
        <v>3745</v>
      </c>
      <c r="G9205" t="str">
        <f>HYPERLINK("https://www.jeonmae.co.kr/news/articleView.html?idxno=1159312")</f>
        <v>https://www.jeonmae.co.kr/news/articleView.html?idxno=1159312</v>
      </c>
      <c r="H9205">
        <v>0.98699999999999999</v>
      </c>
    </row>
    <row r="9206" spans="1:8" x14ac:dyDescent="0.3">
      <c r="A9206" t="s">
        <v>23009</v>
      </c>
      <c r="B9206" t="s">
        <v>26951</v>
      </c>
      <c r="C9206" t="s">
        <v>23136</v>
      </c>
      <c r="D9206" t="s">
        <v>23135</v>
      </c>
      <c r="E9206" s="2" t="s">
        <v>196</v>
      </c>
      <c r="F9206" t="s">
        <v>3745</v>
      </c>
      <c r="G9206" t="str">
        <f>HYPERLINK("https://www.straightnews.co.kr/news/articleView.html?idxno=274211")</f>
        <v>https://www.straightnews.co.kr/news/articleView.html?idxno=274211</v>
      </c>
      <c r="H9206">
        <v>0.84199999999999997</v>
      </c>
    </row>
    <row r="9207" spans="1:8" x14ac:dyDescent="0.3">
      <c r="A9207" t="s">
        <v>23009</v>
      </c>
      <c r="B9207" t="s">
        <v>26951</v>
      </c>
      <c r="C9207" t="s">
        <v>23138</v>
      </c>
      <c r="D9207" t="s">
        <v>23137</v>
      </c>
      <c r="E9207" s="2" t="s">
        <v>196</v>
      </c>
      <c r="F9207" t="s">
        <v>3745</v>
      </c>
      <c r="G9207" t="str">
        <f>HYPERLINK("http://www.enewstoday.co.kr/news/articleView.html?idxno=2293725")</f>
        <v>http://www.enewstoday.co.kr/news/articleView.html?idxno=2293725</v>
      </c>
      <c r="H9207">
        <v>0.82199999999999995</v>
      </c>
    </row>
    <row r="9208" spans="1:8" x14ac:dyDescent="0.3">
      <c r="A9208" t="s">
        <v>23009</v>
      </c>
      <c r="B9208" t="s">
        <v>26951</v>
      </c>
      <c r="C9208" t="s">
        <v>23140</v>
      </c>
      <c r="D9208" t="s">
        <v>23139</v>
      </c>
      <c r="E9208" s="2" t="s">
        <v>196</v>
      </c>
      <c r="F9208" t="s">
        <v>3745</v>
      </c>
      <c r="G9208" t="str">
        <f>HYPERLINK("https://weekly.cnbnews.com/news/article.html?no=180860")</f>
        <v>https://weekly.cnbnews.com/news/article.html?no=180860</v>
      </c>
      <c r="H9208">
        <v>0.91800000000000004</v>
      </c>
    </row>
    <row r="9209" spans="1:8" x14ac:dyDescent="0.3">
      <c r="A9209" t="s">
        <v>23009</v>
      </c>
      <c r="B9209" t="s">
        <v>26951</v>
      </c>
      <c r="C9209" t="s">
        <v>23142</v>
      </c>
      <c r="D9209" t="s">
        <v>23141</v>
      </c>
      <c r="E9209" s="2" t="s">
        <v>196</v>
      </c>
      <c r="F9209" t="s">
        <v>3745</v>
      </c>
      <c r="G9209" t="str">
        <f>HYPERLINK("https://weekly.cnbnews.com/news/article.html?no=180881")</f>
        <v>https://weekly.cnbnews.com/news/article.html?no=180881</v>
      </c>
      <c r="H9209">
        <v>0.89600000000000002</v>
      </c>
    </row>
    <row r="9210" spans="1:8" x14ac:dyDescent="0.3">
      <c r="A9210" t="s">
        <v>23009</v>
      </c>
      <c r="B9210" t="s">
        <v>26951</v>
      </c>
      <c r="C9210" t="s">
        <v>23144</v>
      </c>
      <c r="D9210" t="s">
        <v>23143</v>
      </c>
      <c r="E9210" s="2" t="s">
        <v>196</v>
      </c>
      <c r="F9210" t="s">
        <v>3745</v>
      </c>
      <c r="G9210" t="str">
        <f>HYPERLINK("https://www.geconomy.co.kr/news/article.html?no=301805")</f>
        <v>https://www.geconomy.co.kr/news/article.html?no=301805</v>
      </c>
      <c r="H9210">
        <v>0.84599999999999997</v>
      </c>
    </row>
    <row r="9211" spans="1:8" x14ac:dyDescent="0.3">
      <c r="A9211" t="s">
        <v>23009</v>
      </c>
      <c r="B9211" t="s">
        <v>26951</v>
      </c>
      <c r="C9211" t="s">
        <v>23146</v>
      </c>
      <c r="D9211" t="s">
        <v>23145</v>
      </c>
      <c r="E9211" s="2" t="s">
        <v>196</v>
      </c>
      <c r="F9211" t="s">
        <v>23053</v>
      </c>
      <c r="G9211" t="str">
        <f>HYPERLINK("https://www.jeonmae.co.kr/news/articleView.html?idxno=1091738")</f>
        <v>https://www.jeonmae.co.kr/news/articleView.html?idxno=1091738</v>
      </c>
      <c r="H9211">
        <v>0.27800000000000002</v>
      </c>
    </row>
    <row r="9212" spans="1:8" x14ac:dyDescent="0.3">
      <c r="A9212" t="s">
        <v>23009</v>
      </c>
      <c r="B9212" t="s">
        <v>26951</v>
      </c>
      <c r="C9212" t="s">
        <v>23148</v>
      </c>
      <c r="D9212" t="s">
        <v>23147</v>
      </c>
      <c r="E9212" s="2" t="s">
        <v>196</v>
      </c>
      <c r="F9212" t="s">
        <v>3745</v>
      </c>
      <c r="G9212" t="str">
        <f>HYPERLINK("https://www.siminilbo.co.kr/news/newsview.php?ncode=1160290846637560")</f>
        <v>https://www.siminilbo.co.kr/news/newsview.php?ncode=1160290846637560</v>
      </c>
      <c r="H9212">
        <v>0.85</v>
      </c>
    </row>
    <row r="9213" spans="1:8" x14ac:dyDescent="0.3">
      <c r="A9213" t="s">
        <v>23009</v>
      </c>
      <c r="B9213" t="s">
        <v>26951</v>
      </c>
      <c r="C9213" t="s">
        <v>23150</v>
      </c>
      <c r="D9213" t="s">
        <v>23149</v>
      </c>
      <c r="E9213" s="2" t="s">
        <v>196</v>
      </c>
      <c r="F9213" t="s">
        <v>3745</v>
      </c>
      <c r="G9213" t="str">
        <f>HYPERLINK("https://www.jeonmae.co.kr/news/articleView.html?idxno=1149941")</f>
        <v>https://www.jeonmae.co.kr/news/articleView.html?idxno=1149941</v>
      </c>
      <c r="H9213">
        <v>0.26400000000000001</v>
      </c>
    </row>
    <row r="9214" spans="1:8" x14ac:dyDescent="0.3">
      <c r="A9214" t="s">
        <v>23009</v>
      </c>
      <c r="B9214" t="s">
        <v>26951</v>
      </c>
      <c r="C9214" t="s">
        <v>23152</v>
      </c>
      <c r="D9214" t="s">
        <v>23151</v>
      </c>
      <c r="E9214" s="2" t="s">
        <v>196</v>
      </c>
      <c r="F9214" t="s">
        <v>3745</v>
      </c>
      <c r="G9214" t="str">
        <f>HYPERLINK("https://www.jeonmae.co.kr/news/articleView.html?idxno=1159276")</f>
        <v>https://www.jeonmae.co.kr/news/articleView.html?idxno=1159276</v>
      </c>
      <c r="H9214">
        <v>0.97499999999999998</v>
      </c>
    </row>
    <row r="9215" spans="1:8" x14ac:dyDescent="0.3">
      <c r="A9215" t="s">
        <v>23009</v>
      </c>
      <c r="B9215" t="s">
        <v>26951</v>
      </c>
      <c r="C9215" t="s">
        <v>23154</v>
      </c>
      <c r="D9215" t="s">
        <v>23153</v>
      </c>
      <c r="E9215" s="2" t="s">
        <v>196</v>
      </c>
      <c r="F9215" t="s">
        <v>3745</v>
      </c>
      <c r="G9215" t="str">
        <f>HYPERLINK("http://www.enewstoday.co.kr/news/articleView.html?idxno=2293584")</f>
        <v>http://www.enewstoday.co.kr/news/articleView.html?idxno=2293584</v>
      </c>
      <c r="H9215">
        <v>0.83399999999999996</v>
      </c>
    </row>
    <row r="9216" spans="1:8" x14ac:dyDescent="0.3">
      <c r="A9216" t="s">
        <v>23009</v>
      </c>
      <c r="B9216" t="s">
        <v>26951</v>
      </c>
      <c r="C9216" t="s">
        <v>23156</v>
      </c>
      <c r="D9216" t="s">
        <v>23155</v>
      </c>
      <c r="E9216" s="2" t="s">
        <v>196</v>
      </c>
      <c r="F9216" t="s">
        <v>3745</v>
      </c>
      <c r="G9216" t="str">
        <f>HYPERLINK("https://www.jeonmae.co.kr/news/articleView.html?idxno=1116310")</f>
        <v>https://www.jeonmae.co.kr/news/articleView.html?idxno=1116310</v>
      </c>
      <c r="H9216">
        <v>0.47</v>
      </c>
    </row>
    <row r="9217" spans="1:8" x14ac:dyDescent="0.3">
      <c r="A9217" t="s">
        <v>23009</v>
      </c>
      <c r="B9217" t="s">
        <v>26951</v>
      </c>
      <c r="C9217" t="s">
        <v>23158</v>
      </c>
      <c r="D9217" t="s">
        <v>23157</v>
      </c>
      <c r="E9217" s="2" t="s">
        <v>196</v>
      </c>
      <c r="F9217" t="s">
        <v>3745</v>
      </c>
      <c r="G9217" t="str">
        <f>HYPERLINK("https://www.jeonmae.co.kr/news/articleView.html?idxno=1149941")</f>
        <v>https://www.jeonmae.co.kr/news/articleView.html?idxno=1149941</v>
      </c>
      <c r="H9217">
        <v>0.28999999999999998</v>
      </c>
    </row>
    <row r="9218" spans="1:8" x14ac:dyDescent="0.3">
      <c r="A9218" t="s">
        <v>23009</v>
      </c>
      <c r="B9218" t="s">
        <v>26951</v>
      </c>
      <c r="C9218" t="s">
        <v>23160</v>
      </c>
      <c r="D9218" t="s">
        <v>23159</v>
      </c>
      <c r="E9218" s="2" t="s">
        <v>196</v>
      </c>
      <c r="F9218" t="s">
        <v>3745</v>
      </c>
      <c r="G9218" t="str">
        <f>HYPERLINK("https://weekly.cnbnews.com/news/article.html?no=180916")</f>
        <v>https://weekly.cnbnews.com/news/article.html?no=180916</v>
      </c>
      <c r="H9218">
        <v>0.78200000000000003</v>
      </c>
    </row>
    <row r="9219" spans="1:8" x14ac:dyDescent="0.3">
      <c r="A9219" t="s">
        <v>23009</v>
      </c>
      <c r="B9219" t="s">
        <v>26951</v>
      </c>
      <c r="C9219" t="s">
        <v>23162</v>
      </c>
      <c r="D9219" t="s">
        <v>23161</v>
      </c>
      <c r="E9219" s="2" t="s">
        <v>196</v>
      </c>
      <c r="F9219" t="s">
        <v>3745</v>
      </c>
      <c r="G9219" t="str">
        <f>HYPERLINK("https://www.siminilbo.co.kr/news/newsview.php?ncode=1160286790081019")</f>
        <v>https://www.siminilbo.co.kr/news/newsview.php?ncode=1160286790081019</v>
      </c>
      <c r="H9219">
        <v>0.72299999999999998</v>
      </c>
    </row>
    <row r="9220" spans="1:8" x14ac:dyDescent="0.3">
      <c r="A9220" t="s">
        <v>23009</v>
      </c>
      <c r="B9220" t="s">
        <v>26951</v>
      </c>
      <c r="C9220" t="s">
        <v>23164</v>
      </c>
      <c r="D9220" t="s">
        <v>23163</v>
      </c>
      <c r="E9220" s="2" t="s">
        <v>230</v>
      </c>
      <c r="F9220" t="s">
        <v>1033</v>
      </c>
      <c r="G9220" t="str">
        <f>HYPERLINK("https://n.news.naver.com/mnews/article/008/0002220356?sid=101")</f>
        <v>https://n.news.naver.com/mnews/article/008/0002220356?sid=101</v>
      </c>
      <c r="H9220">
        <v>0.58299999999999996</v>
      </c>
    </row>
    <row r="9221" spans="1:8" x14ac:dyDescent="0.3">
      <c r="A9221" t="s">
        <v>23009</v>
      </c>
      <c r="B9221" t="s">
        <v>26951</v>
      </c>
      <c r="C9221" t="s">
        <v>23166</v>
      </c>
      <c r="D9221" t="s">
        <v>23165</v>
      </c>
      <c r="E9221" s="2" t="s">
        <v>230</v>
      </c>
      <c r="F9221" t="s">
        <v>12369</v>
      </c>
      <c r="G9221" t="str">
        <f>HYPERLINK("http://www.breaknews.com/1127199")</f>
        <v>http://www.breaknews.com/1127199</v>
      </c>
      <c r="H9221">
        <v>0.311</v>
      </c>
    </row>
    <row r="9222" spans="1:8" x14ac:dyDescent="0.3">
      <c r="A9222" t="s">
        <v>23009</v>
      </c>
      <c r="B9222" t="s">
        <v>26951</v>
      </c>
      <c r="C9222" t="s">
        <v>23168</v>
      </c>
      <c r="D9222" t="s">
        <v>23167</v>
      </c>
      <c r="E9222" s="2" t="s">
        <v>230</v>
      </c>
      <c r="F9222" t="s">
        <v>23095</v>
      </c>
      <c r="G9222" t="str">
        <f>HYPERLINK("https://weekly.cnbnews.com/news/article.html?no=180814")</f>
        <v>https://weekly.cnbnews.com/news/article.html?no=180814</v>
      </c>
      <c r="H9222">
        <v>0.89900000000000002</v>
      </c>
    </row>
    <row r="9223" spans="1:8" x14ac:dyDescent="0.3">
      <c r="A9223" t="s">
        <v>23009</v>
      </c>
      <c r="B9223" t="s">
        <v>26951</v>
      </c>
      <c r="C9223" t="s">
        <v>23170</v>
      </c>
      <c r="D9223" t="s">
        <v>23169</v>
      </c>
      <c r="E9223" s="2" t="s">
        <v>230</v>
      </c>
      <c r="F9223" t="s">
        <v>12705</v>
      </c>
      <c r="G9223" t="str">
        <f>HYPERLINK("https://www.newspim.com/news/view/20250623000108")</f>
        <v>https://www.newspim.com/news/view/20250623000108</v>
      </c>
      <c r="H9223">
        <v>0.94299999999999995</v>
      </c>
    </row>
    <row r="9224" spans="1:8" x14ac:dyDescent="0.3">
      <c r="A9224" t="s">
        <v>23009</v>
      </c>
      <c r="B9224" t="s">
        <v>26951</v>
      </c>
      <c r="C9224" t="s">
        <v>23172</v>
      </c>
      <c r="D9224" t="s">
        <v>23171</v>
      </c>
      <c r="E9224" s="2" t="s">
        <v>230</v>
      </c>
      <c r="F9224" t="s">
        <v>3745</v>
      </c>
      <c r="G9224" t="str">
        <f>HYPERLINK("https://www.jeonmae.co.kr/news/articleView.html?idxno=1026533")</f>
        <v>https://www.jeonmae.co.kr/news/articleView.html?idxno=1026533</v>
      </c>
      <c r="H9224">
        <v>0.36599999999999999</v>
      </c>
    </row>
    <row r="9225" spans="1:8" x14ac:dyDescent="0.3">
      <c r="A9225" t="s">
        <v>23009</v>
      </c>
      <c r="B9225" t="s">
        <v>26951</v>
      </c>
      <c r="C9225" t="s">
        <v>23174</v>
      </c>
      <c r="D9225" t="s">
        <v>23173</v>
      </c>
      <c r="E9225" s="2" t="s">
        <v>230</v>
      </c>
      <c r="F9225" t="s">
        <v>3745</v>
      </c>
      <c r="G9225" t="str">
        <f>HYPERLINK("http://www.newstnt.com/news/articleView.html?idxno=501750")</f>
        <v>http://www.newstnt.com/news/articleView.html?idxno=501750</v>
      </c>
      <c r="H9225">
        <v>0.79200000000000004</v>
      </c>
    </row>
    <row r="9226" spans="1:8" x14ac:dyDescent="0.3">
      <c r="A9226" t="s">
        <v>23009</v>
      </c>
      <c r="B9226" t="s">
        <v>26951</v>
      </c>
      <c r="C9226" t="s">
        <v>23176</v>
      </c>
      <c r="D9226" t="s">
        <v>23175</v>
      </c>
      <c r="E9226" s="2" t="s">
        <v>230</v>
      </c>
      <c r="F9226" t="s">
        <v>3745</v>
      </c>
      <c r="G9226" t="str">
        <f>HYPERLINK("http://www.chungnamilbo.co.kr/news/articleView.html?idxno=834918")</f>
        <v>http://www.chungnamilbo.co.kr/news/articleView.html?idxno=834918</v>
      </c>
      <c r="H9226">
        <v>0.92200000000000004</v>
      </c>
    </row>
    <row r="9227" spans="1:8" x14ac:dyDescent="0.3">
      <c r="A9227" t="s">
        <v>23009</v>
      </c>
      <c r="B9227" t="s">
        <v>26951</v>
      </c>
      <c r="C9227" t="s">
        <v>23178</v>
      </c>
      <c r="D9227" t="s">
        <v>23177</v>
      </c>
      <c r="E9227" s="2" t="s">
        <v>230</v>
      </c>
      <c r="F9227" t="s">
        <v>3745</v>
      </c>
      <c r="G9227" t="str">
        <f>HYPERLINK("https://www.ggilbo.com/news/articleView.html?idxno=1096313")</f>
        <v>https://www.ggilbo.com/news/articleView.html?idxno=1096313</v>
      </c>
      <c r="H9227">
        <v>0.80200000000000005</v>
      </c>
    </row>
    <row r="9228" spans="1:8" x14ac:dyDescent="0.3">
      <c r="A9228" t="s">
        <v>23009</v>
      </c>
      <c r="B9228" t="s">
        <v>26951</v>
      </c>
      <c r="C9228" t="s">
        <v>23180</v>
      </c>
      <c r="D9228" t="s">
        <v>23179</v>
      </c>
      <c r="E9228" s="2" t="s">
        <v>230</v>
      </c>
      <c r="F9228" t="s">
        <v>3745</v>
      </c>
      <c r="G9228" t="str">
        <f>HYPERLINK("http://www.kihoilbo.co.kr/news/articleView.html?idxno=1148684")</f>
        <v>http://www.kihoilbo.co.kr/news/articleView.html?idxno=1148684</v>
      </c>
      <c r="H9228">
        <v>0.78600000000000003</v>
      </c>
    </row>
    <row r="9229" spans="1:8" x14ac:dyDescent="0.3">
      <c r="A9229" t="s">
        <v>23009</v>
      </c>
      <c r="B9229" t="s">
        <v>26951</v>
      </c>
      <c r="C9229" t="s">
        <v>23182</v>
      </c>
      <c r="D9229" t="s">
        <v>23181</v>
      </c>
      <c r="E9229" s="2" t="s">
        <v>230</v>
      </c>
      <c r="F9229" t="s">
        <v>3745</v>
      </c>
      <c r="G9229" t="str">
        <f>HYPERLINK("https://www.nspna.com/news/?mode=view&amp;newsid=761842")</f>
        <v>https://www.nspna.com/news/?mode=view&amp;newsid=761842</v>
      </c>
      <c r="H9229">
        <v>0.59499999999999997</v>
      </c>
    </row>
    <row r="9230" spans="1:8" x14ac:dyDescent="0.3">
      <c r="A9230" t="s">
        <v>23009</v>
      </c>
      <c r="B9230" t="s">
        <v>26951</v>
      </c>
      <c r="C9230" t="s">
        <v>23184</v>
      </c>
      <c r="D9230" t="s">
        <v>23183</v>
      </c>
      <c r="E9230" s="2" t="s">
        <v>230</v>
      </c>
      <c r="F9230" t="s">
        <v>3745</v>
      </c>
      <c r="G9230" t="str">
        <f>HYPERLINK("https://www.jeonmae.co.kr/news/articleView.html?idxno=986227")</f>
        <v>https://www.jeonmae.co.kr/news/articleView.html?idxno=986227</v>
      </c>
      <c r="H9230">
        <v>0.64</v>
      </c>
    </row>
    <row r="9231" spans="1:8" x14ac:dyDescent="0.3">
      <c r="A9231" t="s">
        <v>23009</v>
      </c>
      <c r="B9231" t="s">
        <v>26951</v>
      </c>
      <c r="C9231" t="s">
        <v>23187</v>
      </c>
      <c r="D9231" t="s">
        <v>23186</v>
      </c>
      <c r="E9231" s="2" t="s">
        <v>230</v>
      </c>
      <c r="F9231" t="s">
        <v>23185</v>
      </c>
      <c r="G9231" t="str">
        <f>HYPERLINK("https://www.jeonmae.co.kr/news/articleView.html?idxno=1027337")</f>
        <v>https://www.jeonmae.co.kr/news/articleView.html?idxno=1027337</v>
      </c>
      <c r="H9231">
        <v>0.47099999999999997</v>
      </c>
    </row>
    <row r="9232" spans="1:8" x14ac:dyDescent="0.3">
      <c r="A9232" t="s">
        <v>23009</v>
      </c>
      <c r="B9232" t="s">
        <v>26951</v>
      </c>
      <c r="C9232" t="s">
        <v>23189</v>
      </c>
      <c r="D9232" t="s">
        <v>23188</v>
      </c>
      <c r="E9232" s="2" t="s">
        <v>230</v>
      </c>
      <c r="F9232" t="s">
        <v>3745</v>
      </c>
      <c r="G9232" t="str">
        <f>HYPERLINK("https://www.jeonmae.co.kr/news/articleView.html?idxno=1158840")</f>
        <v>https://www.jeonmae.co.kr/news/articleView.html?idxno=1158840</v>
      </c>
      <c r="H9232">
        <v>0.97199999999999998</v>
      </c>
    </row>
    <row r="9233" spans="1:8" x14ac:dyDescent="0.3">
      <c r="A9233" t="s">
        <v>23009</v>
      </c>
      <c r="B9233" t="s">
        <v>26951</v>
      </c>
      <c r="C9233" t="s">
        <v>23191</v>
      </c>
      <c r="D9233" t="s">
        <v>23190</v>
      </c>
      <c r="E9233" s="2" t="s">
        <v>230</v>
      </c>
      <c r="F9233" t="s">
        <v>3745</v>
      </c>
      <c r="G9233" t="str">
        <f>HYPERLINK("https://www.jeonmae.co.kr/news/articleView.html?idxno=1149941")</f>
        <v>https://www.jeonmae.co.kr/news/articleView.html?idxno=1149941</v>
      </c>
      <c r="H9233">
        <v>0.315</v>
      </c>
    </row>
    <row r="9234" spans="1:8" x14ac:dyDescent="0.3">
      <c r="A9234" t="s">
        <v>23009</v>
      </c>
      <c r="B9234" t="s">
        <v>26951</v>
      </c>
      <c r="C9234" t="s">
        <v>23193</v>
      </c>
      <c r="D9234" t="s">
        <v>23192</v>
      </c>
      <c r="E9234" s="2" t="s">
        <v>230</v>
      </c>
      <c r="F9234" t="s">
        <v>3745</v>
      </c>
      <c r="G9234" t="str">
        <f>HYPERLINK("https://www.jeonmae.co.kr/news/articleView.html?idxno=1158837")</f>
        <v>https://www.jeonmae.co.kr/news/articleView.html?idxno=1158837</v>
      </c>
      <c r="H9234">
        <v>0.96499999999999997</v>
      </c>
    </row>
    <row r="9235" spans="1:8" x14ac:dyDescent="0.3">
      <c r="A9235" t="s">
        <v>23009</v>
      </c>
      <c r="B9235" t="s">
        <v>26951</v>
      </c>
      <c r="C9235" t="s">
        <v>23195</v>
      </c>
      <c r="D9235" t="s">
        <v>23194</v>
      </c>
      <c r="E9235" s="2" t="s">
        <v>230</v>
      </c>
      <c r="F9235" t="s">
        <v>3745</v>
      </c>
      <c r="G9235" t="str">
        <f>HYPERLINK("http://www.metroseoul.co.kr/article/20250622500134")</f>
        <v>http://www.metroseoul.co.kr/article/20250622500134</v>
      </c>
      <c r="H9235">
        <v>0.70899999999999996</v>
      </c>
    </row>
    <row r="9236" spans="1:8" x14ac:dyDescent="0.3">
      <c r="A9236" t="s">
        <v>23009</v>
      </c>
      <c r="B9236" t="s">
        <v>26951</v>
      </c>
      <c r="C9236" t="s">
        <v>23197</v>
      </c>
      <c r="D9236" t="s">
        <v>23196</v>
      </c>
      <c r="E9236" s="2" t="s">
        <v>230</v>
      </c>
      <c r="F9236" t="s">
        <v>3745</v>
      </c>
      <c r="G9236" t="str">
        <f>HYPERLINK("http://kor.theasian.asia/archives/226294")</f>
        <v>http://kor.theasian.asia/archives/226294</v>
      </c>
      <c r="H9236">
        <v>0.51200000000000001</v>
      </c>
    </row>
    <row r="9237" spans="1:8" x14ac:dyDescent="0.3">
      <c r="A9237" t="s">
        <v>23009</v>
      </c>
      <c r="B9237" t="s">
        <v>26951</v>
      </c>
      <c r="C9237" t="s">
        <v>23199</v>
      </c>
      <c r="D9237" t="s">
        <v>23198</v>
      </c>
      <c r="E9237" s="2" t="s">
        <v>230</v>
      </c>
      <c r="F9237" t="s">
        <v>3745</v>
      </c>
      <c r="G9237" t="str">
        <f>HYPERLINK("https://www.ngetnews.com/news/articleView.html?idxno=529219")</f>
        <v>https://www.ngetnews.com/news/articleView.html?idxno=529219</v>
      </c>
      <c r="H9237">
        <v>0.88300000000000001</v>
      </c>
    </row>
    <row r="9238" spans="1:8" x14ac:dyDescent="0.3">
      <c r="A9238" t="s">
        <v>23009</v>
      </c>
      <c r="B9238" t="s">
        <v>26951</v>
      </c>
      <c r="C9238" t="s">
        <v>23201</v>
      </c>
      <c r="D9238" t="s">
        <v>23200</v>
      </c>
      <c r="E9238" s="2" t="s">
        <v>230</v>
      </c>
      <c r="F9238" t="s">
        <v>3745</v>
      </c>
      <c r="G9238" t="str">
        <f>HYPERLINK("https://www.jeonmae.co.kr/news/articleView.html?idxno=1158829")</f>
        <v>https://www.jeonmae.co.kr/news/articleView.html?idxno=1158829</v>
      </c>
      <c r="H9238">
        <v>0.98599999999999999</v>
      </c>
    </row>
    <row r="9239" spans="1:8" x14ac:dyDescent="0.3">
      <c r="A9239" t="s">
        <v>23009</v>
      </c>
      <c r="B9239" t="s">
        <v>26951</v>
      </c>
      <c r="C9239" t="s">
        <v>23203</v>
      </c>
      <c r="D9239" t="s">
        <v>23202</v>
      </c>
      <c r="E9239" s="2" t="s">
        <v>230</v>
      </c>
      <c r="F9239" t="s">
        <v>3745</v>
      </c>
      <c r="G9239" t="str">
        <f>HYPERLINK("https://www.jeonmae.co.kr/news/articleView.html?idxno=1158828")</f>
        <v>https://www.jeonmae.co.kr/news/articleView.html?idxno=1158828</v>
      </c>
      <c r="H9239">
        <v>0.99099999999999999</v>
      </c>
    </row>
    <row r="9240" spans="1:8" x14ac:dyDescent="0.3">
      <c r="A9240" t="s">
        <v>23009</v>
      </c>
      <c r="B9240" t="s">
        <v>26951</v>
      </c>
      <c r="C9240" t="s">
        <v>23205</v>
      </c>
      <c r="D9240" t="s">
        <v>23204</v>
      </c>
      <c r="E9240" s="2" t="s">
        <v>230</v>
      </c>
      <c r="F9240" t="s">
        <v>3745</v>
      </c>
      <c r="G9240" t="str">
        <f>HYPERLINK("https://www.jeonmae.co.kr/news/articleView.html?idxno=1158821")</f>
        <v>https://www.jeonmae.co.kr/news/articleView.html?idxno=1158821</v>
      </c>
      <c r="H9240">
        <v>0.98</v>
      </c>
    </row>
    <row r="9241" spans="1:8" x14ac:dyDescent="0.3">
      <c r="A9241" t="s">
        <v>23009</v>
      </c>
      <c r="B9241" t="s">
        <v>26951</v>
      </c>
      <c r="C9241" t="s">
        <v>23207</v>
      </c>
      <c r="D9241" t="s">
        <v>23206</v>
      </c>
      <c r="E9241" s="2" t="s">
        <v>313</v>
      </c>
      <c r="F9241" t="s">
        <v>2046</v>
      </c>
      <c r="G9241" t="str">
        <f>HYPERLINK("http://www.ttlnews.com/article/travel_report/13100")</f>
        <v>http://www.ttlnews.com/article/travel_report/13100</v>
      </c>
      <c r="H9241">
        <v>0.51900000000000002</v>
      </c>
    </row>
    <row r="9242" spans="1:8" x14ac:dyDescent="0.3">
      <c r="A9242" t="s">
        <v>23009</v>
      </c>
      <c r="B9242" t="s">
        <v>26951</v>
      </c>
      <c r="C9242" t="s">
        <v>23210</v>
      </c>
      <c r="D9242" t="s">
        <v>23209</v>
      </c>
      <c r="E9242" s="2" t="s">
        <v>313</v>
      </c>
      <c r="F9242" t="s">
        <v>23208</v>
      </c>
      <c r="G9242" t="str">
        <f>HYPERLINK("http://www.enewstoday.co.kr/news/articleView.html?idxno=2260141")</f>
        <v>http://www.enewstoday.co.kr/news/articleView.html?idxno=2260141</v>
      </c>
      <c r="H9242">
        <v>0.38200000000000001</v>
      </c>
    </row>
    <row r="9243" spans="1:8" x14ac:dyDescent="0.3">
      <c r="A9243" t="s">
        <v>23009</v>
      </c>
      <c r="B9243" t="s">
        <v>26951</v>
      </c>
      <c r="C9243" t="s">
        <v>23213</v>
      </c>
      <c r="D9243" t="s">
        <v>23212</v>
      </c>
      <c r="E9243" s="2" t="s">
        <v>313</v>
      </c>
      <c r="F9243" t="s">
        <v>23211</v>
      </c>
      <c r="G9243" t="str">
        <f>HYPERLINK("https://www.jeonmae.co.kr/news/articleView.html?idxno=1151971")</f>
        <v>https://www.jeonmae.co.kr/news/articleView.html?idxno=1151971</v>
      </c>
      <c r="H9243">
        <v>0.185</v>
      </c>
    </row>
    <row r="9244" spans="1:8" x14ac:dyDescent="0.3">
      <c r="A9244" t="s">
        <v>23009</v>
      </c>
      <c r="B9244" t="s">
        <v>26951</v>
      </c>
      <c r="C9244" t="s">
        <v>23215</v>
      </c>
      <c r="D9244" t="s">
        <v>23214</v>
      </c>
      <c r="E9244" s="2" t="s">
        <v>313</v>
      </c>
      <c r="F9244" t="s">
        <v>8412</v>
      </c>
      <c r="G9244" t="str">
        <f>HYPERLINK("https://n.news.naver.com/mnews/article/308/0000003847?sid=103")</f>
        <v>https://n.news.naver.com/mnews/article/308/0000003847?sid=103</v>
      </c>
      <c r="H9244">
        <v>0.152</v>
      </c>
    </row>
    <row r="9245" spans="1:8" x14ac:dyDescent="0.3">
      <c r="A9245" t="s">
        <v>23009</v>
      </c>
      <c r="B9245" t="s">
        <v>26951</v>
      </c>
      <c r="C9245" t="s">
        <v>23217</v>
      </c>
      <c r="D9245" t="s">
        <v>23216</v>
      </c>
      <c r="E9245" s="2" t="s">
        <v>313</v>
      </c>
      <c r="F9245" t="s">
        <v>3745</v>
      </c>
      <c r="G9245" t="str">
        <f>HYPERLINK("https://www.jeonmae.co.kr/news/articleView.html?idxno=1158406")</f>
        <v>https://www.jeonmae.co.kr/news/articleView.html?idxno=1158406</v>
      </c>
      <c r="H9245">
        <v>0.99</v>
      </c>
    </row>
    <row r="9246" spans="1:8" x14ac:dyDescent="0.3">
      <c r="A9246" t="s">
        <v>23009</v>
      </c>
      <c r="B9246" t="s">
        <v>26951</v>
      </c>
      <c r="C9246" t="s">
        <v>23219</v>
      </c>
      <c r="D9246" t="s">
        <v>23218</v>
      </c>
      <c r="E9246" s="2" t="s">
        <v>313</v>
      </c>
      <c r="F9246" t="s">
        <v>23095</v>
      </c>
      <c r="G9246" t="str">
        <f>HYPERLINK("https://www.viva100.com/article/20250625500203")</f>
        <v>https://www.viva100.com/article/20250625500203</v>
      </c>
      <c r="H9246">
        <v>0.85499999999999998</v>
      </c>
    </row>
    <row r="9247" spans="1:8" x14ac:dyDescent="0.3">
      <c r="A9247" t="s">
        <v>23009</v>
      </c>
      <c r="B9247" t="s">
        <v>26951</v>
      </c>
      <c r="C9247" t="s">
        <v>23221</v>
      </c>
      <c r="D9247" t="s">
        <v>23220</v>
      </c>
      <c r="E9247" s="2" t="s">
        <v>313</v>
      </c>
      <c r="F9247" t="s">
        <v>3745</v>
      </c>
      <c r="G9247" t="str">
        <f>HYPERLINK("https://www.siminilbo.co.kr/news/newsview.php?ncode=1160284119846131")</f>
        <v>https://www.siminilbo.co.kr/news/newsview.php?ncode=1160284119846131</v>
      </c>
      <c r="H9247">
        <v>0.84899999999999998</v>
      </c>
    </row>
    <row r="9248" spans="1:8" x14ac:dyDescent="0.3">
      <c r="A9248" t="s">
        <v>23009</v>
      </c>
      <c r="B9248" t="s">
        <v>26951</v>
      </c>
      <c r="C9248" t="s">
        <v>23223</v>
      </c>
      <c r="D9248" t="s">
        <v>23222</v>
      </c>
      <c r="E9248" s="2" t="s">
        <v>313</v>
      </c>
      <c r="F9248" t="s">
        <v>3745</v>
      </c>
      <c r="G9248" t="str">
        <f>HYPERLINK("https://www.jeonmae.co.kr/news/articleView.html?idxno=1149555")</f>
        <v>https://www.jeonmae.co.kr/news/articleView.html?idxno=1149555</v>
      </c>
      <c r="H9248">
        <v>0.373</v>
      </c>
    </row>
    <row r="9249" spans="1:8" x14ac:dyDescent="0.3">
      <c r="A9249" t="s">
        <v>23009</v>
      </c>
      <c r="B9249" t="s">
        <v>26951</v>
      </c>
      <c r="C9249" t="s">
        <v>23225</v>
      </c>
      <c r="D9249" t="s">
        <v>23224</v>
      </c>
      <c r="E9249" s="2" t="s">
        <v>313</v>
      </c>
      <c r="F9249" t="s">
        <v>3745</v>
      </c>
      <c r="G9249" t="str">
        <f>HYPERLINK("https://www.jeonmae.co.kr/news/articleView.html?idxno=1150838")</f>
        <v>https://www.jeonmae.co.kr/news/articleView.html?idxno=1150838</v>
      </c>
      <c r="H9249">
        <v>0.39800000000000002</v>
      </c>
    </row>
    <row r="9250" spans="1:8" x14ac:dyDescent="0.3">
      <c r="A9250" t="s">
        <v>23009</v>
      </c>
      <c r="B9250" t="s">
        <v>26951</v>
      </c>
      <c r="C9250" t="s">
        <v>23228</v>
      </c>
      <c r="D9250" t="s">
        <v>23227</v>
      </c>
      <c r="E9250" s="2" t="s">
        <v>313</v>
      </c>
      <c r="F9250" t="s">
        <v>23226</v>
      </c>
      <c r="G9250" t="str">
        <f>HYPERLINK("https://www.jeonmae.co.kr/news/articleView.html?idxno=1158281")</f>
        <v>https://www.jeonmae.co.kr/news/articleView.html?idxno=1158281</v>
      </c>
      <c r="H9250">
        <v>0.749</v>
      </c>
    </row>
    <row r="9251" spans="1:8" x14ac:dyDescent="0.3">
      <c r="A9251" t="s">
        <v>23009</v>
      </c>
      <c r="B9251" t="s">
        <v>26951</v>
      </c>
      <c r="C9251" t="s">
        <v>23230</v>
      </c>
      <c r="D9251" t="s">
        <v>23229</v>
      </c>
      <c r="E9251" s="2" t="s">
        <v>313</v>
      </c>
      <c r="F9251" t="s">
        <v>3745</v>
      </c>
      <c r="G9251" t="str">
        <f>HYPERLINK("https://www.jeonmae.co.kr/news/articleView.html?idxno=1158331")</f>
        <v>https://www.jeonmae.co.kr/news/articleView.html?idxno=1158331</v>
      </c>
      <c r="H9251">
        <v>0.98599999999999999</v>
      </c>
    </row>
    <row r="9252" spans="1:8" x14ac:dyDescent="0.3">
      <c r="A9252" t="s">
        <v>23009</v>
      </c>
      <c r="B9252" t="s">
        <v>26951</v>
      </c>
      <c r="C9252" t="s">
        <v>23232</v>
      </c>
      <c r="D9252" t="s">
        <v>23231</v>
      </c>
      <c r="E9252" s="2" t="s">
        <v>313</v>
      </c>
      <c r="F9252" t="s">
        <v>3745</v>
      </c>
      <c r="G9252" t="str">
        <f>HYPERLINK("https://www.pinpointnews.co.kr/news/articleView.html?idxno=353049")</f>
        <v>https://www.pinpointnews.co.kr/news/articleView.html?idxno=353049</v>
      </c>
      <c r="H9252">
        <v>0.878</v>
      </c>
    </row>
    <row r="9253" spans="1:8" x14ac:dyDescent="0.3">
      <c r="A9253" t="s">
        <v>23009</v>
      </c>
      <c r="B9253" t="s">
        <v>26951</v>
      </c>
      <c r="C9253" t="s">
        <v>23234</v>
      </c>
      <c r="D9253" t="s">
        <v>23233</v>
      </c>
      <c r="E9253" s="2" t="s">
        <v>313</v>
      </c>
      <c r="F9253" t="s">
        <v>3745</v>
      </c>
      <c r="G9253" t="str">
        <f>HYPERLINK("https://weekly.cnbnews.com/news/article.html?no=180610")</f>
        <v>https://weekly.cnbnews.com/news/article.html?no=180610</v>
      </c>
      <c r="H9253">
        <v>0.878</v>
      </c>
    </row>
    <row r="9254" spans="1:8" x14ac:dyDescent="0.3">
      <c r="A9254" t="s">
        <v>23009</v>
      </c>
      <c r="B9254" t="s">
        <v>26951</v>
      </c>
      <c r="C9254" t="s">
        <v>23236</v>
      </c>
      <c r="D9254" t="s">
        <v>23235</v>
      </c>
      <c r="E9254" s="2" t="s">
        <v>313</v>
      </c>
      <c r="F9254" t="s">
        <v>3745</v>
      </c>
      <c r="G9254" t="str">
        <f>HYPERLINK("https://www.jeonmae.co.kr/news/articleView.html?idxno=1158319")</f>
        <v>https://www.jeonmae.co.kr/news/articleView.html?idxno=1158319</v>
      </c>
      <c r="H9254">
        <v>0.995</v>
      </c>
    </row>
    <row r="9255" spans="1:8" x14ac:dyDescent="0.3">
      <c r="A9255" t="s">
        <v>23009</v>
      </c>
      <c r="B9255" t="s">
        <v>26951</v>
      </c>
      <c r="C9255" t="s">
        <v>23238</v>
      </c>
      <c r="D9255" t="s">
        <v>23237</v>
      </c>
      <c r="E9255" s="2" t="s">
        <v>313</v>
      </c>
      <c r="F9255" t="s">
        <v>3745</v>
      </c>
      <c r="G9255" t="str">
        <f>HYPERLINK("http://www.enewstoday.co.kr/news/articleView.html?idxno=2292067")</f>
        <v>http://www.enewstoday.co.kr/news/articleView.html?idxno=2292067</v>
      </c>
      <c r="H9255">
        <v>0.82</v>
      </c>
    </row>
    <row r="9256" spans="1:8" x14ac:dyDescent="0.3">
      <c r="A9256" t="s">
        <v>23009</v>
      </c>
      <c r="B9256" t="s">
        <v>26951</v>
      </c>
      <c r="C9256" t="s">
        <v>23240</v>
      </c>
      <c r="D9256" t="s">
        <v>23239</v>
      </c>
      <c r="E9256" s="2" t="s">
        <v>313</v>
      </c>
      <c r="F9256" t="s">
        <v>3745</v>
      </c>
      <c r="G9256" t="str">
        <f>HYPERLINK("https://weekly.cnbnews.com/news/article.html?no=180620")</f>
        <v>https://weekly.cnbnews.com/news/article.html?no=180620</v>
      </c>
      <c r="H9256">
        <v>0.95199999999999996</v>
      </c>
    </row>
    <row r="9257" spans="1:8" x14ac:dyDescent="0.3">
      <c r="A9257" t="s">
        <v>23009</v>
      </c>
      <c r="B9257" t="s">
        <v>26951</v>
      </c>
      <c r="C9257" t="s">
        <v>23242</v>
      </c>
      <c r="D9257" t="s">
        <v>23241</v>
      </c>
      <c r="E9257" s="2" t="s">
        <v>313</v>
      </c>
      <c r="F9257" t="s">
        <v>3745</v>
      </c>
      <c r="G9257" t="str">
        <f>HYPERLINK("https://www.jeonmae.co.kr/news/articleView.html?idxno=1149941")</f>
        <v>https://www.jeonmae.co.kr/news/articleView.html?idxno=1149941</v>
      </c>
      <c r="H9257">
        <v>0.29199999999999998</v>
      </c>
    </row>
    <row r="9258" spans="1:8" x14ac:dyDescent="0.3">
      <c r="A9258" t="s">
        <v>23009</v>
      </c>
      <c r="B9258" t="s">
        <v>26951</v>
      </c>
      <c r="C9258" t="s">
        <v>23244</v>
      </c>
      <c r="D9258" t="s">
        <v>23243</v>
      </c>
      <c r="E9258" s="2" t="s">
        <v>313</v>
      </c>
      <c r="F9258" t="s">
        <v>3745</v>
      </c>
      <c r="G9258" t="str">
        <f>HYPERLINK("https://weekly.cnbnews.com/news/article.html?no=180574")</f>
        <v>https://weekly.cnbnews.com/news/article.html?no=180574</v>
      </c>
      <c r="H9258">
        <v>0.96499999999999997</v>
      </c>
    </row>
    <row r="9259" spans="1:8" x14ac:dyDescent="0.3">
      <c r="A9259" t="s">
        <v>23009</v>
      </c>
      <c r="B9259" t="s">
        <v>26951</v>
      </c>
      <c r="C9259" t="s">
        <v>23246</v>
      </c>
      <c r="D9259" t="s">
        <v>23245</v>
      </c>
      <c r="E9259" s="2" t="s">
        <v>313</v>
      </c>
      <c r="F9259" t="s">
        <v>3745</v>
      </c>
      <c r="G9259" t="str">
        <f>HYPERLINK("https://weekly.cnbnews.com/news/article.html?no=180599")</f>
        <v>https://weekly.cnbnews.com/news/article.html?no=180599</v>
      </c>
      <c r="H9259">
        <v>0.91500000000000004</v>
      </c>
    </row>
    <row r="9260" spans="1:8" x14ac:dyDescent="0.3">
      <c r="A9260" t="s">
        <v>23009</v>
      </c>
      <c r="B9260" t="s">
        <v>26951</v>
      </c>
      <c r="C9260" t="s">
        <v>23249</v>
      </c>
      <c r="D9260" t="s">
        <v>23248</v>
      </c>
      <c r="E9260" s="2" t="s">
        <v>313</v>
      </c>
      <c r="F9260" t="s">
        <v>23247</v>
      </c>
      <c r="G9260" t="str">
        <f>HYPERLINK("https://www.jeonmae.co.kr/news/articleView.html?idxno=1161841")</f>
        <v>https://www.jeonmae.co.kr/news/articleView.html?idxno=1161841</v>
      </c>
      <c r="H9260">
        <v>0.39900000000000002</v>
      </c>
    </row>
    <row r="9261" spans="1:8" x14ac:dyDescent="0.3">
      <c r="A9261" t="s">
        <v>23009</v>
      </c>
      <c r="B9261" t="s">
        <v>26951</v>
      </c>
      <c r="C9261" t="s">
        <v>23251</v>
      </c>
      <c r="D9261" t="s">
        <v>23250</v>
      </c>
      <c r="E9261" s="2" t="s">
        <v>356</v>
      </c>
      <c r="F9261" t="s">
        <v>197</v>
      </c>
      <c r="G9261" t="str">
        <f>HYPERLINK("http://www.kbmaeil.com/news/articleView.html?idxno=1005846")</f>
        <v>http://www.kbmaeil.com/news/articleView.html?idxno=1005846</v>
      </c>
      <c r="H9261">
        <v>0.626</v>
      </c>
    </row>
    <row r="9262" spans="1:8" x14ac:dyDescent="0.3">
      <c r="A9262" t="s">
        <v>23009</v>
      </c>
      <c r="B9262" t="s">
        <v>26951</v>
      </c>
      <c r="C9262" t="s">
        <v>23253</v>
      </c>
      <c r="D9262" t="s">
        <v>23252</v>
      </c>
      <c r="E9262" s="2" t="s">
        <v>356</v>
      </c>
      <c r="F9262" t="s">
        <v>2046</v>
      </c>
      <c r="G9262" t="str">
        <f>HYPERLINK("https://n.news.naver.com/mnews/article/088/0000950562?sid=103")</f>
        <v>https://n.news.naver.com/mnews/article/088/0000950562?sid=103</v>
      </c>
      <c r="H9262">
        <v>0.35699999999999998</v>
      </c>
    </row>
    <row r="9263" spans="1:8" x14ac:dyDescent="0.3">
      <c r="A9263" t="s">
        <v>23009</v>
      </c>
      <c r="B9263" t="s">
        <v>26951</v>
      </c>
      <c r="C9263" t="s">
        <v>23255</v>
      </c>
      <c r="D9263" t="s">
        <v>23254</v>
      </c>
      <c r="E9263" s="2" t="s">
        <v>356</v>
      </c>
      <c r="F9263" t="s">
        <v>2046</v>
      </c>
      <c r="G9263" t="str">
        <f>HYPERLINK("http://www.kjdaily.com/article.php?aid=1750158603658159134")</f>
        <v>http://www.kjdaily.com/article.php?aid=1750158603658159134</v>
      </c>
      <c r="H9263">
        <v>9.1999999999999998E-2</v>
      </c>
    </row>
    <row r="9264" spans="1:8" x14ac:dyDescent="0.3">
      <c r="A9264" t="s">
        <v>23009</v>
      </c>
      <c r="B9264" t="s">
        <v>26951</v>
      </c>
      <c r="C9264" t="s">
        <v>23257</v>
      </c>
      <c r="D9264" t="s">
        <v>23256</v>
      </c>
      <c r="E9264" s="2" t="s">
        <v>356</v>
      </c>
      <c r="F9264" t="s">
        <v>23095</v>
      </c>
      <c r="G9264" t="str">
        <f>HYPERLINK("https://www.jeonmae.co.kr/news/articleView.html?idxno=1157889")</f>
        <v>https://www.jeonmae.co.kr/news/articleView.html?idxno=1157889</v>
      </c>
      <c r="H9264">
        <v>0.99</v>
      </c>
    </row>
    <row r="9265" spans="1:8" x14ac:dyDescent="0.3">
      <c r="A9265" t="s">
        <v>23009</v>
      </c>
      <c r="B9265" t="s">
        <v>26951</v>
      </c>
      <c r="C9265" t="s">
        <v>23260</v>
      </c>
      <c r="D9265" t="s">
        <v>23259</v>
      </c>
      <c r="E9265" s="2" t="s">
        <v>356</v>
      </c>
      <c r="F9265" t="s">
        <v>23258</v>
      </c>
      <c r="G9265" t="str">
        <f>HYPERLINK("https://www.dkilbo.com/news/articleView.html?idxno=379521")</f>
        <v>https://www.dkilbo.com/news/articleView.html?idxno=379521</v>
      </c>
      <c r="H9265">
        <v>0.49399999999999999</v>
      </c>
    </row>
    <row r="9266" spans="1:8" x14ac:dyDescent="0.3">
      <c r="A9266" t="s">
        <v>23009</v>
      </c>
      <c r="B9266" t="s">
        <v>26951</v>
      </c>
      <c r="C9266" t="s">
        <v>23262</v>
      </c>
      <c r="D9266" t="s">
        <v>23261</v>
      </c>
      <c r="E9266" s="2" t="s">
        <v>356</v>
      </c>
      <c r="F9266" t="s">
        <v>3745</v>
      </c>
      <c r="G9266" t="str">
        <f>HYPERLINK("https://www.jeonmae.co.kr/news/articleView.html?idxno=1001404")</f>
        <v>https://www.jeonmae.co.kr/news/articleView.html?idxno=1001404</v>
      </c>
      <c r="H9266">
        <v>0.29099999999999998</v>
      </c>
    </row>
    <row r="9267" spans="1:8" x14ac:dyDescent="0.3">
      <c r="A9267" t="s">
        <v>23009</v>
      </c>
      <c r="B9267" t="s">
        <v>26951</v>
      </c>
      <c r="C9267" t="s">
        <v>23264</v>
      </c>
      <c r="D9267" t="s">
        <v>23263</v>
      </c>
      <c r="E9267" s="2" t="s">
        <v>356</v>
      </c>
      <c r="F9267" t="s">
        <v>3745</v>
      </c>
      <c r="G9267" t="str">
        <f>HYPERLINK("https://www.jeonmae.co.kr/news/articleView.html?idxno=928488")</f>
        <v>https://www.jeonmae.co.kr/news/articleView.html?idxno=928488</v>
      </c>
      <c r="H9267">
        <v>0.50700000000000001</v>
      </c>
    </row>
    <row r="9268" spans="1:8" x14ac:dyDescent="0.3">
      <c r="A9268" t="s">
        <v>23009</v>
      </c>
      <c r="B9268" t="s">
        <v>26951</v>
      </c>
      <c r="C9268" t="s">
        <v>23266</v>
      </c>
      <c r="D9268" t="s">
        <v>23265</v>
      </c>
      <c r="E9268" s="2" t="s">
        <v>356</v>
      </c>
      <c r="F9268" t="s">
        <v>205</v>
      </c>
      <c r="G9268" t="str">
        <f>HYPERLINK("https://n.news.naver.com/mnews/article/032/0002768008?sid=102")</f>
        <v>https://n.news.naver.com/mnews/article/032/0002768008?sid=102</v>
      </c>
      <c r="H9268">
        <v>0.221</v>
      </c>
    </row>
    <row r="9269" spans="1:8" x14ac:dyDescent="0.3">
      <c r="A9269" t="s">
        <v>23009</v>
      </c>
      <c r="B9269" t="s">
        <v>26951</v>
      </c>
      <c r="C9269" t="s">
        <v>23268</v>
      </c>
      <c r="D9269" t="s">
        <v>23267</v>
      </c>
      <c r="E9269" s="2" t="s">
        <v>356</v>
      </c>
      <c r="F9269" t="s">
        <v>2046</v>
      </c>
      <c r="G9269" t="str">
        <f>HYPERLINK("http://www.vogue.co.kr/?p=147665")</f>
        <v>http://www.vogue.co.kr/?p=147665</v>
      </c>
      <c r="H9269">
        <v>0.52900000000000003</v>
      </c>
    </row>
    <row r="9270" spans="1:8" x14ac:dyDescent="0.3">
      <c r="A9270" t="s">
        <v>23009</v>
      </c>
      <c r="B9270" t="s">
        <v>26951</v>
      </c>
      <c r="C9270" t="s">
        <v>23270</v>
      </c>
      <c r="D9270" t="s">
        <v>23269</v>
      </c>
      <c r="E9270" s="2" t="s">
        <v>356</v>
      </c>
      <c r="F9270" t="s">
        <v>3745</v>
      </c>
      <c r="G9270" t="str">
        <f>HYPERLINK("https://weekly.cnbnews.com/news/article.html?no=180860")</f>
        <v>https://weekly.cnbnews.com/news/article.html?no=180860</v>
      </c>
      <c r="H9270">
        <v>0.627</v>
      </c>
    </row>
    <row r="9271" spans="1:8" x14ac:dyDescent="0.3">
      <c r="A9271" t="s">
        <v>23009</v>
      </c>
      <c r="B9271" t="s">
        <v>26951</v>
      </c>
      <c r="C9271" t="s">
        <v>23272</v>
      </c>
      <c r="D9271" t="s">
        <v>23271</v>
      </c>
      <c r="E9271" s="2" t="s">
        <v>356</v>
      </c>
      <c r="F9271" t="s">
        <v>3745</v>
      </c>
      <c r="G9271" t="str">
        <f>HYPERLINK("https://www.jeonmae.co.kr/news/articleView.html?idxno=1157840")</f>
        <v>https://www.jeonmae.co.kr/news/articleView.html?idxno=1157840</v>
      </c>
      <c r="H9271">
        <v>0.98899999999999999</v>
      </c>
    </row>
    <row r="9272" spans="1:8" x14ac:dyDescent="0.3">
      <c r="A9272" t="s">
        <v>23009</v>
      </c>
      <c r="B9272" t="s">
        <v>26951</v>
      </c>
      <c r="C9272" t="s">
        <v>23274</v>
      </c>
      <c r="D9272" t="s">
        <v>23273</v>
      </c>
      <c r="E9272" s="2" t="s">
        <v>356</v>
      </c>
      <c r="F9272" t="s">
        <v>3745</v>
      </c>
      <c r="G9272" t="str">
        <f>HYPERLINK("https://www.etoday.co.kr/news/view/2479756")</f>
        <v>https://www.etoday.co.kr/news/view/2479756</v>
      </c>
      <c r="H9272">
        <v>0.83199999999999996</v>
      </c>
    </row>
    <row r="9273" spans="1:8" x14ac:dyDescent="0.3">
      <c r="A9273" t="s">
        <v>23009</v>
      </c>
      <c r="B9273" t="s">
        <v>26951</v>
      </c>
      <c r="C9273" t="s">
        <v>23276</v>
      </c>
      <c r="D9273" t="s">
        <v>23275</v>
      </c>
      <c r="E9273" s="2" t="s">
        <v>356</v>
      </c>
      <c r="F9273" t="s">
        <v>3745</v>
      </c>
      <c r="G9273" t="str">
        <f>HYPERLINK("https://www.jeonmae.co.kr/news/articleView.html?idxno=1157837")</f>
        <v>https://www.jeonmae.co.kr/news/articleView.html?idxno=1157837</v>
      </c>
      <c r="H9273">
        <v>0.97899999999999998</v>
      </c>
    </row>
    <row r="9274" spans="1:8" x14ac:dyDescent="0.3">
      <c r="A9274" t="s">
        <v>23009</v>
      </c>
      <c r="B9274" t="s">
        <v>26951</v>
      </c>
      <c r="C9274" t="s">
        <v>23278</v>
      </c>
      <c r="D9274" t="s">
        <v>23277</v>
      </c>
      <c r="E9274" s="2" t="s">
        <v>356</v>
      </c>
      <c r="F9274" t="s">
        <v>3745</v>
      </c>
      <c r="G9274" t="str">
        <f>HYPERLINK("https://www.geconomy.co.kr/news/article.html?no=301368")</f>
        <v>https://www.geconomy.co.kr/news/article.html?no=301368</v>
      </c>
      <c r="H9274">
        <v>0.85699999999999998</v>
      </c>
    </row>
    <row r="9275" spans="1:8" x14ac:dyDescent="0.3">
      <c r="A9275" t="s">
        <v>23009</v>
      </c>
      <c r="B9275" t="s">
        <v>26951</v>
      </c>
      <c r="C9275" t="s">
        <v>23280</v>
      </c>
      <c r="D9275" t="s">
        <v>23279</v>
      </c>
      <c r="E9275" s="2" t="s">
        <v>356</v>
      </c>
      <c r="F9275" t="s">
        <v>3745</v>
      </c>
      <c r="G9275" t="str">
        <f>HYPERLINK("https://www.jeonmae.co.kr/news/articleView.html?idxno=1157835")</f>
        <v>https://www.jeonmae.co.kr/news/articleView.html?idxno=1157835</v>
      </c>
      <c r="H9275">
        <v>0.997</v>
      </c>
    </row>
    <row r="9276" spans="1:8" x14ac:dyDescent="0.3">
      <c r="A9276" t="s">
        <v>23009</v>
      </c>
      <c r="B9276" t="s">
        <v>26951</v>
      </c>
      <c r="C9276" t="s">
        <v>3854</v>
      </c>
      <c r="D9276" t="s">
        <v>3853</v>
      </c>
      <c r="E9276" s="2" t="s">
        <v>394</v>
      </c>
      <c r="F9276" t="s">
        <v>3852</v>
      </c>
      <c r="G9276" t="str">
        <f>HYPERLINK("https://n.news.naver.com/mnews/article/088/0000314139?sid=102")</f>
        <v>https://n.news.naver.com/mnews/article/088/0000314139?sid=102</v>
      </c>
      <c r="H9276">
        <v>0.21099999999999999</v>
      </c>
    </row>
    <row r="9277" spans="1:8" x14ac:dyDescent="0.3">
      <c r="A9277" t="s">
        <v>23009</v>
      </c>
      <c r="B9277" t="s">
        <v>26951</v>
      </c>
      <c r="C9277" t="s">
        <v>23283</v>
      </c>
      <c r="D9277" t="s">
        <v>23282</v>
      </c>
      <c r="E9277" s="2" t="s">
        <v>394</v>
      </c>
      <c r="F9277" t="s">
        <v>23281</v>
      </c>
      <c r="G9277" t="str">
        <f>HYPERLINK("https://www.hellot.net/news/article.html?no=88649")</f>
        <v>https://www.hellot.net/news/article.html?no=88649</v>
      </c>
      <c r="H9277">
        <v>0.30499999999999999</v>
      </c>
    </row>
    <row r="9278" spans="1:8" x14ac:dyDescent="0.3">
      <c r="A9278" t="s">
        <v>23009</v>
      </c>
      <c r="B9278" t="s">
        <v>26951</v>
      </c>
      <c r="C9278" t="s">
        <v>23285</v>
      </c>
      <c r="D9278" t="s">
        <v>23284</v>
      </c>
      <c r="E9278" s="2" t="s">
        <v>394</v>
      </c>
      <c r="F9278" t="s">
        <v>3745</v>
      </c>
      <c r="G9278" t="str">
        <f>HYPERLINK("http://www.ttlnews.com/news/articleView.html?idxno=3004765")</f>
        <v>http://www.ttlnews.com/news/articleView.html?idxno=3004765</v>
      </c>
      <c r="H9278">
        <v>0.95599999999999996</v>
      </c>
    </row>
    <row r="9279" spans="1:8" x14ac:dyDescent="0.3">
      <c r="A9279" t="s">
        <v>23009</v>
      </c>
      <c r="B9279" t="s">
        <v>26951</v>
      </c>
      <c r="C9279" t="s">
        <v>23287</v>
      </c>
      <c r="D9279" t="s">
        <v>23286</v>
      </c>
      <c r="E9279" s="2" t="s">
        <v>394</v>
      </c>
      <c r="F9279" t="s">
        <v>23095</v>
      </c>
      <c r="G9279" t="str">
        <f>HYPERLINK("http://www.veritas-a.com/news/articleView.html?idxno=485412")</f>
        <v>http://www.veritas-a.com/news/articleView.html?idxno=485412</v>
      </c>
      <c r="H9279">
        <v>0.60799999999999998</v>
      </c>
    </row>
    <row r="9280" spans="1:8" x14ac:dyDescent="0.3">
      <c r="A9280" t="s">
        <v>23009</v>
      </c>
      <c r="B9280" t="s">
        <v>26951</v>
      </c>
      <c r="C9280" t="s">
        <v>23289</v>
      </c>
      <c r="D9280" t="s">
        <v>23288</v>
      </c>
      <c r="E9280" s="2" t="s">
        <v>394</v>
      </c>
      <c r="F9280" t="s">
        <v>3745</v>
      </c>
      <c r="G9280" t="str">
        <f>HYPERLINK("https://www.jeonmae.co.kr/news/articleView.html?idxno=1157414")</f>
        <v>https://www.jeonmae.co.kr/news/articleView.html?idxno=1157414</v>
      </c>
      <c r="H9280">
        <v>0.98899999999999999</v>
      </c>
    </row>
    <row r="9281" spans="1:8" x14ac:dyDescent="0.3">
      <c r="A9281" t="s">
        <v>23009</v>
      </c>
      <c r="B9281" t="s">
        <v>26951</v>
      </c>
      <c r="C9281" t="s">
        <v>23291</v>
      </c>
      <c r="D9281" t="s">
        <v>23290</v>
      </c>
      <c r="E9281" s="2" t="s">
        <v>394</v>
      </c>
      <c r="F9281" t="s">
        <v>2448</v>
      </c>
      <c r="G9281" t="str">
        <f>HYPERLINK("http://www.samdailbo.com/news/articleView.html?idxno=241421")</f>
        <v>http://www.samdailbo.com/news/articleView.html?idxno=241421</v>
      </c>
      <c r="H9281">
        <v>0.52500000000000002</v>
      </c>
    </row>
    <row r="9282" spans="1:8" x14ac:dyDescent="0.3">
      <c r="A9282" t="s">
        <v>23009</v>
      </c>
      <c r="B9282" t="s">
        <v>26951</v>
      </c>
      <c r="C9282" t="s">
        <v>23293</v>
      </c>
      <c r="D9282" t="s">
        <v>23292</v>
      </c>
      <c r="E9282" s="2" t="s">
        <v>394</v>
      </c>
      <c r="F9282" t="s">
        <v>3745</v>
      </c>
      <c r="G9282" t="str">
        <f>HYPERLINK("https://www.jeonmae.co.kr/news/articleView.html?idxno=1149941")</f>
        <v>https://www.jeonmae.co.kr/news/articleView.html?idxno=1149941</v>
      </c>
      <c r="H9282">
        <v>0.30399999999999999</v>
      </c>
    </row>
    <row r="9283" spans="1:8" x14ac:dyDescent="0.3">
      <c r="A9283" t="s">
        <v>23009</v>
      </c>
      <c r="B9283" t="s">
        <v>26951</v>
      </c>
      <c r="C9283" t="s">
        <v>23295</v>
      </c>
      <c r="D9283" t="s">
        <v>23294</v>
      </c>
      <c r="E9283" s="2" t="s">
        <v>394</v>
      </c>
      <c r="F9283" t="s">
        <v>3745</v>
      </c>
      <c r="G9283" t="str">
        <f>HYPERLINK("https://www.tournews21.com/news/articleView.html?idxno=105942")</f>
        <v>https://www.tournews21.com/news/articleView.html?idxno=105942</v>
      </c>
      <c r="H9283">
        <v>0.88500000000000001</v>
      </c>
    </row>
    <row r="9284" spans="1:8" x14ac:dyDescent="0.3">
      <c r="A9284" t="s">
        <v>23009</v>
      </c>
      <c r="B9284" t="s">
        <v>26951</v>
      </c>
      <c r="C9284" t="s">
        <v>23297</v>
      </c>
      <c r="D9284" t="s">
        <v>23296</v>
      </c>
      <c r="E9284" s="2" t="s">
        <v>394</v>
      </c>
      <c r="F9284" t="s">
        <v>3745</v>
      </c>
      <c r="G9284" t="str">
        <f>HYPERLINK("https://www.tournews21.com/news/articleView.html?idxno=106098")</f>
        <v>https://www.tournews21.com/news/articleView.html?idxno=106098</v>
      </c>
      <c r="H9284">
        <v>0.91700000000000004</v>
      </c>
    </row>
    <row r="9285" spans="1:8" x14ac:dyDescent="0.3">
      <c r="A9285" t="s">
        <v>23009</v>
      </c>
      <c r="B9285" t="s">
        <v>26951</v>
      </c>
      <c r="C9285" t="s">
        <v>23299</v>
      </c>
      <c r="D9285" t="s">
        <v>23298</v>
      </c>
      <c r="E9285" s="2" t="s">
        <v>394</v>
      </c>
      <c r="F9285" t="s">
        <v>3745</v>
      </c>
      <c r="G9285" t="str">
        <f>HYPERLINK("https://www.jeonmae.co.kr/news/articleView.html?idxno=1149941")</f>
        <v>https://www.jeonmae.co.kr/news/articleView.html?idxno=1149941</v>
      </c>
      <c r="H9285">
        <v>0.28399999999999997</v>
      </c>
    </row>
    <row r="9286" spans="1:8" x14ac:dyDescent="0.3">
      <c r="A9286" t="s">
        <v>23009</v>
      </c>
      <c r="B9286" t="s">
        <v>26951</v>
      </c>
      <c r="C9286" t="s">
        <v>23301</v>
      </c>
      <c r="D9286" t="s">
        <v>23300</v>
      </c>
      <c r="E9286" s="2" t="s">
        <v>394</v>
      </c>
      <c r="F9286" t="s">
        <v>23226</v>
      </c>
      <c r="G9286" t="str">
        <f>HYPERLINK("https://www.jeonmae.co.kr/news/articleView.html?idxno=1157337")</f>
        <v>https://www.jeonmae.co.kr/news/articleView.html?idxno=1157337</v>
      </c>
      <c r="H9286">
        <v>0.90900000000000003</v>
      </c>
    </row>
    <row r="9287" spans="1:8" x14ac:dyDescent="0.3">
      <c r="A9287" t="s">
        <v>23009</v>
      </c>
      <c r="B9287" t="s">
        <v>26951</v>
      </c>
      <c r="C9287" t="s">
        <v>23303</v>
      </c>
      <c r="D9287" t="s">
        <v>23302</v>
      </c>
      <c r="E9287" s="2" t="s">
        <v>394</v>
      </c>
      <c r="F9287" t="s">
        <v>3745</v>
      </c>
      <c r="G9287" t="str">
        <f>HYPERLINK("https://www.jeonmae.co.kr/news/articleView.html?idxno=1024040")</f>
        <v>https://www.jeonmae.co.kr/news/articleView.html?idxno=1024040</v>
      </c>
      <c r="H9287">
        <v>0.41</v>
      </c>
    </row>
    <row r="9288" spans="1:8" x14ac:dyDescent="0.3">
      <c r="A9288" t="s">
        <v>23009</v>
      </c>
      <c r="B9288" t="s">
        <v>26951</v>
      </c>
      <c r="C9288" t="s">
        <v>23305</v>
      </c>
      <c r="D9288" t="s">
        <v>23304</v>
      </c>
      <c r="E9288" s="2" t="s">
        <v>394</v>
      </c>
      <c r="F9288" t="s">
        <v>3745</v>
      </c>
      <c r="G9288" t="str">
        <f>HYPERLINK("https://www.jeonmae.co.kr/news/articleView.html?idxno=1157354")</f>
        <v>https://www.jeonmae.co.kr/news/articleView.html?idxno=1157354</v>
      </c>
      <c r="H9288">
        <v>0.98199999999999998</v>
      </c>
    </row>
    <row r="9289" spans="1:8" x14ac:dyDescent="0.3">
      <c r="A9289" t="s">
        <v>23009</v>
      </c>
      <c r="B9289" t="s">
        <v>26951</v>
      </c>
      <c r="C9289" t="s">
        <v>23307</v>
      </c>
      <c r="D9289" t="s">
        <v>23306</v>
      </c>
      <c r="E9289" s="2" t="s">
        <v>394</v>
      </c>
      <c r="F9289" t="s">
        <v>3745</v>
      </c>
      <c r="G9289" t="str">
        <f>HYPERLINK("https://www.jeonmae.co.kr/news/articleView.html?idxno=1157353")</f>
        <v>https://www.jeonmae.co.kr/news/articleView.html?idxno=1157353</v>
      </c>
      <c r="H9289">
        <v>0.996</v>
      </c>
    </row>
    <row r="9290" spans="1:8" x14ac:dyDescent="0.3">
      <c r="A9290" t="s">
        <v>23009</v>
      </c>
      <c r="B9290" t="s">
        <v>26951</v>
      </c>
      <c r="C9290" t="s">
        <v>23309</v>
      </c>
      <c r="D9290" t="s">
        <v>23308</v>
      </c>
      <c r="E9290" s="2" t="s">
        <v>394</v>
      </c>
      <c r="F9290" t="s">
        <v>3745</v>
      </c>
      <c r="G9290" t="str">
        <f>HYPERLINK("https://www.newscj.com/news/articleView.html?idxno=3282335")</f>
        <v>https://www.newscj.com/news/articleView.html?idxno=3282335</v>
      </c>
      <c r="H9290">
        <v>0.81200000000000006</v>
      </c>
    </row>
    <row r="9291" spans="1:8" x14ac:dyDescent="0.3">
      <c r="A9291" t="s">
        <v>23009</v>
      </c>
      <c r="B9291" t="s">
        <v>26951</v>
      </c>
      <c r="C9291" t="s">
        <v>23311</v>
      </c>
      <c r="D9291" t="s">
        <v>23310</v>
      </c>
      <c r="E9291" s="2" t="s">
        <v>394</v>
      </c>
      <c r="F9291" t="s">
        <v>3745</v>
      </c>
      <c r="G9291" t="str">
        <f>HYPERLINK("https://www.jeonmae.co.kr/news/articleView.html?idxno=1157351")</f>
        <v>https://www.jeonmae.co.kr/news/articleView.html?idxno=1157351</v>
      </c>
      <c r="H9291">
        <v>0.996</v>
      </c>
    </row>
    <row r="9292" spans="1:8" x14ac:dyDescent="0.3">
      <c r="A9292" t="s">
        <v>23009</v>
      </c>
      <c r="B9292" t="s">
        <v>26951</v>
      </c>
      <c r="C9292" t="s">
        <v>23313</v>
      </c>
      <c r="D9292" t="s">
        <v>23312</v>
      </c>
      <c r="E9292" s="2" t="s">
        <v>394</v>
      </c>
      <c r="F9292" t="s">
        <v>3745</v>
      </c>
      <c r="G9292" t="str">
        <f>HYPERLINK("https://www.geconomy.co.kr/news/article.html?no=301367")</f>
        <v>https://www.geconomy.co.kr/news/article.html?no=301367</v>
      </c>
      <c r="H9292">
        <v>0.79400000000000004</v>
      </c>
    </row>
    <row r="9293" spans="1:8" x14ac:dyDescent="0.3">
      <c r="A9293" t="s">
        <v>23009</v>
      </c>
      <c r="B9293" t="s">
        <v>26951</v>
      </c>
      <c r="C9293" t="s">
        <v>23315</v>
      </c>
      <c r="D9293" t="s">
        <v>23314</v>
      </c>
      <c r="E9293" s="2" t="s">
        <v>394</v>
      </c>
      <c r="F9293" t="s">
        <v>3745</v>
      </c>
      <c r="G9293" t="str">
        <f>HYPERLINK("https://weekly.cnbnews.com/news/article.html?no=180288")</f>
        <v>https://weekly.cnbnews.com/news/article.html?no=180288</v>
      </c>
      <c r="H9293">
        <v>0.82699999999999996</v>
      </c>
    </row>
    <row r="9294" spans="1:8" x14ac:dyDescent="0.3">
      <c r="A9294" t="s">
        <v>23009</v>
      </c>
      <c r="B9294" t="s">
        <v>26951</v>
      </c>
      <c r="C9294" t="s">
        <v>23318</v>
      </c>
      <c r="D9294" t="s">
        <v>23317</v>
      </c>
      <c r="E9294" s="2" t="s">
        <v>418</v>
      </c>
      <c r="F9294" t="s">
        <v>23316</v>
      </c>
      <c r="G9294" t="str">
        <f>HYPERLINK("http://ch.yes24.com/Article/View/46927")</f>
        <v>http://ch.yes24.com/Article/View/46927</v>
      </c>
      <c r="H9294">
        <v>0.46100000000000002</v>
      </c>
    </row>
    <row r="9295" spans="1:8" x14ac:dyDescent="0.3">
      <c r="A9295" t="s">
        <v>23009</v>
      </c>
      <c r="B9295" t="s">
        <v>26951</v>
      </c>
      <c r="C9295" t="s">
        <v>23320</v>
      </c>
      <c r="D9295" t="s">
        <v>23319</v>
      </c>
      <c r="E9295" s="2" t="s">
        <v>418</v>
      </c>
      <c r="F9295" t="s">
        <v>23095</v>
      </c>
      <c r="G9295" t="str">
        <f>HYPERLINK("https://weekly.cnbnews.com/news/article.html?no=180179")</f>
        <v>https://weekly.cnbnews.com/news/article.html?no=180179</v>
      </c>
      <c r="H9295">
        <v>0.94299999999999995</v>
      </c>
    </row>
    <row r="9296" spans="1:8" x14ac:dyDescent="0.3">
      <c r="A9296" t="s">
        <v>23009</v>
      </c>
      <c r="B9296" t="s">
        <v>26951</v>
      </c>
      <c r="C9296" t="s">
        <v>23322</v>
      </c>
      <c r="D9296" t="s">
        <v>23321</v>
      </c>
      <c r="E9296" s="2" t="s">
        <v>418</v>
      </c>
      <c r="F9296" t="s">
        <v>3745</v>
      </c>
      <c r="G9296" t="str">
        <f>HYPERLINK("https://www.jeonmae.co.kr/news/articleView.html?idxno=1044639")</f>
        <v>https://www.jeonmae.co.kr/news/articleView.html?idxno=1044639</v>
      </c>
      <c r="H9296">
        <v>0.24199999999999999</v>
      </c>
    </row>
    <row r="9297" spans="1:8" x14ac:dyDescent="0.3">
      <c r="A9297" t="s">
        <v>23009</v>
      </c>
      <c r="B9297" t="s">
        <v>26951</v>
      </c>
      <c r="C9297" t="s">
        <v>23324</v>
      </c>
      <c r="D9297" t="s">
        <v>23323</v>
      </c>
      <c r="E9297" s="2" t="s">
        <v>418</v>
      </c>
      <c r="F9297" t="s">
        <v>3745</v>
      </c>
      <c r="G9297" t="str">
        <f>HYPERLINK("https://www.siminilbo.co.kr/news/newsview.php?ncode=1160288212809028")</f>
        <v>https://www.siminilbo.co.kr/news/newsview.php?ncode=1160288212809028</v>
      </c>
      <c r="H9297">
        <v>0.89800000000000002</v>
      </c>
    </row>
    <row r="9298" spans="1:8" x14ac:dyDescent="0.3">
      <c r="A9298" t="s">
        <v>23009</v>
      </c>
      <c r="B9298" t="s">
        <v>26951</v>
      </c>
      <c r="C9298" t="s">
        <v>23326</v>
      </c>
      <c r="D9298" t="s">
        <v>23325</v>
      </c>
      <c r="E9298" s="2" t="s">
        <v>418</v>
      </c>
      <c r="F9298" t="s">
        <v>3745</v>
      </c>
      <c r="G9298" t="str">
        <f>HYPERLINK("http://www.suwonilbo.kr/news/articleView.html?idxno=310638")</f>
        <v>http://www.suwonilbo.kr/news/articleView.html?idxno=310638</v>
      </c>
      <c r="H9298">
        <v>0.92900000000000005</v>
      </c>
    </row>
    <row r="9299" spans="1:8" x14ac:dyDescent="0.3">
      <c r="A9299" t="s">
        <v>23009</v>
      </c>
      <c r="B9299" t="s">
        <v>26951</v>
      </c>
      <c r="C9299" t="s">
        <v>23328</v>
      </c>
      <c r="D9299" t="s">
        <v>23327</v>
      </c>
      <c r="E9299" s="2" t="s">
        <v>418</v>
      </c>
      <c r="F9299" t="s">
        <v>3745</v>
      </c>
      <c r="G9299" t="str">
        <f>HYPERLINK("http://www.kihoilbo.co.kr/news/articleView.html?idxno=1148012")</f>
        <v>http://www.kihoilbo.co.kr/news/articleView.html?idxno=1148012</v>
      </c>
      <c r="H9299">
        <v>0.82699999999999996</v>
      </c>
    </row>
    <row r="9300" spans="1:8" x14ac:dyDescent="0.3">
      <c r="A9300" t="s">
        <v>23009</v>
      </c>
      <c r="B9300" t="s">
        <v>26951</v>
      </c>
      <c r="C9300" t="s">
        <v>23330</v>
      </c>
      <c r="D9300" t="s">
        <v>23329</v>
      </c>
      <c r="E9300" s="2" t="s">
        <v>418</v>
      </c>
      <c r="F9300" t="s">
        <v>3745</v>
      </c>
      <c r="G9300" t="str">
        <f>HYPERLINK("https://www.jeonmae.co.kr/news/articleView.html?idxno=1156906")</f>
        <v>https://www.jeonmae.co.kr/news/articleView.html?idxno=1156906</v>
      </c>
      <c r="H9300">
        <v>0.99299999999999999</v>
      </c>
    </row>
    <row r="9301" spans="1:8" x14ac:dyDescent="0.3">
      <c r="A9301" t="s">
        <v>23009</v>
      </c>
      <c r="B9301" t="s">
        <v>26951</v>
      </c>
      <c r="C9301" t="s">
        <v>23332</v>
      </c>
      <c r="D9301" t="s">
        <v>23331</v>
      </c>
      <c r="E9301" s="2" t="s">
        <v>418</v>
      </c>
      <c r="F9301" t="s">
        <v>3745</v>
      </c>
      <c r="G9301" t="str">
        <f>HYPERLINK("https://www.jeonmae.co.kr/news/articleView.html?idxno=1156893")</f>
        <v>https://www.jeonmae.co.kr/news/articleView.html?idxno=1156893</v>
      </c>
      <c r="H9301">
        <v>0.997</v>
      </c>
    </row>
    <row r="9302" spans="1:8" x14ac:dyDescent="0.3">
      <c r="A9302" t="s">
        <v>23009</v>
      </c>
      <c r="B9302" t="s">
        <v>26951</v>
      </c>
      <c r="C9302" t="s">
        <v>23334</v>
      </c>
      <c r="D9302" t="s">
        <v>23333</v>
      </c>
      <c r="E9302" s="2" t="s">
        <v>418</v>
      </c>
      <c r="F9302" t="s">
        <v>3745</v>
      </c>
      <c r="G9302" t="str">
        <f>HYPERLINK("https://www.jeonmae.co.kr/news/articleView.html?idxno=1149941")</f>
        <v>https://www.jeonmae.co.kr/news/articleView.html?idxno=1149941</v>
      </c>
      <c r="H9302">
        <v>0.26600000000000001</v>
      </c>
    </row>
    <row r="9303" spans="1:8" x14ac:dyDescent="0.3">
      <c r="A9303" t="s">
        <v>23009</v>
      </c>
      <c r="B9303" t="s">
        <v>26951</v>
      </c>
      <c r="C9303" t="s">
        <v>23336</v>
      </c>
      <c r="D9303" t="s">
        <v>23335</v>
      </c>
      <c r="E9303" s="2" t="s">
        <v>418</v>
      </c>
      <c r="F9303" t="s">
        <v>3745</v>
      </c>
      <c r="G9303" t="str">
        <f>HYPERLINK("https://www.jeonmae.co.kr/news/articleView.html?idxno=1156885")</f>
        <v>https://www.jeonmae.co.kr/news/articleView.html?idxno=1156885</v>
      </c>
      <c r="H9303">
        <v>0.99399999999999999</v>
      </c>
    </row>
    <row r="9304" spans="1:8" x14ac:dyDescent="0.3">
      <c r="A9304" t="s">
        <v>23009</v>
      </c>
      <c r="B9304" t="s">
        <v>26951</v>
      </c>
      <c r="C9304" t="s">
        <v>23338</v>
      </c>
      <c r="D9304" t="s">
        <v>23337</v>
      </c>
      <c r="E9304" s="2" t="s">
        <v>418</v>
      </c>
      <c r="F9304" t="s">
        <v>3745</v>
      </c>
      <c r="G9304" t="str">
        <f>HYPERLINK("https://weekly.cnbnews.com/news/article.html?no=180160")</f>
        <v>https://weekly.cnbnews.com/news/article.html?no=180160</v>
      </c>
      <c r="H9304">
        <v>0.79500000000000004</v>
      </c>
    </row>
    <row r="9305" spans="1:8" x14ac:dyDescent="0.3">
      <c r="A9305" t="s">
        <v>23009</v>
      </c>
      <c r="B9305" t="s">
        <v>26951</v>
      </c>
      <c r="C9305" t="s">
        <v>23340</v>
      </c>
      <c r="D9305" t="s">
        <v>23339</v>
      </c>
      <c r="E9305" s="2" t="s">
        <v>452</v>
      </c>
      <c r="F9305" t="s">
        <v>1136</v>
      </c>
      <c r="G9305" t="str">
        <f>HYPERLINK("https://n.news.naver.com/mnews/article/088/0000956556?sid=100")</f>
        <v>https://n.news.naver.com/mnews/article/088/0000956556?sid=100</v>
      </c>
      <c r="H9305">
        <v>0.25800000000000001</v>
      </c>
    </row>
    <row r="9306" spans="1:8" x14ac:dyDescent="0.3">
      <c r="A9306" t="s">
        <v>23009</v>
      </c>
      <c r="B9306" t="s">
        <v>26951</v>
      </c>
      <c r="C9306" t="s">
        <v>23342</v>
      </c>
      <c r="D9306" t="s">
        <v>23341</v>
      </c>
      <c r="E9306" s="2" t="s">
        <v>452</v>
      </c>
      <c r="F9306" t="s">
        <v>1587</v>
      </c>
      <c r="G9306" t="str">
        <f>HYPERLINK("https://www.jeonmae.co.kr/news/articleView.html?idxno=1155846")</f>
        <v>https://www.jeonmae.co.kr/news/articleView.html?idxno=1155846</v>
      </c>
      <c r="H9306">
        <v>0.83399999999999996</v>
      </c>
    </row>
    <row r="9307" spans="1:8" x14ac:dyDescent="0.3">
      <c r="A9307" t="s">
        <v>23009</v>
      </c>
      <c r="B9307" t="s">
        <v>26951</v>
      </c>
      <c r="C9307" t="s">
        <v>23344</v>
      </c>
      <c r="D9307" t="s">
        <v>23343</v>
      </c>
      <c r="E9307" s="2" t="s">
        <v>452</v>
      </c>
      <c r="F9307" t="s">
        <v>2046</v>
      </c>
      <c r="G9307" t="str">
        <f>HYPERLINK("http://www.gnmaeil.com/news/articleView.html?idxno=543662")</f>
        <v>http://www.gnmaeil.com/news/articleView.html?idxno=543662</v>
      </c>
      <c r="H9307">
        <v>0.55800000000000005</v>
      </c>
    </row>
    <row r="9308" spans="1:8" x14ac:dyDescent="0.3">
      <c r="A9308" t="s">
        <v>23009</v>
      </c>
      <c r="B9308" t="s">
        <v>26951</v>
      </c>
      <c r="C9308" t="s">
        <v>23347</v>
      </c>
      <c r="D9308" t="s">
        <v>23346</v>
      </c>
      <c r="E9308" s="2" t="s">
        <v>452</v>
      </c>
      <c r="F9308" t="s">
        <v>23345</v>
      </c>
      <c r="G9308" t="str">
        <f>HYPERLINK("https://www.jeonmae.co.kr/news/articleView.html?idxno=1154010")</f>
        <v>https://www.jeonmae.co.kr/news/articleView.html?idxno=1154010</v>
      </c>
      <c r="H9308">
        <v>0.54800000000000004</v>
      </c>
    </row>
    <row r="9309" spans="1:8" x14ac:dyDescent="0.3">
      <c r="A9309" t="s">
        <v>23009</v>
      </c>
      <c r="B9309" t="s">
        <v>26951</v>
      </c>
      <c r="C9309" t="s">
        <v>23349</v>
      </c>
      <c r="D9309" t="s">
        <v>23348</v>
      </c>
      <c r="E9309" s="2" t="s">
        <v>452</v>
      </c>
      <c r="F9309" t="s">
        <v>23095</v>
      </c>
      <c r="G9309" t="str">
        <f>HYPERLINK("https://weekly.cnbnews.com/news/article.html?no=180103")</f>
        <v>https://weekly.cnbnews.com/news/article.html?no=180103</v>
      </c>
      <c r="H9309">
        <v>0.90900000000000003</v>
      </c>
    </row>
    <row r="9310" spans="1:8" x14ac:dyDescent="0.3">
      <c r="A9310" t="s">
        <v>23009</v>
      </c>
      <c r="B9310" t="s">
        <v>26951</v>
      </c>
      <c r="C9310" t="s">
        <v>23351</v>
      </c>
      <c r="D9310" t="s">
        <v>23350</v>
      </c>
      <c r="E9310" s="2" t="s">
        <v>452</v>
      </c>
      <c r="F9310" t="s">
        <v>23095</v>
      </c>
      <c r="G9310" t="str">
        <f>HYPERLINK("https://www.jeonmae.co.kr/news/articleView.html?idxno=1161763")</f>
        <v>https://www.jeonmae.co.kr/news/articleView.html?idxno=1161763</v>
      </c>
      <c r="H9310">
        <v>0.308</v>
      </c>
    </row>
    <row r="9311" spans="1:8" x14ac:dyDescent="0.3">
      <c r="A9311" t="s">
        <v>23009</v>
      </c>
      <c r="B9311" t="s">
        <v>26951</v>
      </c>
      <c r="C9311" t="s">
        <v>23354</v>
      </c>
      <c r="D9311" t="s">
        <v>23353</v>
      </c>
      <c r="E9311" s="2" t="s">
        <v>452</v>
      </c>
      <c r="F9311" t="s">
        <v>23352</v>
      </c>
      <c r="G9311" t="str">
        <f>HYPERLINK("https://n.news.naver.com/mnews/article/056/0011673843?sid=101")</f>
        <v>https://n.news.naver.com/mnews/article/056/0011673843?sid=101</v>
      </c>
      <c r="H9311">
        <v>0.33</v>
      </c>
    </row>
    <row r="9312" spans="1:8" x14ac:dyDescent="0.3">
      <c r="A9312" t="s">
        <v>23009</v>
      </c>
      <c r="B9312" t="s">
        <v>26951</v>
      </c>
      <c r="C9312" t="s">
        <v>23356</v>
      </c>
      <c r="D9312" t="s">
        <v>23355</v>
      </c>
      <c r="E9312" s="2" t="s">
        <v>452</v>
      </c>
      <c r="F9312" t="s">
        <v>3745</v>
      </c>
      <c r="G9312" t="str">
        <f>HYPERLINK("https://www.jeonmae.co.kr/news/articleView.html?idxno=1156486")</f>
        <v>https://www.jeonmae.co.kr/news/articleView.html?idxno=1156486</v>
      </c>
      <c r="H9312">
        <v>0.996</v>
      </c>
    </row>
    <row r="9313" spans="1:8" x14ac:dyDescent="0.3">
      <c r="A9313" t="s">
        <v>23009</v>
      </c>
      <c r="B9313" t="s">
        <v>26951</v>
      </c>
      <c r="C9313" t="s">
        <v>23358</v>
      </c>
      <c r="D9313" t="s">
        <v>23357</v>
      </c>
      <c r="E9313" s="2" t="s">
        <v>452</v>
      </c>
      <c r="F9313" t="s">
        <v>23095</v>
      </c>
      <c r="G9313" t="str">
        <f>HYPERLINK("https://www.tournews21.com/news/articleView.html?idxno=105719")</f>
        <v>https://www.tournews21.com/news/articleView.html?idxno=105719</v>
      </c>
      <c r="H9313">
        <v>0.96699999999999997</v>
      </c>
    </row>
    <row r="9314" spans="1:8" x14ac:dyDescent="0.3">
      <c r="A9314" t="s">
        <v>23009</v>
      </c>
      <c r="B9314" t="s">
        <v>26951</v>
      </c>
      <c r="C9314" t="s">
        <v>23360</v>
      </c>
      <c r="D9314" t="s">
        <v>23359</v>
      </c>
      <c r="E9314" s="2" t="s">
        <v>452</v>
      </c>
      <c r="F9314" t="s">
        <v>3745</v>
      </c>
      <c r="G9314" t="str">
        <f>HYPERLINK("https://www.jeonmae.co.kr/news/articleView.html?idxno=1156474")</f>
        <v>https://www.jeonmae.co.kr/news/articleView.html?idxno=1156474</v>
      </c>
      <c r="H9314">
        <v>0.997</v>
      </c>
    </row>
    <row r="9315" spans="1:8" x14ac:dyDescent="0.3">
      <c r="A9315" t="s">
        <v>23009</v>
      </c>
      <c r="B9315" t="s">
        <v>26951</v>
      </c>
      <c r="C9315" t="s">
        <v>23362</v>
      </c>
      <c r="D9315" t="s">
        <v>23361</v>
      </c>
      <c r="E9315" s="2" t="s">
        <v>452</v>
      </c>
      <c r="F9315" t="s">
        <v>205</v>
      </c>
      <c r="G9315" t="str">
        <f>HYPERLINK("https://www.kyongbuk.co.kr/news/articleView.html?idxno=4044407")</f>
        <v>https://www.kyongbuk.co.kr/news/articleView.html?idxno=4044407</v>
      </c>
      <c r="H9315">
        <v>0.434</v>
      </c>
    </row>
    <row r="9316" spans="1:8" x14ac:dyDescent="0.3">
      <c r="A9316" t="s">
        <v>23009</v>
      </c>
      <c r="B9316" t="s">
        <v>26951</v>
      </c>
      <c r="C9316" t="s">
        <v>23364</v>
      </c>
      <c r="D9316" t="s">
        <v>23363</v>
      </c>
      <c r="E9316" s="2" t="s">
        <v>452</v>
      </c>
      <c r="F9316" t="s">
        <v>3745</v>
      </c>
      <c r="G9316" t="str">
        <f>HYPERLINK("https://www.jeonmae.co.kr/news/articleView.html?idxno=1156458")</f>
        <v>https://www.jeonmae.co.kr/news/articleView.html?idxno=1156458</v>
      </c>
      <c r="H9316">
        <v>0.996</v>
      </c>
    </row>
    <row r="9317" spans="1:8" x14ac:dyDescent="0.3">
      <c r="A9317" t="s">
        <v>23009</v>
      </c>
      <c r="B9317" t="s">
        <v>26951</v>
      </c>
      <c r="C9317" t="s">
        <v>23366</v>
      </c>
      <c r="D9317" t="s">
        <v>23365</v>
      </c>
      <c r="E9317" s="2" t="s">
        <v>452</v>
      </c>
      <c r="F9317" t="s">
        <v>3745</v>
      </c>
      <c r="G9317" t="str">
        <f>HYPERLINK("https://www.jeonmae.co.kr/news/articleView.html?idxno=924891")</f>
        <v>https://www.jeonmae.co.kr/news/articleView.html?idxno=924891</v>
      </c>
      <c r="H9317">
        <v>0.621</v>
      </c>
    </row>
    <row r="9318" spans="1:8" x14ac:dyDescent="0.3">
      <c r="A9318" t="s">
        <v>23009</v>
      </c>
      <c r="B9318" t="s">
        <v>26951</v>
      </c>
      <c r="C9318" t="s">
        <v>23368</v>
      </c>
      <c r="D9318" t="s">
        <v>23367</v>
      </c>
      <c r="E9318" s="2" t="s">
        <v>452</v>
      </c>
      <c r="F9318" t="s">
        <v>3745</v>
      </c>
      <c r="G9318" t="str">
        <f>HYPERLINK("https://weekly.cnbnews.com/news/article.html?no=179984")</f>
        <v>https://weekly.cnbnews.com/news/article.html?no=179984</v>
      </c>
      <c r="H9318">
        <v>0.85399999999999998</v>
      </c>
    </row>
    <row r="9319" spans="1:8" x14ac:dyDescent="0.3">
      <c r="A9319" t="s">
        <v>23009</v>
      </c>
      <c r="B9319" t="s">
        <v>26951</v>
      </c>
      <c r="C9319" t="s">
        <v>23370</v>
      </c>
      <c r="D9319" t="s">
        <v>23369</v>
      </c>
      <c r="E9319" s="2" t="s">
        <v>452</v>
      </c>
      <c r="F9319" t="s">
        <v>3745</v>
      </c>
      <c r="G9319" t="str">
        <f>HYPERLINK("https://weekly.cnbnews.com/news/article.html?no=180007")</f>
        <v>https://weekly.cnbnews.com/news/article.html?no=180007</v>
      </c>
      <c r="H9319">
        <v>0.873</v>
      </c>
    </row>
    <row r="9320" spans="1:8" x14ac:dyDescent="0.3">
      <c r="A9320" t="s">
        <v>23009</v>
      </c>
      <c r="B9320" t="s">
        <v>26951</v>
      </c>
      <c r="C9320" t="s">
        <v>23372</v>
      </c>
      <c r="D9320" t="s">
        <v>23371</v>
      </c>
      <c r="E9320" s="2" t="s">
        <v>452</v>
      </c>
      <c r="F9320" t="s">
        <v>3745</v>
      </c>
      <c r="G9320" t="str">
        <f>HYPERLINK("https://www.jeonmae.co.kr/news/articleView.html?idxno=1156419")</f>
        <v>https://www.jeonmae.co.kr/news/articleView.html?idxno=1156419</v>
      </c>
      <c r="H9320">
        <v>0.99</v>
      </c>
    </row>
    <row r="9321" spans="1:8" x14ac:dyDescent="0.3">
      <c r="A9321" t="s">
        <v>23009</v>
      </c>
      <c r="B9321" t="s">
        <v>26951</v>
      </c>
      <c r="C9321" t="s">
        <v>23374</v>
      </c>
      <c r="D9321" t="s">
        <v>23373</v>
      </c>
      <c r="E9321" s="2" t="s">
        <v>452</v>
      </c>
      <c r="F9321" t="s">
        <v>3745</v>
      </c>
      <c r="G9321" t="str">
        <f>HYPERLINK("http://www.press9.kr/news/articleView.html?idxno=61221")</f>
        <v>http://www.press9.kr/news/articleView.html?idxno=61221</v>
      </c>
      <c r="H9321">
        <v>0.503</v>
      </c>
    </row>
    <row r="9322" spans="1:8" x14ac:dyDescent="0.3">
      <c r="A9322" t="s">
        <v>23009</v>
      </c>
      <c r="B9322" t="s">
        <v>26951</v>
      </c>
      <c r="C9322" t="s">
        <v>23376</v>
      </c>
      <c r="D9322" t="s">
        <v>23375</v>
      </c>
      <c r="E9322" s="2" t="s">
        <v>452</v>
      </c>
      <c r="F9322" t="s">
        <v>3745</v>
      </c>
      <c r="G9322" t="str">
        <f>HYPERLINK("https://www.jeonmae.co.kr/news/articleView.html?idxno=1156414")</f>
        <v>https://www.jeonmae.co.kr/news/articleView.html?idxno=1156414</v>
      </c>
      <c r="H9322">
        <v>0.996</v>
      </c>
    </row>
    <row r="9323" spans="1:8" x14ac:dyDescent="0.3">
      <c r="A9323" t="s">
        <v>23009</v>
      </c>
      <c r="B9323" t="s">
        <v>26951</v>
      </c>
      <c r="C9323" t="s">
        <v>23378</v>
      </c>
      <c r="D9323" t="s">
        <v>23377</v>
      </c>
      <c r="E9323" s="2" t="s">
        <v>481</v>
      </c>
      <c r="F9323" t="s">
        <v>2763</v>
      </c>
      <c r="G9323" t="str">
        <f>HYPERLINK("https://n.news.naver.com/mnews/article/018/0006054175?sid=102")</f>
        <v>https://n.news.naver.com/mnews/article/018/0006054175?sid=102</v>
      </c>
      <c r="H9323">
        <v>0.186</v>
      </c>
    </row>
    <row r="9324" spans="1:8" x14ac:dyDescent="0.3">
      <c r="A9324" t="s">
        <v>23009</v>
      </c>
      <c r="B9324" t="s">
        <v>26951</v>
      </c>
      <c r="C9324" t="s">
        <v>23380</v>
      </c>
      <c r="D9324" t="s">
        <v>23379</v>
      </c>
      <c r="E9324" s="2" t="s">
        <v>481</v>
      </c>
      <c r="F9324" t="s">
        <v>9480</v>
      </c>
      <c r="G9324" t="str">
        <f>HYPERLINK("http://catholicpress.kr/news/view.php?idx=7024")</f>
        <v>http://catholicpress.kr/news/view.php?idx=7024</v>
      </c>
      <c r="H9324">
        <v>0.56499999999999995</v>
      </c>
    </row>
    <row r="9325" spans="1:8" x14ac:dyDescent="0.3">
      <c r="A9325" t="s">
        <v>23009</v>
      </c>
      <c r="B9325" t="s">
        <v>26951</v>
      </c>
      <c r="C9325" t="s">
        <v>23382</v>
      </c>
      <c r="D9325" t="s">
        <v>23381</v>
      </c>
      <c r="E9325" s="2" t="s">
        <v>481</v>
      </c>
      <c r="F9325" t="s">
        <v>1005</v>
      </c>
      <c r="G9325" t="str">
        <f>HYPERLINK("https://www.jeonmae.co.kr/news/articleView.html?idxno=1125194")</f>
        <v>https://www.jeonmae.co.kr/news/articleView.html?idxno=1125194</v>
      </c>
      <c r="H9325">
        <v>0.503</v>
      </c>
    </row>
    <row r="9326" spans="1:8" x14ac:dyDescent="0.3">
      <c r="A9326" t="s">
        <v>23009</v>
      </c>
      <c r="B9326" t="s">
        <v>26951</v>
      </c>
      <c r="C9326" t="s">
        <v>23384</v>
      </c>
      <c r="D9326" t="s">
        <v>23383</v>
      </c>
      <c r="E9326" s="2" t="s">
        <v>481</v>
      </c>
      <c r="F9326" t="s">
        <v>3095</v>
      </c>
      <c r="G9326" t="str">
        <f>HYPERLINK("https://www.vogue.co.kr/2023/10/05/14%ea%b0%80%ec%a7%80-%ea%b0%80%ec%9d%84%ec%9d%98-%ed%96%a5-17%ec%9d%b8%ec%9d%98-%ec%a1%b0%ed%96%a5%ec%82%ac/?utm_source=naver&amp;utm_medium=partnership")</f>
        <v>https://www.vogue.co.kr/2023/10/05/14%ea%b0%80%ec%a7%80-%ea%b0%80%ec%9d%84%ec%9d%98-%ed%96%a5-17%ec%9d%b8%ec%9d%98-%ec%a1%b0%ed%96%a5%ec%82%ac/?utm_source=naver&amp;utm_medium=partnership</v>
      </c>
      <c r="H9326">
        <v>0.54200000000000004</v>
      </c>
    </row>
    <row r="9327" spans="1:8" x14ac:dyDescent="0.3">
      <c r="A9327" t="s">
        <v>23009</v>
      </c>
      <c r="B9327" t="s">
        <v>26951</v>
      </c>
      <c r="C9327" t="s">
        <v>23386</v>
      </c>
      <c r="D9327" t="s">
        <v>23385</v>
      </c>
      <c r="E9327" s="2" t="s">
        <v>481</v>
      </c>
      <c r="F9327" t="s">
        <v>677</v>
      </c>
      <c r="G9327" t="str">
        <f>HYPERLINK("https://n.news.naver.com/mnews/article/022/0004043583?sid=100")</f>
        <v>https://n.news.naver.com/mnews/article/022/0004043583?sid=100</v>
      </c>
      <c r="H9327">
        <v>0.24199999999999999</v>
      </c>
    </row>
    <row r="9328" spans="1:8" x14ac:dyDescent="0.3">
      <c r="A9328" t="s">
        <v>23009</v>
      </c>
      <c r="B9328" t="s">
        <v>26951</v>
      </c>
      <c r="C9328" t="s">
        <v>23388</v>
      </c>
      <c r="D9328" t="s">
        <v>23387</v>
      </c>
      <c r="E9328" s="2" t="s">
        <v>502</v>
      </c>
      <c r="F9328" t="s">
        <v>1328</v>
      </c>
      <c r="G9328" t="str">
        <f>HYPERLINK("http://www.jbnews.com/news/articleView.html?idxno=1359903")</f>
        <v>http://www.jbnews.com/news/articleView.html?idxno=1359903</v>
      </c>
      <c r="H9328">
        <v>0.16</v>
      </c>
    </row>
    <row r="9329" spans="1:8" x14ac:dyDescent="0.3">
      <c r="A9329" t="s">
        <v>23009</v>
      </c>
      <c r="B9329" t="s">
        <v>26951</v>
      </c>
      <c r="C9329" t="s">
        <v>23390</v>
      </c>
      <c r="D9329" t="s">
        <v>23389</v>
      </c>
      <c r="E9329" s="2" t="s">
        <v>502</v>
      </c>
      <c r="F9329" t="s">
        <v>642</v>
      </c>
      <c r="G9329" t="str">
        <f>HYPERLINK("https://www.ceoscoredaily.com/page/view/2025042816373594405")</f>
        <v>https://www.ceoscoredaily.com/page/view/2025042816373594405</v>
      </c>
      <c r="H9329">
        <v>0.67200000000000004</v>
      </c>
    </row>
    <row r="9330" spans="1:8" x14ac:dyDescent="0.3">
      <c r="A9330" t="s">
        <v>23009</v>
      </c>
      <c r="B9330" t="s">
        <v>26951</v>
      </c>
      <c r="C9330" t="s">
        <v>23392</v>
      </c>
      <c r="D9330" t="s">
        <v>23391</v>
      </c>
      <c r="E9330" s="2" t="s">
        <v>517</v>
      </c>
      <c r="F9330" t="s">
        <v>118</v>
      </c>
      <c r="G9330" t="str">
        <f>HYPERLINK("https://n.news.naver.com/mnews/article/088/0000396067?sid=004")</f>
        <v>https://n.news.naver.com/mnews/article/088/0000396067?sid=004</v>
      </c>
      <c r="H9330">
        <v>0.39800000000000002</v>
      </c>
    </row>
    <row r="9331" spans="1:8" x14ac:dyDescent="0.3">
      <c r="A9331" t="s">
        <v>23009</v>
      </c>
      <c r="B9331" t="s">
        <v>26951</v>
      </c>
      <c r="C9331" t="s">
        <v>23394</v>
      </c>
      <c r="D9331" t="s">
        <v>23393</v>
      </c>
      <c r="E9331" s="2" t="s">
        <v>517</v>
      </c>
      <c r="F9331" t="s">
        <v>658</v>
      </c>
      <c r="G9331" t="str">
        <f>HYPERLINK("https://www.kukinews.com/article/view/kuk202506230207")</f>
        <v>https://www.kukinews.com/article/view/kuk202506230207</v>
      </c>
      <c r="H9331">
        <v>0.28599999999999998</v>
      </c>
    </row>
    <row r="9332" spans="1:8" x14ac:dyDescent="0.3">
      <c r="A9332" t="s">
        <v>23009</v>
      </c>
      <c r="B9332" t="s">
        <v>26951</v>
      </c>
      <c r="C9332" t="s">
        <v>23396</v>
      </c>
      <c r="D9332" t="s">
        <v>23395</v>
      </c>
      <c r="E9332" s="2" t="s">
        <v>517</v>
      </c>
      <c r="F9332" t="s">
        <v>205</v>
      </c>
      <c r="G9332" t="str">
        <f>HYPERLINK("http://www.getnews.co.kr/news/articleView.html?idxno=632128")</f>
        <v>http://www.getnews.co.kr/news/articleView.html?idxno=632128</v>
      </c>
      <c r="H9332">
        <v>0.217</v>
      </c>
    </row>
    <row r="9333" spans="1:8" x14ac:dyDescent="0.3">
      <c r="A9333" t="s">
        <v>23009</v>
      </c>
      <c r="B9333" t="s">
        <v>26951</v>
      </c>
      <c r="C9333" t="s">
        <v>23398</v>
      </c>
      <c r="D9333" t="s">
        <v>23397</v>
      </c>
      <c r="E9333" s="2" t="s">
        <v>517</v>
      </c>
      <c r="F9333" t="s">
        <v>3745</v>
      </c>
      <c r="G9333" t="str">
        <f>HYPERLINK("https://weekly.cnbnews.com/news/article.html?no=179966")</f>
        <v>https://weekly.cnbnews.com/news/article.html?no=179966</v>
      </c>
      <c r="H9333">
        <v>0.91100000000000003</v>
      </c>
    </row>
    <row r="9334" spans="1:8" x14ac:dyDescent="0.3">
      <c r="A9334" t="s">
        <v>23009</v>
      </c>
      <c r="B9334" t="s">
        <v>26951</v>
      </c>
      <c r="C9334" t="s">
        <v>23400</v>
      </c>
      <c r="D9334" t="s">
        <v>23399</v>
      </c>
      <c r="E9334" s="2" t="s">
        <v>517</v>
      </c>
      <c r="F9334" t="s">
        <v>3745</v>
      </c>
      <c r="G9334" t="str">
        <f>HYPERLINK("https://www.jeonmae.co.kr/news/articleView.html?idxno=1156028")</f>
        <v>https://www.jeonmae.co.kr/news/articleView.html?idxno=1156028</v>
      </c>
      <c r="H9334">
        <v>0.995</v>
      </c>
    </row>
    <row r="9335" spans="1:8" x14ac:dyDescent="0.3">
      <c r="A9335" t="s">
        <v>23009</v>
      </c>
      <c r="B9335" t="s">
        <v>26951</v>
      </c>
      <c r="C9335" t="s">
        <v>23402</v>
      </c>
      <c r="D9335" t="s">
        <v>23401</v>
      </c>
      <c r="E9335" s="2" t="s">
        <v>517</v>
      </c>
      <c r="F9335" t="s">
        <v>3745</v>
      </c>
      <c r="G9335" t="str">
        <f>HYPERLINK("https://www.jeonmae.co.kr/news/articleView.html?idxno=1046556")</f>
        <v>https://www.jeonmae.co.kr/news/articleView.html?idxno=1046556</v>
      </c>
      <c r="H9335">
        <v>0.64500000000000002</v>
      </c>
    </row>
    <row r="9336" spans="1:8" x14ac:dyDescent="0.3">
      <c r="A9336" t="s">
        <v>23009</v>
      </c>
      <c r="B9336" t="s">
        <v>26951</v>
      </c>
      <c r="C9336" t="s">
        <v>23404</v>
      </c>
      <c r="D9336" t="s">
        <v>23403</v>
      </c>
      <c r="E9336" s="2" t="s">
        <v>517</v>
      </c>
      <c r="F9336" t="s">
        <v>3745</v>
      </c>
      <c r="G9336" t="str">
        <f>HYPERLINK("http://www.ccnnews.co.kr/news/articleView.html?idxno=374587")</f>
        <v>http://www.ccnnews.co.kr/news/articleView.html?idxno=374587</v>
      </c>
      <c r="H9336">
        <v>0.91700000000000004</v>
      </c>
    </row>
    <row r="9337" spans="1:8" x14ac:dyDescent="0.3">
      <c r="A9337" t="s">
        <v>23009</v>
      </c>
      <c r="B9337" t="s">
        <v>26951</v>
      </c>
      <c r="C9337" t="s">
        <v>23406</v>
      </c>
      <c r="D9337" t="s">
        <v>23405</v>
      </c>
      <c r="E9337" s="2" t="s">
        <v>517</v>
      </c>
      <c r="F9337" t="s">
        <v>3745</v>
      </c>
      <c r="G9337" t="str">
        <f>HYPERLINK("https://weekly.cnbnews.com/news/article.html?no=179856")</f>
        <v>https://weekly.cnbnews.com/news/article.html?no=179856</v>
      </c>
      <c r="H9337">
        <v>0.96099999999999997</v>
      </c>
    </row>
    <row r="9338" spans="1:8" x14ac:dyDescent="0.3">
      <c r="A9338" t="s">
        <v>23009</v>
      </c>
      <c r="B9338" t="s">
        <v>26951</v>
      </c>
      <c r="C9338" t="s">
        <v>23408</v>
      </c>
      <c r="D9338" t="s">
        <v>23407</v>
      </c>
      <c r="E9338" s="2" t="s">
        <v>517</v>
      </c>
      <c r="F9338" t="s">
        <v>3745</v>
      </c>
      <c r="G9338" t="str">
        <f>HYPERLINK("https://weekly.cnbnews.com/news/article.html?no=179951")</f>
        <v>https://weekly.cnbnews.com/news/article.html?no=179951</v>
      </c>
      <c r="H9338">
        <v>0.95</v>
      </c>
    </row>
    <row r="9339" spans="1:8" x14ac:dyDescent="0.3">
      <c r="A9339" t="s">
        <v>23009</v>
      </c>
      <c r="B9339" t="s">
        <v>26951</v>
      </c>
      <c r="C9339" t="s">
        <v>23410</v>
      </c>
      <c r="D9339" t="s">
        <v>23409</v>
      </c>
      <c r="E9339" s="2" t="s">
        <v>517</v>
      </c>
      <c r="F9339" t="s">
        <v>23095</v>
      </c>
      <c r="G9339" t="str">
        <f>HYPERLINK("https://www.siminilbo.co.kr/news/newsview.php?ncode=1160288939948350")</f>
        <v>https://www.siminilbo.co.kr/news/newsview.php?ncode=1160288939948350</v>
      </c>
      <c r="H9339">
        <v>0.78900000000000003</v>
      </c>
    </row>
    <row r="9340" spans="1:8" x14ac:dyDescent="0.3">
      <c r="A9340" t="s">
        <v>23009</v>
      </c>
      <c r="B9340" t="s">
        <v>26951</v>
      </c>
      <c r="C9340" t="s">
        <v>23412</v>
      </c>
      <c r="D9340" t="s">
        <v>23411</v>
      </c>
      <c r="E9340" s="2" t="s">
        <v>517</v>
      </c>
      <c r="F9340" t="s">
        <v>3745</v>
      </c>
      <c r="G9340" t="str">
        <f>HYPERLINK("https://www.lecturernews.com/news/articleView.html?idxno=181651")</f>
        <v>https://www.lecturernews.com/news/articleView.html?idxno=181651</v>
      </c>
      <c r="H9340">
        <v>0.64800000000000002</v>
      </c>
    </row>
    <row r="9341" spans="1:8" x14ac:dyDescent="0.3">
      <c r="A9341" t="s">
        <v>23009</v>
      </c>
      <c r="B9341" t="s">
        <v>26951</v>
      </c>
      <c r="C9341" t="s">
        <v>23414</v>
      </c>
      <c r="D9341" t="s">
        <v>23413</v>
      </c>
      <c r="E9341" s="2" t="s">
        <v>517</v>
      </c>
      <c r="F9341" t="s">
        <v>3745</v>
      </c>
      <c r="G9341" t="str">
        <f>HYPERLINK("https://weekly.cnbnews.com/news/article.html?no=179860")</f>
        <v>https://weekly.cnbnews.com/news/article.html?no=179860</v>
      </c>
      <c r="H9341">
        <v>0.93</v>
      </c>
    </row>
    <row r="9342" spans="1:8" x14ac:dyDescent="0.3">
      <c r="A9342" t="s">
        <v>23009</v>
      </c>
      <c r="B9342" t="s">
        <v>26951</v>
      </c>
      <c r="C9342" t="s">
        <v>23416</v>
      </c>
      <c r="D9342" t="s">
        <v>23415</v>
      </c>
      <c r="E9342" s="2" t="s">
        <v>517</v>
      </c>
      <c r="F9342" t="s">
        <v>3745</v>
      </c>
      <c r="G9342" t="str">
        <f>HYPERLINK("https://www.jeonmae.co.kr/news/articleView.html?idxno=1149941")</f>
        <v>https://www.jeonmae.co.kr/news/articleView.html?idxno=1149941</v>
      </c>
      <c r="H9342">
        <v>0.24199999999999999</v>
      </c>
    </row>
    <row r="9343" spans="1:8" x14ac:dyDescent="0.3">
      <c r="A9343" t="s">
        <v>23009</v>
      </c>
      <c r="B9343" t="s">
        <v>26951</v>
      </c>
      <c r="C9343" t="s">
        <v>23418</v>
      </c>
      <c r="D9343" t="s">
        <v>23417</v>
      </c>
      <c r="E9343" s="2" t="s">
        <v>517</v>
      </c>
      <c r="F9343" t="s">
        <v>3745</v>
      </c>
      <c r="G9343" t="str">
        <f>HYPERLINK("https://www.jeonmae.co.kr/news/articleView.html?idxno=1155969")</f>
        <v>https://www.jeonmae.co.kr/news/articleView.html?idxno=1155969</v>
      </c>
      <c r="H9343">
        <v>0.996</v>
      </c>
    </row>
    <row r="9344" spans="1:8" x14ac:dyDescent="0.3">
      <c r="A9344" t="s">
        <v>23009</v>
      </c>
      <c r="B9344" t="s">
        <v>26951</v>
      </c>
      <c r="C9344" t="s">
        <v>23420</v>
      </c>
      <c r="D9344" t="s">
        <v>23419</v>
      </c>
      <c r="E9344" s="2" t="s">
        <v>517</v>
      </c>
      <c r="F9344" t="s">
        <v>3745</v>
      </c>
      <c r="G9344" t="str">
        <f>HYPERLINK("https://www.jeonmae.co.kr/news/articleView.html?idxno=1155967")</f>
        <v>https://www.jeonmae.co.kr/news/articleView.html?idxno=1155967</v>
      </c>
      <c r="H9344">
        <v>0.98899999999999999</v>
      </c>
    </row>
    <row r="9345" spans="1:8" x14ac:dyDescent="0.3">
      <c r="A9345" t="s">
        <v>23009</v>
      </c>
      <c r="B9345" t="s">
        <v>26951</v>
      </c>
      <c r="C9345" t="s">
        <v>23422</v>
      </c>
      <c r="D9345" t="s">
        <v>23421</v>
      </c>
      <c r="E9345" s="2" t="s">
        <v>517</v>
      </c>
      <c r="F9345" t="s">
        <v>3745</v>
      </c>
      <c r="G9345" t="str">
        <f>HYPERLINK("https://www.jeonmae.co.kr/news/articleView.html?idxno=1155961")</f>
        <v>https://www.jeonmae.co.kr/news/articleView.html?idxno=1155961</v>
      </c>
      <c r="H9345">
        <v>0.997</v>
      </c>
    </row>
    <row r="9346" spans="1:8" x14ac:dyDescent="0.3">
      <c r="A9346" t="s">
        <v>23009</v>
      </c>
      <c r="B9346" t="s">
        <v>26951</v>
      </c>
      <c r="C9346" t="s">
        <v>23424</v>
      </c>
      <c r="D9346" t="s">
        <v>23423</v>
      </c>
      <c r="E9346" s="2" t="s">
        <v>517</v>
      </c>
      <c r="F9346" t="s">
        <v>3745</v>
      </c>
      <c r="G9346" t="str">
        <f>HYPERLINK("https://weekly.cnbnews.com/news/article.html?no=180016")</f>
        <v>https://weekly.cnbnews.com/news/article.html?no=180016</v>
      </c>
      <c r="H9346">
        <v>0.74299999999999999</v>
      </c>
    </row>
    <row r="9347" spans="1:8" x14ac:dyDescent="0.3">
      <c r="A9347" t="s">
        <v>23009</v>
      </c>
      <c r="B9347" t="s">
        <v>26951</v>
      </c>
      <c r="C9347" t="s">
        <v>23427</v>
      </c>
      <c r="D9347" t="s">
        <v>23426</v>
      </c>
      <c r="E9347" s="2" t="s">
        <v>517</v>
      </c>
      <c r="F9347" t="s">
        <v>23425</v>
      </c>
      <c r="G9347" t="str">
        <f>HYPERLINK("http://www.4th.kr/news/articleView.html?idxno=2089485")</f>
        <v>http://www.4th.kr/news/articleView.html?idxno=2089485</v>
      </c>
      <c r="H9347">
        <v>0.66700000000000004</v>
      </c>
    </row>
    <row r="9348" spans="1:8" x14ac:dyDescent="0.3">
      <c r="A9348" t="s">
        <v>23009</v>
      </c>
      <c r="B9348" t="s">
        <v>26951</v>
      </c>
      <c r="C9348" t="s">
        <v>23429</v>
      </c>
      <c r="D9348" t="s">
        <v>23428</v>
      </c>
      <c r="E9348" s="2" t="s">
        <v>538</v>
      </c>
      <c r="F9348" t="s">
        <v>2035</v>
      </c>
      <c r="G9348" t="str">
        <f>HYPERLINK("http://www.fintechpost.co.kr/news/articleView.html?idxno=103511")</f>
        <v>http://www.fintechpost.co.kr/news/articleView.html?idxno=103511</v>
      </c>
      <c r="H9348">
        <v>0.216</v>
      </c>
    </row>
    <row r="9349" spans="1:8" x14ac:dyDescent="0.3">
      <c r="A9349" t="s">
        <v>23009</v>
      </c>
      <c r="B9349" t="s">
        <v>26951</v>
      </c>
      <c r="C9349" t="s">
        <v>23432</v>
      </c>
      <c r="D9349" t="s">
        <v>23431</v>
      </c>
      <c r="E9349" s="2" t="s">
        <v>538</v>
      </c>
      <c r="F9349" t="s">
        <v>23430</v>
      </c>
      <c r="G9349" t="str">
        <f>HYPERLINK("https://www.dkilbo.com/news/articleView.html?idxno=500881")</f>
        <v>https://www.dkilbo.com/news/articleView.html?idxno=500881</v>
      </c>
      <c r="H9349">
        <v>0.94299999999999995</v>
      </c>
    </row>
    <row r="9350" spans="1:8" x14ac:dyDescent="0.3">
      <c r="A9350" t="s">
        <v>23009</v>
      </c>
      <c r="B9350" t="s">
        <v>26951</v>
      </c>
      <c r="C9350" t="s">
        <v>23434</v>
      </c>
      <c r="D9350" t="s">
        <v>23433</v>
      </c>
      <c r="E9350" s="2" t="s">
        <v>538</v>
      </c>
      <c r="F9350" t="s">
        <v>1195</v>
      </c>
      <c r="G9350" t="str">
        <f>HYPERLINK("https://n.news.naver.com/mnews/article/088/0000904691?sid=102")</f>
        <v>https://n.news.naver.com/mnews/article/088/0000904691?sid=102</v>
      </c>
      <c r="H9350">
        <v>0.39100000000000001</v>
      </c>
    </row>
    <row r="9351" spans="1:8" x14ac:dyDescent="0.3">
      <c r="A9351" t="s">
        <v>23009</v>
      </c>
      <c r="B9351" t="s">
        <v>26951</v>
      </c>
      <c r="C9351" t="s">
        <v>23436</v>
      </c>
      <c r="D9351" t="s">
        <v>23435</v>
      </c>
      <c r="E9351" s="2" t="s">
        <v>538</v>
      </c>
      <c r="F9351" t="s">
        <v>22255</v>
      </c>
      <c r="G9351" t="str">
        <f>HYPERLINK("https://news.bbsi.co.kr/news/articleView.html?idxno=4034241")</f>
        <v>https://news.bbsi.co.kr/news/articleView.html?idxno=4034241</v>
      </c>
      <c r="H9351">
        <v>0.58699999999999997</v>
      </c>
    </row>
    <row r="9352" spans="1:8" x14ac:dyDescent="0.3">
      <c r="A9352" t="s">
        <v>23009</v>
      </c>
      <c r="B9352" t="s">
        <v>26951</v>
      </c>
      <c r="C9352" t="s">
        <v>23438</v>
      </c>
      <c r="D9352" t="s">
        <v>23437</v>
      </c>
      <c r="E9352" s="2" t="s">
        <v>538</v>
      </c>
      <c r="F9352" t="s">
        <v>23095</v>
      </c>
      <c r="G9352" t="str">
        <f>HYPERLINK("https://www.siminilbo.co.kr/news/newsview.php?ncode=1160280250546728")</f>
        <v>https://www.siminilbo.co.kr/news/newsview.php?ncode=1160280250546728</v>
      </c>
      <c r="H9352">
        <v>0.92</v>
      </c>
    </row>
    <row r="9353" spans="1:8" x14ac:dyDescent="0.3">
      <c r="A9353" t="s">
        <v>23009</v>
      </c>
      <c r="B9353" t="s">
        <v>26951</v>
      </c>
      <c r="C9353" t="s">
        <v>23440</v>
      </c>
      <c r="D9353" t="s">
        <v>23439</v>
      </c>
      <c r="E9353" s="2" t="s">
        <v>538</v>
      </c>
      <c r="F9353" t="s">
        <v>2046</v>
      </c>
      <c r="G9353" t="str">
        <f>HYPERLINK("https://n.news.naver.com/mnews/article/088/0000514365?sid=102")</f>
        <v>https://n.news.naver.com/mnews/article/088/0000514365?sid=102</v>
      </c>
      <c r="H9353">
        <v>0.34300000000000003</v>
      </c>
    </row>
    <row r="9354" spans="1:8" x14ac:dyDescent="0.3">
      <c r="A9354" t="s">
        <v>23009</v>
      </c>
      <c r="B9354" t="s">
        <v>26951</v>
      </c>
      <c r="C9354" t="s">
        <v>23442</v>
      </c>
      <c r="D9354" t="s">
        <v>23441</v>
      </c>
      <c r="E9354" s="2" t="s">
        <v>538</v>
      </c>
      <c r="F9354" t="s">
        <v>3745</v>
      </c>
      <c r="G9354" t="str">
        <f>HYPERLINK("https://www.siminilbo.co.kr/news/newsview.php?ncode=1160281506271157")</f>
        <v>https://www.siminilbo.co.kr/news/newsview.php?ncode=1160281506271157</v>
      </c>
      <c r="H9354">
        <v>0.83599999999999997</v>
      </c>
    </row>
    <row r="9355" spans="1:8" x14ac:dyDescent="0.3">
      <c r="A9355" t="s">
        <v>23009</v>
      </c>
      <c r="B9355" t="s">
        <v>26951</v>
      </c>
      <c r="C9355" t="s">
        <v>23444</v>
      </c>
      <c r="D9355" t="s">
        <v>23443</v>
      </c>
      <c r="E9355" s="2" t="s">
        <v>538</v>
      </c>
      <c r="F9355" t="s">
        <v>3745</v>
      </c>
      <c r="G9355" t="str">
        <f>HYPERLINK("https://www.jeonmae.co.kr/news/articleView.html?idxno=1155524")</f>
        <v>https://www.jeonmae.co.kr/news/articleView.html?idxno=1155524</v>
      </c>
      <c r="H9355">
        <v>0.99399999999999999</v>
      </c>
    </row>
    <row r="9356" spans="1:8" x14ac:dyDescent="0.3">
      <c r="A9356" t="s">
        <v>23009</v>
      </c>
      <c r="B9356" t="s">
        <v>26951</v>
      </c>
      <c r="C9356" t="s">
        <v>23446</v>
      </c>
      <c r="D9356" t="s">
        <v>23445</v>
      </c>
      <c r="E9356" s="2" t="s">
        <v>538</v>
      </c>
      <c r="F9356" t="s">
        <v>3745</v>
      </c>
      <c r="G9356" t="str">
        <f>HYPERLINK("https://weekly.cnbnews.com/news/article.html?no=179721")</f>
        <v>https://weekly.cnbnews.com/news/article.html?no=179721</v>
      </c>
      <c r="H9356">
        <v>0.92300000000000004</v>
      </c>
    </row>
    <row r="9357" spans="1:8" x14ac:dyDescent="0.3">
      <c r="A9357" t="s">
        <v>23009</v>
      </c>
      <c r="B9357" t="s">
        <v>26951</v>
      </c>
      <c r="C9357" t="s">
        <v>23448</v>
      </c>
      <c r="D9357" t="s">
        <v>23447</v>
      </c>
      <c r="E9357" s="2" t="s">
        <v>538</v>
      </c>
      <c r="F9357" t="s">
        <v>3745</v>
      </c>
      <c r="G9357" t="str">
        <f>HYPERLINK("https://www.jeonmae.co.kr/news/articleView.html?idxno=1149941")</f>
        <v>https://www.jeonmae.co.kr/news/articleView.html?idxno=1149941</v>
      </c>
      <c r="H9357">
        <v>0.3</v>
      </c>
    </row>
    <row r="9358" spans="1:8" x14ac:dyDescent="0.3">
      <c r="A9358" t="s">
        <v>23009</v>
      </c>
      <c r="B9358" t="s">
        <v>26951</v>
      </c>
      <c r="C9358" t="s">
        <v>23450</v>
      </c>
      <c r="D9358" t="s">
        <v>23449</v>
      </c>
      <c r="E9358" s="2" t="s">
        <v>538</v>
      </c>
      <c r="F9358" t="s">
        <v>3745</v>
      </c>
      <c r="G9358" t="str">
        <f>HYPERLINK("https://www.jeonmae.co.kr/news/articleView.html?idxno=1155507")</f>
        <v>https://www.jeonmae.co.kr/news/articleView.html?idxno=1155507</v>
      </c>
      <c r="H9358">
        <v>0.98599999999999999</v>
      </c>
    </row>
    <row r="9359" spans="1:8" x14ac:dyDescent="0.3">
      <c r="A9359" t="s">
        <v>23009</v>
      </c>
      <c r="B9359" t="s">
        <v>26951</v>
      </c>
      <c r="C9359" t="s">
        <v>23452</v>
      </c>
      <c r="D9359" t="s">
        <v>23451</v>
      </c>
      <c r="E9359" s="2" t="s">
        <v>538</v>
      </c>
      <c r="F9359" t="s">
        <v>3745</v>
      </c>
      <c r="G9359" t="str">
        <f>HYPERLINK("https://www.jeonmae.co.kr/news/articleView.html?idxno=1155506")</f>
        <v>https://www.jeonmae.co.kr/news/articleView.html?idxno=1155506</v>
      </c>
      <c r="H9359">
        <v>0.99299999999999999</v>
      </c>
    </row>
    <row r="9360" spans="1:8" x14ac:dyDescent="0.3">
      <c r="A9360" t="s">
        <v>23009</v>
      </c>
      <c r="B9360" t="s">
        <v>26951</v>
      </c>
      <c r="C9360" t="s">
        <v>23454</v>
      </c>
      <c r="D9360" t="s">
        <v>23453</v>
      </c>
      <c r="E9360" s="2" t="s">
        <v>538</v>
      </c>
      <c r="F9360" t="s">
        <v>3745</v>
      </c>
      <c r="G9360" t="str">
        <f>HYPERLINK("https://www.jeonmae.co.kr/news/articleView.html?idxno=1155505")</f>
        <v>https://www.jeonmae.co.kr/news/articleView.html?idxno=1155505</v>
      </c>
      <c r="H9360">
        <v>0.996</v>
      </c>
    </row>
    <row r="9361" spans="1:8" x14ac:dyDescent="0.3">
      <c r="A9361" t="s">
        <v>23009</v>
      </c>
      <c r="B9361" t="s">
        <v>26951</v>
      </c>
      <c r="C9361" t="s">
        <v>23456</v>
      </c>
      <c r="D9361" t="s">
        <v>23455</v>
      </c>
      <c r="E9361" s="2" t="s">
        <v>538</v>
      </c>
      <c r="F9361" t="s">
        <v>3745</v>
      </c>
      <c r="G9361" t="str">
        <f>HYPERLINK("https://www.tournews21.com/news/articleView.html?idxno=105458")</f>
        <v>https://www.tournews21.com/news/articleView.html?idxno=105458</v>
      </c>
      <c r="H9361">
        <v>0.95899999999999996</v>
      </c>
    </row>
    <row r="9362" spans="1:8" x14ac:dyDescent="0.3">
      <c r="A9362" t="s">
        <v>23009</v>
      </c>
      <c r="B9362" t="s">
        <v>26951</v>
      </c>
      <c r="C9362" t="s">
        <v>23458</v>
      </c>
      <c r="D9362" t="s">
        <v>23457</v>
      </c>
      <c r="E9362" s="2" t="s">
        <v>538</v>
      </c>
      <c r="F9362" t="s">
        <v>3745</v>
      </c>
      <c r="G9362" t="str">
        <f>HYPERLINK("https://www.jeonmae.co.kr/news/articleView.html?idxno=1155501")</f>
        <v>https://www.jeonmae.co.kr/news/articleView.html?idxno=1155501</v>
      </c>
      <c r="H9362">
        <v>0.69</v>
      </c>
    </row>
    <row r="9363" spans="1:8" x14ac:dyDescent="0.3">
      <c r="A9363" t="s">
        <v>23009</v>
      </c>
      <c r="B9363" t="s">
        <v>26951</v>
      </c>
      <c r="C9363" t="s">
        <v>23460</v>
      </c>
      <c r="D9363" t="s">
        <v>23459</v>
      </c>
      <c r="E9363" s="2" t="s">
        <v>538</v>
      </c>
      <c r="F9363" t="s">
        <v>3745</v>
      </c>
      <c r="G9363" t="str">
        <f>HYPERLINK("http://www.efnews.co.kr/news/articleView.html?idxno=114481")</f>
        <v>http://www.efnews.co.kr/news/articleView.html?idxno=114481</v>
      </c>
      <c r="H9363">
        <v>0.55600000000000005</v>
      </c>
    </row>
    <row r="9364" spans="1:8" x14ac:dyDescent="0.3">
      <c r="A9364" t="s">
        <v>23009</v>
      </c>
      <c r="B9364" t="s">
        <v>26951</v>
      </c>
      <c r="C9364" t="s">
        <v>23462</v>
      </c>
      <c r="D9364" t="s">
        <v>23461</v>
      </c>
      <c r="E9364" s="2" t="s">
        <v>538</v>
      </c>
      <c r="F9364" t="s">
        <v>3745</v>
      </c>
      <c r="G9364" t="str">
        <f>HYPERLINK("https://www.siminilbo.co.kr/news/newsview.php?ncode=1160289522348666")</f>
        <v>https://www.siminilbo.co.kr/news/newsview.php?ncode=1160289522348666</v>
      </c>
      <c r="H9364">
        <v>0.83099999999999996</v>
      </c>
    </row>
    <row r="9365" spans="1:8" x14ac:dyDescent="0.3">
      <c r="A9365" t="s">
        <v>23009</v>
      </c>
      <c r="B9365" t="s">
        <v>26951</v>
      </c>
      <c r="C9365" t="s">
        <v>23464</v>
      </c>
      <c r="D9365" t="s">
        <v>23463</v>
      </c>
      <c r="E9365" s="2" t="s">
        <v>572</v>
      </c>
      <c r="F9365" t="s">
        <v>2035</v>
      </c>
      <c r="G9365" t="str">
        <f>HYPERLINK("https://n.news.naver.com/mnews/article/016/0000751594?sid=101")</f>
        <v>https://n.news.naver.com/mnews/article/016/0000751594?sid=101</v>
      </c>
      <c r="H9365">
        <v>0.217</v>
      </c>
    </row>
    <row r="9366" spans="1:8" x14ac:dyDescent="0.3">
      <c r="A9366" t="s">
        <v>23009</v>
      </c>
      <c r="B9366" t="s">
        <v>26951</v>
      </c>
      <c r="C9366" t="s">
        <v>23466</v>
      </c>
      <c r="D9366" t="s">
        <v>23465</v>
      </c>
      <c r="E9366" s="2" t="s">
        <v>572</v>
      </c>
      <c r="F9366" t="s">
        <v>14926</v>
      </c>
      <c r="G9366" t="str">
        <f>HYPERLINK("https://www.siminilbo.co.kr/news/newsview.php?ncode=1160285457820225")</f>
        <v>https://www.siminilbo.co.kr/news/newsview.php?ncode=1160285457820225</v>
      </c>
      <c r="H9366">
        <v>0.56799999999999995</v>
      </c>
    </row>
    <row r="9367" spans="1:8" x14ac:dyDescent="0.3">
      <c r="A9367" t="s">
        <v>23009</v>
      </c>
      <c r="B9367" t="s">
        <v>26951</v>
      </c>
      <c r="C9367" t="s">
        <v>23468</v>
      </c>
      <c r="D9367" t="s">
        <v>23467</v>
      </c>
      <c r="E9367" s="2" t="s">
        <v>572</v>
      </c>
      <c r="F9367" t="s">
        <v>23095</v>
      </c>
      <c r="G9367" t="str">
        <f>HYPERLINK("https://www.jeonmae.co.kr/news/articleView.html?idxno=1155368")</f>
        <v>https://www.jeonmae.co.kr/news/articleView.html?idxno=1155368</v>
      </c>
      <c r="H9367">
        <v>0.99399999999999999</v>
      </c>
    </row>
    <row r="9368" spans="1:8" x14ac:dyDescent="0.3">
      <c r="A9368" t="s">
        <v>23009</v>
      </c>
      <c r="B9368" t="s">
        <v>26951</v>
      </c>
      <c r="C9368" t="s">
        <v>23470</v>
      </c>
      <c r="D9368" t="s">
        <v>23469</v>
      </c>
      <c r="E9368" s="2" t="s">
        <v>572</v>
      </c>
      <c r="F9368" t="s">
        <v>23430</v>
      </c>
      <c r="G9368" t="str">
        <f>HYPERLINK("https://www.greened.kr/news/articleView.html?idxno=311162")</f>
        <v>https://www.greened.kr/news/articleView.html?idxno=311162</v>
      </c>
      <c r="H9368">
        <v>0.35899999999999999</v>
      </c>
    </row>
    <row r="9369" spans="1:8" x14ac:dyDescent="0.3">
      <c r="A9369" t="s">
        <v>23009</v>
      </c>
      <c r="B9369" t="s">
        <v>26951</v>
      </c>
      <c r="C9369" t="s">
        <v>23472</v>
      </c>
      <c r="D9369" t="s">
        <v>23471</v>
      </c>
      <c r="E9369" s="2" t="s">
        <v>572</v>
      </c>
      <c r="F9369" t="s">
        <v>3745</v>
      </c>
      <c r="G9369" t="str">
        <f>HYPERLINK("https://www.jeonmae.co.kr/news/articleView.html?idxno=1155145")</f>
        <v>https://www.jeonmae.co.kr/news/articleView.html?idxno=1155145</v>
      </c>
      <c r="H9369">
        <v>0.98699999999999999</v>
      </c>
    </row>
    <row r="9370" spans="1:8" x14ac:dyDescent="0.3">
      <c r="A9370" t="s">
        <v>23009</v>
      </c>
      <c r="B9370" t="s">
        <v>26951</v>
      </c>
      <c r="C9370" t="s">
        <v>23474</v>
      </c>
      <c r="D9370" t="s">
        <v>23473</v>
      </c>
      <c r="E9370" s="2" t="s">
        <v>572</v>
      </c>
      <c r="F9370" t="s">
        <v>3745</v>
      </c>
      <c r="G9370" t="str">
        <f>HYPERLINK("https://www.greened.kr/news/articleView.html?idxno=313754")</f>
        <v>https://www.greened.kr/news/articleView.html?idxno=313754</v>
      </c>
      <c r="H9370">
        <v>0.44700000000000001</v>
      </c>
    </row>
    <row r="9371" spans="1:8" x14ac:dyDescent="0.3">
      <c r="A9371" t="s">
        <v>23009</v>
      </c>
      <c r="B9371" t="s">
        <v>26951</v>
      </c>
      <c r="C9371" t="s">
        <v>23476</v>
      </c>
      <c r="D9371" t="s">
        <v>23475</v>
      </c>
      <c r="E9371" s="2" t="s">
        <v>572</v>
      </c>
      <c r="F9371" t="s">
        <v>3745</v>
      </c>
      <c r="G9371" t="str">
        <f>HYPERLINK("https://www.jeonmae.co.kr/news/articleView.html?idxno=1149941")</f>
        <v>https://www.jeonmae.co.kr/news/articleView.html?idxno=1149941</v>
      </c>
      <c r="H9371">
        <v>0.39</v>
      </c>
    </row>
    <row r="9372" spans="1:8" x14ac:dyDescent="0.3">
      <c r="A9372" t="s">
        <v>23009</v>
      </c>
      <c r="B9372" t="s">
        <v>26951</v>
      </c>
      <c r="C9372" t="s">
        <v>23479</v>
      </c>
      <c r="D9372" t="s">
        <v>23478</v>
      </c>
      <c r="E9372" s="2" t="s">
        <v>572</v>
      </c>
      <c r="F9372" t="s">
        <v>23477</v>
      </c>
      <c r="G9372" t="str">
        <f>HYPERLINK("http://www.hansbiz.co.kr/news/articleView.html?idxno=755965")</f>
        <v>http://www.hansbiz.co.kr/news/articleView.html?idxno=755965</v>
      </c>
      <c r="H9372">
        <v>0.64400000000000002</v>
      </c>
    </row>
    <row r="9373" spans="1:8" x14ac:dyDescent="0.3">
      <c r="A9373" t="s">
        <v>23009</v>
      </c>
      <c r="B9373" t="s">
        <v>26951</v>
      </c>
      <c r="C9373" t="s">
        <v>23481</v>
      </c>
      <c r="D9373" t="s">
        <v>23480</v>
      </c>
      <c r="E9373" s="2" t="s">
        <v>572</v>
      </c>
      <c r="F9373" t="s">
        <v>3745</v>
      </c>
      <c r="G9373" t="str">
        <f>HYPERLINK("https://www.jeonmae.co.kr/news/articleView.html?idxno=1149941")</f>
        <v>https://www.jeonmae.co.kr/news/articleView.html?idxno=1149941</v>
      </c>
      <c r="H9373">
        <v>0.33200000000000002</v>
      </c>
    </row>
    <row r="9374" spans="1:8" x14ac:dyDescent="0.3">
      <c r="A9374" t="s">
        <v>23009</v>
      </c>
      <c r="B9374" t="s">
        <v>26951</v>
      </c>
      <c r="C9374" t="s">
        <v>23483</v>
      </c>
      <c r="D9374" t="s">
        <v>23482</v>
      </c>
      <c r="E9374" s="2" t="s">
        <v>572</v>
      </c>
      <c r="F9374" t="s">
        <v>3745</v>
      </c>
      <c r="G9374" t="str">
        <f>HYPERLINK("https://www.etoday.co.kr/news/view/2477768")</f>
        <v>https://www.etoday.co.kr/news/view/2477768</v>
      </c>
      <c r="H9374">
        <v>0.77300000000000002</v>
      </c>
    </row>
    <row r="9375" spans="1:8" x14ac:dyDescent="0.3">
      <c r="A9375" t="s">
        <v>23009</v>
      </c>
      <c r="B9375" t="s">
        <v>26951</v>
      </c>
      <c r="C9375" t="s">
        <v>23485</v>
      </c>
      <c r="D9375" t="s">
        <v>23484</v>
      </c>
      <c r="E9375" s="2" t="s">
        <v>572</v>
      </c>
      <c r="F9375" t="s">
        <v>3745</v>
      </c>
      <c r="G9375" t="str">
        <f>HYPERLINK("https://www.kmaeil.com/news/articleView.html?idxno=454228")</f>
        <v>https://www.kmaeil.com/news/articleView.html?idxno=454228</v>
      </c>
      <c r="H9375">
        <v>0.64700000000000002</v>
      </c>
    </row>
    <row r="9376" spans="1:8" x14ac:dyDescent="0.3">
      <c r="A9376" t="s">
        <v>23009</v>
      </c>
      <c r="B9376" t="s">
        <v>26951</v>
      </c>
      <c r="C9376" t="s">
        <v>23487</v>
      </c>
      <c r="D9376" t="s">
        <v>23486</v>
      </c>
      <c r="E9376" s="2" t="s">
        <v>572</v>
      </c>
      <c r="F9376" t="s">
        <v>3745</v>
      </c>
      <c r="G9376" t="str">
        <f>HYPERLINK("https://www.kmaeil.com/news/articleView.html?idxno=508343")</f>
        <v>https://www.kmaeil.com/news/articleView.html?idxno=508343</v>
      </c>
      <c r="H9376">
        <v>0.91800000000000004</v>
      </c>
    </row>
    <row r="9377" spans="1:8" x14ac:dyDescent="0.3">
      <c r="A9377" t="s">
        <v>23009</v>
      </c>
      <c r="B9377" t="s">
        <v>26951</v>
      </c>
      <c r="C9377" t="s">
        <v>23489</v>
      </c>
      <c r="D9377" t="s">
        <v>23488</v>
      </c>
      <c r="E9377" s="2" t="s">
        <v>572</v>
      </c>
      <c r="F9377" t="s">
        <v>3745</v>
      </c>
      <c r="G9377" t="str">
        <f>HYPERLINK("https://www.insightkorea.co.kr/news/articleView.html?idxno=225912")</f>
        <v>https://www.insightkorea.co.kr/news/articleView.html?idxno=225912</v>
      </c>
      <c r="H9377">
        <v>0.89800000000000002</v>
      </c>
    </row>
    <row r="9378" spans="1:8" x14ac:dyDescent="0.3">
      <c r="A9378" t="s">
        <v>23009</v>
      </c>
      <c r="B9378" t="s">
        <v>26951</v>
      </c>
      <c r="C9378" t="s">
        <v>23491</v>
      </c>
      <c r="D9378" t="s">
        <v>23490</v>
      </c>
      <c r="E9378" s="2" t="s">
        <v>572</v>
      </c>
      <c r="F9378" t="s">
        <v>3745</v>
      </c>
      <c r="G9378" t="str">
        <f>HYPERLINK("https://www.lecturernews.com/news/articleView.html?idxno=179496")</f>
        <v>https://www.lecturernews.com/news/articleView.html?idxno=179496</v>
      </c>
      <c r="H9378">
        <v>0.94199999999999995</v>
      </c>
    </row>
    <row r="9379" spans="1:8" x14ac:dyDescent="0.3">
      <c r="A9379" t="s">
        <v>23009</v>
      </c>
      <c r="B9379" t="s">
        <v>26951</v>
      </c>
      <c r="C9379" t="s">
        <v>23493</v>
      </c>
      <c r="D9379" t="s">
        <v>23492</v>
      </c>
      <c r="E9379" s="2" t="s">
        <v>572</v>
      </c>
      <c r="F9379" t="s">
        <v>3745</v>
      </c>
      <c r="G9379" t="str">
        <f>HYPERLINK("https://www.jeonmae.co.kr/news/articleView.html?idxno=1149941")</f>
        <v>https://www.jeonmae.co.kr/news/articleView.html?idxno=1149941</v>
      </c>
      <c r="H9379">
        <v>0.26200000000000001</v>
      </c>
    </row>
    <row r="9380" spans="1:8" x14ac:dyDescent="0.3">
      <c r="A9380" t="s">
        <v>23009</v>
      </c>
      <c r="B9380" t="s">
        <v>26951</v>
      </c>
      <c r="C9380" t="s">
        <v>23495</v>
      </c>
      <c r="D9380" t="s">
        <v>23494</v>
      </c>
      <c r="E9380" s="2" t="s">
        <v>572</v>
      </c>
      <c r="F9380" t="s">
        <v>3745</v>
      </c>
      <c r="G9380" t="str">
        <f>HYPERLINK("https://www.siminilbo.co.kr/news/newsview.php?ncode=1160280425644716")</f>
        <v>https://www.siminilbo.co.kr/news/newsview.php?ncode=1160280425644716</v>
      </c>
      <c r="H9380">
        <v>0.57399999999999995</v>
      </c>
    </row>
    <row r="9381" spans="1:8" x14ac:dyDescent="0.3">
      <c r="A9381" t="s">
        <v>23009</v>
      </c>
      <c r="B9381" t="s">
        <v>26951</v>
      </c>
      <c r="C9381" t="s">
        <v>23497</v>
      </c>
      <c r="D9381" t="s">
        <v>23496</v>
      </c>
      <c r="E9381" s="2" t="s">
        <v>572</v>
      </c>
      <c r="F9381" t="s">
        <v>3745</v>
      </c>
      <c r="G9381" t="str">
        <f>HYPERLINK("https://www.jeonmae.co.kr/news/articleView.html?idxno=1155026")</f>
        <v>https://www.jeonmae.co.kr/news/articleView.html?idxno=1155026</v>
      </c>
      <c r="H9381">
        <v>0.995</v>
      </c>
    </row>
    <row r="9382" spans="1:8" x14ac:dyDescent="0.3">
      <c r="A9382" t="s">
        <v>23009</v>
      </c>
      <c r="B9382" t="s">
        <v>26951</v>
      </c>
      <c r="C9382" t="s">
        <v>23499</v>
      </c>
      <c r="D9382" t="s">
        <v>23498</v>
      </c>
      <c r="E9382" s="2" t="s">
        <v>572</v>
      </c>
      <c r="F9382" t="s">
        <v>3745</v>
      </c>
      <c r="G9382" t="str">
        <f>HYPERLINK("https://www.jeonmae.co.kr/news/articleView.html?idxno=1155024")</f>
        <v>https://www.jeonmae.co.kr/news/articleView.html?idxno=1155024</v>
      </c>
      <c r="H9382">
        <v>0.996</v>
      </c>
    </row>
    <row r="9383" spans="1:8" x14ac:dyDescent="0.3">
      <c r="A9383" t="s">
        <v>23009</v>
      </c>
      <c r="B9383" t="s">
        <v>26951</v>
      </c>
      <c r="C9383" t="s">
        <v>23501</v>
      </c>
      <c r="D9383" t="s">
        <v>23500</v>
      </c>
      <c r="E9383" s="2" t="s">
        <v>609</v>
      </c>
      <c r="F9383" t="s">
        <v>7296</v>
      </c>
      <c r="G9383" t="str">
        <f>HYPERLINK("https://n.news.naver.com/mnews/article/088/0000952413?sid=103")</f>
        <v>https://n.news.naver.com/mnews/article/088/0000952413?sid=103</v>
      </c>
      <c r="H9383">
        <v>0.188</v>
      </c>
    </row>
    <row r="9384" spans="1:8" x14ac:dyDescent="0.3">
      <c r="A9384" t="s">
        <v>23009</v>
      </c>
      <c r="B9384" t="s">
        <v>26951</v>
      </c>
      <c r="C9384" t="s">
        <v>23504</v>
      </c>
      <c r="D9384" t="s">
        <v>23503</v>
      </c>
      <c r="E9384" s="2" t="s">
        <v>609</v>
      </c>
      <c r="F9384" t="s">
        <v>23502</v>
      </c>
      <c r="G9384" t="str">
        <f>HYPERLINK("http://www.kyongbuk.co.kr/?mod=news&amp;act=articleView&amp;idxno=931693")</f>
        <v>http://www.kyongbuk.co.kr/?mod=news&amp;act=articleView&amp;idxno=931693</v>
      </c>
      <c r="H9384">
        <v>0.45300000000000001</v>
      </c>
    </row>
    <row r="9385" spans="1:8" x14ac:dyDescent="0.3">
      <c r="A9385" t="s">
        <v>23009</v>
      </c>
      <c r="B9385" t="s">
        <v>26951</v>
      </c>
      <c r="C9385" t="s">
        <v>23506</v>
      </c>
      <c r="D9385" t="s">
        <v>23505</v>
      </c>
      <c r="E9385" s="2" t="s">
        <v>609</v>
      </c>
      <c r="F9385" t="s">
        <v>3745</v>
      </c>
      <c r="G9385" t="str">
        <f>HYPERLINK("https://www.kgnews.co.kr/news/article.html?no=848969")</f>
        <v>https://www.kgnews.co.kr/news/article.html?no=848969</v>
      </c>
      <c r="H9385">
        <v>0.71399999999999997</v>
      </c>
    </row>
    <row r="9386" spans="1:8" x14ac:dyDescent="0.3">
      <c r="A9386" t="s">
        <v>23009</v>
      </c>
      <c r="B9386" t="s">
        <v>26951</v>
      </c>
      <c r="C9386" t="s">
        <v>23508</v>
      </c>
      <c r="D9386" t="s">
        <v>23507</v>
      </c>
      <c r="E9386" s="2" t="s">
        <v>609</v>
      </c>
      <c r="F9386" t="s">
        <v>3745</v>
      </c>
      <c r="G9386" t="str">
        <f>HYPERLINK("http://www.econonews.co.kr/news/articleView.html?idxno=391143")</f>
        <v>http://www.econonews.co.kr/news/articleView.html?idxno=391143</v>
      </c>
      <c r="H9386">
        <v>0.91100000000000003</v>
      </c>
    </row>
    <row r="9387" spans="1:8" x14ac:dyDescent="0.3">
      <c r="A9387" t="s">
        <v>23009</v>
      </c>
      <c r="B9387" t="s">
        <v>26951</v>
      </c>
      <c r="C9387" t="s">
        <v>23510</v>
      </c>
      <c r="D9387" t="s">
        <v>23509</v>
      </c>
      <c r="E9387" s="2" t="s">
        <v>609</v>
      </c>
      <c r="F9387" t="s">
        <v>3745</v>
      </c>
      <c r="G9387" t="str">
        <f>HYPERLINK("https://www.viva100.com/article/20250610500095")</f>
        <v>https://www.viva100.com/article/20250610500095</v>
      </c>
      <c r="H9387">
        <v>0.745</v>
      </c>
    </row>
    <row r="9388" spans="1:8" x14ac:dyDescent="0.3">
      <c r="A9388" t="s">
        <v>23009</v>
      </c>
      <c r="B9388" t="s">
        <v>26951</v>
      </c>
      <c r="C9388" t="s">
        <v>23512</v>
      </c>
      <c r="D9388" t="s">
        <v>23511</v>
      </c>
      <c r="E9388" s="2" t="s">
        <v>609</v>
      </c>
      <c r="F9388" t="s">
        <v>3745</v>
      </c>
      <c r="G9388" t="str">
        <f>HYPERLINK("https://www.jeonmae.co.kr/news/articleView.html?idxno=1146412")</f>
        <v>https://www.jeonmae.co.kr/news/articleView.html?idxno=1146412</v>
      </c>
      <c r="H9388">
        <v>0.30399999999999999</v>
      </c>
    </row>
    <row r="9389" spans="1:8" x14ac:dyDescent="0.3">
      <c r="A9389" t="s">
        <v>23009</v>
      </c>
      <c r="B9389" t="s">
        <v>26951</v>
      </c>
      <c r="C9389" t="s">
        <v>23514</v>
      </c>
      <c r="D9389" t="s">
        <v>23513</v>
      </c>
      <c r="E9389" s="2" t="s">
        <v>609</v>
      </c>
      <c r="F9389" t="s">
        <v>3745</v>
      </c>
      <c r="G9389" t="str">
        <f>HYPERLINK("https://www.jeonmae.co.kr/news/articleView.html?idxno=1154696")</f>
        <v>https://www.jeonmae.co.kr/news/articleView.html?idxno=1154696</v>
      </c>
      <c r="H9389">
        <v>0.996</v>
      </c>
    </row>
    <row r="9390" spans="1:8" x14ac:dyDescent="0.3">
      <c r="A9390" t="s">
        <v>23009</v>
      </c>
      <c r="B9390" t="s">
        <v>26951</v>
      </c>
      <c r="C9390" t="s">
        <v>23516</v>
      </c>
      <c r="D9390" t="s">
        <v>23515</v>
      </c>
      <c r="E9390" s="2" t="s">
        <v>609</v>
      </c>
      <c r="F9390" t="s">
        <v>3745</v>
      </c>
      <c r="G9390" t="str">
        <f>HYPERLINK("https://www.jeonmae.co.kr/news/articleView.html?idxno=1161763")</f>
        <v>https://www.jeonmae.co.kr/news/articleView.html?idxno=1161763</v>
      </c>
      <c r="H9390">
        <v>0.32100000000000001</v>
      </c>
    </row>
    <row r="9391" spans="1:8" x14ac:dyDescent="0.3">
      <c r="A9391" t="s">
        <v>23009</v>
      </c>
      <c r="B9391" t="s">
        <v>26951</v>
      </c>
      <c r="C9391" t="s">
        <v>23518</v>
      </c>
      <c r="D9391" t="s">
        <v>23517</v>
      </c>
      <c r="E9391" s="2" t="s">
        <v>609</v>
      </c>
      <c r="F9391" t="s">
        <v>3745</v>
      </c>
      <c r="G9391" t="str">
        <f>HYPERLINK("https://weekly.cnbnews.com/news/article.html?no=179527")</f>
        <v>https://weekly.cnbnews.com/news/article.html?no=179527</v>
      </c>
      <c r="H9391">
        <v>0.95799999999999996</v>
      </c>
    </row>
    <row r="9392" spans="1:8" x14ac:dyDescent="0.3">
      <c r="A9392" t="s">
        <v>23009</v>
      </c>
      <c r="B9392" t="s">
        <v>26951</v>
      </c>
      <c r="C9392" t="s">
        <v>23520</v>
      </c>
      <c r="D9392" t="s">
        <v>23519</v>
      </c>
      <c r="E9392" s="2" t="s">
        <v>609</v>
      </c>
      <c r="F9392" t="s">
        <v>3745</v>
      </c>
      <c r="G9392" t="str">
        <f>HYPERLINK("http://www.kihoilbo.co.kr/news/articleView.html?idxno=1147064")</f>
        <v>http://www.kihoilbo.co.kr/news/articleView.html?idxno=1147064</v>
      </c>
      <c r="H9392">
        <v>0.83199999999999996</v>
      </c>
    </row>
    <row r="9393" spans="1:8" x14ac:dyDescent="0.3">
      <c r="A9393" t="s">
        <v>23009</v>
      </c>
      <c r="B9393" t="s">
        <v>26951</v>
      </c>
      <c r="C9393" t="s">
        <v>23522</v>
      </c>
      <c r="D9393" t="s">
        <v>23521</v>
      </c>
      <c r="E9393" s="2" t="s">
        <v>609</v>
      </c>
      <c r="F9393" t="s">
        <v>3745</v>
      </c>
      <c r="G9393" t="str">
        <f>HYPERLINK("https://www.jeonmae.co.kr/news/articleView.html?idxno=1105173")</f>
        <v>https://www.jeonmae.co.kr/news/articleView.html?idxno=1105173</v>
      </c>
      <c r="H9393">
        <v>0.32200000000000001</v>
      </c>
    </row>
    <row r="9394" spans="1:8" x14ac:dyDescent="0.3">
      <c r="A9394" t="s">
        <v>23009</v>
      </c>
      <c r="B9394" t="s">
        <v>26951</v>
      </c>
      <c r="C9394" t="s">
        <v>23524</v>
      </c>
      <c r="D9394" t="s">
        <v>23523</v>
      </c>
      <c r="E9394" s="2" t="s">
        <v>609</v>
      </c>
      <c r="F9394" t="s">
        <v>3745</v>
      </c>
      <c r="G9394" t="str">
        <f>HYPERLINK("https://www.jeonmae.co.kr/news/articleView.html?idxno=1149941")</f>
        <v>https://www.jeonmae.co.kr/news/articleView.html?idxno=1149941</v>
      </c>
      <c r="H9394">
        <v>0.29199999999999998</v>
      </c>
    </row>
    <row r="9395" spans="1:8" x14ac:dyDescent="0.3">
      <c r="A9395" t="s">
        <v>23009</v>
      </c>
      <c r="B9395" t="s">
        <v>26951</v>
      </c>
      <c r="C9395" t="s">
        <v>23526</v>
      </c>
      <c r="D9395" t="s">
        <v>23525</v>
      </c>
      <c r="E9395" s="2" t="s">
        <v>609</v>
      </c>
      <c r="F9395" t="s">
        <v>3745</v>
      </c>
      <c r="G9395" t="str">
        <f>HYPERLINK("https://www.laborplus.co.kr/news/articleView.html?idxno=35880")</f>
        <v>https://www.laborplus.co.kr/news/articleView.html?idxno=35880</v>
      </c>
      <c r="H9395">
        <v>0.46200000000000002</v>
      </c>
    </row>
    <row r="9396" spans="1:8" x14ac:dyDescent="0.3">
      <c r="A9396" t="s">
        <v>23009</v>
      </c>
      <c r="B9396" t="s">
        <v>26951</v>
      </c>
      <c r="C9396" t="s">
        <v>23528</v>
      </c>
      <c r="D9396" t="s">
        <v>23527</v>
      </c>
      <c r="E9396" s="2" t="s">
        <v>609</v>
      </c>
      <c r="F9396" t="s">
        <v>3745</v>
      </c>
      <c r="G9396" t="str">
        <f>HYPERLINK("https://www.jeonmae.co.kr/news/articleView.html?idxno=1154527")</f>
        <v>https://www.jeonmae.co.kr/news/articleView.html?idxno=1154527</v>
      </c>
      <c r="H9396">
        <v>0.998</v>
      </c>
    </row>
    <row r="9397" spans="1:8" x14ac:dyDescent="0.3">
      <c r="A9397" t="s">
        <v>23009</v>
      </c>
      <c r="B9397" t="s">
        <v>26951</v>
      </c>
      <c r="C9397" t="s">
        <v>23530</v>
      </c>
      <c r="D9397" t="s">
        <v>23529</v>
      </c>
      <c r="E9397" s="2" t="s">
        <v>609</v>
      </c>
      <c r="F9397" t="s">
        <v>3745</v>
      </c>
      <c r="G9397" t="str">
        <f>HYPERLINK("https://www.jeonmae.co.kr/news/articleView.html?idxno=1149941")</f>
        <v>https://www.jeonmae.co.kr/news/articleView.html?idxno=1149941</v>
      </c>
      <c r="H9397">
        <v>0.32400000000000001</v>
      </c>
    </row>
    <row r="9398" spans="1:8" x14ac:dyDescent="0.3">
      <c r="A9398" t="s">
        <v>23009</v>
      </c>
      <c r="B9398" t="s">
        <v>26951</v>
      </c>
      <c r="C9398" t="s">
        <v>23532</v>
      </c>
      <c r="D9398" t="s">
        <v>23531</v>
      </c>
      <c r="E9398" s="2" t="s">
        <v>609</v>
      </c>
      <c r="F9398" t="s">
        <v>3745</v>
      </c>
      <c r="G9398" t="str">
        <f>HYPERLINK("http://www.enewstoday.co.kr/news/articleView.html?idxno=2287325")</f>
        <v>http://www.enewstoday.co.kr/news/articleView.html?idxno=2287325</v>
      </c>
      <c r="H9398">
        <v>0.81299999999999994</v>
      </c>
    </row>
    <row r="9399" spans="1:8" x14ac:dyDescent="0.3">
      <c r="A9399" t="s">
        <v>23009</v>
      </c>
      <c r="B9399" t="s">
        <v>26951</v>
      </c>
      <c r="C9399" t="s">
        <v>23534</v>
      </c>
      <c r="D9399" t="s">
        <v>23533</v>
      </c>
      <c r="E9399" s="2" t="s">
        <v>609</v>
      </c>
      <c r="F9399" t="s">
        <v>3745</v>
      </c>
      <c r="G9399" t="str">
        <f>HYPERLINK("https://www.jeonmae.co.kr/news/articleView.html?idxno=1149941")</f>
        <v>https://www.jeonmae.co.kr/news/articleView.html?idxno=1149941</v>
      </c>
      <c r="H9399">
        <v>0.245</v>
      </c>
    </row>
    <row r="9400" spans="1:8" x14ac:dyDescent="0.3">
      <c r="A9400" t="s">
        <v>23009</v>
      </c>
      <c r="B9400" t="s">
        <v>26951</v>
      </c>
      <c r="C9400" t="s">
        <v>23536</v>
      </c>
      <c r="D9400" t="s">
        <v>23535</v>
      </c>
      <c r="E9400" s="2" t="s">
        <v>609</v>
      </c>
      <c r="F9400" t="s">
        <v>3745</v>
      </c>
      <c r="G9400" t="str">
        <f>HYPERLINK("https://www.jeonmae.co.kr/news/articleView.html?idxno=1149941")</f>
        <v>https://www.jeonmae.co.kr/news/articleView.html?idxno=1149941</v>
      </c>
      <c r="H9400">
        <v>0.35299999999999998</v>
      </c>
    </row>
    <row r="9401" spans="1:8" x14ac:dyDescent="0.3">
      <c r="A9401" t="s">
        <v>23009</v>
      </c>
      <c r="B9401" t="s">
        <v>26951</v>
      </c>
      <c r="C9401" t="s">
        <v>23538</v>
      </c>
      <c r="D9401" t="s">
        <v>23537</v>
      </c>
      <c r="E9401" s="2" t="s">
        <v>653</v>
      </c>
      <c r="F9401" t="s">
        <v>3745</v>
      </c>
      <c r="G9401" t="str">
        <f>HYPERLINK("https://www.jeonmae.co.kr/news/articleView.html?idxno=1154156")</f>
        <v>https://www.jeonmae.co.kr/news/articleView.html?idxno=1154156</v>
      </c>
      <c r="H9401">
        <v>0.99199999999999999</v>
      </c>
    </row>
    <row r="9402" spans="1:8" x14ac:dyDescent="0.3">
      <c r="A9402" t="s">
        <v>23009</v>
      </c>
      <c r="B9402" t="s">
        <v>26951</v>
      </c>
      <c r="C9402" t="s">
        <v>23540</v>
      </c>
      <c r="D9402" t="s">
        <v>23539</v>
      </c>
      <c r="E9402" s="2" t="s">
        <v>653</v>
      </c>
      <c r="F9402" t="s">
        <v>3745</v>
      </c>
      <c r="G9402" t="str">
        <f>HYPERLINK("https://www.jeonmae.co.kr/news/articleView.html?idxno=1154133")</f>
        <v>https://www.jeonmae.co.kr/news/articleView.html?idxno=1154133</v>
      </c>
      <c r="H9402">
        <v>0.996</v>
      </c>
    </row>
    <row r="9403" spans="1:8" x14ac:dyDescent="0.3">
      <c r="A9403" t="s">
        <v>23009</v>
      </c>
      <c r="B9403" t="s">
        <v>26951</v>
      </c>
      <c r="C9403" t="s">
        <v>23542</v>
      </c>
      <c r="D9403" t="s">
        <v>23541</v>
      </c>
      <c r="E9403" s="2" t="s">
        <v>653</v>
      </c>
      <c r="F9403" t="s">
        <v>3745</v>
      </c>
      <c r="G9403" t="str">
        <f>HYPERLINK("https://www.iusm.co.kr/news/articleView.html?idxno=1031117")</f>
        <v>https://www.iusm.co.kr/news/articleView.html?idxno=1031117</v>
      </c>
      <c r="H9403">
        <v>0.45400000000000001</v>
      </c>
    </row>
    <row r="9404" spans="1:8" x14ac:dyDescent="0.3">
      <c r="A9404" t="s">
        <v>23009</v>
      </c>
      <c r="B9404" t="s">
        <v>26951</v>
      </c>
      <c r="C9404" t="s">
        <v>23544</v>
      </c>
      <c r="D9404" t="s">
        <v>23543</v>
      </c>
      <c r="E9404" s="2" t="s">
        <v>653</v>
      </c>
      <c r="F9404" t="s">
        <v>3745</v>
      </c>
      <c r="G9404" t="str">
        <f>HYPERLINK("https://www.siminilbo.co.kr/news/newsview.php?ncode=1160286964241037")</f>
        <v>https://www.siminilbo.co.kr/news/newsview.php?ncode=1160286964241037</v>
      </c>
      <c r="H9404">
        <v>0.86099999999999999</v>
      </c>
    </row>
    <row r="9405" spans="1:8" x14ac:dyDescent="0.3">
      <c r="A9405" t="s">
        <v>23009</v>
      </c>
      <c r="B9405" t="s">
        <v>26951</v>
      </c>
      <c r="C9405" t="s">
        <v>23546</v>
      </c>
      <c r="D9405" t="s">
        <v>23545</v>
      </c>
      <c r="E9405" s="2" t="s">
        <v>653</v>
      </c>
      <c r="F9405" t="s">
        <v>3745</v>
      </c>
      <c r="G9405" t="str">
        <f>HYPERLINK("https://www.jeonmae.co.kr/news/articleView.html?idxno=1154086")</f>
        <v>https://www.jeonmae.co.kr/news/articleView.html?idxno=1154086</v>
      </c>
      <c r="H9405">
        <v>0.996</v>
      </c>
    </row>
    <row r="9406" spans="1:8" x14ac:dyDescent="0.3">
      <c r="A9406" t="s">
        <v>23009</v>
      </c>
      <c r="B9406" t="s">
        <v>26951</v>
      </c>
      <c r="C9406" t="s">
        <v>23549</v>
      </c>
      <c r="D9406" t="s">
        <v>23548</v>
      </c>
      <c r="E9406" s="2" t="s">
        <v>653</v>
      </c>
      <c r="F9406" t="s">
        <v>23547</v>
      </c>
      <c r="G9406" t="str">
        <f>HYPERLINK("https://www.apnews.kr/news/articleView.html?idxno=3013961")</f>
        <v>https://www.apnews.kr/news/articleView.html?idxno=3013961</v>
      </c>
      <c r="H9406">
        <v>0.29899999999999999</v>
      </c>
    </row>
    <row r="9407" spans="1:8" x14ac:dyDescent="0.3">
      <c r="A9407" t="s">
        <v>23009</v>
      </c>
      <c r="B9407" t="s">
        <v>26951</v>
      </c>
      <c r="C9407" t="s">
        <v>23551</v>
      </c>
      <c r="D9407" t="s">
        <v>23550</v>
      </c>
      <c r="E9407" s="2" t="s">
        <v>653</v>
      </c>
      <c r="F9407" t="s">
        <v>3745</v>
      </c>
      <c r="G9407" t="str">
        <f>HYPERLINK("https://weekly.cnbnews.com/news/article.html?no=179306")</f>
        <v>https://weekly.cnbnews.com/news/article.html?no=179306</v>
      </c>
      <c r="H9407">
        <v>0.93100000000000005</v>
      </c>
    </row>
    <row r="9408" spans="1:8" x14ac:dyDescent="0.3">
      <c r="A9408" t="s">
        <v>23009</v>
      </c>
      <c r="B9408" t="s">
        <v>26951</v>
      </c>
      <c r="C9408" t="s">
        <v>23553</v>
      </c>
      <c r="D9408" t="s">
        <v>23552</v>
      </c>
      <c r="E9408" s="2" t="s">
        <v>653</v>
      </c>
      <c r="F9408" t="s">
        <v>12918</v>
      </c>
      <c r="G9408" t="str">
        <f>HYPERLINK("https://sports.hankooki.com/news/articleView.html?idxno=6885594")</f>
        <v>https://sports.hankooki.com/news/articleView.html?idxno=6885594</v>
      </c>
      <c r="H9408">
        <v>0.47</v>
      </c>
    </row>
    <row r="9409" spans="1:8" x14ac:dyDescent="0.3">
      <c r="A9409" t="s">
        <v>23009</v>
      </c>
      <c r="B9409" t="s">
        <v>26951</v>
      </c>
      <c r="C9409" t="s">
        <v>23555</v>
      </c>
      <c r="D9409" t="s">
        <v>23554</v>
      </c>
      <c r="E9409" s="2" t="s">
        <v>653</v>
      </c>
      <c r="F9409" t="s">
        <v>3745</v>
      </c>
      <c r="G9409" t="str">
        <f>HYPERLINK("https://www.jeonmae.co.kr/news/articleView.html?idxno=891640")</f>
        <v>https://www.jeonmae.co.kr/news/articleView.html?idxno=891640</v>
      </c>
      <c r="H9409">
        <v>0.377</v>
      </c>
    </row>
    <row r="9410" spans="1:8" x14ac:dyDescent="0.3">
      <c r="A9410" t="s">
        <v>23009</v>
      </c>
      <c r="B9410" t="s">
        <v>26951</v>
      </c>
      <c r="C9410" t="s">
        <v>23558</v>
      </c>
      <c r="D9410" t="s">
        <v>23557</v>
      </c>
      <c r="E9410" s="2" t="s">
        <v>711</v>
      </c>
      <c r="F9410" t="s">
        <v>23556</v>
      </c>
      <c r="G9410" t="str">
        <f>HYPERLINK("http://ch.yes24.com/Article/View/43483")</f>
        <v>http://ch.yes24.com/Article/View/43483</v>
      </c>
      <c r="H9410">
        <v>0.23599999999999999</v>
      </c>
    </row>
    <row r="9411" spans="1:8" x14ac:dyDescent="0.3">
      <c r="A9411" t="s">
        <v>23009</v>
      </c>
      <c r="B9411" t="s">
        <v>26951</v>
      </c>
      <c r="C9411" t="s">
        <v>23561</v>
      </c>
      <c r="D9411" t="s">
        <v>23560</v>
      </c>
      <c r="E9411" s="2" t="s">
        <v>711</v>
      </c>
      <c r="F9411" t="s">
        <v>23559</v>
      </c>
      <c r="G9411" t="str">
        <f>HYPERLINK("http://www.incheonnews.com/news/articleView.html?idxno=426383")</f>
        <v>http://www.incheonnews.com/news/articleView.html?idxno=426383</v>
      </c>
      <c r="H9411">
        <v>0.95899999999999996</v>
      </c>
    </row>
    <row r="9412" spans="1:8" x14ac:dyDescent="0.3">
      <c r="A9412" t="s">
        <v>23009</v>
      </c>
      <c r="B9412" t="s">
        <v>26951</v>
      </c>
      <c r="C9412" t="s">
        <v>23563</v>
      </c>
      <c r="D9412" t="s">
        <v>23562</v>
      </c>
      <c r="E9412" s="2" t="s">
        <v>711</v>
      </c>
      <c r="F9412" t="s">
        <v>2448</v>
      </c>
      <c r="G9412" t="str">
        <f>HYPERLINK("https://n.news.naver.com/mnews/article/002/0002140843?sid=102")</f>
        <v>https://n.news.naver.com/mnews/article/002/0002140843?sid=102</v>
      </c>
      <c r="H9412">
        <v>0.317</v>
      </c>
    </row>
    <row r="9413" spans="1:8" x14ac:dyDescent="0.3">
      <c r="A9413" t="s">
        <v>23009</v>
      </c>
      <c r="B9413" t="s">
        <v>26951</v>
      </c>
      <c r="C9413" t="s">
        <v>23566</v>
      </c>
      <c r="D9413" t="s">
        <v>23565</v>
      </c>
      <c r="E9413" s="2" t="s">
        <v>725</v>
      </c>
      <c r="F9413" t="s">
        <v>23564</v>
      </c>
      <c r="G9413" t="str">
        <f>HYPERLINK("https://n.news.naver.com/mnews/article/088/0000951961?sid=100")</f>
        <v>https://n.news.naver.com/mnews/article/088/0000951961?sid=100</v>
      </c>
      <c r="H9413">
        <v>0.23100000000000001</v>
      </c>
    </row>
    <row r="9414" spans="1:8" x14ac:dyDescent="0.3">
      <c r="A9414" t="s">
        <v>23009</v>
      </c>
      <c r="B9414" t="s">
        <v>26951</v>
      </c>
      <c r="C9414" t="s">
        <v>23568</v>
      </c>
      <c r="D9414" t="s">
        <v>23567</v>
      </c>
      <c r="E9414" s="2" t="s">
        <v>725</v>
      </c>
      <c r="F9414" t="s">
        <v>1136</v>
      </c>
      <c r="G9414" t="str">
        <f>HYPERLINK("https://n.news.naver.com/mnews/article/011/0004472947?sid=104")</f>
        <v>https://n.news.naver.com/mnews/article/011/0004472947?sid=104</v>
      </c>
      <c r="H9414">
        <v>0.21199999999999999</v>
      </c>
    </row>
    <row r="9415" spans="1:8" x14ac:dyDescent="0.3">
      <c r="A9415" t="s">
        <v>23009</v>
      </c>
      <c r="B9415" t="s">
        <v>26951</v>
      </c>
      <c r="C9415" t="s">
        <v>23570</v>
      </c>
      <c r="D9415" t="s">
        <v>23569</v>
      </c>
      <c r="E9415" s="2" t="s">
        <v>725</v>
      </c>
      <c r="F9415" t="s">
        <v>3745</v>
      </c>
      <c r="G9415" t="str">
        <f>HYPERLINK("http://www.doctorstimes.com/news/articleView.html?idxno=224031")</f>
        <v>http://www.doctorstimes.com/news/articleView.html?idxno=224031</v>
      </c>
      <c r="H9415">
        <v>0.34</v>
      </c>
    </row>
    <row r="9416" spans="1:8" x14ac:dyDescent="0.3">
      <c r="A9416" t="s">
        <v>23009</v>
      </c>
      <c r="B9416" t="s">
        <v>26951</v>
      </c>
      <c r="C9416" t="s">
        <v>23572</v>
      </c>
      <c r="D9416" t="s">
        <v>23571</v>
      </c>
      <c r="E9416" s="2" t="s">
        <v>725</v>
      </c>
      <c r="F9416" t="s">
        <v>3745</v>
      </c>
      <c r="G9416" t="str">
        <f>HYPERLINK("https://weekly.cnbnews.com/news/article.html?no=179203")</f>
        <v>https://weekly.cnbnews.com/news/article.html?no=179203</v>
      </c>
      <c r="H9416">
        <v>0.94899999999999995</v>
      </c>
    </row>
    <row r="9417" spans="1:8" x14ac:dyDescent="0.3">
      <c r="A9417" t="s">
        <v>23009</v>
      </c>
      <c r="B9417" t="s">
        <v>26951</v>
      </c>
      <c r="C9417" t="s">
        <v>23574</v>
      </c>
      <c r="D9417" t="s">
        <v>23573</v>
      </c>
      <c r="E9417" s="2" t="s">
        <v>725</v>
      </c>
      <c r="F9417" t="s">
        <v>3745</v>
      </c>
      <c r="G9417" t="str">
        <f>HYPERLINK("https://weekly.cnbnews.com/news/article.html?no=179245")</f>
        <v>https://weekly.cnbnews.com/news/article.html?no=179245</v>
      </c>
      <c r="H9417">
        <v>0.79700000000000004</v>
      </c>
    </row>
    <row r="9418" spans="1:8" x14ac:dyDescent="0.3">
      <c r="A9418" t="s">
        <v>23009</v>
      </c>
      <c r="B9418" t="s">
        <v>26951</v>
      </c>
      <c r="C9418" t="s">
        <v>23576</v>
      </c>
      <c r="D9418" t="s">
        <v>23575</v>
      </c>
      <c r="E9418" s="2" t="s">
        <v>725</v>
      </c>
      <c r="F9418" t="s">
        <v>3745</v>
      </c>
      <c r="G9418" t="str">
        <f>HYPERLINK("https://www.jeonmae.co.kr/news/articleView.html?idxno=1108172")</f>
        <v>https://www.jeonmae.co.kr/news/articleView.html?idxno=1108172</v>
      </c>
      <c r="H9418">
        <v>0.36299999999999999</v>
      </c>
    </row>
    <row r="9419" spans="1:8" x14ac:dyDescent="0.3">
      <c r="A9419" t="s">
        <v>23009</v>
      </c>
      <c r="B9419" t="s">
        <v>26951</v>
      </c>
      <c r="C9419" t="s">
        <v>23578</v>
      </c>
      <c r="D9419" t="s">
        <v>23577</v>
      </c>
      <c r="E9419" s="2" t="s">
        <v>725</v>
      </c>
      <c r="F9419" t="s">
        <v>3745</v>
      </c>
      <c r="G9419" t="str">
        <f>HYPERLINK("https://www.jeonmae.co.kr/news/articleView.html?idxno=1084241")</f>
        <v>https://www.jeonmae.co.kr/news/articleView.html?idxno=1084241</v>
      </c>
      <c r="H9419">
        <v>0.36399999999999999</v>
      </c>
    </row>
    <row r="9420" spans="1:8" x14ac:dyDescent="0.3">
      <c r="A9420" t="s">
        <v>23009</v>
      </c>
      <c r="B9420" t="s">
        <v>26951</v>
      </c>
      <c r="C9420" t="s">
        <v>23580</v>
      </c>
      <c r="D9420" t="s">
        <v>23579</v>
      </c>
      <c r="E9420" s="2" t="s">
        <v>725</v>
      </c>
      <c r="F9420" t="s">
        <v>2046</v>
      </c>
      <c r="G9420" t="str">
        <f>HYPERLINK("https://www.kyeongin.com/article/1742002")</f>
        <v>https://www.kyeongin.com/article/1742002</v>
      </c>
      <c r="H9420">
        <v>0.98499999999999999</v>
      </c>
    </row>
    <row r="9421" spans="1:8" x14ac:dyDescent="0.3">
      <c r="A9421" t="s">
        <v>23009</v>
      </c>
      <c r="B9421" t="s">
        <v>26951</v>
      </c>
      <c r="C9421" t="s">
        <v>23582</v>
      </c>
      <c r="D9421" t="s">
        <v>23581</v>
      </c>
      <c r="E9421" s="2" t="s">
        <v>725</v>
      </c>
      <c r="F9421" t="s">
        <v>3745</v>
      </c>
      <c r="G9421" t="str">
        <f>HYPERLINK("https://www.jeonmae.co.kr/news/articleView.html?idxno=1153778")</f>
        <v>https://www.jeonmae.co.kr/news/articleView.html?idxno=1153778</v>
      </c>
      <c r="H9421">
        <v>0.98899999999999999</v>
      </c>
    </row>
    <row r="9422" spans="1:8" x14ac:dyDescent="0.3">
      <c r="A9422" t="s">
        <v>23009</v>
      </c>
      <c r="B9422" t="s">
        <v>26951</v>
      </c>
      <c r="C9422" t="s">
        <v>23584</v>
      </c>
      <c r="D9422" t="s">
        <v>23583</v>
      </c>
      <c r="E9422" s="2" t="s">
        <v>725</v>
      </c>
      <c r="F9422" t="s">
        <v>3745</v>
      </c>
      <c r="G9422" t="str">
        <f>HYPERLINK("https://www.jeonmae.co.kr/news/articleView.html?idxno=1153775")</f>
        <v>https://www.jeonmae.co.kr/news/articleView.html?idxno=1153775</v>
      </c>
      <c r="H9422">
        <v>0.995</v>
      </c>
    </row>
    <row r="9423" spans="1:8" x14ac:dyDescent="0.3">
      <c r="A9423" t="s">
        <v>23009</v>
      </c>
      <c r="B9423" t="s">
        <v>26951</v>
      </c>
      <c r="C9423" t="s">
        <v>23586</v>
      </c>
      <c r="D9423" t="s">
        <v>23585</v>
      </c>
      <c r="E9423" s="2" t="s">
        <v>725</v>
      </c>
      <c r="F9423" t="s">
        <v>3745</v>
      </c>
      <c r="G9423" t="str">
        <f>HYPERLINK("https://www.siminilbo.co.kr/news/newsview.php?ncode=1160286904498645")</f>
        <v>https://www.siminilbo.co.kr/news/newsview.php?ncode=1160286904498645</v>
      </c>
      <c r="H9423">
        <v>0.73099999999999998</v>
      </c>
    </row>
    <row r="9424" spans="1:8" x14ac:dyDescent="0.3">
      <c r="A9424" t="s">
        <v>23009</v>
      </c>
      <c r="B9424" t="s">
        <v>26951</v>
      </c>
      <c r="C9424" t="s">
        <v>23588</v>
      </c>
      <c r="D9424" t="s">
        <v>23587</v>
      </c>
      <c r="E9424" s="2" t="s">
        <v>725</v>
      </c>
      <c r="F9424" t="s">
        <v>3745</v>
      </c>
      <c r="G9424" t="str">
        <f>HYPERLINK("https://www.jeonmae.co.kr/news/articleView.html?idxno=1149941")</f>
        <v>https://www.jeonmae.co.kr/news/articleView.html?idxno=1149941</v>
      </c>
      <c r="H9424">
        <v>0.38800000000000001</v>
      </c>
    </row>
    <row r="9425" spans="1:8" x14ac:dyDescent="0.3">
      <c r="A9425" t="s">
        <v>23009</v>
      </c>
      <c r="B9425" t="s">
        <v>26951</v>
      </c>
      <c r="C9425" t="s">
        <v>23590</v>
      </c>
      <c r="D9425" t="s">
        <v>23589</v>
      </c>
      <c r="E9425" s="2" t="s">
        <v>725</v>
      </c>
      <c r="F9425" t="s">
        <v>3745</v>
      </c>
      <c r="G9425" t="str">
        <f>HYPERLINK("https://www.jeonmae.co.kr/news/articleView.html?idxno=1149941")</f>
        <v>https://www.jeonmae.co.kr/news/articleView.html?idxno=1149941</v>
      </c>
      <c r="H9425">
        <v>0.44700000000000001</v>
      </c>
    </row>
    <row r="9426" spans="1:8" x14ac:dyDescent="0.3">
      <c r="A9426" t="s">
        <v>23009</v>
      </c>
      <c r="B9426" t="s">
        <v>26951</v>
      </c>
      <c r="C9426" t="s">
        <v>23592</v>
      </c>
      <c r="D9426" t="s">
        <v>23591</v>
      </c>
      <c r="E9426" s="2" t="s">
        <v>725</v>
      </c>
      <c r="F9426" t="s">
        <v>3745</v>
      </c>
      <c r="G9426" t="str">
        <f>HYPERLINK("https://www.jeonmae.co.kr/news/articleView.html?idxno=1149941")</f>
        <v>https://www.jeonmae.co.kr/news/articleView.html?idxno=1149941</v>
      </c>
      <c r="H9426">
        <v>0.23499999999999999</v>
      </c>
    </row>
    <row r="9427" spans="1:8" x14ac:dyDescent="0.3">
      <c r="A9427" t="s">
        <v>23009</v>
      </c>
      <c r="B9427" t="s">
        <v>26951</v>
      </c>
      <c r="C9427" t="s">
        <v>23594</v>
      </c>
      <c r="D9427" t="s">
        <v>23593</v>
      </c>
      <c r="E9427" s="2" t="s">
        <v>742</v>
      </c>
      <c r="F9427" t="s">
        <v>23053</v>
      </c>
      <c r="G9427" t="str">
        <f>HYPERLINK("http://www.jeonmae.co.kr/news/articleView.html?idxno=834815")</f>
        <v>http://www.jeonmae.co.kr/news/articleView.html?idxno=834815</v>
      </c>
      <c r="H9427">
        <v>0.41099999999999998</v>
      </c>
    </row>
    <row r="9428" spans="1:8" x14ac:dyDescent="0.3">
      <c r="A9428" t="s">
        <v>23009</v>
      </c>
      <c r="B9428" t="s">
        <v>26951</v>
      </c>
      <c r="C9428" t="s">
        <v>23596</v>
      </c>
      <c r="D9428" t="s">
        <v>23595</v>
      </c>
      <c r="E9428" s="2" t="s">
        <v>742</v>
      </c>
      <c r="F9428" t="s">
        <v>5773</v>
      </c>
      <c r="G9428" t="str">
        <f>HYPERLINK("https://www.ekn.kr/web/view.php?key=20250626024480491")</f>
        <v>https://www.ekn.kr/web/view.php?key=20250626024480491</v>
      </c>
      <c r="H9428">
        <v>0.433</v>
      </c>
    </row>
    <row r="9429" spans="1:8" x14ac:dyDescent="0.3">
      <c r="A9429" t="s">
        <v>23009</v>
      </c>
      <c r="B9429" t="s">
        <v>26951</v>
      </c>
      <c r="C9429" t="s">
        <v>23598</v>
      </c>
      <c r="D9429" t="s">
        <v>23597</v>
      </c>
      <c r="E9429" s="2" t="s">
        <v>742</v>
      </c>
      <c r="F9429" t="s">
        <v>3745</v>
      </c>
      <c r="G9429" t="str">
        <f>HYPERLINK("https://www.geconomy.co.kr/news/article.html?no=300364")</f>
        <v>https://www.geconomy.co.kr/news/article.html?no=300364</v>
      </c>
      <c r="H9429">
        <v>0.69299999999999995</v>
      </c>
    </row>
    <row r="9430" spans="1:8" x14ac:dyDescent="0.3">
      <c r="A9430" t="s">
        <v>23009</v>
      </c>
      <c r="B9430" t="s">
        <v>26951</v>
      </c>
      <c r="C9430" t="s">
        <v>23600</v>
      </c>
      <c r="D9430" t="s">
        <v>23599</v>
      </c>
      <c r="E9430" s="2" t="s">
        <v>742</v>
      </c>
      <c r="F9430" t="s">
        <v>3745</v>
      </c>
      <c r="G9430" t="str">
        <f>HYPERLINK("https://www.jeonmae.co.kr/news/articleView.html?idxno=1153606")</f>
        <v>https://www.jeonmae.co.kr/news/articleView.html?idxno=1153606</v>
      </c>
      <c r="H9430">
        <v>0.99</v>
      </c>
    </row>
    <row r="9431" spans="1:8" x14ac:dyDescent="0.3">
      <c r="A9431" t="s">
        <v>23009</v>
      </c>
      <c r="B9431" t="s">
        <v>26951</v>
      </c>
      <c r="C9431" t="s">
        <v>23602</v>
      </c>
      <c r="D9431" t="s">
        <v>23601</v>
      </c>
      <c r="E9431" s="2" t="s">
        <v>742</v>
      </c>
      <c r="F9431" t="s">
        <v>3745</v>
      </c>
      <c r="G9431" t="str">
        <f>HYPERLINK("https://www.jeonmae.co.kr/news/articleView.html?idxno=1149941")</f>
        <v>https://www.jeonmae.co.kr/news/articleView.html?idxno=1149941</v>
      </c>
      <c r="H9431">
        <v>0.30599999999999999</v>
      </c>
    </row>
    <row r="9432" spans="1:8" x14ac:dyDescent="0.3">
      <c r="A9432" t="s">
        <v>23009</v>
      </c>
      <c r="B9432" t="s">
        <v>26951</v>
      </c>
      <c r="C9432" t="s">
        <v>23604</v>
      </c>
      <c r="D9432" t="s">
        <v>23603</v>
      </c>
      <c r="E9432" s="2" t="s">
        <v>742</v>
      </c>
      <c r="F9432" t="s">
        <v>23095</v>
      </c>
      <c r="G9432" t="str">
        <f>HYPERLINK("https://weekly.cnbnews.com/news/article.html?no=179162")</f>
        <v>https://weekly.cnbnews.com/news/article.html?no=179162</v>
      </c>
      <c r="H9432">
        <v>0.96899999999999997</v>
      </c>
    </row>
    <row r="9433" spans="1:8" x14ac:dyDescent="0.3">
      <c r="A9433" t="s">
        <v>23009</v>
      </c>
      <c r="B9433" t="s">
        <v>26951</v>
      </c>
      <c r="C9433" t="s">
        <v>23606</v>
      </c>
      <c r="D9433" t="s">
        <v>23605</v>
      </c>
      <c r="E9433" s="2" t="s">
        <v>742</v>
      </c>
      <c r="F9433" t="s">
        <v>3745</v>
      </c>
      <c r="G9433" t="str">
        <f>HYPERLINK("https://www.jeonmae.co.kr/news/articleView.html?idxno=1149946")</f>
        <v>https://www.jeonmae.co.kr/news/articleView.html?idxno=1149946</v>
      </c>
      <c r="H9433">
        <v>0.36699999999999999</v>
      </c>
    </row>
    <row r="9434" spans="1:8" x14ac:dyDescent="0.3">
      <c r="A9434" t="s">
        <v>23009</v>
      </c>
      <c r="B9434" t="s">
        <v>26951</v>
      </c>
      <c r="C9434" t="s">
        <v>23608</v>
      </c>
      <c r="D9434" t="s">
        <v>23607</v>
      </c>
      <c r="E9434" s="2" t="s">
        <v>742</v>
      </c>
      <c r="F9434" t="s">
        <v>3745</v>
      </c>
      <c r="G9434" t="str">
        <f>HYPERLINK("http://www.enewstoday.co.kr/news/articleView.html?idxno=2285517")</f>
        <v>http://www.enewstoday.co.kr/news/articleView.html?idxno=2285517</v>
      </c>
      <c r="H9434">
        <v>0.85299999999999998</v>
      </c>
    </row>
    <row r="9435" spans="1:8" x14ac:dyDescent="0.3">
      <c r="A9435" t="s">
        <v>23009</v>
      </c>
      <c r="B9435" t="s">
        <v>26951</v>
      </c>
      <c r="C9435" t="s">
        <v>23610</v>
      </c>
      <c r="D9435" t="s">
        <v>23609</v>
      </c>
      <c r="E9435" s="2" t="s">
        <v>742</v>
      </c>
      <c r="F9435" t="s">
        <v>3745</v>
      </c>
      <c r="G9435" t="str">
        <f>HYPERLINK("https://www.jeonmae.co.kr/news/articleView.html?idxno=1149941")</f>
        <v>https://www.jeonmae.co.kr/news/articleView.html?idxno=1149941</v>
      </c>
      <c r="H9435">
        <v>0.28399999999999997</v>
      </c>
    </row>
    <row r="9436" spans="1:8" x14ac:dyDescent="0.3">
      <c r="A9436" t="s">
        <v>23009</v>
      </c>
      <c r="B9436" t="s">
        <v>26951</v>
      </c>
      <c r="C9436" t="s">
        <v>23613</v>
      </c>
      <c r="D9436" t="s">
        <v>23612</v>
      </c>
      <c r="E9436" s="2" t="s">
        <v>799</v>
      </c>
      <c r="F9436" t="s">
        <v>23611</v>
      </c>
      <c r="G9436" t="str">
        <f>HYPERLINK("https://www.m-joongang.com/news/articleView.html?idxno=401271")</f>
        <v>https://www.m-joongang.com/news/articleView.html?idxno=401271</v>
      </c>
      <c r="H9436">
        <v>0.68300000000000005</v>
      </c>
    </row>
    <row r="9437" spans="1:8" x14ac:dyDescent="0.3">
      <c r="A9437" t="s">
        <v>23009</v>
      </c>
      <c r="B9437" t="s">
        <v>26951</v>
      </c>
      <c r="C9437" t="s">
        <v>23615</v>
      </c>
      <c r="D9437" t="s">
        <v>23614</v>
      </c>
      <c r="E9437" s="2" t="s">
        <v>799</v>
      </c>
      <c r="F9437" t="s">
        <v>2046</v>
      </c>
      <c r="G9437" t="str">
        <f>HYPERLINK("https://n.news.naver.com/mnews/article/088/0000514365?sid=102")</f>
        <v>https://n.news.naver.com/mnews/article/088/0000514365?sid=102</v>
      </c>
      <c r="H9437">
        <v>0.308</v>
      </c>
    </row>
    <row r="9438" spans="1:8" x14ac:dyDescent="0.3">
      <c r="A9438" t="s">
        <v>23009</v>
      </c>
      <c r="B9438" t="s">
        <v>26951</v>
      </c>
      <c r="C9438" t="s">
        <v>23617</v>
      </c>
      <c r="D9438" t="s">
        <v>23616</v>
      </c>
      <c r="E9438" s="2" t="s">
        <v>799</v>
      </c>
      <c r="F9438" t="s">
        <v>658</v>
      </c>
      <c r="G9438" t="str">
        <f>HYPERLINK("http://www.finomy.com/news/articleView.html?idxno=229056")</f>
        <v>http://www.finomy.com/news/articleView.html?idxno=229056</v>
      </c>
      <c r="H9438">
        <v>0.32700000000000001</v>
      </c>
    </row>
    <row r="9439" spans="1:8" x14ac:dyDescent="0.3">
      <c r="A9439" t="s">
        <v>23009</v>
      </c>
      <c r="B9439" t="s">
        <v>26951</v>
      </c>
      <c r="C9439" t="s">
        <v>23619</v>
      </c>
      <c r="D9439" t="s">
        <v>23618</v>
      </c>
      <c r="E9439" s="2" t="s">
        <v>799</v>
      </c>
      <c r="F9439" t="s">
        <v>3745</v>
      </c>
      <c r="G9439" t="str">
        <f>HYPERLINK("https://www.jeonmae.co.kr/news/articleView.html?idxno=1036030")</f>
        <v>https://www.jeonmae.co.kr/news/articleView.html?idxno=1036030</v>
      </c>
      <c r="H9439">
        <v>0.6</v>
      </c>
    </row>
    <row r="9440" spans="1:8" x14ac:dyDescent="0.3">
      <c r="A9440" t="s">
        <v>23009</v>
      </c>
      <c r="B9440" t="s">
        <v>26951</v>
      </c>
      <c r="C9440" t="s">
        <v>23621</v>
      </c>
      <c r="D9440" t="s">
        <v>23620</v>
      </c>
      <c r="E9440" s="2" t="s">
        <v>799</v>
      </c>
      <c r="F9440" t="s">
        <v>3745</v>
      </c>
      <c r="G9440" t="str">
        <f>HYPERLINK("https://www.nbntv.co.kr/news/articleView.html?idxno=4002023")</f>
        <v>https://www.nbntv.co.kr/news/articleView.html?idxno=4002023</v>
      </c>
      <c r="H9440">
        <v>0.73199999999999998</v>
      </c>
    </row>
    <row r="9441" spans="1:8" x14ac:dyDescent="0.3">
      <c r="A9441" t="s">
        <v>23009</v>
      </c>
      <c r="B9441" t="s">
        <v>26951</v>
      </c>
      <c r="C9441" t="s">
        <v>23623</v>
      </c>
      <c r="D9441" t="s">
        <v>23622</v>
      </c>
      <c r="E9441" s="2" t="s">
        <v>799</v>
      </c>
      <c r="F9441" t="s">
        <v>3745</v>
      </c>
      <c r="G9441" t="str">
        <f>HYPERLINK("https://www.safetynews.co.kr/news/articleView.html?idxno=239081")</f>
        <v>https://www.safetynews.co.kr/news/articleView.html?idxno=239081</v>
      </c>
      <c r="H9441">
        <v>0.66600000000000004</v>
      </c>
    </row>
    <row r="9442" spans="1:8" x14ac:dyDescent="0.3">
      <c r="A9442" t="s">
        <v>23009</v>
      </c>
      <c r="B9442" t="s">
        <v>26951</v>
      </c>
      <c r="C9442" t="s">
        <v>23625</v>
      </c>
      <c r="D9442" t="s">
        <v>23624</v>
      </c>
      <c r="E9442" s="2" t="s">
        <v>799</v>
      </c>
      <c r="F9442" t="s">
        <v>23095</v>
      </c>
      <c r="G9442" t="str">
        <f>HYPERLINK("https://www.siminilbo.co.kr/news/newsview.php?ncode=1160285024863554")</f>
        <v>https://www.siminilbo.co.kr/news/newsview.php?ncode=1160285024863554</v>
      </c>
      <c r="H9442">
        <v>0.88800000000000001</v>
      </c>
    </row>
    <row r="9443" spans="1:8" x14ac:dyDescent="0.3">
      <c r="A9443" t="s">
        <v>23009</v>
      </c>
      <c r="B9443" t="s">
        <v>26951</v>
      </c>
      <c r="C9443" t="s">
        <v>23627</v>
      </c>
      <c r="D9443" t="s">
        <v>23626</v>
      </c>
      <c r="E9443" s="2" t="s">
        <v>799</v>
      </c>
      <c r="F9443" t="s">
        <v>3745</v>
      </c>
      <c r="G9443" t="str">
        <f>HYPERLINK("https://www.siminilbo.co.kr/news/newsview.php?ncode=1160286433732576")</f>
        <v>https://www.siminilbo.co.kr/news/newsview.php?ncode=1160286433732576</v>
      </c>
      <c r="H9443">
        <v>0.91300000000000003</v>
      </c>
    </row>
    <row r="9444" spans="1:8" x14ac:dyDescent="0.3">
      <c r="A9444" t="s">
        <v>23009</v>
      </c>
      <c r="B9444" t="s">
        <v>26951</v>
      </c>
      <c r="C9444" t="s">
        <v>23629</v>
      </c>
      <c r="D9444" t="s">
        <v>23628</v>
      </c>
      <c r="E9444" s="2" t="s">
        <v>799</v>
      </c>
      <c r="F9444" t="s">
        <v>2046</v>
      </c>
      <c r="G9444" t="str">
        <f>HYPERLINK("https://www.kbmaeil.com/article/20250603500094")</f>
        <v>https://www.kbmaeil.com/article/20250603500094</v>
      </c>
      <c r="H9444">
        <v>0.85099999999999998</v>
      </c>
    </row>
    <row r="9445" spans="1:8" x14ac:dyDescent="0.3">
      <c r="A9445" t="s">
        <v>23009</v>
      </c>
      <c r="B9445" t="s">
        <v>26951</v>
      </c>
      <c r="C9445" t="s">
        <v>23631</v>
      </c>
      <c r="D9445" t="s">
        <v>23630</v>
      </c>
      <c r="E9445" s="2" t="s">
        <v>799</v>
      </c>
      <c r="F9445" t="s">
        <v>3745</v>
      </c>
      <c r="G9445" t="str">
        <f>HYPERLINK("https://www.siminilbo.co.kr/news/newsview.php?ncode=1160287692888288")</f>
        <v>https://www.siminilbo.co.kr/news/newsview.php?ncode=1160287692888288</v>
      </c>
      <c r="H9445">
        <v>0.86599999999999999</v>
      </c>
    </row>
    <row r="9446" spans="1:8" x14ac:dyDescent="0.3">
      <c r="A9446" t="s">
        <v>23009</v>
      </c>
      <c r="B9446" t="s">
        <v>26951</v>
      </c>
      <c r="C9446" t="s">
        <v>23633</v>
      </c>
      <c r="D9446" t="s">
        <v>23632</v>
      </c>
      <c r="E9446" s="2" t="s">
        <v>799</v>
      </c>
      <c r="F9446" t="s">
        <v>2046</v>
      </c>
      <c r="G9446" t="str">
        <f>HYPERLINK("https://n.news.naver.com/mnews/article/088/0000948909?sid=103")</f>
        <v>https://n.news.naver.com/mnews/article/088/0000948909?sid=103</v>
      </c>
      <c r="H9446">
        <v>0.26500000000000001</v>
      </c>
    </row>
    <row r="9447" spans="1:8" x14ac:dyDescent="0.3">
      <c r="A9447" t="s">
        <v>23009</v>
      </c>
      <c r="B9447" t="s">
        <v>26951</v>
      </c>
      <c r="C9447" t="s">
        <v>23635</v>
      </c>
      <c r="D9447" t="s">
        <v>23634</v>
      </c>
      <c r="E9447" s="2" t="s">
        <v>799</v>
      </c>
      <c r="F9447" t="s">
        <v>3745</v>
      </c>
      <c r="G9447" t="str">
        <f>HYPERLINK("https://www.siminilbo.co.kr/news/newsview.php?ncode=1160287827312763")</f>
        <v>https://www.siminilbo.co.kr/news/newsview.php?ncode=1160287827312763</v>
      </c>
      <c r="H9447">
        <v>0.82299999999999995</v>
      </c>
    </row>
    <row r="9448" spans="1:8" x14ac:dyDescent="0.3">
      <c r="A9448" t="s">
        <v>23009</v>
      </c>
      <c r="B9448" t="s">
        <v>26951</v>
      </c>
      <c r="C9448" t="s">
        <v>23637</v>
      </c>
      <c r="D9448" t="s">
        <v>23636</v>
      </c>
      <c r="E9448" s="2" t="s">
        <v>799</v>
      </c>
      <c r="F9448" t="s">
        <v>3745</v>
      </c>
      <c r="G9448" t="str">
        <f>HYPERLINK("https://www.jeonmae.co.kr/news/articleView.html?idxno=1153115")</f>
        <v>https://www.jeonmae.co.kr/news/articleView.html?idxno=1153115</v>
      </c>
      <c r="H9448">
        <v>0.99099999999999999</v>
      </c>
    </row>
    <row r="9449" spans="1:8" x14ac:dyDescent="0.3">
      <c r="A9449" t="s">
        <v>23009</v>
      </c>
      <c r="B9449" t="s">
        <v>26951</v>
      </c>
      <c r="C9449" t="s">
        <v>23639</v>
      </c>
      <c r="D9449" t="s">
        <v>23638</v>
      </c>
      <c r="E9449" s="2" t="s">
        <v>799</v>
      </c>
      <c r="F9449" t="s">
        <v>3745</v>
      </c>
      <c r="G9449" t="str">
        <f>HYPERLINK("https://www.tournews21.com/news/articleView.html?idxno=104186")</f>
        <v>https://www.tournews21.com/news/articleView.html?idxno=104186</v>
      </c>
      <c r="H9449">
        <v>0.93100000000000005</v>
      </c>
    </row>
    <row r="9450" spans="1:8" x14ac:dyDescent="0.3">
      <c r="A9450" t="s">
        <v>23009</v>
      </c>
      <c r="B9450" t="s">
        <v>26951</v>
      </c>
      <c r="C9450" t="s">
        <v>23642</v>
      </c>
      <c r="D9450" t="s">
        <v>23641</v>
      </c>
      <c r="E9450" s="2" t="s">
        <v>799</v>
      </c>
      <c r="F9450" t="s">
        <v>23640</v>
      </c>
      <c r="G9450" t="str">
        <f>HYPERLINK("http://www.opinionnews.co.kr/news/articleView.html?idxno=118555")</f>
        <v>http://www.opinionnews.co.kr/news/articleView.html?idxno=118555</v>
      </c>
      <c r="H9450">
        <v>0.81100000000000005</v>
      </c>
    </row>
    <row r="9451" spans="1:8" x14ac:dyDescent="0.3">
      <c r="A9451" t="s">
        <v>23009</v>
      </c>
      <c r="B9451" t="s">
        <v>26951</v>
      </c>
      <c r="C9451" t="s">
        <v>23644</v>
      </c>
      <c r="D9451" t="s">
        <v>23643</v>
      </c>
      <c r="E9451" s="2" t="s">
        <v>799</v>
      </c>
      <c r="F9451" t="s">
        <v>3745</v>
      </c>
      <c r="G9451" t="str">
        <f>HYPERLINK("https://www.siminilbo.co.kr/news/newsview.php?ncode=1160287760418054")</f>
        <v>https://www.siminilbo.co.kr/news/newsview.php?ncode=1160287760418054</v>
      </c>
      <c r="H9451">
        <v>0.68500000000000005</v>
      </c>
    </row>
    <row r="9452" spans="1:8" x14ac:dyDescent="0.3">
      <c r="A9452" t="s">
        <v>23009</v>
      </c>
      <c r="B9452" t="s">
        <v>26951</v>
      </c>
      <c r="C9452" t="s">
        <v>23646</v>
      </c>
      <c r="D9452" t="s">
        <v>23645</v>
      </c>
      <c r="E9452" s="2" t="s">
        <v>799</v>
      </c>
      <c r="F9452" t="s">
        <v>3745</v>
      </c>
      <c r="G9452" t="str">
        <f>HYPERLINK("https://www.siminilbo.co.kr/news/newsview.php?ncode=1160289894181156")</f>
        <v>https://www.siminilbo.co.kr/news/newsview.php?ncode=1160289894181156</v>
      </c>
      <c r="H9452">
        <v>0.78800000000000003</v>
      </c>
    </row>
    <row r="9453" spans="1:8" x14ac:dyDescent="0.3">
      <c r="A9453" t="s">
        <v>23009</v>
      </c>
      <c r="B9453" t="s">
        <v>26951</v>
      </c>
      <c r="C9453" t="s">
        <v>23648</v>
      </c>
      <c r="D9453" t="s">
        <v>23647</v>
      </c>
      <c r="E9453" s="2" t="s">
        <v>840</v>
      </c>
      <c r="F9453" t="s">
        <v>857</v>
      </c>
      <c r="G9453" t="str">
        <f>HYPERLINK("https://www.apnews.kr/news/articleView.html?idxno=3019539")</f>
        <v>https://www.apnews.kr/news/articleView.html?idxno=3019539</v>
      </c>
      <c r="H9453">
        <v>0.24</v>
      </c>
    </row>
    <row r="9454" spans="1:8" x14ac:dyDescent="0.3">
      <c r="A9454" t="s">
        <v>23009</v>
      </c>
      <c r="B9454" t="s">
        <v>26951</v>
      </c>
      <c r="C9454" t="s">
        <v>9648</v>
      </c>
      <c r="D9454" t="s">
        <v>9647</v>
      </c>
      <c r="E9454" s="2" t="s">
        <v>840</v>
      </c>
      <c r="F9454" t="s">
        <v>9646</v>
      </c>
      <c r="G9454" t="str">
        <f>HYPERLINK("https://www.kukinews.com/article/view/kuk202305070042")</f>
        <v>https://www.kukinews.com/article/view/kuk202305070042</v>
      </c>
      <c r="H9454">
        <v>0.53200000000000003</v>
      </c>
    </row>
    <row r="9455" spans="1:8" x14ac:dyDescent="0.3">
      <c r="A9455" t="s">
        <v>23009</v>
      </c>
      <c r="B9455" t="s">
        <v>26951</v>
      </c>
      <c r="C9455" t="s">
        <v>23650</v>
      </c>
      <c r="D9455" t="s">
        <v>23649</v>
      </c>
      <c r="E9455" s="2" t="s">
        <v>840</v>
      </c>
      <c r="F9455" t="s">
        <v>10608</v>
      </c>
      <c r="G9455" t="str">
        <f>HYPERLINK("https://n.news.naver.com/mnews/article/022/0004040123?sid=154")</f>
        <v>https://n.news.naver.com/mnews/article/022/0004040123?sid=154</v>
      </c>
      <c r="H9455">
        <v>0.28199999999999997</v>
      </c>
    </row>
    <row r="9456" spans="1:8" x14ac:dyDescent="0.3">
      <c r="A9456" t="s">
        <v>23009</v>
      </c>
      <c r="B9456" t="s">
        <v>26951</v>
      </c>
      <c r="C9456" t="s">
        <v>23653</v>
      </c>
      <c r="D9456" t="s">
        <v>23652</v>
      </c>
      <c r="E9456" s="2" t="s">
        <v>840</v>
      </c>
      <c r="F9456" t="s">
        <v>23651</v>
      </c>
      <c r="G9456" t="str">
        <f>HYPERLINK("http://www.kyosu.net/news/articleView.html?idxno=44645")</f>
        <v>http://www.kyosu.net/news/articleView.html?idxno=44645</v>
      </c>
      <c r="H9456">
        <v>0.41399999999999998</v>
      </c>
    </row>
    <row r="9457" spans="1:8" x14ac:dyDescent="0.3">
      <c r="A9457" t="s">
        <v>23009</v>
      </c>
      <c r="B9457" t="s">
        <v>26951</v>
      </c>
      <c r="C9457" t="s">
        <v>23655</v>
      </c>
      <c r="D9457" t="s">
        <v>23654</v>
      </c>
      <c r="E9457" s="2" t="s">
        <v>860</v>
      </c>
      <c r="F9457" t="s">
        <v>16947</v>
      </c>
      <c r="G9457" t="str">
        <f>HYPERLINK("https://www.ekn.kr/web/view.php?key=20250526027490663")</f>
        <v>https://www.ekn.kr/web/view.php?key=20250526027490663</v>
      </c>
      <c r="H9457">
        <v>0.376</v>
      </c>
    </row>
    <row r="9458" spans="1:8" x14ac:dyDescent="0.3">
      <c r="A9458" t="s">
        <v>23009</v>
      </c>
      <c r="B9458" t="s">
        <v>26951</v>
      </c>
      <c r="C9458" t="s">
        <v>23657</v>
      </c>
      <c r="D9458" t="s">
        <v>23656</v>
      </c>
      <c r="E9458" s="2" t="s">
        <v>860</v>
      </c>
      <c r="F9458" t="s">
        <v>23095</v>
      </c>
      <c r="G9458" t="str">
        <f>HYPERLINK("https://www.jeonmae.co.kr/news/articleView.html?idxno=1161763")</f>
        <v>https://www.jeonmae.co.kr/news/articleView.html?idxno=1161763</v>
      </c>
      <c r="H9458">
        <v>0.39700000000000002</v>
      </c>
    </row>
    <row r="9459" spans="1:8" x14ac:dyDescent="0.3">
      <c r="A9459" t="s">
        <v>23009</v>
      </c>
      <c r="B9459" t="s">
        <v>26951</v>
      </c>
      <c r="C9459" t="s">
        <v>23659</v>
      </c>
      <c r="D9459" t="s">
        <v>23658</v>
      </c>
      <c r="E9459" s="2" t="s">
        <v>860</v>
      </c>
      <c r="F9459" t="s">
        <v>3745</v>
      </c>
      <c r="G9459" t="str">
        <f>HYPERLINK("https://www.geconomy.co.kr/news/article.html?no=300229")</f>
        <v>https://www.geconomy.co.kr/news/article.html?no=300229</v>
      </c>
      <c r="H9459">
        <v>0.77300000000000002</v>
      </c>
    </row>
    <row r="9460" spans="1:8" x14ac:dyDescent="0.3">
      <c r="A9460" t="s">
        <v>23009</v>
      </c>
      <c r="B9460" t="s">
        <v>26951</v>
      </c>
      <c r="C9460" t="s">
        <v>23661</v>
      </c>
      <c r="D9460" t="s">
        <v>23660</v>
      </c>
      <c r="E9460" s="2" t="s">
        <v>860</v>
      </c>
      <c r="F9460" t="s">
        <v>3745</v>
      </c>
      <c r="G9460" t="str">
        <f>HYPERLINK("https://www.jeonmae.co.kr/news/articleView.html?idxno=1152601")</f>
        <v>https://www.jeonmae.co.kr/news/articleView.html?idxno=1152601</v>
      </c>
      <c r="H9460">
        <v>0.98399999999999999</v>
      </c>
    </row>
    <row r="9461" spans="1:8" x14ac:dyDescent="0.3">
      <c r="A9461" t="s">
        <v>23009</v>
      </c>
      <c r="B9461" t="s">
        <v>26951</v>
      </c>
      <c r="C9461" t="s">
        <v>23663</v>
      </c>
      <c r="D9461" t="s">
        <v>23662</v>
      </c>
      <c r="E9461" s="2" t="s">
        <v>860</v>
      </c>
      <c r="F9461" t="s">
        <v>3745</v>
      </c>
      <c r="G9461" t="str">
        <f>HYPERLINK("https://www.jeonmae.co.kr/news/articleView.html?idxno=1152582")</f>
        <v>https://www.jeonmae.co.kr/news/articleView.html?idxno=1152582</v>
      </c>
      <c r="H9461">
        <v>0.98299999999999998</v>
      </c>
    </row>
    <row r="9462" spans="1:8" x14ac:dyDescent="0.3">
      <c r="A9462" t="s">
        <v>23009</v>
      </c>
      <c r="B9462" t="s">
        <v>26951</v>
      </c>
      <c r="C9462" t="s">
        <v>23665</v>
      </c>
      <c r="D9462" t="s">
        <v>23664</v>
      </c>
      <c r="E9462" s="2" t="s">
        <v>860</v>
      </c>
      <c r="F9462" t="s">
        <v>3745</v>
      </c>
      <c r="G9462" t="str">
        <f>HYPERLINK("https://www.newscj.com/news/articleView.html?idxno=3276603")</f>
        <v>https://www.newscj.com/news/articleView.html?idxno=3276603</v>
      </c>
      <c r="H9462">
        <v>0.86099999999999999</v>
      </c>
    </row>
    <row r="9463" spans="1:8" x14ac:dyDescent="0.3">
      <c r="A9463" t="s">
        <v>23009</v>
      </c>
      <c r="B9463" t="s">
        <v>26951</v>
      </c>
      <c r="C9463" t="s">
        <v>23667</v>
      </c>
      <c r="D9463" t="s">
        <v>23666</v>
      </c>
      <c r="E9463" s="2" t="s">
        <v>860</v>
      </c>
      <c r="F9463" t="s">
        <v>3745</v>
      </c>
      <c r="G9463" t="str">
        <f>HYPERLINK("https://www.jeonmae.co.kr/news/articleView.html?idxno=1161763")</f>
        <v>https://www.jeonmae.co.kr/news/articleView.html?idxno=1161763</v>
      </c>
      <c r="H9463">
        <v>0.37</v>
      </c>
    </row>
    <row r="9464" spans="1:8" x14ac:dyDescent="0.3">
      <c r="A9464" t="s">
        <v>23009</v>
      </c>
      <c r="B9464" t="s">
        <v>26951</v>
      </c>
      <c r="C9464" t="s">
        <v>23669</v>
      </c>
      <c r="D9464" t="s">
        <v>23668</v>
      </c>
      <c r="E9464" s="2" t="s">
        <v>860</v>
      </c>
      <c r="F9464" t="s">
        <v>3745</v>
      </c>
      <c r="G9464" t="str">
        <f>HYPERLINK("https://weekly.cnbnews.com/news/article.html?no=178689")</f>
        <v>https://weekly.cnbnews.com/news/article.html?no=178689</v>
      </c>
      <c r="H9464">
        <v>0.94399999999999995</v>
      </c>
    </row>
    <row r="9465" spans="1:8" x14ac:dyDescent="0.3">
      <c r="A9465" t="s">
        <v>23009</v>
      </c>
      <c r="B9465" t="s">
        <v>26951</v>
      </c>
      <c r="C9465" t="s">
        <v>23671</v>
      </c>
      <c r="D9465" t="s">
        <v>23670</v>
      </c>
      <c r="E9465" s="2" t="s">
        <v>860</v>
      </c>
      <c r="F9465" t="s">
        <v>3745</v>
      </c>
      <c r="G9465" t="str">
        <f>HYPERLINK("http://news.lghellovision.net/news/articleView.html?idxno=508497")</f>
        <v>http://news.lghellovision.net/news/articleView.html?idxno=508497</v>
      </c>
      <c r="H9465">
        <v>0.624</v>
      </c>
    </row>
    <row r="9466" spans="1:8" x14ac:dyDescent="0.3">
      <c r="A9466" t="s">
        <v>23009</v>
      </c>
      <c r="B9466" t="s">
        <v>26951</v>
      </c>
      <c r="C9466" t="s">
        <v>23673</v>
      </c>
      <c r="D9466" t="s">
        <v>23672</v>
      </c>
      <c r="E9466" s="2" t="s">
        <v>860</v>
      </c>
      <c r="F9466" t="s">
        <v>3745</v>
      </c>
      <c r="G9466" t="str">
        <f>HYPERLINK("https://www.jeonmae.co.kr/news/articleView.html?idxno=1152551")</f>
        <v>https://www.jeonmae.co.kr/news/articleView.html?idxno=1152551</v>
      </c>
      <c r="H9466">
        <v>0.997</v>
      </c>
    </row>
    <row r="9467" spans="1:8" x14ac:dyDescent="0.3">
      <c r="A9467" t="s">
        <v>23009</v>
      </c>
      <c r="B9467" t="s">
        <v>26951</v>
      </c>
      <c r="C9467" t="s">
        <v>23675</v>
      </c>
      <c r="D9467" t="s">
        <v>23674</v>
      </c>
      <c r="E9467" s="2" t="s">
        <v>860</v>
      </c>
      <c r="F9467" t="s">
        <v>3745</v>
      </c>
      <c r="G9467" t="str">
        <f>HYPERLINK("https://www.jeonmae.co.kr/news/articleView.html?idxno=1149941")</f>
        <v>https://www.jeonmae.co.kr/news/articleView.html?idxno=1149941</v>
      </c>
      <c r="H9467">
        <v>0.374</v>
      </c>
    </row>
    <row r="9468" spans="1:8" x14ac:dyDescent="0.3">
      <c r="A9468" t="s">
        <v>23009</v>
      </c>
      <c r="B9468" t="s">
        <v>26951</v>
      </c>
      <c r="C9468" t="s">
        <v>23677</v>
      </c>
      <c r="D9468" t="s">
        <v>23676</v>
      </c>
      <c r="E9468" s="2" t="s">
        <v>860</v>
      </c>
      <c r="F9468" t="s">
        <v>857</v>
      </c>
      <c r="G9468" t="str">
        <f>HYPERLINK("http://www.idomin.com/news/articleView.html?idxno=838806")</f>
        <v>http://www.idomin.com/news/articleView.html?idxno=838806</v>
      </c>
      <c r="H9468">
        <v>0.157</v>
      </c>
    </row>
    <row r="9469" spans="1:8" x14ac:dyDescent="0.3">
      <c r="A9469" t="s">
        <v>23009</v>
      </c>
      <c r="B9469" t="s">
        <v>26951</v>
      </c>
      <c r="C9469" t="s">
        <v>23679</v>
      </c>
      <c r="D9469" t="s">
        <v>23678</v>
      </c>
      <c r="E9469" s="2" t="s">
        <v>860</v>
      </c>
      <c r="F9469" t="s">
        <v>1233</v>
      </c>
      <c r="G9469" t="str">
        <f>HYPERLINK("https://www.pennmike.com/news/articleView.html?idxno=102352")</f>
        <v>https://www.pennmike.com/news/articleView.html?idxno=102352</v>
      </c>
      <c r="H9469">
        <v>0.48099999999999998</v>
      </c>
    </row>
    <row r="9470" spans="1:8" x14ac:dyDescent="0.3">
      <c r="A9470" t="s">
        <v>23009</v>
      </c>
      <c r="B9470" t="s">
        <v>26951</v>
      </c>
      <c r="C9470" t="s">
        <v>23681</v>
      </c>
      <c r="D9470" t="s">
        <v>23680</v>
      </c>
      <c r="E9470" s="2" t="s">
        <v>860</v>
      </c>
      <c r="F9470" t="s">
        <v>10352</v>
      </c>
      <c r="G9470" t="str">
        <f>HYPERLINK("https://n.news.naver.com/mnews/article/002/0002391311?sid=100")</f>
        <v>https://n.news.naver.com/mnews/article/002/0002391311?sid=100</v>
      </c>
      <c r="H9470">
        <v>0.17799999999999999</v>
      </c>
    </row>
    <row r="9471" spans="1:8" x14ac:dyDescent="0.3">
      <c r="A9471" t="s">
        <v>23009</v>
      </c>
      <c r="B9471" t="s">
        <v>26951</v>
      </c>
      <c r="C9471" t="s">
        <v>22596</v>
      </c>
      <c r="D9471" t="s">
        <v>22595</v>
      </c>
      <c r="E9471" s="2" t="s">
        <v>903</v>
      </c>
      <c r="F9471" t="s">
        <v>1978</v>
      </c>
      <c r="G9471" t="str">
        <f>HYPERLINK("https://n.news.naver.com/mnews/article/002/0002391311?sid=100")</f>
        <v>https://n.news.naver.com/mnews/article/002/0002391311?sid=100</v>
      </c>
      <c r="H9471">
        <v>0.253</v>
      </c>
    </row>
    <row r="9472" spans="1:8" x14ac:dyDescent="0.3">
      <c r="A9472" t="s">
        <v>23009</v>
      </c>
      <c r="B9472" t="s">
        <v>26951</v>
      </c>
      <c r="C9472" t="s">
        <v>23683</v>
      </c>
      <c r="D9472" t="s">
        <v>23682</v>
      </c>
      <c r="E9472" s="2" t="s">
        <v>903</v>
      </c>
      <c r="F9472" t="s">
        <v>2710</v>
      </c>
      <c r="G9472" t="str">
        <f>HYPERLINK("https://n.news.naver.com/mnews/article/002/0002391311?sid=100")</f>
        <v>https://n.news.naver.com/mnews/article/002/0002391311?sid=100</v>
      </c>
      <c r="H9472">
        <v>0.217</v>
      </c>
    </row>
    <row r="9473" spans="1:8" x14ac:dyDescent="0.3">
      <c r="A9473" t="s">
        <v>23684</v>
      </c>
      <c r="B9473" t="s">
        <v>26951</v>
      </c>
      <c r="C9473" t="s">
        <v>23686</v>
      </c>
      <c r="D9473" t="s">
        <v>23685</v>
      </c>
      <c r="E9473" s="2" t="s">
        <v>7</v>
      </c>
      <c r="F9473" t="s">
        <v>8980</v>
      </c>
      <c r="G9473" t="str">
        <f>HYPERLINK("https://www.kyeonggi.com/article/20220508580205")</f>
        <v>https://www.kyeonggi.com/article/20220508580205</v>
      </c>
      <c r="H9473">
        <v>0.54700000000000004</v>
      </c>
    </row>
    <row r="9474" spans="1:8" x14ac:dyDescent="0.3">
      <c r="A9474" t="s">
        <v>23684</v>
      </c>
      <c r="B9474" t="s">
        <v>26951</v>
      </c>
      <c r="C9474" t="s">
        <v>23688</v>
      </c>
      <c r="D9474" t="s">
        <v>23687</v>
      </c>
      <c r="E9474" s="2" t="s">
        <v>7</v>
      </c>
      <c r="F9474" t="s">
        <v>857</v>
      </c>
      <c r="G9474" t="str">
        <f>HYPERLINK("https://www.incheonilbo.com/news/articleView.html?idxno=1294542")</f>
        <v>https://www.incheonilbo.com/news/articleView.html?idxno=1294542</v>
      </c>
      <c r="H9474">
        <v>0.151</v>
      </c>
    </row>
    <row r="9475" spans="1:8" x14ac:dyDescent="0.3">
      <c r="A9475" t="s">
        <v>23684</v>
      </c>
      <c r="B9475" t="s">
        <v>26951</v>
      </c>
      <c r="C9475" t="s">
        <v>23690</v>
      </c>
      <c r="D9475" t="s">
        <v>23689</v>
      </c>
      <c r="E9475" s="2" t="s">
        <v>7</v>
      </c>
      <c r="F9475" t="s">
        <v>160</v>
      </c>
      <c r="G9475" t="str">
        <f>HYPERLINK("https://n.news.naver.com/mnews/article/666/0000076912?sid=100")</f>
        <v>https://n.news.naver.com/mnews/article/666/0000076912?sid=100</v>
      </c>
      <c r="H9475">
        <v>0.21299999999999999</v>
      </c>
    </row>
    <row r="9476" spans="1:8" x14ac:dyDescent="0.3">
      <c r="A9476" t="s">
        <v>23684</v>
      </c>
      <c r="B9476" t="s">
        <v>26951</v>
      </c>
      <c r="C9476" t="s">
        <v>23693</v>
      </c>
      <c r="D9476" t="s">
        <v>23692</v>
      </c>
      <c r="E9476" s="2" t="s">
        <v>105</v>
      </c>
      <c r="F9476" t="s">
        <v>23691</v>
      </c>
      <c r="G9476" t="str">
        <f>HYPERLINK("http://www.ggilbo.com/news/articleView.html?idxno=993869")</f>
        <v>http://www.ggilbo.com/news/articleView.html?idxno=993869</v>
      </c>
      <c r="H9476">
        <v>0.80100000000000005</v>
      </c>
    </row>
    <row r="9477" spans="1:8" x14ac:dyDescent="0.3">
      <c r="A9477" t="s">
        <v>23684</v>
      </c>
      <c r="B9477" t="s">
        <v>26951</v>
      </c>
      <c r="C9477" t="s">
        <v>23695</v>
      </c>
      <c r="D9477" t="s">
        <v>23694</v>
      </c>
      <c r="E9477" s="2" t="s">
        <v>105</v>
      </c>
      <c r="F9477" t="s">
        <v>17057</v>
      </c>
      <c r="G9477" t="str">
        <f>HYPERLINK("https://www.youthdaily.co.kr/news/article.html?no=172778")</f>
        <v>https://www.youthdaily.co.kr/news/article.html?no=172778</v>
      </c>
      <c r="H9477">
        <v>0.66900000000000004</v>
      </c>
    </row>
    <row r="9478" spans="1:8" x14ac:dyDescent="0.3">
      <c r="A9478" t="s">
        <v>23684</v>
      </c>
      <c r="B9478" t="s">
        <v>26951</v>
      </c>
      <c r="C9478" t="s">
        <v>23697</v>
      </c>
      <c r="D9478" t="s">
        <v>23696</v>
      </c>
      <c r="E9478" s="2" t="s">
        <v>105</v>
      </c>
      <c r="F9478" t="s">
        <v>857</v>
      </c>
      <c r="G9478" t="str">
        <f>HYPERLINK("http://www.vogue.co.kr/?p=138222")</f>
        <v>http://www.vogue.co.kr/?p=138222</v>
      </c>
      <c r="H9478">
        <v>0.16600000000000001</v>
      </c>
    </row>
    <row r="9479" spans="1:8" x14ac:dyDescent="0.3">
      <c r="A9479" t="s">
        <v>23684</v>
      </c>
      <c r="B9479" t="s">
        <v>26951</v>
      </c>
      <c r="C9479" t="s">
        <v>23700</v>
      </c>
      <c r="D9479" t="s">
        <v>23699</v>
      </c>
      <c r="E9479" s="2" t="s">
        <v>133</v>
      </c>
      <c r="F9479" t="s">
        <v>857</v>
      </c>
      <c r="G9479" t="str">
        <f>HYPERLINK("http://www.joongboo.com/?mod=news&amp;act=articleView&amp;idxno=1202473")</f>
        <v>http://www.joongboo.com/?mod=news&amp;act=articleView&amp;idxno=1202473</v>
      </c>
      <c r="H9479">
        <v>0.16500000000000001</v>
      </c>
    </row>
    <row r="9480" spans="1:8" x14ac:dyDescent="0.3">
      <c r="A9480" t="s">
        <v>23684</v>
      </c>
      <c r="B9480" t="s">
        <v>26951</v>
      </c>
      <c r="C9480" t="s">
        <v>23703</v>
      </c>
      <c r="D9480" t="s">
        <v>23702</v>
      </c>
      <c r="E9480" s="2" t="s">
        <v>172</v>
      </c>
      <c r="F9480" t="s">
        <v>23701</v>
      </c>
      <c r="G9480" t="str">
        <f>HYPERLINK("https://www.newscj.com/news/articleView.html?idxno=3285996")</f>
        <v>https://www.newscj.com/news/articleView.html?idxno=3285996</v>
      </c>
      <c r="H9480">
        <v>0.86</v>
      </c>
    </row>
    <row r="9481" spans="1:8" x14ac:dyDescent="0.3">
      <c r="A9481" t="s">
        <v>23684</v>
      </c>
      <c r="B9481" t="s">
        <v>26951</v>
      </c>
      <c r="C9481" t="s">
        <v>23706</v>
      </c>
      <c r="D9481" t="s">
        <v>23705</v>
      </c>
      <c r="E9481" s="2" t="s">
        <v>172</v>
      </c>
      <c r="F9481" t="s">
        <v>23704</v>
      </c>
      <c r="G9481" t="str">
        <f>HYPERLINK("http://www.jbsori.com/news/articleView.html?idxno=14383")</f>
        <v>http://www.jbsori.com/news/articleView.html?idxno=14383</v>
      </c>
      <c r="H9481">
        <v>0.40600000000000003</v>
      </c>
    </row>
    <row r="9482" spans="1:8" x14ac:dyDescent="0.3">
      <c r="A9482" t="s">
        <v>23684</v>
      </c>
      <c r="B9482" t="s">
        <v>26951</v>
      </c>
      <c r="C9482" t="s">
        <v>23708</v>
      </c>
      <c r="D9482" t="s">
        <v>23707</v>
      </c>
      <c r="E9482" s="2" t="s">
        <v>172</v>
      </c>
      <c r="F9482" t="s">
        <v>7131</v>
      </c>
      <c r="G9482" t="str">
        <f>HYPERLINK("https://www.tournews21.com/news/articleView.html?idxno=107037")</f>
        <v>https://www.tournews21.com/news/articleView.html?idxno=107037</v>
      </c>
      <c r="H9482">
        <v>0.40699999999999997</v>
      </c>
    </row>
    <row r="9483" spans="1:8" x14ac:dyDescent="0.3">
      <c r="A9483" t="s">
        <v>23684</v>
      </c>
      <c r="B9483" t="s">
        <v>26951</v>
      </c>
      <c r="C9483" t="s">
        <v>23710</v>
      </c>
      <c r="D9483" t="s">
        <v>23709</v>
      </c>
      <c r="E9483" s="2" t="s">
        <v>172</v>
      </c>
      <c r="F9483" t="s">
        <v>22572</v>
      </c>
      <c r="G9483" t="str">
        <f>HYPERLINK("https://n.news.naver.com/mnews/article/022/0004027336?sid=100")</f>
        <v>https://n.news.naver.com/mnews/article/022/0004027336?sid=100</v>
      </c>
      <c r="H9483">
        <v>0.189</v>
      </c>
    </row>
    <row r="9484" spans="1:8" x14ac:dyDescent="0.3">
      <c r="A9484" t="s">
        <v>23684</v>
      </c>
      <c r="B9484" t="s">
        <v>26951</v>
      </c>
      <c r="C9484" t="s">
        <v>23712</v>
      </c>
      <c r="D9484" t="s">
        <v>23711</v>
      </c>
      <c r="E9484" s="2" t="s">
        <v>172</v>
      </c>
      <c r="F9484" t="s">
        <v>2555</v>
      </c>
      <c r="G9484" t="str">
        <f>HYPERLINK("http://www.kyeongin.com/main/view.php?key=20240524010002435")</f>
        <v>http://www.kyeongin.com/main/view.php?key=20240524010002435</v>
      </c>
      <c r="H9484">
        <v>0.57399999999999995</v>
      </c>
    </row>
    <row r="9485" spans="1:8" x14ac:dyDescent="0.3">
      <c r="A9485" t="s">
        <v>23684</v>
      </c>
      <c r="B9485" t="s">
        <v>26951</v>
      </c>
      <c r="C9485" t="s">
        <v>23714</v>
      </c>
      <c r="D9485" t="s">
        <v>23713</v>
      </c>
      <c r="E9485" s="2" t="s">
        <v>172</v>
      </c>
      <c r="F9485" t="s">
        <v>857</v>
      </c>
      <c r="G9485" t="str">
        <f>HYPERLINK("http://www.dynews.co.kr/news/articleView.html?idxno=337063")</f>
        <v>http://www.dynews.co.kr/news/articleView.html?idxno=337063</v>
      </c>
      <c r="H9485">
        <v>0.151</v>
      </c>
    </row>
    <row r="9486" spans="1:8" x14ac:dyDescent="0.3">
      <c r="A9486" t="s">
        <v>23684</v>
      </c>
      <c r="B9486" t="s">
        <v>26951</v>
      </c>
      <c r="C9486" t="s">
        <v>23716</v>
      </c>
      <c r="D9486" t="s">
        <v>23715</v>
      </c>
      <c r="E9486" s="2" t="s">
        <v>172</v>
      </c>
      <c r="F9486" t="s">
        <v>677</v>
      </c>
      <c r="G9486" t="str">
        <f>HYPERLINK("https://n.news.naver.com/mnews/article/011/0004494287?sid=104")</f>
        <v>https://n.news.naver.com/mnews/article/011/0004494287?sid=104</v>
      </c>
      <c r="H9486">
        <v>0.30299999999999999</v>
      </c>
    </row>
    <row r="9487" spans="1:8" x14ac:dyDescent="0.3">
      <c r="A9487" t="s">
        <v>23684</v>
      </c>
      <c r="B9487" t="s">
        <v>26951</v>
      </c>
      <c r="C9487" t="s">
        <v>23718</v>
      </c>
      <c r="D9487" t="s">
        <v>23717</v>
      </c>
      <c r="E9487" s="2" t="s">
        <v>196</v>
      </c>
      <c r="F9487" t="s">
        <v>4381</v>
      </c>
      <c r="G9487" t="str">
        <f>HYPERLINK("https://www.incheonilbo.com/news/articleView.html?idxno=1285496")</f>
        <v>https://www.incheonilbo.com/news/articleView.html?idxno=1285496</v>
      </c>
      <c r="H9487">
        <v>0.14399999999999999</v>
      </c>
    </row>
    <row r="9488" spans="1:8" x14ac:dyDescent="0.3">
      <c r="A9488" t="s">
        <v>23684</v>
      </c>
      <c r="B9488" t="s">
        <v>26951</v>
      </c>
      <c r="C9488" t="s">
        <v>23720</v>
      </c>
      <c r="D9488" t="s">
        <v>23719</v>
      </c>
      <c r="E9488" s="2" t="s">
        <v>196</v>
      </c>
      <c r="F9488" t="s">
        <v>205</v>
      </c>
      <c r="G9488" t="str">
        <f>HYPERLINK("https://www.newsclaim.co.kr/news/articleView.html?idxno=3046399")</f>
        <v>https://www.newsclaim.co.kr/news/articleView.html?idxno=3046399</v>
      </c>
      <c r="H9488">
        <v>0.47799999999999998</v>
      </c>
    </row>
    <row r="9489" spans="1:8" x14ac:dyDescent="0.3">
      <c r="A9489" t="s">
        <v>23684</v>
      </c>
      <c r="B9489" t="s">
        <v>26951</v>
      </c>
      <c r="C9489" t="s">
        <v>23722</v>
      </c>
      <c r="D9489" t="s">
        <v>23721</v>
      </c>
      <c r="E9489" s="2" t="s">
        <v>196</v>
      </c>
      <c r="F9489" t="s">
        <v>205</v>
      </c>
      <c r="G9489" t="str">
        <f>HYPERLINK("https://news.ifm.kr/news/articleView.html?idxno=445710")</f>
        <v>https://news.ifm.kr/news/articleView.html?idxno=445710</v>
      </c>
      <c r="H9489">
        <v>0.44800000000000001</v>
      </c>
    </row>
    <row r="9490" spans="1:8" x14ac:dyDescent="0.3">
      <c r="A9490" t="s">
        <v>23684</v>
      </c>
      <c r="B9490" t="s">
        <v>26951</v>
      </c>
      <c r="C9490" t="s">
        <v>23725</v>
      </c>
      <c r="D9490" t="s">
        <v>23724</v>
      </c>
      <c r="E9490" s="2" t="s">
        <v>196</v>
      </c>
      <c r="F9490" t="s">
        <v>23723</v>
      </c>
      <c r="G9490" t="str">
        <f>HYPERLINK("https://n.news.naver.com/mnews/article/018/0006054336?sid=101")</f>
        <v>https://n.news.naver.com/mnews/article/018/0006054336?sid=101</v>
      </c>
      <c r="H9490">
        <v>0.315</v>
      </c>
    </row>
    <row r="9491" spans="1:8" x14ac:dyDescent="0.3">
      <c r="A9491" t="s">
        <v>23684</v>
      </c>
      <c r="B9491" t="s">
        <v>26951</v>
      </c>
      <c r="C9491" t="s">
        <v>23727</v>
      </c>
      <c r="D9491" t="s">
        <v>23726</v>
      </c>
      <c r="E9491" s="2" t="s">
        <v>230</v>
      </c>
      <c r="F9491" t="s">
        <v>23698</v>
      </c>
      <c r="G9491" t="str">
        <f>HYPERLINK("http://www.interview365.com/news/articleView.html?idxno=91248")</f>
        <v>http://www.interview365.com/news/articleView.html?idxno=91248</v>
      </c>
      <c r="H9491">
        <v>0.48899999999999999</v>
      </c>
    </row>
    <row r="9492" spans="1:8" x14ac:dyDescent="0.3">
      <c r="A9492" t="s">
        <v>23684</v>
      </c>
      <c r="B9492" t="s">
        <v>26951</v>
      </c>
      <c r="C9492" t="s">
        <v>23729</v>
      </c>
      <c r="D9492" t="s">
        <v>23728</v>
      </c>
      <c r="E9492" s="2" t="s">
        <v>230</v>
      </c>
      <c r="F9492" t="s">
        <v>23691</v>
      </c>
      <c r="G9492" t="str">
        <f>HYPERLINK("http://www.press9.kr/news/articleView.html?idxno=64672")</f>
        <v>http://www.press9.kr/news/articleView.html?idxno=64672</v>
      </c>
      <c r="H9492">
        <v>0.33700000000000002</v>
      </c>
    </row>
    <row r="9493" spans="1:8" x14ac:dyDescent="0.3">
      <c r="A9493" t="s">
        <v>23684</v>
      </c>
      <c r="B9493" t="s">
        <v>26951</v>
      </c>
      <c r="C9493" t="s">
        <v>23731</v>
      </c>
      <c r="D9493" t="s">
        <v>23730</v>
      </c>
      <c r="E9493" s="2" t="s">
        <v>280</v>
      </c>
      <c r="F9493" t="s">
        <v>17270</v>
      </c>
      <c r="G9493" t="str">
        <f>HYPERLINK("https://n.news.naver.com/mnews/article/018/0006045683?sid=102")</f>
        <v>https://n.news.naver.com/mnews/article/018/0006045683?sid=102</v>
      </c>
      <c r="H9493">
        <v>0.152</v>
      </c>
    </row>
    <row r="9494" spans="1:8" x14ac:dyDescent="0.3">
      <c r="A9494" t="s">
        <v>23684</v>
      </c>
      <c r="B9494" t="s">
        <v>26951</v>
      </c>
      <c r="C9494" t="s">
        <v>23733</v>
      </c>
      <c r="D9494" t="s">
        <v>23732</v>
      </c>
      <c r="E9494" s="2" t="s">
        <v>280</v>
      </c>
      <c r="F9494" t="s">
        <v>197</v>
      </c>
      <c r="G9494" t="str">
        <f>HYPERLINK("https://www.ekn.kr/web/view.php?key=20250608029543906")</f>
        <v>https://www.ekn.kr/web/view.php?key=20250608029543906</v>
      </c>
      <c r="H9494">
        <v>0.68100000000000005</v>
      </c>
    </row>
    <row r="9495" spans="1:8" x14ac:dyDescent="0.3">
      <c r="A9495" t="s">
        <v>23684</v>
      </c>
      <c r="B9495" t="s">
        <v>26951</v>
      </c>
      <c r="C9495" t="s">
        <v>23736</v>
      </c>
      <c r="D9495" t="s">
        <v>23735</v>
      </c>
      <c r="E9495" s="2" t="s">
        <v>280</v>
      </c>
      <c r="F9495" t="s">
        <v>23734</v>
      </c>
      <c r="G9495" t="str">
        <f>HYPERLINK("http://www.viewsnnews.com/article/view.jsp?seq=66019")</f>
        <v>http://www.viewsnnews.com/article/view.jsp?seq=66019</v>
      </c>
      <c r="H9495">
        <v>0.40699999999999997</v>
      </c>
    </row>
    <row r="9496" spans="1:8" x14ac:dyDescent="0.3">
      <c r="A9496" t="s">
        <v>23684</v>
      </c>
      <c r="B9496" t="s">
        <v>26951</v>
      </c>
      <c r="C9496" t="s">
        <v>23738</v>
      </c>
      <c r="D9496" t="s">
        <v>23737</v>
      </c>
      <c r="E9496" s="2" t="s">
        <v>313</v>
      </c>
      <c r="F9496" t="s">
        <v>17091</v>
      </c>
      <c r="G9496" t="str">
        <f>HYPERLINK("https://www.jjan.kr/article/20240320580326")</f>
        <v>https://www.jjan.kr/article/20240320580326</v>
      </c>
      <c r="H9496">
        <v>0.22700000000000001</v>
      </c>
    </row>
    <row r="9497" spans="1:8" x14ac:dyDescent="0.3">
      <c r="A9497" t="s">
        <v>23684</v>
      </c>
      <c r="B9497" t="s">
        <v>26951</v>
      </c>
      <c r="C9497" t="s">
        <v>23740</v>
      </c>
      <c r="D9497" t="s">
        <v>23739</v>
      </c>
      <c r="E9497" s="2" t="s">
        <v>356</v>
      </c>
      <c r="F9497" t="s">
        <v>148</v>
      </c>
      <c r="G9497" t="str">
        <f>HYPERLINK("https://n.news.naver.com/mnews/article/022/0004027888?sid=102")</f>
        <v>https://n.news.naver.com/mnews/article/022/0004027888?sid=102</v>
      </c>
      <c r="H9497">
        <v>0.14499999999999999</v>
      </c>
    </row>
    <row r="9498" spans="1:8" x14ac:dyDescent="0.3">
      <c r="A9498" t="s">
        <v>23684</v>
      </c>
      <c r="B9498" t="s">
        <v>26951</v>
      </c>
      <c r="C9498" t="s">
        <v>23742</v>
      </c>
      <c r="D9498" t="s">
        <v>23741</v>
      </c>
      <c r="E9498" s="2" t="s">
        <v>394</v>
      </c>
      <c r="F9498" t="s">
        <v>148</v>
      </c>
      <c r="G9498" t="str">
        <f>HYPERLINK("https://n.news.naver.com/mnews/article/052/0002158868?sid=100")</f>
        <v>https://n.news.naver.com/mnews/article/052/0002158868?sid=100</v>
      </c>
      <c r="H9498">
        <v>0.16800000000000001</v>
      </c>
    </row>
    <row r="9499" spans="1:8" x14ac:dyDescent="0.3">
      <c r="A9499" t="s">
        <v>23684</v>
      </c>
      <c r="B9499" t="s">
        <v>26951</v>
      </c>
      <c r="C9499" t="s">
        <v>23744</v>
      </c>
      <c r="D9499" t="s">
        <v>23743</v>
      </c>
      <c r="E9499" s="2" t="s">
        <v>394</v>
      </c>
      <c r="F9499" t="s">
        <v>205</v>
      </c>
      <c r="G9499" t="str">
        <f>HYPERLINK("https://www.kyeongin.com/article/1743457")</f>
        <v>https://www.kyeongin.com/article/1743457</v>
      </c>
      <c r="H9499">
        <v>0.58799999999999997</v>
      </c>
    </row>
    <row r="9500" spans="1:8" x14ac:dyDescent="0.3">
      <c r="A9500" t="s">
        <v>23684</v>
      </c>
      <c r="B9500" t="s">
        <v>26951</v>
      </c>
      <c r="C9500" t="s">
        <v>23746</v>
      </c>
      <c r="D9500" t="s">
        <v>23745</v>
      </c>
      <c r="E9500" s="2" t="s">
        <v>394</v>
      </c>
      <c r="F9500" t="s">
        <v>23691</v>
      </c>
      <c r="G9500" t="str">
        <f>HYPERLINK("http://www.metroseoul.co.kr/article/20250626500519")</f>
        <v>http://www.metroseoul.co.kr/article/20250626500519</v>
      </c>
      <c r="H9500">
        <v>0.441</v>
      </c>
    </row>
    <row r="9501" spans="1:8" x14ac:dyDescent="0.3">
      <c r="A9501" t="s">
        <v>23684</v>
      </c>
      <c r="B9501" t="s">
        <v>26951</v>
      </c>
      <c r="C9501" t="s">
        <v>23748</v>
      </c>
      <c r="D9501" t="s">
        <v>23747</v>
      </c>
      <c r="E9501" s="2" t="s">
        <v>418</v>
      </c>
      <c r="F9501" t="s">
        <v>4224</v>
      </c>
      <c r="G9501" t="str">
        <f>HYPERLINK("http://www.kihoilbo.co.kr/news/articleView.html?idxno=1150218")</f>
        <v>http://www.kihoilbo.co.kr/news/articleView.html?idxno=1150218</v>
      </c>
      <c r="H9501">
        <v>0.45100000000000001</v>
      </c>
    </row>
    <row r="9502" spans="1:8" x14ac:dyDescent="0.3">
      <c r="A9502" t="s">
        <v>23684</v>
      </c>
      <c r="B9502" t="s">
        <v>26951</v>
      </c>
      <c r="C9502" t="s">
        <v>23751</v>
      </c>
      <c r="D9502" t="s">
        <v>23750</v>
      </c>
      <c r="E9502" s="2" t="s">
        <v>452</v>
      </c>
      <c r="F9502" t="s">
        <v>23749</v>
      </c>
      <c r="G9502" t="str">
        <f>HYPERLINK("http://www.breaknews.com/635072")</f>
        <v>http://www.breaknews.com/635072</v>
      </c>
      <c r="H9502">
        <v>0.375</v>
      </c>
    </row>
    <row r="9503" spans="1:8" x14ac:dyDescent="0.3">
      <c r="A9503" t="s">
        <v>23684</v>
      </c>
      <c r="B9503" t="s">
        <v>26951</v>
      </c>
      <c r="C9503" t="s">
        <v>23753</v>
      </c>
      <c r="D9503" t="s">
        <v>23752</v>
      </c>
      <c r="E9503" s="2" t="s">
        <v>452</v>
      </c>
      <c r="F9503" t="s">
        <v>205</v>
      </c>
      <c r="G9503" t="str">
        <f>HYPERLINK("https://n.news.naver.com/mnews/article/666/0000075606?sid=102")</f>
        <v>https://n.news.naver.com/mnews/article/666/0000075606?sid=102</v>
      </c>
      <c r="H9503">
        <v>0.14000000000000001</v>
      </c>
    </row>
    <row r="9504" spans="1:8" x14ac:dyDescent="0.3">
      <c r="A9504" t="s">
        <v>23684</v>
      </c>
      <c r="B9504" t="s">
        <v>26951</v>
      </c>
      <c r="C9504" t="s">
        <v>23755</v>
      </c>
      <c r="D9504" t="s">
        <v>23754</v>
      </c>
      <c r="E9504" s="2" t="s">
        <v>452</v>
      </c>
      <c r="F9504" t="s">
        <v>205</v>
      </c>
      <c r="G9504" t="str">
        <f>HYPERLINK("http://www.youthdaily.co.kr/news/article.html?no=49930")</f>
        <v>http://www.youthdaily.co.kr/news/article.html?no=49930</v>
      </c>
      <c r="H9504">
        <v>0.27700000000000002</v>
      </c>
    </row>
    <row r="9505" spans="1:8" x14ac:dyDescent="0.3">
      <c r="A9505" t="s">
        <v>23684</v>
      </c>
      <c r="B9505" t="s">
        <v>26951</v>
      </c>
      <c r="C9505" t="s">
        <v>23758</v>
      </c>
      <c r="D9505" t="s">
        <v>23757</v>
      </c>
      <c r="E9505" s="2" t="s">
        <v>481</v>
      </c>
      <c r="F9505" t="s">
        <v>23756</v>
      </c>
      <c r="G9505" t="str">
        <f>HYPERLINK("https://n.news.naver.com/mnews/article/666/0000075523?sid=102")</f>
        <v>https://n.news.naver.com/mnews/article/666/0000075523?sid=102</v>
      </c>
      <c r="H9505">
        <v>0.26200000000000001</v>
      </c>
    </row>
    <row r="9506" spans="1:8" x14ac:dyDescent="0.3">
      <c r="A9506" t="s">
        <v>23684</v>
      </c>
      <c r="B9506" t="s">
        <v>26951</v>
      </c>
      <c r="C9506" t="s">
        <v>23760</v>
      </c>
      <c r="D9506" t="s">
        <v>23759</v>
      </c>
      <c r="E9506" s="2" t="s">
        <v>517</v>
      </c>
      <c r="F9506" t="s">
        <v>1685</v>
      </c>
      <c r="G9506" t="str">
        <f>HYPERLINK("https://www.obsnews.co.kr/news/articleView.html?idxno=1488091")</f>
        <v>https://www.obsnews.co.kr/news/articleView.html?idxno=1488091</v>
      </c>
      <c r="H9506">
        <v>7.9000000000000001E-2</v>
      </c>
    </row>
    <row r="9507" spans="1:8" x14ac:dyDescent="0.3">
      <c r="A9507" t="s">
        <v>23684</v>
      </c>
      <c r="B9507" t="s">
        <v>26951</v>
      </c>
      <c r="C9507" t="s">
        <v>23762</v>
      </c>
      <c r="D9507" t="s">
        <v>23761</v>
      </c>
      <c r="E9507" s="2" t="s">
        <v>517</v>
      </c>
      <c r="F9507" t="s">
        <v>205</v>
      </c>
      <c r="G9507" t="str">
        <f>HYPERLINK("https://www.yeongnam.com/web/view.php?key=20241112010001414")</f>
        <v>https://www.yeongnam.com/web/view.php?key=20241112010001414</v>
      </c>
      <c r="H9507">
        <v>0.29699999999999999</v>
      </c>
    </row>
    <row r="9508" spans="1:8" x14ac:dyDescent="0.3">
      <c r="A9508" t="s">
        <v>23684</v>
      </c>
      <c r="B9508" t="s">
        <v>26951</v>
      </c>
      <c r="C9508" t="s">
        <v>23764</v>
      </c>
      <c r="D9508" t="s">
        <v>23763</v>
      </c>
      <c r="E9508" s="2" t="s">
        <v>517</v>
      </c>
      <c r="F9508" t="s">
        <v>5072</v>
      </c>
      <c r="G9508" t="str">
        <f>HYPERLINK("http://www.kyeongin.com/news/articleView.html?idxno=528534")</f>
        <v>http://www.kyeongin.com/news/articleView.html?idxno=528534</v>
      </c>
      <c r="H9508">
        <v>0.35399999999999998</v>
      </c>
    </row>
    <row r="9509" spans="1:8" x14ac:dyDescent="0.3">
      <c r="A9509" t="s">
        <v>23684</v>
      </c>
      <c r="B9509" t="s">
        <v>26951</v>
      </c>
      <c r="C9509" t="s">
        <v>23767</v>
      </c>
      <c r="D9509" t="s">
        <v>23766</v>
      </c>
      <c r="E9509" s="2" t="s">
        <v>538</v>
      </c>
      <c r="F9509" t="s">
        <v>23765</v>
      </c>
      <c r="G9509" t="str">
        <f>HYPERLINK("http://www.siminilbo.co.kr/news/newsview.php?ncode=1065584354176590")</f>
        <v>http://www.siminilbo.co.kr/news/newsview.php?ncode=1065584354176590</v>
      </c>
      <c r="H9509">
        <v>0.39700000000000002</v>
      </c>
    </row>
    <row r="9510" spans="1:8" x14ac:dyDescent="0.3">
      <c r="A9510" t="s">
        <v>23684</v>
      </c>
      <c r="B9510" t="s">
        <v>26951</v>
      </c>
      <c r="C9510" t="s">
        <v>23769</v>
      </c>
      <c r="D9510" t="s">
        <v>23768</v>
      </c>
      <c r="E9510" s="2" t="s">
        <v>572</v>
      </c>
      <c r="F9510" t="s">
        <v>19704</v>
      </c>
      <c r="G9510" t="str">
        <f>HYPERLINK("https://www.straightnews.co.kr/news/articleView.html?idxno=226852")</f>
        <v>https://www.straightnews.co.kr/news/articleView.html?idxno=226852</v>
      </c>
      <c r="H9510">
        <v>0.752</v>
      </c>
    </row>
    <row r="9511" spans="1:8" x14ac:dyDescent="0.3">
      <c r="A9511" t="s">
        <v>23684</v>
      </c>
      <c r="B9511" t="s">
        <v>26951</v>
      </c>
      <c r="C9511" t="s">
        <v>23771</v>
      </c>
      <c r="D9511" t="s">
        <v>23770</v>
      </c>
      <c r="E9511" s="2" t="s">
        <v>572</v>
      </c>
      <c r="F9511" t="s">
        <v>23691</v>
      </c>
      <c r="G9511" t="str">
        <f>HYPERLINK("http://www.ggilbo.com/news/articleView.html?idxno=980022")</f>
        <v>http://www.ggilbo.com/news/articleView.html?idxno=980022</v>
      </c>
      <c r="H9511">
        <v>0.80100000000000005</v>
      </c>
    </row>
    <row r="9512" spans="1:8" x14ac:dyDescent="0.3">
      <c r="A9512" t="s">
        <v>23684</v>
      </c>
      <c r="B9512" t="s">
        <v>26951</v>
      </c>
      <c r="C9512" t="s">
        <v>23773</v>
      </c>
      <c r="D9512" t="s">
        <v>23772</v>
      </c>
      <c r="E9512" s="2" t="s">
        <v>653</v>
      </c>
      <c r="F9512" t="s">
        <v>160</v>
      </c>
      <c r="G9512" t="str">
        <f>HYPERLINK("http://www.youthdaily.co.kr/news/article.html?no=85714")</f>
        <v>http://www.youthdaily.co.kr/news/article.html?no=85714</v>
      </c>
      <c r="H9512">
        <v>0.442</v>
      </c>
    </row>
    <row r="9513" spans="1:8" x14ac:dyDescent="0.3">
      <c r="A9513" t="s">
        <v>23684</v>
      </c>
      <c r="B9513" t="s">
        <v>26951</v>
      </c>
      <c r="C9513" t="s">
        <v>23776</v>
      </c>
      <c r="D9513" t="s">
        <v>23775</v>
      </c>
      <c r="E9513" s="2" t="s">
        <v>653</v>
      </c>
      <c r="F9513" t="s">
        <v>23774</v>
      </c>
      <c r="G9513" t="str">
        <f>HYPERLINK("https://www.tournews21.com/news/articleView.html?idxno=104642")</f>
        <v>https://www.tournews21.com/news/articleView.html?idxno=104642</v>
      </c>
      <c r="H9513">
        <v>0.98199999999999998</v>
      </c>
    </row>
    <row r="9514" spans="1:8" x14ac:dyDescent="0.3">
      <c r="A9514" t="s">
        <v>23684</v>
      </c>
      <c r="B9514" t="s">
        <v>26951</v>
      </c>
      <c r="C9514" t="s">
        <v>23778</v>
      </c>
      <c r="D9514" t="s">
        <v>23777</v>
      </c>
      <c r="E9514" s="2" t="s">
        <v>692</v>
      </c>
      <c r="F9514" t="s">
        <v>967</v>
      </c>
      <c r="G9514" t="str">
        <f>HYPERLINK("http://www.joongboo.com/news/articleView.html?idxno=363399165")</f>
        <v>http://www.joongboo.com/news/articleView.html?idxno=363399165</v>
      </c>
      <c r="H9514">
        <v>0.151</v>
      </c>
    </row>
    <row r="9515" spans="1:8" x14ac:dyDescent="0.3">
      <c r="A9515" t="s">
        <v>23684</v>
      </c>
      <c r="B9515" t="s">
        <v>26951</v>
      </c>
      <c r="C9515" t="s">
        <v>23780</v>
      </c>
      <c r="D9515" t="s">
        <v>23779</v>
      </c>
      <c r="E9515" s="2" t="s">
        <v>692</v>
      </c>
      <c r="F9515" t="s">
        <v>15664</v>
      </c>
      <c r="G9515" t="str">
        <f>HYPERLINK("http://www.jbsori.com/news/articleView.html?idxno=15671")</f>
        <v>http://www.jbsori.com/news/articleView.html?idxno=15671</v>
      </c>
      <c r="H9515">
        <v>0.51</v>
      </c>
    </row>
    <row r="9516" spans="1:8" x14ac:dyDescent="0.3">
      <c r="A9516" t="s">
        <v>23684</v>
      </c>
      <c r="B9516" t="s">
        <v>26951</v>
      </c>
      <c r="C9516" t="s">
        <v>23782</v>
      </c>
      <c r="D9516" t="s">
        <v>23781</v>
      </c>
      <c r="E9516" s="2" t="s">
        <v>692</v>
      </c>
      <c r="F9516" t="s">
        <v>12942</v>
      </c>
      <c r="G9516" t="str">
        <f>HYPERLINK("http://www.hyunbulnews.com/news/articleView.html?idxno=416742")</f>
        <v>http://www.hyunbulnews.com/news/articleView.html?idxno=416742</v>
      </c>
      <c r="H9516">
        <v>0.40200000000000002</v>
      </c>
    </row>
    <row r="9517" spans="1:8" x14ac:dyDescent="0.3">
      <c r="A9517" t="s">
        <v>23684</v>
      </c>
      <c r="B9517" t="s">
        <v>26951</v>
      </c>
      <c r="C9517" t="s">
        <v>23784</v>
      </c>
      <c r="D9517" t="s">
        <v>23783</v>
      </c>
      <c r="E9517" s="2" t="s">
        <v>692</v>
      </c>
      <c r="F9517" t="s">
        <v>373</v>
      </c>
      <c r="G9517" t="str">
        <f>HYPERLINK("https://www.viva100.com/article/20250608500250")</f>
        <v>https://www.viva100.com/article/20250608500250</v>
      </c>
      <c r="H9517">
        <v>0.76300000000000001</v>
      </c>
    </row>
    <row r="9518" spans="1:8" x14ac:dyDescent="0.3">
      <c r="A9518" t="s">
        <v>23684</v>
      </c>
      <c r="B9518" t="s">
        <v>26951</v>
      </c>
      <c r="C9518" t="s">
        <v>23786</v>
      </c>
      <c r="D9518" t="s">
        <v>23785</v>
      </c>
      <c r="E9518" s="2" t="s">
        <v>725</v>
      </c>
      <c r="F9518" t="s">
        <v>211</v>
      </c>
      <c r="G9518" t="str">
        <f>HYPERLINK("https://www.cstimes.com/news/articleView.html?idxno=650508")</f>
        <v>https://www.cstimes.com/news/articleView.html?idxno=650508</v>
      </c>
      <c r="H9518">
        <v>0.40300000000000002</v>
      </c>
    </row>
    <row r="9519" spans="1:8" x14ac:dyDescent="0.3">
      <c r="A9519" t="s">
        <v>23684</v>
      </c>
      <c r="B9519" t="s">
        <v>26951</v>
      </c>
      <c r="C9519" t="s">
        <v>23789</v>
      </c>
      <c r="D9519" t="s">
        <v>23788</v>
      </c>
      <c r="E9519" s="2" t="s">
        <v>725</v>
      </c>
      <c r="F9519" t="s">
        <v>23787</v>
      </c>
      <c r="G9519" t="str">
        <f>HYPERLINK("https://www.kyeongin.com/article/1742184")</f>
        <v>https://www.kyeongin.com/article/1742184</v>
      </c>
      <c r="H9519">
        <v>0.40600000000000003</v>
      </c>
    </row>
    <row r="9520" spans="1:8" x14ac:dyDescent="0.3">
      <c r="A9520" t="s">
        <v>23684</v>
      </c>
      <c r="B9520" t="s">
        <v>26951</v>
      </c>
      <c r="C9520" t="s">
        <v>23792</v>
      </c>
      <c r="D9520" t="s">
        <v>23791</v>
      </c>
      <c r="E9520" s="2" t="s">
        <v>725</v>
      </c>
      <c r="F9520" t="s">
        <v>23790</v>
      </c>
      <c r="G9520" t="str">
        <f>HYPERLINK("http://www.kukinews.com/news/article.html?no=730024")</f>
        <v>http://www.kukinews.com/news/article.html?no=730024</v>
      </c>
      <c r="H9520">
        <v>0.39700000000000002</v>
      </c>
    </row>
    <row r="9521" spans="1:8" x14ac:dyDescent="0.3">
      <c r="A9521" t="s">
        <v>23684</v>
      </c>
      <c r="B9521" t="s">
        <v>26951</v>
      </c>
      <c r="C9521" t="s">
        <v>23794</v>
      </c>
      <c r="D9521" t="s">
        <v>23793</v>
      </c>
      <c r="E9521" s="2" t="s">
        <v>799</v>
      </c>
      <c r="F9521" t="s">
        <v>7543</v>
      </c>
      <c r="G9521" t="str">
        <f>HYPERLINK("https://www.iusm.co.kr/news/articleView.html?idxno=1051797")</f>
        <v>https://www.iusm.co.kr/news/articleView.html?idxno=1051797</v>
      </c>
      <c r="H9521">
        <v>0.65800000000000003</v>
      </c>
    </row>
    <row r="9522" spans="1:8" x14ac:dyDescent="0.3">
      <c r="A9522" t="s">
        <v>23684</v>
      </c>
      <c r="B9522" t="s">
        <v>26951</v>
      </c>
      <c r="C9522" t="s">
        <v>23796</v>
      </c>
      <c r="D9522" t="s">
        <v>23795</v>
      </c>
      <c r="E9522" s="2" t="s">
        <v>840</v>
      </c>
      <c r="F9522" t="s">
        <v>857</v>
      </c>
      <c r="G9522" t="str">
        <f>HYPERLINK("https://www.apnews.kr/news/articleView.html?idxno=3031657")</f>
        <v>https://www.apnews.kr/news/articleView.html?idxno=3031657</v>
      </c>
      <c r="H9522">
        <v>0.16300000000000001</v>
      </c>
    </row>
    <row r="9523" spans="1:8" x14ac:dyDescent="0.3">
      <c r="A9523" t="s">
        <v>23684</v>
      </c>
      <c r="B9523" t="s">
        <v>26951</v>
      </c>
      <c r="C9523" t="s">
        <v>23798</v>
      </c>
      <c r="D9523" t="s">
        <v>23797</v>
      </c>
      <c r="E9523" s="2" t="s">
        <v>840</v>
      </c>
      <c r="F9523" t="s">
        <v>2459</v>
      </c>
      <c r="G9523" t="str">
        <f>HYPERLINK("https://www.youthdaily.co.kr/news/article.html?no=182287")</f>
        <v>https://www.youthdaily.co.kr/news/article.html?no=182287</v>
      </c>
      <c r="H9523">
        <v>0.52100000000000002</v>
      </c>
    </row>
    <row r="9524" spans="1:8" x14ac:dyDescent="0.3">
      <c r="A9524" t="s">
        <v>23684</v>
      </c>
      <c r="B9524" t="s">
        <v>26951</v>
      </c>
      <c r="C9524" t="s">
        <v>23800</v>
      </c>
      <c r="D9524" t="s">
        <v>23799</v>
      </c>
      <c r="E9524" s="2" t="s">
        <v>860</v>
      </c>
      <c r="F9524" t="s">
        <v>205</v>
      </c>
      <c r="G9524" t="str">
        <f>HYPERLINK("http://www.rightknow.co.kr/news/articleView.html?idxno=31103")</f>
        <v>http://www.rightknow.co.kr/news/articleView.html?idxno=31103</v>
      </c>
      <c r="H9524">
        <v>0.38100000000000001</v>
      </c>
    </row>
    <row r="9525" spans="1:8" x14ac:dyDescent="0.3">
      <c r="A9525" t="s">
        <v>23684</v>
      </c>
      <c r="B9525" t="s">
        <v>26951</v>
      </c>
      <c r="C9525" t="s">
        <v>23803</v>
      </c>
      <c r="D9525" t="s">
        <v>23802</v>
      </c>
      <c r="E9525" s="2" t="s">
        <v>860</v>
      </c>
      <c r="F9525" t="s">
        <v>23801</v>
      </c>
      <c r="G9525" t="str">
        <f>HYPERLINK("http://www.jbsori.com/news/articleView.html?idxno=13506")</f>
        <v>http://www.jbsori.com/news/articleView.html?idxno=13506</v>
      </c>
      <c r="H9525">
        <v>0.31900000000000001</v>
      </c>
    </row>
    <row r="9526" spans="1:8" x14ac:dyDescent="0.3">
      <c r="A9526" t="s">
        <v>23684</v>
      </c>
      <c r="B9526" t="s">
        <v>26951</v>
      </c>
      <c r="C9526" t="s">
        <v>23805</v>
      </c>
      <c r="D9526" t="s">
        <v>23804</v>
      </c>
      <c r="E9526" s="2" t="s">
        <v>860</v>
      </c>
      <c r="F9526" t="s">
        <v>22707</v>
      </c>
      <c r="G9526" t="str">
        <f>HYPERLINK("https://www.joongboo.com/news/articleView.html?idxno=363694847")</f>
        <v>https://www.joongboo.com/news/articleView.html?idxno=363694847</v>
      </c>
      <c r="H9526">
        <v>0.35699999999999998</v>
      </c>
    </row>
    <row r="9527" spans="1:8" x14ac:dyDescent="0.3">
      <c r="A9527" t="s">
        <v>23684</v>
      </c>
      <c r="B9527" t="s">
        <v>26951</v>
      </c>
      <c r="C9527" t="s">
        <v>23807</v>
      </c>
      <c r="D9527" t="s">
        <v>23806</v>
      </c>
      <c r="E9527" s="2" t="s">
        <v>860</v>
      </c>
      <c r="F9527" t="s">
        <v>23765</v>
      </c>
      <c r="G9527" t="str">
        <f>HYPERLINK("https://www.kgnews.co.kr/news/article.html?no=847867")</f>
        <v>https://www.kgnews.co.kr/news/article.html?no=847867</v>
      </c>
      <c r="H9527">
        <v>0.70599999999999996</v>
      </c>
    </row>
    <row r="9528" spans="1:8" x14ac:dyDescent="0.3">
      <c r="A9528" t="s">
        <v>23684</v>
      </c>
      <c r="B9528" t="s">
        <v>26951</v>
      </c>
      <c r="C9528" t="s">
        <v>23810</v>
      </c>
      <c r="D9528" t="s">
        <v>23809</v>
      </c>
      <c r="E9528" s="2" t="s">
        <v>860</v>
      </c>
      <c r="F9528" t="s">
        <v>23808</v>
      </c>
      <c r="G9528" t="str">
        <f>HYPERLINK("https://www.startuptoday.co.kr/news/articleView.html?idxno=456371")</f>
        <v>https://www.startuptoday.co.kr/news/articleView.html?idxno=456371</v>
      </c>
      <c r="H9528">
        <v>0.97499999999999998</v>
      </c>
    </row>
    <row r="9529" spans="1:8" x14ac:dyDescent="0.3">
      <c r="A9529" t="s">
        <v>23684</v>
      </c>
      <c r="B9529" t="s">
        <v>26951</v>
      </c>
      <c r="C9529" t="s">
        <v>23813</v>
      </c>
      <c r="D9529" t="s">
        <v>23812</v>
      </c>
      <c r="E9529" s="2" t="s">
        <v>860</v>
      </c>
      <c r="F9529" t="s">
        <v>23811</v>
      </c>
      <c r="G9529" t="str">
        <f>HYPERLINK("https://www.ekn.kr/web/view.php?key=20250608029543906")</f>
        <v>https://www.ekn.kr/web/view.php?key=20250608029543906</v>
      </c>
      <c r="H9529">
        <v>0.46800000000000003</v>
      </c>
    </row>
    <row r="9530" spans="1:8" x14ac:dyDescent="0.3">
      <c r="A9530" t="s">
        <v>23684</v>
      </c>
      <c r="B9530" t="s">
        <v>26951</v>
      </c>
      <c r="C9530" t="s">
        <v>23815</v>
      </c>
      <c r="D9530" t="s">
        <v>23814</v>
      </c>
      <c r="E9530" s="2" t="s">
        <v>860</v>
      </c>
      <c r="F9530" t="s">
        <v>205</v>
      </c>
      <c r="G9530" t="str">
        <f>HYPERLINK("https://www.newspim.com/news/view/20250602000292")</f>
        <v>https://www.newspim.com/news/view/20250602000292</v>
      </c>
      <c r="H9530">
        <v>0.41599999999999998</v>
      </c>
    </row>
    <row r="9531" spans="1:8" x14ac:dyDescent="0.3">
      <c r="A9531" t="s">
        <v>23684</v>
      </c>
      <c r="B9531" t="s">
        <v>26951</v>
      </c>
      <c r="C9531" t="s">
        <v>23817</v>
      </c>
      <c r="D9531" t="s">
        <v>23816</v>
      </c>
      <c r="E9531" s="2" t="s">
        <v>860</v>
      </c>
      <c r="F9531" t="s">
        <v>857</v>
      </c>
      <c r="G9531" t="str">
        <f>HYPERLINK("http://www.incheonilbo.com/news/articleView.html?idxno=1192217")</f>
        <v>http://www.incheonilbo.com/news/articleView.html?idxno=1192217</v>
      </c>
      <c r="H9531">
        <v>0.13300000000000001</v>
      </c>
    </row>
    <row r="9532" spans="1:8" x14ac:dyDescent="0.3">
      <c r="A9532" t="s">
        <v>23684</v>
      </c>
      <c r="B9532" t="s">
        <v>26951</v>
      </c>
      <c r="C9532" t="s">
        <v>23819</v>
      </c>
      <c r="D9532" t="s">
        <v>23818</v>
      </c>
      <c r="E9532" s="2" t="s">
        <v>903</v>
      </c>
      <c r="F9532" t="s">
        <v>211</v>
      </c>
      <c r="G9532" t="str">
        <f>HYPERLINK("https://www.joongboo.com/news/articleView.html?idxno=363694288")</f>
        <v>https://www.joongboo.com/news/articleView.html?idxno=363694288</v>
      </c>
      <c r="H9532">
        <v>0.42399999999999999</v>
      </c>
    </row>
    <row r="9533" spans="1:8" x14ac:dyDescent="0.3">
      <c r="A9533" t="s">
        <v>23684</v>
      </c>
      <c r="B9533" t="s">
        <v>26951</v>
      </c>
      <c r="C9533" t="s">
        <v>23822</v>
      </c>
      <c r="D9533" t="s">
        <v>23821</v>
      </c>
      <c r="E9533" s="2" t="s">
        <v>903</v>
      </c>
      <c r="F9533" t="s">
        <v>23820</v>
      </c>
      <c r="G9533" t="str">
        <f>HYPERLINK("https://www.kyeonggi.com/article/20221002580042")</f>
        <v>https://www.kyeonggi.com/article/20221002580042</v>
      </c>
      <c r="H9533">
        <v>0.3</v>
      </c>
    </row>
    <row r="9534" spans="1:8" x14ac:dyDescent="0.3">
      <c r="A9534" t="s">
        <v>23684</v>
      </c>
      <c r="B9534" t="s">
        <v>26951</v>
      </c>
      <c r="C9534" t="s">
        <v>23825</v>
      </c>
      <c r="D9534" t="s">
        <v>23824</v>
      </c>
      <c r="E9534" s="2" t="s">
        <v>903</v>
      </c>
      <c r="F9534" t="s">
        <v>23823</v>
      </c>
      <c r="G9534" t="str">
        <f>HYPERLINK("https://n.news.naver.com/mnews/article/022/0004047462?sid=101")</f>
        <v>https://n.news.naver.com/mnews/article/022/0004047462?sid=101</v>
      </c>
      <c r="H9534">
        <v>0.38400000000000001</v>
      </c>
    </row>
    <row r="9535" spans="1:8" x14ac:dyDescent="0.3">
      <c r="A9535" t="s">
        <v>23826</v>
      </c>
      <c r="B9535" t="s">
        <v>26951</v>
      </c>
      <c r="C9535" t="s">
        <v>23828</v>
      </c>
      <c r="D9535" t="s">
        <v>23827</v>
      </c>
      <c r="E9535" s="2" t="s">
        <v>7</v>
      </c>
      <c r="F9535" t="s">
        <v>19291</v>
      </c>
      <c r="G9535" t="str">
        <f>HYPERLINK("http://www.jeollailbo.com/news/articleView.html?idxno=771365")</f>
        <v>http://www.jeollailbo.com/news/articleView.html?idxno=771365</v>
      </c>
      <c r="H9535">
        <v>0.83799999999999997</v>
      </c>
    </row>
    <row r="9536" spans="1:8" x14ac:dyDescent="0.3">
      <c r="A9536" t="s">
        <v>23826</v>
      </c>
      <c r="B9536" t="s">
        <v>26951</v>
      </c>
      <c r="C9536" t="s">
        <v>23830</v>
      </c>
      <c r="D9536" t="s">
        <v>23829</v>
      </c>
      <c r="E9536" s="2" t="s">
        <v>7</v>
      </c>
      <c r="F9536" t="s">
        <v>19291</v>
      </c>
      <c r="G9536" t="str">
        <f>HYPERLINK("https://www.newsfreezone.co.kr/news/articleView.html?idxno=604950")</f>
        <v>https://www.newsfreezone.co.kr/news/articleView.html?idxno=604950</v>
      </c>
      <c r="H9536">
        <v>0.39800000000000002</v>
      </c>
    </row>
    <row r="9537" spans="1:8" x14ac:dyDescent="0.3">
      <c r="A9537" t="s">
        <v>23826</v>
      </c>
      <c r="B9537" t="s">
        <v>26951</v>
      </c>
      <c r="C9537" t="s">
        <v>23832</v>
      </c>
      <c r="D9537" t="s">
        <v>23831</v>
      </c>
      <c r="E9537" s="2" t="s">
        <v>133</v>
      </c>
      <c r="F9537" t="s">
        <v>19291</v>
      </c>
      <c r="G9537" t="str">
        <f>HYPERLINK("http://www.jeonmin.co.kr/news/articleView.html?idxno=420394")</f>
        <v>http://www.jeonmin.co.kr/news/articleView.html?idxno=420394</v>
      </c>
      <c r="H9537">
        <v>0.85899999999999999</v>
      </c>
    </row>
    <row r="9538" spans="1:8" x14ac:dyDescent="0.3">
      <c r="A9538" t="s">
        <v>23826</v>
      </c>
      <c r="B9538" t="s">
        <v>26951</v>
      </c>
      <c r="C9538" t="s">
        <v>23834</v>
      </c>
      <c r="D9538" t="s">
        <v>23833</v>
      </c>
      <c r="E9538" s="2" t="s">
        <v>172</v>
      </c>
      <c r="F9538" t="s">
        <v>19291</v>
      </c>
      <c r="G9538" t="str">
        <f>HYPERLINK("http://news.ebs.co.kr/ebsnews/allView/60588242/N")</f>
        <v>http://news.ebs.co.kr/ebsnews/allView/60588242/N</v>
      </c>
      <c r="H9538">
        <v>0.76</v>
      </c>
    </row>
    <row r="9539" spans="1:8" x14ac:dyDescent="0.3">
      <c r="A9539" t="s">
        <v>23826</v>
      </c>
      <c r="B9539" t="s">
        <v>26951</v>
      </c>
      <c r="C9539" t="s">
        <v>23836</v>
      </c>
      <c r="D9539" t="s">
        <v>23835</v>
      </c>
      <c r="E9539" s="2" t="s">
        <v>196</v>
      </c>
      <c r="F9539" t="s">
        <v>19291</v>
      </c>
      <c r="G9539" t="str">
        <f>HYPERLINK("https://kookbang.dema.mil.kr/newsWeb/20250625/13/ATCE_CTGR_0010010000/view.do")</f>
        <v>https://kookbang.dema.mil.kr/newsWeb/20250625/13/ATCE_CTGR_0010010000/view.do</v>
      </c>
      <c r="H9539">
        <v>0.72499999999999998</v>
      </c>
    </row>
    <row r="9540" spans="1:8" x14ac:dyDescent="0.3">
      <c r="A9540" t="s">
        <v>23826</v>
      </c>
      <c r="B9540" t="s">
        <v>26951</v>
      </c>
      <c r="C9540" t="s">
        <v>23838</v>
      </c>
      <c r="D9540" t="s">
        <v>23837</v>
      </c>
      <c r="E9540" s="2" t="s">
        <v>196</v>
      </c>
      <c r="F9540" t="s">
        <v>19291</v>
      </c>
      <c r="G9540" t="str">
        <f>HYPERLINK("http://www.kyosu.net/news/articleView.html?idxno=137711")</f>
        <v>http://www.kyosu.net/news/articleView.html?idxno=137711</v>
      </c>
      <c r="H9540">
        <v>0.95299999999999996</v>
      </c>
    </row>
    <row r="9541" spans="1:8" x14ac:dyDescent="0.3">
      <c r="A9541" t="s">
        <v>23826</v>
      </c>
      <c r="B9541" t="s">
        <v>26951</v>
      </c>
      <c r="C9541" t="s">
        <v>23840</v>
      </c>
      <c r="D9541" t="s">
        <v>23839</v>
      </c>
      <c r="E9541" s="2" t="s">
        <v>196</v>
      </c>
      <c r="F9541" t="s">
        <v>19291</v>
      </c>
      <c r="G9541" t="str">
        <f>HYPERLINK("https://www.greened.kr/news/articleView.html?idxno=319195")</f>
        <v>https://www.greened.kr/news/articleView.html?idxno=319195</v>
      </c>
      <c r="H9541">
        <v>0.439</v>
      </c>
    </row>
    <row r="9542" spans="1:8" x14ac:dyDescent="0.3">
      <c r="A9542" t="s">
        <v>23826</v>
      </c>
      <c r="B9542" t="s">
        <v>26951</v>
      </c>
      <c r="C9542" t="s">
        <v>23842</v>
      </c>
      <c r="D9542" t="s">
        <v>23841</v>
      </c>
      <c r="E9542" s="2" t="s">
        <v>230</v>
      </c>
      <c r="F9542" t="s">
        <v>19291</v>
      </c>
      <c r="G9542" t="str">
        <f>HYPERLINK("http://www.hyunbulnews.com/news/articleView.html?idxno=414419")</f>
        <v>http://www.hyunbulnews.com/news/articleView.html?idxno=414419</v>
      </c>
      <c r="H9542">
        <v>0.64700000000000002</v>
      </c>
    </row>
    <row r="9543" spans="1:8" x14ac:dyDescent="0.3">
      <c r="A9543" t="s">
        <v>23826</v>
      </c>
      <c r="B9543" t="s">
        <v>26951</v>
      </c>
      <c r="C9543" t="s">
        <v>23844</v>
      </c>
      <c r="D9543" t="s">
        <v>23843</v>
      </c>
      <c r="E9543" s="2" t="s">
        <v>230</v>
      </c>
      <c r="F9543" t="s">
        <v>19291</v>
      </c>
      <c r="G9543" t="str">
        <f>HYPERLINK("https://www.jjan.kr/article/20240828580167")</f>
        <v>https://www.jjan.kr/article/20240828580167</v>
      </c>
      <c r="H9543">
        <v>0.42499999999999999</v>
      </c>
    </row>
    <row r="9544" spans="1:8" x14ac:dyDescent="0.3">
      <c r="A9544" t="s">
        <v>23826</v>
      </c>
      <c r="B9544" t="s">
        <v>26951</v>
      </c>
      <c r="C9544" t="s">
        <v>23846</v>
      </c>
      <c r="D9544" t="s">
        <v>23845</v>
      </c>
      <c r="E9544" s="2" t="s">
        <v>230</v>
      </c>
      <c r="F9544" t="s">
        <v>19291</v>
      </c>
      <c r="G9544" t="str">
        <f>HYPERLINK("https://www.greened.kr/news/articleView.html?idxno=316769")</f>
        <v>https://www.greened.kr/news/articleView.html?idxno=316769</v>
      </c>
      <c r="H9544">
        <v>0.51</v>
      </c>
    </row>
    <row r="9545" spans="1:8" x14ac:dyDescent="0.3">
      <c r="A9545" t="s">
        <v>23826</v>
      </c>
      <c r="B9545" t="s">
        <v>26951</v>
      </c>
      <c r="C9545" t="s">
        <v>23849</v>
      </c>
      <c r="D9545" t="s">
        <v>23848</v>
      </c>
      <c r="E9545" s="2" t="s">
        <v>230</v>
      </c>
      <c r="F9545" t="s">
        <v>23847</v>
      </c>
      <c r="G9545" t="str">
        <f>HYPERLINK("https://www.ggilbo.com/news/articleView.html?idxno=1089059")</f>
        <v>https://www.ggilbo.com/news/articleView.html?idxno=1089059</v>
      </c>
      <c r="H9545">
        <v>0.56100000000000005</v>
      </c>
    </row>
    <row r="9546" spans="1:8" x14ac:dyDescent="0.3">
      <c r="A9546" t="s">
        <v>23826</v>
      </c>
      <c r="B9546" t="s">
        <v>26951</v>
      </c>
      <c r="C9546" t="s">
        <v>23851</v>
      </c>
      <c r="D9546" t="s">
        <v>23850</v>
      </c>
      <c r="E9546" s="2" t="s">
        <v>313</v>
      </c>
      <c r="F9546" t="s">
        <v>19291</v>
      </c>
      <c r="G9546" t="str">
        <f>HYPERLINK("http://www.domin.co.kr/news/articleView.html?idxno=1518965")</f>
        <v>http://www.domin.co.kr/news/articleView.html?idxno=1518965</v>
      </c>
      <c r="H9546">
        <v>0.84599999999999997</v>
      </c>
    </row>
    <row r="9547" spans="1:8" x14ac:dyDescent="0.3">
      <c r="A9547" t="s">
        <v>23826</v>
      </c>
      <c r="B9547" t="s">
        <v>26951</v>
      </c>
      <c r="C9547" t="s">
        <v>23854</v>
      </c>
      <c r="D9547" t="s">
        <v>23853</v>
      </c>
      <c r="E9547" s="2" t="s">
        <v>394</v>
      </c>
      <c r="F9547" t="s">
        <v>23852</v>
      </c>
      <c r="G9547" t="str">
        <f>HYPERLINK("http://www.ccreview.co.kr/news/articleView.html?idxno=285109")</f>
        <v>http://www.ccreview.co.kr/news/articleView.html?idxno=285109</v>
      </c>
      <c r="H9547">
        <v>0.56000000000000005</v>
      </c>
    </row>
    <row r="9548" spans="1:8" x14ac:dyDescent="0.3">
      <c r="A9548" t="s">
        <v>23826</v>
      </c>
      <c r="B9548" t="s">
        <v>26951</v>
      </c>
      <c r="C9548" t="s">
        <v>23856</v>
      </c>
      <c r="D9548" t="s">
        <v>23855</v>
      </c>
      <c r="E9548" s="2" t="s">
        <v>394</v>
      </c>
      <c r="F9548" t="s">
        <v>19291</v>
      </c>
      <c r="G9548" t="str">
        <f>HYPERLINK("http://www.ggilbo.com/news/articleView.html?idxno=890870")</f>
        <v>http://www.ggilbo.com/news/articleView.html?idxno=890870</v>
      </c>
      <c r="H9548">
        <v>0.36699999999999999</v>
      </c>
    </row>
    <row r="9549" spans="1:8" x14ac:dyDescent="0.3">
      <c r="A9549" t="s">
        <v>23826</v>
      </c>
      <c r="B9549" t="s">
        <v>26951</v>
      </c>
      <c r="C9549" t="s">
        <v>23858</v>
      </c>
      <c r="D9549" t="s">
        <v>23857</v>
      </c>
      <c r="E9549" s="2" t="s">
        <v>418</v>
      </c>
      <c r="F9549" t="s">
        <v>9433</v>
      </c>
      <c r="G9549" t="str">
        <f>HYPERLINK("https://n.news.naver.com/mnews/article/082/0001089172?sid=102")</f>
        <v>https://n.news.naver.com/mnews/article/082/0001089172?sid=102</v>
      </c>
      <c r="H9549">
        <v>0.32100000000000001</v>
      </c>
    </row>
    <row r="9550" spans="1:8" x14ac:dyDescent="0.3">
      <c r="A9550" t="s">
        <v>23826</v>
      </c>
      <c r="B9550" t="s">
        <v>26951</v>
      </c>
      <c r="C9550" t="s">
        <v>23860</v>
      </c>
      <c r="D9550" t="s">
        <v>23859</v>
      </c>
      <c r="E9550" s="2" t="s">
        <v>452</v>
      </c>
      <c r="F9550" t="s">
        <v>19291</v>
      </c>
      <c r="G9550" t="str">
        <f>HYPERLINK("http://www.jeonmin.co.kr/news/articleView.html?idxno=419749")</f>
        <v>http://www.jeonmin.co.kr/news/articleView.html?idxno=419749</v>
      </c>
      <c r="H9550">
        <v>0.88</v>
      </c>
    </row>
    <row r="9551" spans="1:8" x14ac:dyDescent="0.3">
      <c r="A9551" t="s">
        <v>23826</v>
      </c>
      <c r="B9551" t="s">
        <v>26951</v>
      </c>
      <c r="C9551" t="s">
        <v>23862</v>
      </c>
      <c r="D9551" t="s">
        <v>23861</v>
      </c>
      <c r="E9551" s="2" t="s">
        <v>452</v>
      </c>
      <c r="F9551" t="s">
        <v>19291</v>
      </c>
      <c r="G9551" t="str">
        <f>HYPERLINK("http://www.ggilbo.com/news/articleView.html?idxno=343474")</f>
        <v>http://www.ggilbo.com/news/articleView.html?idxno=343474</v>
      </c>
      <c r="H9551">
        <v>0.47799999999999998</v>
      </c>
    </row>
    <row r="9552" spans="1:8" x14ac:dyDescent="0.3">
      <c r="A9552" t="s">
        <v>23826</v>
      </c>
      <c r="B9552" t="s">
        <v>26951</v>
      </c>
      <c r="C9552" t="s">
        <v>23864</v>
      </c>
      <c r="D9552" t="s">
        <v>23863</v>
      </c>
      <c r="E9552" s="2" t="s">
        <v>481</v>
      </c>
      <c r="F9552" t="s">
        <v>9433</v>
      </c>
      <c r="G9552" t="str">
        <f>HYPERLINK("https://n.news.naver.com/mnews/article/082/0001089172?sid=102")</f>
        <v>https://n.news.naver.com/mnews/article/082/0001089172?sid=102</v>
      </c>
      <c r="H9552">
        <v>0.33200000000000002</v>
      </c>
    </row>
    <row r="9553" spans="1:8" x14ac:dyDescent="0.3">
      <c r="A9553" t="s">
        <v>23826</v>
      </c>
      <c r="B9553" t="s">
        <v>26951</v>
      </c>
      <c r="C9553" t="s">
        <v>23866</v>
      </c>
      <c r="D9553" t="s">
        <v>23865</v>
      </c>
      <c r="E9553" s="2" t="s">
        <v>481</v>
      </c>
      <c r="F9553" t="s">
        <v>19291</v>
      </c>
      <c r="G9553" t="str">
        <f>HYPERLINK("http://www.ggilbo.com/news/articleView.html?idxno=328116")</f>
        <v>http://www.ggilbo.com/news/articleView.html?idxno=328116</v>
      </c>
      <c r="H9553">
        <v>0.34499999999999997</v>
      </c>
    </row>
    <row r="9554" spans="1:8" x14ac:dyDescent="0.3">
      <c r="A9554" t="s">
        <v>23826</v>
      </c>
      <c r="B9554" t="s">
        <v>26951</v>
      </c>
      <c r="C9554" t="s">
        <v>23868</v>
      </c>
      <c r="D9554" t="s">
        <v>23867</v>
      </c>
      <c r="E9554" s="2" t="s">
        <v>517</v>
      </c>
      <c r="F9554" t="s">
        <v>999</v>
      </c>
      <c r="G9554" t="str">
        <f>HYPERLINK("https://www.tokenpost.kr/news/briefing/245537")</f>
        <v>https://www.tokenpost.kr/news/briefing/245537</v>
      </c>
      <c r="H9554">
        <v>0.247</v>
      </c>
    </row>
    <row r="9555" spans="1:8" x14ac:dyDescent="0.3">
      <c r="A9555" t="s">
        <v>23826</v>
      </c>
      <c r="B9555" t="s">
        <v>26951</v>
      </c>
      <c r="C9555" t="s">
        <v>23871</v>
      </c>
      <c r="D9555" t="s">
        <v>23870</v>
      </c>
      <c r="E9555" s="2" t="s">
        <v>538</v>
      </c>
      <c r="F9555" t="s">
        <v>23869</v>
      </c>
      <c r="G9555" t="str">
        <f>HYPERLINK("https://www.ggilbo.com/news/articleView.html?idxno=1094625")</f>
        <v>https://www.ggilbo.com/news/articleView.html?idxno=1094625</v>
      </c>
      <c r="H9555">
        <v>0.72299999999999998</v>
      </c>
    </row>
    <row r="9556" spans="1:8" x14ac:dyDescent="0.3">
      <c r="A9556" t="s">
        <v>23826</v>
      </c>
      <c r="B9556" t="s">
        <v>26951</v>
      </c>
      <c r="C9556" t="s">
        <v>23873</v>
      </c>
      <c r="D9556" t="s">
        <v>23872</v>
      </c>
      <c r="E9556" s="2" t="s">
        <v>538</v>
      </c>
      <c r="F9556" t="s">
        <v>19291</v>
      </c>
      <c r="G9556" t="str">
        <f>HYPERLINK("http://www.veritas-a.com/news/articleView.html?idxno=560080")</f>
        <v>http://www.veritas-a.com/news/articleView.html?idxno=560080</v>
      </c>
      <c r="H9556">
        <v>0.57799999999999996</v>
      </c>
    </row>
    <row r="9557" spans="1:8" x14ac:dyDescent="0.3">
      <c r="A9557" t="s">
        <v>23826</v>
      </c>
      <c r="B9557" t="s">
        <v>26951</v>
      </c>
      <c r="C9557" t="s">
        <v>23875</v>
      </c>
      <c r="D9557" t="s">
        <v>23874</v>
      </c>
      <c r="E9557" s="2" t="s">
        <v>572</v>
      </c>
      <c r="F9557" t="s">
        <v>19291</v>
      </c>
      <c r="G9557" t="str">
        <f>HYPERLINK("https://n.news.naver.com/mnews/article/469/0000633594?sid=102")</f>
        <v>https://n.news.naver.com/mnews/article/469/0000633594?sid=102</v>
      </c>
      <c r="H9557">
        <v>0.27100000000000002</v>
      </c>
    </row>
    <row r="9558" spans="1:8" x14ac:dyDescent="0.3">
      <c r="A9558" t="s">
        <v>23826</v>
      </c>
      <c r="B9558" t="s">
        <v>26951</v>
      </c>
      <c r="C9558" t="s">
        <v>23877</v>
      </c>
      <c r="D9558" t="s">
        <v>23876</v>
      </c>
      <c r="E9558" s="2" t="s">
        <v>609</v>
      </c>
      <c r="F9558" t="s">
        <v>19291</v>
      </c>
      <c r="G9558" t="str">
        <f>HYPERLINK("http://www.domin.co.kr/news/articleView.html?idxno=1517545")</f>
        <v>http://www.domin.co.kr/news/articleView.html?idxno=1517545</v>
      </c>
      <c r="H9558">
        <v>0.79100000000000004</v>
      </c>
    </row>
    <row r="9559" spans="1:8" x14ac:dyDescent="0.3">
      <c r="A9559" t="s">
        <v>23826</v>
      </c>
      <c r="B9559" t="s">
        <v>26951</v>
      </c>
      <c r="C9559" t="s">
        <v>23879</v>
      </c>
      <c r="D9559" t="s">
        <v>23878</v>
      </c>
      <c r="E9559" s="2" t="s">
        <v>609</v>
      </c>
      <c r="F9559" t="s">
        <v>19291</v>
      </c>
      <c r="G9559" t="str">
        <f>HYPERLINK("http://www.breaknews.com/1123056")</f>
        <v>http://www.breaknews.com/1123056</v>
      </c>
      <c r="H9559">
        <v>0.38200000000000001</v>
      </c>
    </row>
    <row r="9560" spans="1:8" x14ac:dyDescent="0.3">
      <c r="A9560" t="s">
        <v>23826</v>
      </c>
      <c r="B9560" t="s">
        <v>26951</v>
      </c>
      <c r="C9560" t="s">
        <v>23882</v>
      </c>
      <c r="D9560" t="s">
        <v>23881</v>
      </c>
      <c r="E9560" s="2" t="s">
        <v>653</v>
      </c>
      <c r="F9560" t="s">
        <v>23880</v>
      </c>
      <c r="G9560" t="str">
        <f>HYPERLINK("http://www.jeollailbo.com/news/articleView.html?idxno=769299")</f>
        <v>http://www.jeollailbo.com/news/articleView.html?idxno=769299</v>
      </c>
      <c r="H9560">
        <v>0.73399999999999999</v>
      </c>
    </row>
    <row r="9561" spans="1:8" x14ac:dyDescent="0.3">
      <c r="A9561" t="s">
        <v>23826</v>
      </c>
      <c r="B9561" t="s">
        <v>26951</v>
      </c>
      <c r="C9561" t="s">
        <v>23884</v>
      </c>
      <c r="D9561" t="s">
        <v>23883</v>
      </c>
      <c r="E9561" s="2" t="s">
        <v>653</v>
      </c>
      <c r="F9561" t="s">
        <v>19291</v>
      </c>
      <c r="G9561" t="str">
        <f>HYPERLINK("http://www.ttlnews.com/article/biz_world/13766")</f>
        <v>http://www.ttlnews.com/article/biz_world/13766</v>
      </c>
      <c r="H9561">
        <v>0.72399999999999998</v>
      </c>
    </row>
    <row r="9562" spans="1:8" x14ac:dyDescent="0.3">
      <c r="A9562" t="s">
        <v>23826</v>
      </c>
      <c r="B9562" t="s">
        <v>26951</v>
      </c>
      <c r="C9562" t="s">
        <v>23886</v>
      </c>
      <c r="D9562" t="s">
        <v>23885</v>
      </c>
      <c r="E9562" s="2" t="s">
        <v>653</v>
      </c>
      <c r="F9562" t="s">
        <v>19291</v>
      </c>
      <c r="G9562" t="str">
        <f>HYPERLINK("https://www.greened.kr/news/articleView.html?idxno=315625")</f>
        <v>https://www.greened.kr/news/articleView.html?idxno=315625</v>
      </c>
      <c r="H9562">
        <v>0.46400000000000002</v>
      </c>
    </row>
    <row r="9563" spans="1:8" x14ac:dyDescent="0.3">
      <c r="A9563" t="s">
        <v>23826</v>
      </c>
      <c r="B9563" t="s">
        <v>26951</v>
      </c>
      <c r="C9563" t="s">
        <v>23888</v>
      </c>
      <c r="D9563" t="s">
        <v>23887</v>
      </c>
      <c r="E9563" s="2" t="s">
        <v>799</v>
      </c>
      <c r="F9563" t="s">
        <v>19291</v>
      </c>
      <c r="G9563" t="str">
        <f>HYPERLINK("http://www.amnews.co.kr/news/articleView.html?idxno=66694")</f>
        <v>http://www.amnews.co.kr/news/articleView.html?idxno=66694</v>
      </c>
      <c r="H9563">
        <v>0.88400000000000001</v>
      </c>
    </row>
    <row r="9564" spans="1:8" x14ac:dyDescent="0.3">
      <c r="A9564" t="s">
        <v>23826</v>
      </c>
      <c r="B9564" t="s">
        <v>26951</v>
      </c>
      <c r="C9564" t="s">
        <v>23890</v>
      </c>
      <c r="D9564" t="s">
        <v>23889</v>
      </c>
      <c r="E9564" s="2" t="s">
        <v>799</v>
      </c>
      <c r="F9564" t="s">
        <v>19291</v>
      </c>
      <c r="G9564" t="str">
        <f>HYPERLINK("http://www.safetimes.co.kr/news/articleView.html?idxno=105434")</f>
        <v>http://www.safetimes.co.kr/news/articleView.html?idxno=105434</v>
      </c>
      <c r="H9564">
        <v>8.6999999999999994E-2</v>
      </c>
    </row>
    <row r="9565" spans="1:8" x14ac:dyDescent="0.3">
      <c r="A9565" t="s">
        <v>23826</v>
      </c>
      <c r="B9565" t="s">
        <v>26951</v>
      </c>
      <c r="C9565" t="s">
        <v>23892</v>
      </c>
      <c r="D9565" t="s">
        <v>23891</v>
      </c>
      <c r="E9565" s="2" t="s">
        <v>799</v>
      </c>
      <c r="F9565" t="s">
        <v>19291</v>
      </c>
      <c r="G9565" t="str">
        <f>HYPERLINK("http://www.kyosu.net/news/articleView.html?idxno=138154")</f>
        <v>http://www.kyosu.net/news/articleView.html?idxno=138154</v>
      </c>
      <c r="H9565">
        <v>0.61699999999999999</v>
      </c>
    </row>
    <row r="9566" spans="1:8" x14ac:dyDescent="0.3">
      <c r="A9566" t="s">
        <v>23826</v>
      </c>
      <c r="B9566" t="s">
        <v>26951</v>
      </c>
      <c r="C9566" t="s">
        <v>23894</v>
      </c>
      <c r="D9566" t="s">
        <v>23893</v>
      </c>
      <c r="E9566" s="2" t="s">
        <v>860</v>
      </c>
      <c r="F9566" t="s">
        <v>19291</v>
      </c>
      <c r="G9566" t="str">
        <f>HYPERLINK("http://www.daejonilbo.com/news/newsitem.asp?pk_no=1495062")</f>
        <v>http://www.daejonilbo.com/news/newsitem.asp?pk_no=1495062</v>
      </c>
      <c r="H9566">
        <v>0.24199999999999999</v>
      </c>
    </row>
    <row r="9567" spans="1:8" x14ac:dyDescent="0.3">
      <c r="A9567" t="s">
        <v>23826</v>
      </c>
      <c r="B9567" t="s">
        <v>26951</v>
      </c>
      <c r="C9567" t="s">
        <v>23896</v>
      </c>
      <c r="D9567" t="s">
        <v>23895</v>
      </c>
      <c r="E9567" s="2" t="s">
        <v>860</v>
      </c>
      <c r="F9567" t="s">
        <v>19291</v>
      </c>
      <c r="G9567" t="str">
        <f>HYPERLINK("http://www.daejonilbo.com/news/newsitem.asp?pk_no=1422712")</f>
        <v>http://www.daejonilbo.com/news/newsitem.asp?pk_no=1422712</v>
      </c>
      <c r="H9567">
        <v>0.25600000000000001</v>
      </c>
    </row>
    <row r="9568" spans="1:8" x14ac:dyDescent="0.3">
      <c r="A9568" t="s">
        <v>23826</v>
      </c>
      <c r="B9568" t="s">
        <v>26951</v>
      </c>
      <c r="C9568" t="s">
        <v>23898</v>
      </c>
      <c r="D9568" t="s">
        <v>23897</v>
      </c>
      <c r="E9568" s="2" t="s">
        <v>860</v>
      </c>
      <c r="F9568" t="s">
        <v>19291</v>
      </c>
      <c r="G9568" t="str">
        <f>HYPERLINK("http://www.ggilbo.com/news/articleView.html?idxno=278145")</f>
        <v>http://www.ggilbo.com/news/articleView.html?idxno=278145</v>
      </c>
      <c r="H9568">
        <v>0.53900000000000003</v>
      </c>
    </row>
    <row r="9569" spans="1:8" x14ac:dyDescent="0.3">
      <c r="A9569" t="s">
        <v>23826</v>
      </c>
      <c r="B9569" t="s">
        <v>26951</v>
      </c>
      <c r="C9569" t="s">
        <v>23900</v>
      </c>
      <c r="D9569" t="s">
        <v>23899</v>
      </c>
      <c r="E9569" s="2" t="s">
        <v>860</v>
      </c>
      <c r="F9569" t="s">
        <v>19291</v>
      </c>
      <c r="G9569" t="str">
        <f>HYPERLINK("http://www.daejonilbo.com/news/newsitem.asp?pk_no=1422712")</f>
        <v>http://www.daejonilbo.com/news/newsitem.asp?pk_no=1422712</v>
      </c>
      <c r="H9569">
        <v>0.23899999999999999</v>
      </c>
    </row>
    <row r="9570" spans="1:8" x14ac:dyDescent="0.3">
      <c r="A9570" t="s">
        <v>23826</v>
      </c>
      <c r="B9570" t="s">
        <v>26951</v>
      </c>
      <c r="C9570" t="s">
        <v>23902</v>
      </c>
      <c r="D9570" t="s">
        <v>23901</v>
      </c>
      <c r="E9570" s="2" t="s">
        <v>860</v>
      </c>
      <c r="F9570" t="s">
        <v>19291</v>
      </c>
      <c r="G9570" t="str">
        <f>HYPERLINK("http://www.daejonilbo.com/news/newsitem.asp?pk_no=1422712")</f>
        <v>http://www.daejonilbo.com/news/newsitem.asp?pk_no=1422712</v>
      </c>
      <c r="H9570">
        <v>0.255</v>
      </c>
    </row>
    <row r="9571" spans="1:8" x14ac:dyDescent="0.3">
      <c r="A9571" t="s">
        <v>23826</v>
      </c>
      <c r="B9571" t="s">
        <v>26951</v>
      </c>
      <c r="C9571" t="s">
        <v>23904</v>
      </c>
      <c r="D9571" t="s">
        <v>23903</v>
      </c>
      <c r="E9571" s="2" t="s">
        <v>860</v>
      </c>
      <c r="F9571" t="s">
        <v>19291</v>
      </c>
      <c r="G9571" t="str">
        <f>HYPERLINK("http://www.jeonmin.co.kr/news/articleView.html?idxno=418906")</f>
        <v>http://www.jeonmin.co.kr/news/articleView.html?idxno=418906</v>
      </c>
      <c r="H9571">
        <v>0.79500000000000004</v>
      </c>
    </row>
    <row r="9572" spans="1:8" x14ac:dyDescent="0.3">
      <c r="A9572" t="s">
        <v>23826</v>
      </c>
      <c r="B9572" t="s">
        <v>26951</v>
      </c>
      <c r="C9572" t="s">
        <v>23906</v>
      </c>
      <c r="D9572" t="s">
        <v>23905</v>
      </c>
      <c r="E9572" s="2" t="s">
        <v>860</v>
      </c>
      <c r="F9572" t="s">
        <v>19291</v>
      </c>
      <c r="G9572" t="str">
        <f>HYPERLINK("https://www.inews365.com/news/article.html?no=733280")</f>
        <v>https://www.inews365.com/news/article.html?no=733280</v>
      </c>
      <c r="H9572">
        <v>0.41199999999999998</v>
      </c>
    </row>
    <row r="9573" spans="1:8" x14ac:dyDescent="0.3">
      <c r="A9573" t="s">
        <v>23826</v>
      </c>
      <c r="B9573" t="s">
        <v>26951</v>
      </c>
      <c r="C9573" t="s">
        <v>23909</v>
      </c>
      <c r="D9573" t="s">
        <v>23908</v>
      </c>
      <c r="E9573" s="2" t="s">
        <v>903</v>
      </c>
      <c r="F9573" t="s">
        <v>23907</v>
      </c>
      <c r="G9573" t="str">
        <f>HYPERLINK("https://www.kukinews.com/article/view/kuk202507020038")</f>
        <v>https://www.kukinews.com/article/view/kuk202507020038</v>
      </c>
      <c r="H9573">
        <v>0.47</v>
      </c>
    </row>
    <row r="9574" spans="1:8" x14ac:dyDescent="0.3">
      <c r="A9574" t="s">
        <v>23826</v>
      </c>
      <c r="B9574" t="s">
        <v>26951</v>
      </c>
      <c r="C9574" t="s">
        <v>23912</v>
      </c>
      <c r="D9574" t="s">
        <v>23911</v>
      </c>
      <c r="E9574" s="2" t="s">
        <v>903</v>
      </c>
      <c r="F9574" t="s">
        <v>23910</v>
      </c>
      <c r="G9574" t="str">
        <f>HYPERLINK("http://www.daejonilbo.com/news/newsitem.asp?pk_no=1218772")</f>
        <v>http://www.daejonilbo.com/news/newsitem.asp?pk_no=1218772</v>
      </c>
      <c r="H9574">
        <v>0.495</v>
      </c>
    </row>
    <row r="9575" spans="1:8" x14ac:dyDescent="0.3">
      <c r="A9575" t="s">
        <v>23826</v>
      </c>
      <c r="B9575" t="s">
        <v>26951</v>
      </c>
      <c r="C9575" t="s">
        <v>23915</v>
      </c>
      <c r="D9575" t="s">
        <v>23914</v>
      </c>
      <c r="E9575" s="2" t="s">
        <v>903</v>
      </c>
      <c r="F9575" t="s">
        <v>23913</v>
      </c>
      <c r="G9575" t="str">
        <f>HYPERLINK("https://www.smarttoday.co.kr/news/articleView.html?idxno=63805")</f>
        <v>https://www.smarttoday.co.kr/news/articleView.html?idxno=63805</v>
      </c>
      <c r="H9575">
        <v>0.28399999999999997</v>
      </c>
    </row>
    <row r="9576" spans="1:8" x14ac:dyDescent="0.3">
      <c r="A9576" t="s">
        <v>23916</v>
      </c>
      <c r="B9576" t="s">
        <v>26951</v>
      </c>
      <c r="C9576" t="s">
        <v>23919</v>
      </c>
      <c r="D9576" t="s">
        <v>23918</v>
      </c>
      <c r="E9576" s="2" t="s">
        <v>313</v>
      </c>
      <c r="F9576" t="s">
        <v>23917</v>
      </c>
      <c r="G9576" t="str">
        <f>HYPERLINK("https://n.news.naver.com/mnews/article/008/0004766374?sid=102")</f>
        <v>https://n.news.naver.com/mnews/article/008/0004766374?sid=102</v>
      </c>
      <c r="H9576">
        <v>0.16400000000000001</v>
      </c>
    </row>
    <row r="9577" spans="1:8" x14ac:dyDescent="0.3">
      <c r="A9577" t="s">
        <v>23916</v>
      </c>
      <c r="B9577" t="s">
        <v>26951</v>
      </c>
      <c r="C9577" t="s">
        <v>23921</v>
      </c>
      <c r="D9577" t="s">
        <v>23920</v>
      </c>
      <c r="E9577" s="2" t="s">
        <v>356</v>
      </c>
      <c r="F9577" t="s">
        <v>2046</v>
      </c>
      <c r="G9577" t="str">
        <f>HYPERLINK("http://www.domin.co.kr/news/articleView.html?idxno=1518305")</f>
        <v>http://www.domin.co.kr/news/articleView.html?idxno=1518305</v>
      </c>
      <c r="H9577">
        <v>0.99299999999999999</v>
      </c>
    </row>
    <row r="9578" spans="1:8" x14ac:dyDescent="0.3">
      <c r="A9578" t="s">
        <v>23916</v>
      </c>
      <c r="B9578" t="s">
        <v>26951</v>
      </c>
      <c r="C9578" t="s">
        <v>23924</v>
      </c>
      <c r="D9578" t="s">
        <v>23923</v>
      </c>
      <c r="E9578" s="2" t="s">
        <v>452</v>
      </c>
      <c r="F9578" t="s">
        <v>23922</v>
      </c>
      <c r="G9578" t="str">
        <f>HYPERLINK("http://www.domin.co.kr/news/articleView.html?idxno=1517926")</f>
        <v>http://www.domin.co.kr/news/articleView.html?idxno=1517926</v>
      </c>
      <c r="H9578">
        <v>0.93400000000000005</v>
      </c>
    </row>
    <row r="9579" spans="1:8" x14ac:dyDescent="0.3">
      <c r="A9579" t="s">
        <v>23916</v>
      </c>
      <c r="B9579" t="s">
        <v>26951</v>
      </c>
      <c r="C9579" t="s">
        <v>23926</v>
      </c>
      <c r="D9579" t="s">
        <v>23925</v>
      </c>
      <c r="E9579" s="2" t="s">
        <v>572</v>
      </c>
      <c r="F9579" t="s">
        <v>4963</v>
      </c>
      <c r="G9579" t="str">
        <f>HYPERLINK("http://www.domin.co.kr/news/articleView.html?idxno=1517901")</f>
        <v>http://www.domin.co.kr/news/articleView.html?idxno=1517901</v>
      </c>
      <c r="H9579">
        <v>0.99199999999999999</v>
      </c>
    </row>
    <row r="9580" spans="1:8" x14ac:dyDescent="0.3">
      <c r="A9580" t="s">
        <v>23916</v>
      </c>
      <c r="B9580" t="s">
        <v>26951</v>
      </c>
      <c r="C9580" t="s">
        <v>23929</v>
      </c>
      <c r="D9580" t="s">
        <v>23928</v>
      </c>
      <c r="E9580" s="2" t="s">
        <v>609</v>
      </c>
      <c r="F9580" t="s">
        <v>23927</v>
      </c>
      <c r="G9580" t="str">
        <f>HYPERLINK("http://www.domin.co.kr/news/articleView.html?idxno=1517563")</f>
        <v>http://www.domin.co.kr/news/articleView.html?idxno=1517563</v>
      </c>
      <c r="H9580">
        <v>0.96599999999999997</v>
      </c>
    </row>
    <row r="9581" spans="1:8" x14ac:dyDescent="0.3">
      <c r="A9581" t="s">
        <v>23930</v>
      </c>
      <c r="B9581" t="s">
        <v>26951</v>
      </c>
      <c r="C9581" t="s">
        <v>23932</v>
      </c>
      <c r="D9581" t="s">
        <v>23931</v>
      </c>
      <c r="E9581" s="2" t="s">
        <v>7</v>
      </c>
      <c r="F9581" t="s">
        <v>3078</v>
      </c>
      <c r="G9581" t="str">
        <f>HYPERLINK("https://www.econovill.com/news/articleView.html?idxno=701626")</f>
        <v>https://www.econovill.com/news/articleView.html?idxno=701626</v>
      </c>
      <c r="H9581">
        <v>0.66100000000000003</v>
      </c>
    </row>
    <row r="9582" spans="1:8" x14ac:dyDescent="0.3">
      <c r="A9582" t="s">
        <v>23930</v>
      </c>
      <c r="B9582" t="s">
        <v>26951</v>
      </c>
      <c r="C9582" t="s">
        <v>8527</v>
      </c>
      <c r="D9582" t="s">
        <v>8526</v>
      </c>
      <c r="E9582" s="2" t="s">
        <v>7</v>
      </c>
      <c r="F9582" t="s">
        <v>8525</v>
      </c>
      <c r="G9582" t="str">
        <f>HYPERLINK("http://www.asiatoday.co.kr/view.php?key=20180913010008157")</f>
        <v>http://www.asiatoday.co.kr/view.php?key=20180913010008157</v>
      </c>
      <c r="H9582">
        <v>0.187</v>
      </c>
    </row>
    <row r="9583" spans="1:8" x14ac:dyDescent="0.3">
      <c r="A9583" t="s">
        <v>23930</v>
      </c>
      <c r="B9583" t="s">
        <v>26951</v>
      </c>
      <c r="C9583" t="s">
        <v>23935</v>
      </c>
      <c r="D9583" t="s">
        <v>23934</v>
      </c>
      <c r="E9583" s="2" t="s">
        <v>105</v>
      </c>
      <c r="F9583" t="s">
        <v>23933</v>
      </c>
      <c r="G9583" t="str">
        <f>HYPERLINK("http://www.bizwnews.com/news/articleView.html?idxno=101098")</f>
        <v>http://www.bizwnews.com/news/articleView.html?idxno=101098</v>
      </c>
      <c r="H9583">
        <v>0.42399999999999999</v>
      </c>
    </row>
    <row r="9584" spans="1:8" x14ac:dyDescent="0.3">
      <c r="A9584" t="s">
        <v>23930</v>
      </c>
      <c r="B9584" t="s">
        <v>26951</v>
      </c>
      <c r="C9584" t="s">
        <v>23938</v>
      </c>
      <c r="D9584" t="s">
        <v>23937</v>
      </c>
      <c r="E9584" s="2" t="s">
        <v>133</v>
      </c>
      <c r="F9584" t="s">
        <v>23936</v>
      </c>
      <c r="G9584" t="str">
        <f>HYPERLINK("http://www.newmanagement.co.kr/?p=10938")</f>
        <v>http://www.newmanagement.co.kr/?p=10938</v>
      </c>
      <c r="H9584">
        <v>0.38600000000000001</v>
      </c>
    </row>
    <row r="9585" spans="1:8" x14ac:dyDescent="0.3">
      <c r="A9585" t="s">
        <v>23930</v>
      </c>
      <c r="B9585" t="s">
        <v>26951</v>
      </c>
      <c r="C9585" t="s">
        <v>23940</v>
      </c>
      <c r="D9585" t="s">
        <v>23939</v>
      </c>
      <c r="E9585" s="2" t="s">
        <v>172</v>
      </c>
      <c r="F9585" t="s">
        <v>3822</v>
      </c>
      <c r="G9585" t="str">
        <f>HYPERLINK("http://jmagazine.joins.com/forbes/view/339760")</f>
        <v>http://jmagazine.joins.com/forbes/view/339760</v>
      </c>
      <c r="H9585">
        <v>0.45300000000000001</v>
      </c>
    </row>
    <row r="9586" spans="1:8" x14ac:dyDescent="0.3">
      <c r="A9586" t="s">
        <v>23930</v>
      </c>
      <c r="B9586" t="s">
        <v>26951</v>
      </c>
      <c r="C9586" t="s">
        <v>23942</v>
      </c>
      <c r="D9586" t="s">
        <v>23941</v>
      </c>
      <c r="E9586" s="2" t="s">
        <v>172</v>
      </c>
      <c r="F9586" t="s">
        <v>12182</v>
      </c>
      <c r="G9586" t="str">
        <f>HYPERLINK("https://www.newsgn.com/news/articleView.html?idxno=489792")</f>
        <v>https://www.newsgn.com/news/articleView.html?idxno=489792</v>
      </c>
      <c r="H9586">
        <v>0.94699999999999995</v>
      </c>
    </row>
    <row r="9587" spans="1:8" x14ac:dyDescent="0.3">
      <c r="A9587" t="s">
        <v>23930</v>
      </c>
      <c r="B9587" t="s">
        <v>26951</v>
      </c>
      <c r="C9587" t="s">
        <v>23944</v>
      </c>
      <c r="D9587" t="s">
        <v>23943</v>
      </c>
      <c r="E9587" s="2" t="s">
        <v>230</v>
      </c>
      <c r="F9587" t="s">
        <v>22707</v>
      </c>
      <c r="G9587" t="str">
        <f>HYPERLINK("https://www.asiatoday.co.kr/view.php?key=20250623010011051")</f>
        <v>https://www.asiatoday.co.kr/view.php?key=20250623010011051</v>
      </c>
      <c r="H9587">
        <v>0.11899999999999999</v>
      </c>
    </row>
    <row r="9588" spans="1:8" x14ac:dyDescent="0.3">
      <c r="A9588" t="s">
        <v>23930</v>
      </c>
      <c r="B9588" t="s">
        <v>26951</v>
      </c>
      <c r="C9588" t="s">
        <v>23947</v>
      </c>
      <c r="D9588" t="s">
        <v>23946</v>
      </c>
      <c r="E9588" s="2" t="s">
        <v>267</v>
      </c>
      <c r="F9588" t="s">
        <v>23945</v>
      </c>
      <c r="G9588" t="str">
        <f>HYPERLINK("http://www.interview365.com/news/articleView.html?idxno=109447")</f>
        <v>http://www.interview365.com/news/articleView.html?idxno=109447</v>
      </c>
      <c r="H9588">
        <v>0.48199999999999998</v>
      </c>
    </row>
    <row r="9589" spans="1:8" x14ac:dyDescent="0.3">
      <c r="A9589" t="s">
        <v>23930</v>
      </c>
      <c r="B9589" t="s">
        <v>26951</v>
      </c>
      <c r="C9589" t="s">
        <v>23950</v>
      </c>
      <c r="D9589" t="s">
        <v>23949</v>
      </c>
      <c r="E9589" s="2" t="s">
        <v>313</v>
      </c>
      <c r="F9589" t="s">
        <v>23948</v>
      </c>
      <c r="G9589" t="str">
        <f>HYPERLINK("http://www.ggilbo.com/news/articleView.html?idxno=267310")</f>
        <v>http://www.ggilbo.com/news/articleView.html?idxno=267310</v>
      </c>
      <c r="H9589">
        <v>0.26900000000000002</v>
      </c>
    </row>
    <row r="9590" spans="1:8" x14ac:dyDescent="0.3">
      <c r="A9590" t="s">
        <v>23930</v>
      </c>
      <c r="B9590" t="s">
        <v>26951</v>
      </c>
      <c r="C9590" t="s">
        <v>23952</v>
      </c>
      <c r="D9590" t="s">
        <v>23951</v>
      </c>
      <c r="E9590" s="2" t="s">
        <v>452</v>
      </c>
      <c r="F9590" t="s">
        <v>20782</v>
      </c>
      <c r="G9590" t="str">
        <f>HYPERLINK("https://www.siminilbo.co.kr/news/newsview.php?ncode=1160292223430198")</f>
        <v>https://www.siminilbo.co.kr/news/newsview.php?ncode=1160292223430198</v>
      </c>
      <c r="H9590">
        <v>0.35899999999999999</v>
      </c>
    </row>
    <row r="9591" spans="1:8" x14ac:dyDescent="0.3">
      <c r="A9591" t="s">
        <v>23930</v>
      </c>
      <c r="B9591" t="s">
        <v>26951</v>
      </c>
      <c r="C9591" t="s">
        <v>23954</v>
      </c>
      <c r="D9591" t="s">
        <v>23953</v>
      </c>
      <c r="E9591" s="2" t="s">
        <v>502</v>
      </c>
      <c r="F9591" t="s">
        <v>4580</v>
      </c>
      <c r="G9591" t="str">
        <f>HYPERLINK("https://www.etoday.co.kr/news/view/2219125")</f>
        <v>https://www.etoday.co.kr/news/view/2219125</v>
      </c>
      <c r="H9591">
        <v>0.48399999999999999</v>
      </c>
    </row>
    <row r="9592" spans="1:8" x14ac:dyDescent="0.3">
      <c r="A9592" t="s">
        <v>23930</v>
      </c>
      <c r="B9592" t="s">
        <v>26951</v>
      </c>
      <c r="C9592" t="s">
        <v>23957</v>
      </c>
      <c r="D9592" t="s">
        <v>23956</v>
      </c>
      <c r="E9592" s="2" t="s">
        <v>517</v>
      </c>
      <c r="F9592" t="s">
        <v>23955</v>
      </c>
      <c r="G9592" t="str">
        <f>HYPERLINK("https://n.news.naver.com/mnews/article/014/0003130497?sid=102")</f>
        <v>https://n.news.naver.com/mnews/article/014/0003130497?sid=102</v>
      </c>
      <c r="H9592">
        <v>0.14299999999999999</v>
      </c>
    </row>
    <row r="9593" spans="1:8" x14ac:dyDescent="0.3">
      <c r="A9593" t="s">
        <v>23930</v>
      </c>
      <c r="B9593" t="s">
        <v>26951</v>
      </c>
      <c r="C9593" t="s">
        <v>23960</v>
      </c>
      <c r="D9593" t="s">
        <v>23959</v>
      </c>
      <c r="E9593" s="2" t="s">
        <v>572</v>
      </c>
      <c r="F9593" t="s">
        <v>23958</v>
      </c>
      <c r="G9593" t="str">
        <f>HYPERLINK("https://www.asiatoday.co.kr/view.php?key=20160429010015183")</f>
        <v>https://www.asiatoday.co.kr/view.php?key=20160429010015183</v>
      </c>
      <c r="H9593">
        <v>0.17599999999999999</v>
      </c>
    </row>
    <row r="9594" spans="1:8" x14ac:dyDescent="0.3">
      <c r="A9594" t="s">
        <v>23930</v>
      </c>
      <c r="B9594" t="s">
        <v>26951</v>
      </c>
      <c r="C9594" t="s">
        <v>23963</v>
      </c>
      <c r="D9594" t="s">
        <v>23962</v>
      </c>
      <c r="E9594" s="2" t="s">
        <v>653</v>
      </c>
      <c r="F9594" t="s">
        <v>23961</v>
      </c>
      <c r="G9594" t="str">
        <f>HYPERLINK("https://www.newscj.com/news/articleView.html?idxno=3287310")</f>
        <v>https://www.newscj.com/news/articleView.html?idxno=3287310</v>
      </c>
      <c r="H9594">
        <v>0.16200000000000001</v>
      </c>
    </row>
    <row r="9595" spans="1:8" x14ac:dyDescent="0.3">
      <c r="A9595" t="s">
        <v>23930</v>
      </c>
      <c r="B9595" t="s">
        <v>26951</v>
      </c>
      <c r="C9595" t="s">
        <v>23965</v>
      </c>
      <c r="D9595" t="s">
        <v>23964</v>
      </c>
      <c r="E9595" s="2" t="s">
        <v>725</v>
      </c>
      <c r="F9595" t="s">
        <v>13406</v>
      </c>
      <c r="G9595" t="str">
        <f>HYPERLINK("https://www.jejusori.net/news/articleView.html?idxno=437325")</f>
        <v>https://www.jejusori.net/news/articleView.html?idxno=437325</v>
      </c>
      <c r="H9595">
        <v>0.26500000000000001</v>
      </c>
    </row>
    <row r="9596" spans="1:8" x14ac:dyDescent="0.3">
      <c r="A9596" t="s">
        <v>23930</v>
      </c>
      <c r="B9596" t="s">
        <v>26951</v>
      </c>
      <c r="C9596" t="s">
        <v>23968</v>
      </c>
      <c r="D9596" t="s">
        <v>23967</v>
      </c>
      <c r="E9596" s="2" t="s">
        <v>742</v>
      </c>
      <c r="F9596" t="s">
        <v>23966</v>
      </c>
      <c r="G9596" t="str">
        <f>HYPERLINK("http://www.newsnjoy.or.kr/news/articleView.html?idxno=220030")</f>
        <v>http://www.newsnjoy.or.kr/news/articleView.html?idxno=220030</v>
      </c>
      <c r="H9596">
        <v>0.57399999999999995</v>
      </c>
    </row>
    <row r="9597" spans="1:8" x14ac:dyDescent="0.3">
      <c r="A9597" t="s">
        <v>23930</v>
      </c>
      <c r="B9597" t="s">
        <v>26951</v>
      </c>
      <c r="C9597" t="s">
        <v>23970</v>
      </c>
      <c r="D9597" t="s">
        <v>23969</v>
      </c>
      <c r="E9597" s="2" t="s">
        <v>799</v>
      </c>
      <c r="F9597" t="s">
        <v>8918</v>
      </c>
      <c r="G9597" t="str">
        <f>HYPERLINK("http://www.greened.kr/news/articleView.html?idxno=302226")</f>
        <v>http://www.greened.kr/news/articleView.html?idxno=302226</v>
      </c>
      <c r="H9597">
        <v>0.56299999999999994</v>
      </c>
    </row>
    <row r="9598" spans="1:8" x14ac:dyDescent="0.3">
      <c r="A9598" t="s">
        <v>23930</v>
      </c>
      <c r="B9598" t="s">
        <v>26951</v>
      </c>
      <c r="C9598" t="s">
        <v>23972</v>
      </c>
      <c r="D9598" t="s">
        <v>23971</v>
      </c>
      <c r="E9598" s="2" t="s">
        <v>840</v>
      </c>
      <c r="F9598" t="s">
        <v>3666</v>
      </c>
      <c r="G9598" t="str">
        <f>HYPERLINK("https://n.news.naver.com/mnews/article/081/0003554185?sid=100")</f>
        <v>https://n.news.naver.com/mnews/article/081/0003554185?sid=100</v>
      </c>
      <c r="H9598">
        <v>0.14599999999999999</v>
      </c>
    </row>
    <row r="9599" spans="1:8" x14ac:dyDescent="0.3">
      <c r="A9599" t="s">
        <v>23930</v>
      </c>
      <c r="B9599" t="s">
        <v>26951</v>
      </c>
      <c r="C9599" t="s">
        <v>23975</v>
      </c>
      <c r="D9599" t="s">
        <v>23974</v>
      </c>
      <c r="E9599" s="2" t="s">
        <v>860</v>
      </c>
      <c r="F9599" t="s">
        <v>23973</v>
      </c>
      <c r="G9599" t="str">
        <f>HYPERLINK("https://n.news.naver.com/mnews/article/008/0005202918?sid=154")</f>
        <v>https://n.news.naver.com/mnews/article/008/0005202918?sid=154</v>
      </c>
      <c r="H9599">
        <v>0.113</v>
      </c>
    </row>
    <row r="9600" spans="1:8" x14ac:dyDescent="0.3">
      <c r="A9600" t="s">
        <v>23930</v>
      </c>
      <c r="B9600" t="s">
        <v>26951</v>
      </c>
      <c r="C9600" t="s">
        <v>23978</v>
      </c>
      <c r="D9600" t="s">
        <v>23977</v>
      </c>
      <c r="E9600" s="2" t="s">
        <v>860</v>
      </c>
      <c r="F9600" t="s">
        <v>23976</v>
      </c>
      <c r="G9600" t="str">
        <f>HYPERLINK("https://n.news.naver.com/mnews/article/032/0003375952?sid=102")</f>
        <v>https://n.news.naver.com/mnews/article/032/0003375952?sid=102</v>
      </c>
      <c r="H9600">
        <v>0.24399999999999999</v>
      </c>
    </row>
    <row r="9601" spans="1:8" x14ac:dyDescent="0.3">
      <c r="A9601" t="s">
        <v>23930</v>
      </c>
      <c r="B9601" t="s">
        <v>26951</v>
      </c>
      <c r="C9601" t="s">
        <v>23980</v>
      </c>
      <c r="D9601" t="s">
        <v>23979</v>
      </c>
      <c r="E9601" s="2" t="s">
        <v>860</v>
      </c>
      <c r="F9601" t="s">
        <v>184</v>
      </c>
      <c r="G9601" t="str">
        <f>HYPERLINK("http://news.mtn.co.kr/newscenter/news_viewer.mtn?gidx=2018062114595614782")</f>
        <v>http://news.mtn.co.kr/newscenter/news_viewer.mtn?gidx=2018062114595614782</v>
      </c>
      <c r="H9601">
        <v>0.14799999999999999</v>
      </c>
    </row>
    <row r="9602" spans="1:8" x14ac:dyDescent="0.3">
      <c r="A9602" t="s">
        <v>23930</v>
      </c>
      <c r="B9602" t="s">
        <v>26951</v>
      </c>
      <c r="C9602" t="s">
        <v>23983</v>
      </c>
      <c r="D9602" t="s">
        <v>23982</v>
      </c>
      <c r="E9602" s="2" t="s">
        <v>903</v>
      </c>
      <c r="F9602" t="s">
        <v>23981</v>
      </c>
      <c r="G9602" t="str">
        <f>HYPERLINK("https://n.news.naver.com/mnews/article/014/0005370534?sid=102")</f>
        <v>https://n.news.naver.com/mnews/article/014/0005370534?sid=102</v>
      </c>
      <c r="H9602">
        <v>0.24099999999999999</v>
      </c>
    </row>
    <row r="9603" spans="1:8" x14ac:dyDescent="0.3">
      <c r="A9603" t="s">
        <v>23984</v>
      </c>
      <c r="B9603" t="s">
        <v>26951</v>
      </c>
      <c r="C9603" t="s">
        <v>23987</v>
      </c>
      <c r="D9603" t="s">
        <v>23986</v>
      </c>
      <c r="E9603" s="2" t="s">
        <v>7</v>
      </c>
      <c r="F9603" t="s">
        <v>23985</v>
      </c>
      <c r="G9603" t="str">
        <f>HYPERLINK("http://www.ikld.kr/news/articleView.html?idxno=253075")</f>
        <v>http://www.ikld.kr/news/articleView.html?idxno=253075</v>
      </c>
      <c r="H9603">
        <v>0.46700000000000003</v>
      </c>
    </row>
    <row r="9604" spans="1:8" x14ac:dyDescent="0.3">
      <c r="A9604" t="s">
        <v>23984</v>
      </c>
      <c r="B9604" t="s">
        <v>26951</v>
      </c>
      <c r="C9604" t="s">
        <v>23990</v>
      </c>
      <c r="D9604" t="s">
        <v>23989</v>
      </c>
      <c r="E9604" s="2" t="s">
        <v>7</v>
      </c>
      <c r="F9604" t="s">
        <v>23988</v>
      </c>
      <c r="G9604" t="str">
        <f>HYPERLINK("https://n.news.naver.com/mnews/article/654/0000105272?sid=110")</f>
        <v>https://n.news.naver.com/mnews/article/654/0000105272?sid=110</v>
      </c>
      <c r="H9604">
        <v>0.182</v>
      </c>
    </row>
    <row r="9605" spans="1:8" x14ac:dyDescent="0.3">
      <c r="A9605" t="s">
        <v>23984</v>
      </c>
      <c r="B9605" t="s">
        <v>26951</v>
      </c>
      <c r="C9605" t="s">
        <v>23993</v>
      </c>
      <c r="D9605" t="s">
        <v>23992</v>
      </c>
      <c r="E9605" s="2" t="s">
        <v>66</v>
      </c>
      <c r="F9605" t="s">
        <v>23991</v>
      </c>
      <c r="G9605" t="str">
        <f>HYPERLINK("https://n.news.naver.com/mnews/article/654/0000012676?sid=102")</f>
        <v>https://n.news.naver.com/mnews/article/654/0000012676?sid=102</v>
      </c>
      <c r="H9605">
        <v>0.17799999999999999</v>
      </c>
    </row>
    <row r="9606" spans="1:8" x14ac:dyDescent="0.3">
      <c r="A9606" t="s">
        <v>23984</v>
      </c>
      <c r="B9606" t="s">
        <v>26951</v>
      </c>
      <c r="C9606" t="s">
        <v>23995</v>
      </c>
      <c r="D9606" t="s">
        <v>23994</v>
      </c>
      <c r="E9606" s="2" t="s">
        <v>66</v>
      </c>
      <c r="F9606" t="s">
        <v>23991</v>
      </c>
      <c r="G9606" t="str">
        <f>HYPERLINK("https://n.news.naver.com/mnews/article/654/0000127958?sid=102")</f>
        <v>https://n.news.naver.com/mnews/article/654/0000127958?sid=102</v>
      </c>
      <c r="H9606">
        <v>0.215</v>
      </c>
    </row>
    <row r="9607" spans="1:8" x14ac:dyDescent="0.3">
      <c r="A9607" t="s">
        <v>23984</v>
      </c>
      <c r="B9607" t="s">
        <v>26951</v>
      </c>
      <c r="C9607" t="s">
        <v>23997</v>
      </c>
      <c r="D9607" t="s">
        <v>23996</v>
      </c>
      <c r="E9607" s="2" t="s">
        <v>172</v>
      </c>
      <c r="F9607" t="s">
        <v>9441</v>
      </c>
      <c r="G9607" t="str">
        <f>HYPERLINK("https://www.sisaweek.com/news/articleView.html?idxno=213897")</f>
        <v>https://www.sisaweek.com/news/articleView.html?idxno=213897</v>
      </c>
      <c r="H9607">
        <v>0.31</v>
      </c>
    </row>
    <row r="9608" spans="1:8" x14ac:dyDescent="0.3">
      <c r="A9608" t="s">
        <v>23984</v>
      </c>
      <c r="B9608" t="s">
        <v>26951</v>
      </c>
      <c r="C9608" t="s">
        <v>23999</v>
      </c>
      <c r="D9608" t="s">
        <v>23998</v>
      </c>
      <c r="E9608" s="2" t="s">
        <v>196</v>
      </c>
      <c r="F9608" t="s">
        <v>205</v>
      </c>
      <c r="G9608" t="str">
        <f>HYPERLINK("https://n.news.naver.com/mnews/article/654/0000127879?sid=102")</f>
        <v>https://n.news.naver.com/mnews/article/654/0000127879?sid=102</v>
      </c>
      <c r="H9608">
        <v>0.17499999999999999</v>
      </c>
    </row>
    <row r="9609" spans="1:8" x14ac:dyDescent="0.3">
      <c r="A9609" t="s">
        <v>23984</v>
      </c>
      <c r="B9609" t="s">
        <v>26951</v>
      </c>
      <c r="C9609" t="s">
        <v>24001</v>
      </c>
      <c r="D9609" t="s">
        <v>24000</v>
      </c>
      <c r="E9609" s="2" t="s">
        <v>230</v>
      </c>
      <c r="F9609" t="s">
        <v>737</v>
      </c>
      <c r="G9609" t="str">
        <f>HYPERLINK("http://www.sctoday.co.kr/news/articleView.html?idxno=45486")</f>
        <v>http://www.sctoday.co.kr/news/articleView.html?idxno=45486</v>
      </c>
      <c r="H9609">
        <v>0.13800000000000001</v>
      </c>
    </row>
    <row r="9610" spans="1:8" x14ac:dyDescent="0.3">
      <c r="A9610" t="s">
        <v>23984</v>
      </c>
      <c r="B9610" t="s">
        <v>26951</v>
      </c>
      <c r="C9610" t="s">
        <v>24003</v>
      </c>
      <c r="D9610" t="s">
        <v>24002</v>
      </c>
      <c r="E9610" s="2" t="s">
        <v>313</v>
      </c>
      <c r="F9610" t="s">
        <v>796</v>
      </c>
      <c r="G9610" t="str">
        <f>HYPERLINK("https://n.news.naver.com/mnews/article/654/0000036264?sid=102")</f>
        <v>https://n.news.naver.com/mnews/article/654/0000036264?sid=102</v>
      </c>
      <c r="H9610">
        <v>0.18099999999999999</v>
      </c>
    </row>
    <row r="9611" spans="1:8" x14ac:dyDescent="0.3">
      <c r="A9611" t="s">
        <v>23984</v>
      </c>
      <c r="B9611" t="s">
        <v>26951</v>
      </c>
      <c r="C9611" t="s">
        <v>24006</v>
      </c>
      <c r="D9611" t="s">
        <v>24005</v>
      </c>
      <c r="E9611" s="2" t="s">
        <v>356</v>
      </c>
      <c r="F9611" t="s">
        <v>24004</v>
      </c>
      <c r="G9611" t="str">
        <f>HYPERLINK("https://n.news.naver.com/mnews/article/654/0000126933?sid=102")</f>
        <v>https://n.news.naver.com/mnews/article/654/0000126933?sid=102</v>
      </c>
      <c r="H9611">
        <v>0.17399999999999999</v>
      </c>
    </row>
    <row r="9612" spans="1:8" x14ac:dyDescent="0.3">
      <c r="A9612" t="s">
        <v>23984</v>
      </c>
      <c r="B9612" t="s">
        <v>26951</v>
      </c>
      <c r="C9612" t="s">
        <v>24008</v>
      </c>
      <c r="D9612" t="s">
        <v>24007</v>
      </c>
      <c r="E9612" s="2" t="s">
        <v>356</v>
      </c>
      <c r="F9612" t="s">
        <v>11486</v>
      </c>
      <c r="G9612" t="str">
        <f>HYPERLINK("https://n.news.naver.com/mnews/article/654/0000129266?sid=102")</f>
        <v>https://n.news.naver.com/mnews/article/654/0000129266?sid=102</v>
      </c>
      <c r="H9612">
        <v>5.8999999999999997E-2</v>
      </c>
    </row>
    <row r="9613" spans="1:8" x14ac:dyDescent="0.3">
      <c r="A9613" t="s">
        <v>23984</v>
      </c>
      <c r="B9613" t="s">
        <v>26951</v>
      </c>
      <c r="C9613" t="s">
        <v>24011</v>
      </c>
      <c r="D9613" t="s">
        <v>24010</v>
      </c>
      <c r="E9613" s="2" t="s">
        <v>452</v>
      </c>
      <c r="F9613" t="s">
        <v>24009</v>
      </c>
      <c r="G9613" t="str">
        <f>HYPERLINK("http://www.kyeonggi.com/news/articleView.html?idxno=971610")</f>
        <v>http://www.kyeonggi.com/news/articleView.html?idxno=971610</v>
      </c>
      <c r="H9613">
        <v>0.52500000000000002</v>
      </c>
    </row>
    <row r="9614" spans="1:8" x14ac:dyDescent="0.3">
      <c r="A9614" t="s">
        <v>23984</v>
      </c>
      <c r="B9614" t="s">
        <v>26951</v>
      </c>
      <c r="C9614" t="s">
        <v>24014</v>
      </c>
      <c r="D9614" t="s">
        <v>24013</v>
      </c>
      <c r="E9614" s="2" t="s">
        <v>452</v>
      </c>
      <c r="F9614" t="s">
        <v>24012</v>
      </c>
      <c r="G9614" t="str">
        <f>HYPERLINK("http://www.doctorstimes.com/news/articleView.html?idxno=232875")</f>
        <v>http://www.doctorstimes.com/news/articleView.html?idxno=232875</v>
      </c>
      <c r="H9614">
        <v>0.46899999999999997</v>
      </c>
    </row>
    <row r="9615" spans="1:8" x14ac:dyDescent="0.3">
      <c r="A9615" t="s">
        <v>23984</v>
      </c>
      <c r="B9615" t="s">
        <v>26951</v>
      </c>
      <c r="C9615" t="s">
        <v>24017</v>
      </c>
      <c r="D9615" t="s">
        <v>24016</v>
      </c>
      <c r="E9615" s="2" t="s">
        <v>481</v>
      </c>
      <c r="F9615" t="s">
        <v>24015</v>
      </c>
      <c r="G9615" t="str">
        <f>HYPERLINK("https://n.news.naver.com/mnews/article/654/0000128348?sid=103")</f>
        <v>https://n.news.naver.com/mnews/article/654/0000128348?sid=103</v>
      </c>
      <c r="H9615">
        <v>0.308</v>
      </c>
    </row>
    <row r="9616" spans="1:8" x14ac:dyDescent="0.3">
      <c r="A9616" t="s">
        <v>23984</v>
      </c>
      <c r="B9616" t="s">
        <v>26951</v>
      </c>
      <c r="C9616" t="s">
        <v>24020</v>
      </c>
      <c r="D9616" t="s">
        <v>24019</v>
      </c>
      <c r="E9616" s="2" t="s">
        <v>481</v>
      </c>
      <c r="F9616" t="s">
        <v>24018</v>
      </c>
      <c r="G9616" t="str">
        <f>HYPERLINK("https://www.idaegu.co.kr/news/articleView.html?idxno=511847")</f>
        <v>https://www.idaegu.co.kr/news/articleView.html?idxno=511847</v>
      </c>
      <c r="H9616">
        <v>0.38600000000000001</v>
      </c>
    </row>
    <row r="9617" spans="1:8" x14ac:dyDescent="0.3">
      <c r="A9617" t="s">
        <v>23984</v>
      </c>
      <c r="B9617" t="s">
        <v>26951</v>
      </c>
      <c r="C9617" t="s">
        <v>24022</v>
      </c>
      <c r="D9617" t="s">
        <v>24021</v>
      </c>
      <c r="E9617" s="2" t="s">
        <v>502</v>
      </c>
      <c r="F9617" t="s">
        <v>205</v>
      </c>
      <c r="G9617" t="str">
        <f>HYPERLINK("https://n.news.naver.com/mnews/article/654/0000126194?sid=102")</f>
        <v>https://n.news.naver.com/mnews/article/654/0000126194?sid=102</v>
      </c>
      <c r="H9617">
        <v>0.10299999999999999</v>
      </c>
    </row>
    <row r="9618" spans="1:8" x14ac:dyDescent="0.3">
      <c r="A9618" t="s">
        <v>23984</v>
      </c>
      <c r="B9618" t="s">
        <v>26951</v>
      </c>
      <c r="C9618" t="s">
        <v>24024</v>
      </c>
      <c r="D9618" t="s">
        <v>24023</v>
      </c>
      <c r="E9618" s="2" t="s">
        <v>502</v>
      </c>
      <c r="F9618" t="s">
        <v>24018</v>
      </c>
      <c r="G9618" t="str">
        <f>HYPERLINK("http://www.kado.net/news/articleView.html?idxno=1043370")</f>
        <v>http://www.kado.net/news/articleView.html?idxno=1043370</v>
      </c>
      <c r="H9618">
        <v>0.18</v>
      </c>
    </row>
    <row r="9619" spans="1:8" x14ac:dyDescent="0.3">
      <c r="A9619" t="s">
        <v>23984</v>
      </c>
      <c r="B9619" t="s">
        <v>26951</v>
      </c>
      <c r="C9619" t="s">
        <v>24026</v>
      </c>
      <c r="D9619" t="s">
        <v>24025</v>
      </c>
      <c r="E9619" s="2" t="s">
        <v>517</v>
      </c>
      <c r="F9619" t="s">
        <v>10152</v>
      </c>
      <c r="G9619" t="str">
        <f>HYPERLINK("http://www.kado.net/news/articleView.html?idxno=574247")</f>
        <v>http://www.kado.net/news/articleView.html?idxno=574247</v>
      </c>
      <c r="H9619">
        <v>0.41099999999999998</v>
      </c>
    </row>
    <row r="9620" spans="1:8" x14ac:dyDescent="0.3">
      <c r="A9620" t="s">
        <v>23984</v>
      </c>
      <c r="B9620" t="s">
        <v>26951</v>
      </c>
      <c r="C9620" t="s">
        <v>24028</v>
      </c>
      <c r="D9620" t="s">
        <v>24027</v>
      </c>
      <c r="E9620" s="2" t="s">
        <v>538</v>
      </c>
      <c r="F9620" t="s">
        <v>148</v>
      </c>
      <c r="G9620" t="str">
        <f>HYPERLINK("http://www.kado.net/news/articleView.html?idxno=813363")</f>
        <v>http://www.kado.net/news/articleView.html?idxno=813363</v>
      </c>
      <c r="H9620">
        <v>0.34899999999999998</v>
      </c>
    </row>
    <row r="9621" spans="1:8" x14ac:dyDescent="0.3">
      <c r="A9621" t="s">
        <v>23984</v>
      </c>
      <c r="B9621" t="s">
        <v>26951</v>
      </c>
      <c r="C9621" t="s">
        <v>24030</v>
      </c>
      <c r="D9621" t="s">
        <v>24029</v>
      </c>
      <c r="E9621" s="2" t="s">
        <v>572</v>
      </c>
      <c r="F9621" t="s">
        <v>14599</v>
      </c>
      <c r="G9621" t="str">
        <f>HYPERLINK("https://n.news.naver.com/mnews/article/654/0000125257?sid=102")</f>
        <v>https://n.news.naver.com/mnews/article/654/0000125257?sid=102</v>
      </c>
      <c r="H9621">
        <v>0.153</v>
      </c>
    </row>
    <row r="9622" spans="1:8" x14ac:dyDescent="0.3">
      <c r="A9622" t="s">
        <v>23984</v>
      </c>
      <c r="B9622" t="s">
        <v>26951</v>
      </c>
      <c r="C9622" t="s">
        <v>24032</v>
      </c>
      <c r="D9622" t="s">
        <v>24031</v>
      </c>
      <c r="E9622" s="2" t="s">
        <v>653</v>
      </c>
      <c r="F9622" t="s">
        <v>10401</v>
      </c>
      <c r="G9622" t="str">
        <f>HYPERLINK("https://n.news.naver.com/mnews/article/087/0001122570?sid=102")</f>
        <v>https://n.news.naver.com/mnews/article/087/0001122570?sid=102</v>
      </c>
      <c r="H9622">
        <v>0.184</v>
      </c>
    </row>
    <row r="9623" spans="1:8" x14ac:dyDescent="0.3">
      <c r="A9623" t="s">
        <v>23984</v>
      </c>
      <c r="B9623" t="s">
        <v>26951</v>
      </c>
      <c r="C9623" t="s">
        <v>24035</v>
      </c>
      <c r="D9623" t="s">
        <v>24034</v>
      </c>
      <c r="E9623" s="2" t="s">
        <v>711</v>
      </c>
      <c r="F9623" t="s">
        <v>24033</v>
      </c>
      <c r="G9623" t="str">
        <f>HYPERLINK("https://n.news.naver.com/mnews/article/654/0000125146?sid=102")</f>
        <v>https://n.news.naver.com/mnews/article/654/0000125146?sid=102</v>
      </c>
      <c r="H9623">
        <v>0.28599999999999998</v>
      </c>
    </row>
    <row r="9624" spans="1:8" x14ac:dyDescent="0.3">
      <c r="A9624" t="s">
        <v>23984</v>
      </c>
      <c r="B9624" t="s">
        <v>26951</v>
      </c>
      <c r="C9624" t="s">
        <v>24037</v>
      </c>
      <c r="D9624" t="s">
        <v>24036</v>
      </c>
      <c r="E9624" s="2" t="s">
        <v>742</v>
      </c>
      <c r="F9624" t="s">
        <v>1936</v>
      </c>
      <c r="G9624" t="str">
        <f>HYPERLINK("https://n.news.naver.com/mnews/article/087/0001034658?sid=165")</f>
        <v>https://n.news.naver.com/mnews/article/087/0001034658?sid=165</v>
      </c>
      <c r="H9624">
        <v>0.193</v>
      </c>
    </row>
    <row r="9625" spans="1:8" x14ac:dyDescent="0.3">
      <c r="A9625" t="s">
        <v>23984</v>
      </c>
      <c r="B9625" t="s">
        <v>26951</v>
      </c>
      <c r="C9625" t="s">
        <v>24039</v>
      </c>
      <c r="D9625" t="s">
        <v>24038</v>
      </c>
      <c r="E9625" s="2" t="s">
        <v>742</v>
      </c>
      <c r="F9625" t="s">
        <v>8157</v>
      </c>
      <c r="G9625" t="str">
        <f>HYPERLINK("http://www.econonews.co.kr/news/articleView.html?idxno=290114")</f>
        <v>http://www.econonews.co.kr/news/articleView.html?idxno=290114</v>
      </c>
      <c r="H9625">
        <v>0.14000000000000001</v>
      </c>
    </row>
    <row r="9626" spans="1:8" x14ac:dyDescent="0.3">
      <c r="A9626" t="s">
        <v>23984</v>
      </c>
      <c r="B9626" t="s">
        <v>26951</v>
      </c>
      <c r="C9626" t="s">
        <v>24041</v>
      </c>
      <c r="D9626" t="s">
        <v>24040</v>
      </c>
      <c r="E9626" s="2" t="s">
        <v>799</v>
      </c>
      <c r="F9626" t="s">
        <v>235</v>
      </c>
      <c r="G9626" t="str">
        <f>HYPERLINK("https://n.news.naver.com/mnews/article/087/0001116814?sid=102")</f>
        <v>https://n.news.naver.com/mnews/article/087/0001116814?sid=102</v>
      </c>
      <c r="H9626">
        <v>0.223</v>
      </c>
    </row>
    <row r="9627" spans="1:8" x14ac:dyDescent="0.3">
      <c r="A9627" t="s">
        <v>24042</v>
      </c>
      <c r="B9627" t="s">
        <v>26951</v>
      </c>
      <c r="C9627" t="s">
        <v>24044</v>
      </c>
      <c r="D9627" t="s">
        <v>24043</v>
      </c>
      <c r="E9627" s="2" t="s">
        <v>313</v>
      </c>
      <c r="F9627" t="s">
        <v>3420</v>
      </c>
      <c r="G9627" t="str">
        <f>HYPERLINK("http://www.breaknews.com/sub_read.html?uid=466730&amp;section=sc5")</f>
        <v>http://www.breaknews.com/sub_read.html?uid=466730&amp;section=sc5</v>
      </c>
      <c r="H9627">
        <v>0.60799999999999998</v>
      </c>
    </row>
    <row r="9628" spans="1:8" x14ac:dyDescent="0.3">
      <c r="A9628" t="s">
        <v>24042</v>
      </c>
      <c r="B9628" t="s">
        <v>26951</v>
      </c>
      <c r="C9628" t="s">
        <v>24047</v>
      </c>
      <c r="D9628" t="s">
        <v>24046</v>
      </c>
      <c r="E9628" s="2" t="s">
        <v>313</v>
      </c>
      <c r="F9628" t="s">
        <v>24045</v>
      </c>
      <c r="G9628" t="str">
        <f>HYPERLINK("https://n.news.naver.com/mnews/article/057/0001894452?sid=103")</f>
        <v>https://n.news.naver.com/mnews/article/057/0001894452?sid=103</v>
      </c>
      <c r="H9628">
        <v>0.28899999999999998</v>
      </c>
    </row>
    <row r="9629" spans="1:8" x14ac:dyDescent="0.3">
      <c r="A9629" t="s">
        <v>24042</v>
      </c>
      <c r="B9629" t="s">
        <v>26951</v>
      </c>
      <c r="C9629" t="s">
        <v>24050</v>
      </c>
      <c r="D9629" t="s">
        <v>24049</v>
      </c>
      <c r="E9629" s="2" t="s">
        <v>313</v>
      </c>
      <c r="F9629" t="s">
        <v>24048</v>
      </c>
      <c r="G9629" t="str">
        <f>HYPERLINK("https://n.news.naver.com/mnews/article/081/0003553999?sid=104")</f>
        <v>https://n.news.naver.com/mnews/article/081/0003553999?sid=104</v>
      </c>
      <c r="H9629">
        <v>0.27300000000000002</v>
      </c>
    </row>
    <row r="9630" spans="1:8" x14ac:dyDescent="0.3">
      <c r="A9630" t="s">
        <v>24042</v>
      </c>
      <c r="B9630" t="s">
        <v>26951</v>
      </c>
      <c r="C9630" t="s">
        <v>24052</v>
      </c>
      <c r="D9630" t="s">
        <v>24051</v>
      </c>
      <c r="E9630" s="2" t="s">
        <v>313</v>
      </c>
      <c r="F9630" t="s">
        <v>10069</v>
      </c>
      <c r="G9630" t="str">
        <f>HYPERLINK("https://www.thedailypost.kr/news/articleView.html?idxno=104501")</f>
        <v>https://www.thedailypost.kr/news/articleView.html?idxno=104501</v>
      </c>
      <c r="H9630">
        <v>0.23599999999999999</v>
      </c>
    </row>
    <row r="9631" spans="1:8" x14ac:dyDescent="0.3">
      <c r="A9631" t="s">
        <v>24042</v>
      </c>
      <c r="B9631" t="s">
        <v>26951</v>
      </c>
      <c r="C9631" t="s">
        <v>24055</v>
      </c>
      <c r="D9631" t="s">
        <v>24054</v>
      </c>
      <c r="E9631" s="2" t="s">
        <v>313</v>
      </c>
      <c r="F9631" t="s">
        <v>24053</v>
      </c>
      <c r="G9631" t="str">
        <f>HYPERLINK("http://www.econovill.com/news/articleView.html?idxno=300695")</f>
        <v>http://www.econovill.com/news/articleView.html?idxno=300695</v>
      </c>
      <c r="H9631">
        <v>0.33100000000000002</v>
      </c>
    </row>
    <row r="9632" spans="1:8" x14ac:dyDescent="0.3">
      <c r="A9632" t="s">
        <v>24042</v>
      </c>
      <c r="B9632" t="s">
        <v>26951</v>
      </c>
      <c r="C9632" t="s">
        <v>24058</v>
      </c>
      <c r="D9632" t="s">
        <v>24057</v>
      </c>
      <c r="E9632" s="2" t="s">
        <v>313</v>
      </c>
      <c r="F9632" t="s">
        <v>24056</v>
      </c>
      <c r="G9632" t="str">
        <f>HYPERLINK("https://www.greened.kr/news/articleView.html?idxno=320823")</f>
        <v>https://www.greened.kr/news/articleView.html?idxno=320823</v>
      </c>
      <c r="H9632">
        <v>0.61199999999999999</v>
      </c>
    </row>
    <row r="9633" spans="1:8" x14ac:dyDescent="0.3">
      <c r="A9633" t="s">
        <v>24042</v>
      </c>
      <c r="B9633" t="s">
        <v>26951</v>
      </c>
      <c r="C9633" t="s">
        <v>24060</v>
      </c>
      <c r="D9633" t="s">
        <v>24059</v>
      </c>
      <c r="E9633" s="2" t="s">
        <v>313</v>
      </c>
      <c r="F9633" t="s">
        <v>5342</v>
      </c>
      <c r="G9633" t="str">
        <f>HYPERLINK("https://www.incheonilbo.com/news/articleView.html?idxno=1294553")</f>
        <v>https://www.incheonilbo.com/news/articleView.html?idxno=1294553</v>
      </c>
      <c r="H9633">
        <v>0.44800000000000001</v>
      </c>
    </row>
    <row r="9634" spans="1:8" x14ac:dyDescent="0.3">
      <c r="A9634" t="s">
        <v>24042</v>
      </c>
      <c r="B9634" t="s">
        <v>26951</v>
      </c>
      <c r="C9634" t="s">
        <v>24062</v>
      </c>
      <c r="D9634" t="s">
        <v>24061</v>
      </c>
      <c r="E9634" s="2" t="s">
        <v>313</v>
      </c>
      <c r="F9634" t="s">
        <v>10228</v>
      </c>
      <c r="G9634" t="str">
        <f>HYPERLINK("https://n.news.naver.com/mnews/article/008/0005209749?sid=102")</f>
        <v>https://n.news.naver.com/mnews/article/008/0005209749?sid=102</v>
      </c>
      <c r="H9634">
        <v>0.27</v>
      </c>
    </row>
    <row r="9635" spans="1:8" x14ac:dyDescent="0.3">
      <c r="A9635" t="s">
        <v>24042</v>
      </c>
      <c r="B9635" t="s">
        <v>26951</v>
      </c>
      <c r="C9635" t="s">
        <v>24064</v>
      </c>
      <c r="D9635" t="s">
        <v>24063</v>
      </c>
      <c r="E9635" s="2" t="s">
        <v>356</v>
      </c>
      <c r="F9635" t="s">
        <v>9738</v>
      </c>
      <c r="G9635" t="str">
        <f>HYPERLINK("http://www.newscj.com/news/articleView.html?idxno=752097")</f>
        <v>http://www.newscj.com/news/articleView.html?idxno=752097</v>
      </c>
      <c r="H9635">
        <v>0.5</v>
      </c>
    </row>
    <row r="9636" spans="1:8" x14ac:dyDescent="0.3">
      <c r="A9636" t="s">
        <v>24042</v>
      </c>
      <c r="B9636" t="s">
        <v>26951</v>
      </c>
      <c r="C9636" t="s">
        <v>24067</v>
      </c>
      <c r="D9636" t="s">
        <v>24066</v>
      </c>
      <c r="E9636" s="2" t="s">
        <v>356</v>
      </c>
      <c r="F9636" t="s">
        <v>24065</v>
      </c>
      <c r="G9636" t="str">
        <f>HYPERLINK("http://www.newsworker.co.kr/news/articleView.html?idxno=326528")</f>
        <v>http://www.newsworker.co.kr/news/articleView.html?idxno=326528</v>
      </c>
      <c r="H9636">
        <v>0.379</v>
      </c>
    </row>
    <row r="9637" spans="1:8" x14ac:dyDescent="0.3">
      <c r="A9637" t="s">
        <v>24042</v>
      </c>
      <c r="B9637" t="s">
        <v>26951</v>
      </c>
      <c r="C9637" t="s">
        <v>24070</v>
      </c>
      <c r="D9637" t="s">
        <v>24069</v>
      </c>
      <c r="E9637" s="2" t="s">
        <v>356</v>
      </c>
      <c r="F9637" t="s">
        <v>24068</v>
      </c>
      <c r="G9637" t="str">
        <f>HYPERLINK("http://www.doctorstimes.com/news/articleView.html?idxno=233249")</f>
        <v>http://www.doctorstimes.com/news/articleView.html?idxno=233249</v>
      </c>
      <c r="H9637">
        <v>0.49099999999999999</v>
      </c>
    </row>
    <row r="9638" spans="1:8" x14ac:dyDescent="0.3">
      <c r="A9638" t="s">
        <v>24042</v>
      </c>
      <c r="B9638" t="s">
        <v>26951</v>
      </c>
      <c r="C9638" t="s">
        <v>24073</v>
      </c>
      <c r="D9638" t="s">
        <v>24072</v>
      </c>
      <c r="E9638" s="2" t="s">
        <v>356</v>
      </c>
      <c r="F9638" t="s">
        <v>24071</v>
      </c>
      <c r="G9638" t="str">
        <f>HYPERLINK("https://www.gqkorea.co.kr/2025/01/25/%ec%98%a4%ec%a7%81-%ed%91%9c%ec%a7%80%eb%a7%8c-%eb%b3%b4%ea%b3%a0-%ea%b3%a0%eb%a5%b8-%ec%98%88%ec%81%9c-%ec%b1%85-12/?utm_source=naver&amp;utm_medium=partnership")</f>
        <v>https://www.gqkorea.co.kr/2025/01/25/%ec%98%a4%ec%a7%81-%ed%91%9c%ec%a7%80%eb%a7%8c-%eb%b3%b4%ea%b3%a0-%ea%b3%a0%eb%a5%b8-%ec%98%88%ec%81%9c-%ec%b1%85-12/?utm_source=naver&amp;utm_medium=partnership</v>
      </c>
      <c r="H9638">
        <v>0.63900000000000001</v>
      </c>
    </row>
    <row r="9639" spans="1:8" x14ac:dyDescent="0.3">
      <c r="A9639" t="s">
        <v>24042</v>
      </c>
      <c r="B9639" t="s">
        <v>26951</v>
      </c>
      <c r="C9639" t="s">
        <v>24075</v>
      </c>
      <c r="D9639" t="s">
        <v>24074</v>
      </c>
      <c r="E9639" s="2" t="s">
        <v>356</v>
      </c>
      <c r="F9639" t="s">
        <v>9922</v>
      </c>
      <c r="G9639" t="str">
        <f>HYPERLINK("https://n.news.naver.com/mnews/article/008/0005209749?sid=102")</f>
        <v>https://n.news.naver.com/mnews/article/008/0005209749?sid=102</v>
      </c>
      <c r="H9639">
        <v>0.27700000000000002</v>
      </c>
    </row>
    <row r="9640" spans="1:8" x14ac:dyDescent="0.3">
      <c r="A9640" t="s">
        <v>24042</v>
      </c>
      <c r="B9640" t="s">
        <v>26951</v>
      </c>
      <c r="C9640" t="s">
        <v>24077</v>
      </c>
      <c r="D9640" t="s">
        <v>24076</v>
      </c>
      <c r="E9640" s="2" t="s">
        <v>356</v>
      </c>
      <c r="F9640" t="s">
        <v>1606</v>
      </c>
      <c r="G9640" t="str">
        <f>HYPERLINK("https://n.news.naver.com/mnews/article/022/0004048071?sid=102")</f>
        <v>https://n.news.naver.com/mnews/article/022/0004048071?sid=102</v>
      </c>
      <c r="H9640">
        <v>0.14199999999999999</v>
      </c>
    </row>
    <row r="9641" spans="1:8" x14ac:dyDescent="0.3">
      <c r="A9641" t="s">
        <v>24042</v>
      </c>
      <c r="B9641" t="s">
        <v>26951</v>
      </c>
      <c r="C9641" t="s">
        <v>24080</v>
      </c>
      <c r="D9641" t="s">
        <v>24079</v>
      </c>
      <c r="E9641" s="2" t="s">
        <v>356</v>
      </c>
      <c r="F9641" t="s">
        <v>24078</v>
      </c>
      <c r="G9641" t="str">
        <f>HYPERLINK("https://n.news.naver.com/mnews/article/057/0001888888?sid=103")</f>
        <v>https://n.news.naver.com/mnews/article/057/0001888888?sid=103</v>
      </c>
      <c r="H9641">
        <v>0.318</v>
      </c>
    </row>
    <row r="9642" spans="1:8" x14ac:dyDescent="0.3">
      <c r="A9642" t="s">
        <v>24042</v>
      </c>
      <c r="B9642" t="s">
        <v>26951</v>
      </c>
      <c r="C9642" t="s">
        <v>24082</v>
      </c>
      <c r="D9642" t="s">
        <v>24081</v>
      </c>
      <c r="E9642" s="2" t="s">
        <v>394</v>
      </c>
      <c r="F9642" t="s">
        <v>8961</v>
      </c>
      <c r="G9642" t="str">
        <f>HYPERLINK("http://www.pdjournal.com/news/articleView.html?idxno=52676")</f>
        <v>http://www.pdjournal.com/news/articleView.html?idxno=52676</v>
      </c>
      <c r="H9642">
        <v>0.52100000000000002</v>
      </c>
    </row>
    <row r="9643" spans="1:8" x14ac:dyDescent="0.3">
      <c r="A9643" t="s">
        <v>24042</v>
      </c>
      <c r="B9643" t="s">
        <v>26951</v>
      </c>
      <c r="C9643" t="s">
        <v>24085</v>
      </c>
      <c r="D9643" t="s">
        <v>24084</v>
      </c>
      <c r="E9643" s="2" t="s">
        <v>394</v>
      </c>
      <c r="F9643" t="s">
        <v>24083</v>
      </c>
      <c r="G9643" t="str">
        <f>HYPERLINK("https://www.greened.kr/news/articleView.html?idxno=326894")</f>
        <v>https://www.greened.kr/news/articleView.html?idxno=326894</v>
      </c>
      <c r="H9643">
        <v>0.28199999999999997</v>
      </c>
    </row>
    <row r="9644" spans="1:8" x14ac:dyDescent="0.3">
      <c r="A9644" t="s">
        <v>24042</v>
      </c>
      <c r="B9644" t="s">
        <v>26951</v>
      </c>
      <c r="C9644" t="s">
        <v>24087</v>
      </c>
      <c r="D9644" t="s">
        <v>24086</v>
      </c>
      <c r="E9644" s="2" t="s">
        <v>394</v>
      </c>
      <c r="F9644" t="s">
        <v>8552</v>
      </c>
      <c r="G9644" t="str">
        <f>HYPERLINK("https://n.news.naver.com/mnews/article/014/0005370944?sid=102")</f>
        <v>https://n.news.naver.com/mnews/article/014/0005370944?sid=102</v>
      </c>
      <c r="H9644">
        <v>0.21099999999999999</v>
      </c>
    </row>
    <row r="9645" spans="1:8" x14ac:dyDescent="0.3">
      <c r="A9645" t="s">
        <v>24042</v>
      </c>
      <c r="B9645" t="s">
        <v>26951</v>
      </c>
      <c r="C9645" t="s">
        <v>24089</v>
      </c>
      <c r="D9645" t="s">
        <v>24088</v>
      </c>
      <c r="E9645" s="2" t="s">
        <v>394</v>
      </c>
      <c r="F9645" t="s">
        <v>15260</v>
      </c>
      <c r="G9645" t="str">
        <f>HYPERLINK("https://www.delighti.co.kr/news/articleView.html?idxno=96301")</f>
        <v>https://www.delighti.co.kr/news/articleView.html?idxno=96301</v>
      </c>
      <c r="H9645">
        <v>0.748</v>
      </c>
    </row>
    <row r="9646" spans="1:8" x14ac:dyDescent="0.3">
      <c r="A9646" t="s">
        <v>24042</v>
      </c>
      <c r="B9646" t="s">
        <v>26951</v>
      </c>
      <c r="C9646" t="s">
        <v>24091</v>
      </c>
      <c r="D9646" t="s">
        <v>24090</v>
      </c>
      <c r="E9646" s="2" t="s">
        <v>394</v>
      </c>
      <c r="F9646" t="s">
        <v>171</v>
      </c>
      <c r="G9646" t="str">
        <f>HYPERLINK("http://www.joygm.com/news/articleView.html?idxno=81852")</f>
        <v>http://www.joygm.com/news/articleView.html?idxno=81852</v>
      </c>
      <c r="H9646">
        <v>0.40400000000000003</v>
      </c>
    </row>
    <row r="9647" spans="1:8" x14ac:dyDescent="0.3">
      <c r="A9647" t="s">
        <v>24042</v>
      </c>
      <c r="B9647" t="s">
        <v>26951</v>
      </c>
      <c r="C9647" t="s">
        <v>24093</v>
      </c>
      <c r="D9647" t="s">
        <v>24092</v>
      </c>
      <c r="E9647" s="2" t="s">
        <v>418</v>
      </c>
      <c r="F9647" t="s">
        <v>9786</v>
      </c>
      <c r="G9647" t="str">
        <f>HYPERLINK("https://n.news.naver.com/mnews/article/057/0001893333?sid=102")</f>
        <v>https://n.news.naver.com/mnews/article/057/0001893333?sid=102</v>
      </c>
      <c r="H9647">
        <v>7.5999999999999998E-2</v>
      </c>
    </row>
    <row r="9648" spans="1:8" x14ac:dyDescent="0.3">
      <c r="A9648" t="s">
        <v>24042</v>
      </c>
      <c r="B9648" t="s">
        <v>26951</v>
      </c>
      <c r="C9648" t="s">
        <v>24095</v>
      </c>
      <c r="D9648" t="s">
        <v>24094</v>
      </c>
      <c r="E9648" s="2" t="s">
        <v>418</v>
      </c>
      <c r="F9648" t="s">
        <v>15941</v>
      </c>
      <c r="G9648" t="str">
        <f>HYPERLINK("https://www.cts.tv/mission300/detail_mission/325/4839")</f>
        <v>https://www.cts.tv/mission300/detail_mission/325/4839</v>
      </c>
      <c r="H9648">
        <v>0.56999999999999995</v>
      </c>
    </row>
    <row r="9649" spans="1:8" x14ac:dyDescent="0.3">
      <c r="A9649" t="s">
        <v>24042</v>
      </c>
      <c r="B9649" t="s">
        <v>26951</v>
      </c>
      <c r="C9649" t="s">
        <v>24097</v>
      </c>
      <c r="D9649" t="s">
        <v>24096</v>
      </c>
      <c r="E9649" s="2" t="s">
        <v>418</v>
      </c>
      <c r="F9649" t="s">
        <v>3420</v>
      </c>
      <c r="G9649" t="str">
        <f>HYPERLINK("https://www.siminilbo.co.kr/news/newsview.php?ncode=1160284686966160")</f>
        <v>https://www.siminilbo.co.kr/news/newsview.php?ncode=1160284686966160</v>
      </c>
      <c r="H9649">
        <v>0.42399999999999999</v>
      </c>
    </row>
    <row r="9650" spans="1:8" x14ac:dyDescent="0.3">
      <c r="A9650" t="s">
        <v>24042</v>
      </c>
      <c r="B9650" t="s">
        <v>26951</v>
      </c>
      <c r="C9650" t="s">
        <v>24099</v>
      </c>
      <c r="D9650" t="s">
        <v>24098</v>
      </c>
      <c r="E9650" s="2" t="s">
        <v>418</v>
      </c>
      <c r="F9650" t="s">
        <v>14065</v>
      </c>
      <c r="G9650" t="str">
        <f>HYPERLINK("https://www.getnews.co.kr/news/articleView.html?idxno=820412")</f>
        <v>https://www.getnews.co.kr/news/articleView.html?idxno=820412</v>
      </c>
      <c r="H9650">
        <v>0.35399999999999998</v>
      </c>
    </row>
    <row r="9651" spans="1:8" x14ac:dyDescent="0.3">
      <c r="A9651" t="s">
        <v>24042</v>
      </c>
      <c r="B9651" t="s">
        <v>26951</v>
      </c>
      <c r="C9651" t="s">
        <v>24102</v>
      </c>
      <c r="D9651" t="s">
        <v>24101</v>
      </c>
      <c r="E9651" s="2" t="s">
        <v>418</v>
      </c>
      <c r="F9651" t="s">
        <v>24100</v>
      </c>
      <c r="G9651" t="str">
        <f>HYPERLINK("https://www.kmaeil.com/news/articleView.html?idxno=432000")</f>
        <v>https://www.kmaeil.com/news/articleView.html?idxno=432000</v>
      </c>
      <c r="H9651">
        <v>0.27900000000000003</v>
      </c>
    </row>
    <row r="9652" spans="1:8" x14ac:dyDescent="0.3">
      <c r="A9652" t="s">
        <v>24042</v>
      </c>
      <c r="B9652" t="s">
        <v>26951</v>
      </c>
      <c r="C9652" t="s">
        <v>24104</v>
      </c>
      <c r="D9652" t="s">
        <v>24103</v>
      </c>
      <c r="E9652" s="2" t="s">
        <v>418</v>
      </c>
      <c r="F9652" t="s">
        <v>12863</v>
      </c>
      <c r="G9652" t="str">
        <f>HYPERLINK("https://www.discoverynews.kr/news/articleView.html?idxno=1066191")</f>
        <v>https://www.discoverynews.kr/news/articleView.html?idxno=1066191</v>
      </c>
      <c r="H9652">
        <v>0.39900000000000002</v>
      </c>
    </row>
    <row r="9653" spans="1:8" x14ac:dyDescent="0.3">
      <c r="A9653" t="s">
        <v>24042</v>
      </c>
      <c r="B9653" t="s">
        <v>26951</v>
      </c>
      <c r="C9653" t="s">
        <v>24108</v>
      </c>
      <c r="D9653" t="s">
        <v>24107</v>
      </c>
      <c r="E9653" s="2" t="s">
        <v>418</v>
      </c>
      <c r="F9653" t="s">
        <v>24106</v>
      </c>
      <c r="G9653" t="str">
        <f>HYPERLINK("https://www.christiantoday.co.kr/news/364218")</f>
        <v>https://www.christiantoday.co.kr/news/364218</v>
      </c>
      <c r="H9653">
        <v>0.39100000000000001</v>
      </c>
    </row>
    <row r="9654" spans="1:8" x14ac:dyDescent="0.3">
      <c r="A9654" t="s">
        <v>24042</v>
      </c>
      <c r="B9654" t="s">
        <v>26951</v>
      </c>
      <c r="C9654" t="s">
        <v>24110</v>
      </c>
      <c r="D9654" t="s">
        <v>24109</v>
      </c>
      <c r="E9654" s="2" t="s">
        <v>418</v>
      </c>
      <c r="F9654" t="s">
        <v>677</v>
      </c>
      <c r="G9654" t="str">
        <f>HYPERLINK("https://www.1conomynews.co.kr/news/articleView.html?idxno=41656")</f>
        <v>https://www.1conomynews.co.kr/news/articleView.html?idxno=41656</v>
      </c>
      <c r="H9654">
        <v>0.49299999999999999</v>
      </c>
    </row>
    <row r="9655" spans="1:8" x14ac:dyDescent="0.3">
      <c r="A9655" t="s">
        <v>24042</v>
      </c>
      <c r="B9655" t="s">
        <v>26951</v>
      </c>
      <c r="C9655" t="s">
        <v>24112</v>
      </c>
      <c r="D9655" t="s">
        <v>24111</v>
      </c>
      <c r="E9655" s="2" t="s">
        <v>418</v>
      </c>
      <c r="F9655" t="s">
        <v>4119</v>
      </c>
      <c r="G9655" t="str">
        <f>HYPERLINK("https://www.pennmike.com/news/articleView.html?idxno=98078")</f>
        <v>https://www.pennmike.com/news/articleView.html?idxno=98078</v>
      </c>
      <c r="H9655">
        <v>0.45100000000000001</v>
      </c>
    </row>
    <row r="9656" spans="1:8" x14ac:dyDescent="0.3">
      <c r="A9656" t="s">
        <v>24042</v>
      </c>
      <c r="B9656" t="s">
        <v>26951</v>
      </c>
      <c r="C9656" t="s">
        <v>24115</v>
      </c>
      <c r="D9656" t="s">
        <v>24114</v>
      </c>
      <c r="E9656" s="2" t="s">
        <v>452</v>
      </c>
      <c r="F9656" t="s">
        <v>1266</v>
      </c>
      <c r="G9656" t="str">
        <f>HYPERLINK("https://www.viva100.com/article/20250616501161")</f>
        <v>https://www.viva100.com/article/20250616501161</v>
      </c>
      <c r="H9656">
        <v>0.55100000000000005</v>
      </c>
    </row>
    <row r="9657" spans="1:8" x14ac:dyDescent="0.3">
      <c r="A9657" t="s">
        <v>24042</v>
      </c>
      <c r="B9657" t="s">
        <v>26951</v>
      </c>
      <c r="C9657" t="s">
        <v>24117</v>
      </c>
      <c r="D9657" t="s">
        <v>24116</v>
      </c>
      <c r="E9657" s="2" t="s">
        <v>452</v>
      </c>
      <c r="F9657" t="s">
        <v>1172</v>
      </c>
      <c r="G9657" t="str">
        <f>HYPERLINK("https://n.news.naver.com/mnews/article/008/0005209870?sid=103")</f>
        <v>https://n.news.naver.com/mnews/article/008/0005209870?sid=103</v>
      </c>
      <c r="H9657">
        <v>0.38400000000000001</v>
      </c>
    </row>
    <row r="9658" spans="1:8" x14ac:dyDescent="0.3">
      <c r="A9658" t="s">
        <v>24042</v>
      </c>
      <c r="B9658" t="s">
        <v>26951</v>
      </c>
      <c r="C9658" t="s">
        <v>24119</v>
      </c>
      <c r="D9658" t="s">
        <v>24118</v>
      </c>
      <c r="E9658" s="2" t="s">
        <v>481</v>
      </c>
      <c r="F9658" t="s">
        <v>5548</v>
      </c>
      <c r="G9658" t="str">
        <f>HYPERLINK("https://www.jemin.com/news/articleView.html?idxno=809960")</f>
        <v>https://www.jemin.com/news/articleView.html?idxno=809960</v>
      </c>
      <c r="H9658">
        <v>0.42299999999999999</v>
      </c>
    </row>
    <row r="9659" spans="1:8" x14ac:dyDescent="0.3">
      <c r="A9659" t="s">
        <v>24042</v>
      </c>
      <c r="B9659" t="s">
        <v>26951</v>
      </c>
      <c r="C9659" t="s">
        <v>24121</v>
      </c>
      <c r="D9659" t="s">
        <v>24120</v>
      </c>
      <c r="E9659" s="2" t="s">
        <v>481</v>
      </c>
      <c r="F9659" t="s">
        <v>1543</v>
      </c>
      <c r="G9659" t="str">
        <f>HYPERLINK("http://www.hansbiz.co.kr/news/articleView.html?idxno=755005")</f>
        <v>http://www.hansbiz.co.kr/news/articleView.html?idxno=755005</v>
      </c>
      <c r="H9659">
        <v>0.56000000000000005</v>
      </c>
    </row>
    <row r="9660" spans="1:8" x14ac:dyDescent="0.3">
      <c r="A9660" t="s">
        <v>24042</v>
      </c>
      <c r="B9660" t="s">
        <v>26951</v>
      </c>
      <c r="C9660" t="s">
        <v>24123</v>
      </c>
      <c r="D9660" t="s">
        <v>24122</v>
      </c>
      <c r="E9660" s="2" t="s">
        <v>481</v>
      </c>
      <c r="F9660" t="s">
        <v>13162</v>
      </c>
      <c r="G9660" t="str">
        <f>HYPERLINK("https://www.lecturernews.com/news/articleView.html?idxno=180293")</f>
        <v>https://www.lecturernews.com/news/articleView.html?idxno=180293</v>
      </c>
      <c r="H9660">
        <v>0.94299999999999995</v>
      </c>
    </row>
    <row r="9661" spans="1:8" x14ac:dyDescent="0.3">
      <c r="A9661" t="s">
        <v>24042</v>
      </c>
      <c r="B9661" t="s">
        <v>26951</v>
      </c>
      <c r="C9661" t="s">
        <v>24126</v>
      </c>
      <c r="D9661" t="s">
        <v>24125</v>
      </c>
      <c r="E9661" s="2" t="s">
        <v>481</v>
      </c>
      <c r="F9661" t="s">
        <v>24124</v>
      </c>
      <c r="G9661" t="str">
        <f>HYPERLINK("https://www.handmk.com/news/articleView.html?idxno=28997")</f>
        <v>https://www.handmk.com/news/articleView.html?idxno=28997</v>
      </c>
      <c r="H9661">
        <v>0.57899999999999996</v>
      </c>
    </row>
    <row r="9662" spans="1:8" x14ac:dyDescent="0.3">
      <c r="A9662" t="s">
        <v>24042</v>
      </c>
      <c r="B9662" t="s">
        <v>26951</v>
      </c>
      <c r="C9662" t="s">
        <v>24128</v>
      </c>
      <c r="D9662" t="s">
        <v>24127</v>
      </c>
      <c r="E9662" s="2" t="s">
        <v>481</v>
      </c>
      <c r="F9662" t="s">
        <v>9922</v>
      </c>
      <c r="G9662" t="str">
        <f>HYPERLINK("http://www.newspim.com/common/redirect.jsp?newsId=20141226000154")</f>
        <v>http://www.newspim.com/common/redirect.jsp?newsId=20141226000154</v>
      </c>
      <c r="H9662">
        <v>0.497</v>
      </c>
    </row>
    <row r="9663" spans="1:8" x14ac:dyDescent="0.3">
      <c r="A9663" t="s">
        <v>24042</v>
      </c>
      <c r="B9663" t="s">
        <v>26951</v>
      </c>
      <c r="C9663" t="s">
        <v>24131</v>
      </c>
      <c r="D9663" t="s">
        <v>24130</v>
      </c>
      <c r="E9663" s="2" t="s">
        <v>502</v>
      </c>
      <c r="F9663" t="s">
        <v>24129</v>
      </c>
      <c r="G9663" t="str">
        <f>HYPERLINK("http://www.bizwnews.com/news/articleView.html?idxno=98192")</f>
        <v>http://www.bizwnews.com/news/articleView.html?idxno=98192</v>
      </c>
      <c r="H9663">
        <v>0.29499999999999998</v>
      </c>
    </row>
    <row r="9664" spans="1:8" x14ac:dyDescent="0.3">
      <c r="A9664" t="s">
        <v>24042</v>
      </c>
      <c r="B9664" t="s">
        <v>26951</v>
      </c>
      <c r="C9664" t="s">
        <v>24132</v>
      </c>
      <c r="D9664" t="s">
        <v>21947</v>
      </c>
      <c r="E9664" s="2" t="s">
        <v>502</v>
      </c>
      <c r="F9664" t="s">
        <v>21946</v>
      </c>
      <c r="G9664" t="str">
        <f>HYPERLINK("https://n.news.naver.com/mnews/article/057/0001282640?sid=101")</f>
        <v>https://n.news.naver.com/mnews/article/057/0001282640?sid=101</v>
      </c>
      <c r="H9664">
        <v>0.153</v>
      </c>
    </row>
    <row r="9665" spans="1:8" x14ac:dyDescent="0.3">
      <c r="A9665" t="s">
        <v>24042</v>
      </c>
      <c r="B9665" t="s">
        <v>26951</v>
      </c>
      <c r="C9665" t="s">
        <v>24134</v>
      </c>
      <c r="D9665" t="s">
        <v>24133</v>
      </c>
      <c r="E9665" s="2" t="s">
        <v>502</v>
      </c>
      <c r="F9665" t="s">
        <v>2064</v>
      </c>
      <c r="G9665" t="str">
        <f>HYPERLINK("http://www.breaknews.com/sub_read.html?uid=451612&amp;section=sc1")</f>
        <v>http://www.breaknews.com/sub_read.html?uid=451612&amp;section=sc1</v>
      </c>
      <c r="H9665">
        <v>0.20699999999999999</v>
      </c>
    </row>
    <row r="9666" spans="1:8" x14ac:dyDescent="0.3">
      <c r="A9666" t="s">
        <v>24042</v>
      </c>
      <c r="B9666" t="s">
        <v>26951</v>
      </c>
      <c r="C9666" t="s">
        <v>24136</v>
      </c>
      <c r="D9666" t="s">
        <v>24135</v>
      </c>
      <c r="E9666" s="2" t="s">
        <v>502</v>
      </c>
      <c r="F9666" t="s">
        <v>9848</v>
      </c>
      <c r="G9666" t="str">
        <f>HYPERLINK("https://www.rcast.co.kr/news/articleView.html?idxno=28099")</f>
        <v>https://www.rcast.co.kr/news/articleView.html?idxno=28099</v>
      </c>
      <c r="H9666">
        <v>0.45200000000000001</v>
      </c>
    </row>
    <row r="9667" spans="1:8" x14ac:dyDescent="0.3">
      <c r="A9667" t="s">
        <v>24042</v>
      </c>
      <c r="B9667" t="s">
        <v>26951</v>
      </c>
      <c r="C9667" t="s">
        <v>24138</v>
      </c>
      <c r="D9667" t="s">
        <v>24137</v>
      </c>
      <c r="E9667" s="2" t="s">
        <v>502</v>
      </c>
      <c r="F9667" t="s">
        <v>5342</v>
      </c>
      <c r="G9667" t="str">
        <f>HYPERLINK("https://www.greened.kr/news/articleView.html?idxno=322615")</f>
        <v>https://www.greened.kr/news/articleView.html?idxno=322615</v>
      </c>
      <c r="H9667">
        <v>0.50600000000000001</v>
      </c>
    </row>
    <row r="9668" spans="1:8" x14ac:dyDescent="0.3">
      <c r="A9668" t="s">
        <v>24042</v>
      </c>
      <c r="B9668" t="s">
        <v>26951</v>
      </c>
      <c r="C9668" t="s">
        <v>24140</v>
      </c>
      <c r="D9668" t="s">
        <v>24139</v>
      </c>
      <c r="E9668" s="2" t="s">
        <v>517</v>
      </c>
      <c r="F9668" t="s">
        <v>10178</v>
      </c>
      <c r="G9668" t="str">
        <f>HYPERLINK("http://www.financialreview.co.kr/news/articleView.html?idxno=28244")</f>
        <v>http://www.financialreview.co.kr/news/articleView.html?idxno=28244</v>
      </c>
      <c r="H9668">
        <v>0.44400000000000001</v>
      </c>
    </row>
    <row r="9669" spans="1:8" x14ac:dyDescent="0.3">
      <c r="A9669" t="s">
        <v>24042</v>
      </c>
      <c r="B9669" t="s">
        <v>26951</v>
      </c>
      <c r="C9669" t="s">
        <v>24143</v>
      </c>
      <c r="D9669" t="s">
        <v>24142</v>
      </c>
      <c r="E9669" s="2" t="s">
        <v>517</v>
      </c>
      <c r="F9669" t="s">
        <v>24141</v>
      </c>
      <c r="G9669" t="str">
        <f>HYPERLINK("http://www.bizwnews.com/news/articleView.html?idxno=101128")</f>
        <v>http://www.bizwnews.com/news/articleView.html?idxno=101128</v>
      </c>
      <c r="H9669">
        <v>0.17699999999999999</v>
      </c>
    </row>
    <row r="9670" spans="1:8" x14ac:dyDescent="0.3">
      <c r="A9670" t="s">
        <v>24042</v>
      </c>
      <c r="B9670" t="s">
        <v>26951</v>
      </c>
      <c r="C9670" t="s">
        <v>24145</v>
      </c>
      <c r="D9670" t="s">
        <v>24144</v>
      </c>
      <c r="E9670" s="2" t="s">
        <v>517</v>
      </c>
      <c r="F9670" t="s">
        <v>4119</v>
      </c>
      <c r="G9670" t="str">
        <f>HYPERLINK("https://n.news.naver.com/mnews/article/016/0002483844?sid=103")</f>
        <v>https://n.news.naver.com/mnews/article/016/0002483844?sid=103</v>
      </c>
      <c r="H9670">
        <v>0.26800000000000002</v>
      </c>
    </row>
    <row r="9671" spans="1:8" x14ac:dyDescent="0.3">
      <c r="A9671" t="s">
        <v>24042</v>
      </c>
      <c r="B9671" t="s">
        <v>26951</v>
      </c>
      <c r="C9671" t="s">
        <v>24147</v>
      </c>
      <c r="D9671" t="s">
        <v>24146</v>
      </c>
      <c r="E9671" s="2" t="s">
        <v>517</v>
      </c>
      <c r="F9671" t="s">
        <v>8342</v>
      </c>
      <c r="G9671" t="str">
        <f>HYPERLINK("https://www.idaegu.com/news/articleView.html?idxno=639950")</f>
        <v>https://www.idaegu.com/news/articleView.html?idxno=639950</v>
      </c>
      <c r="H9671">
        <v>0.89300000000000002</v>
      </c>
    </row>
    <row r="9672" spans="1:8" x14ac:dyDescent="0.3">
      <c r="A9672" t="s">
        <v>24042</v>
      </c>
      <c r="B9672" t="s">
        <v>26951</v>
      </c>
      <c r="C9672" t="s">
        <v>24149</v>
      </c>
      <c r="D9672" t="s">
        <v>24148</v>
      </c>
      <c r="E9672" s="2" t="s">
        <v>517</v>
      </c>
      <c r="F9672" t="s">
        <v>8101</v>
      </c>
      <c r="G9672" t="str">
        <f>HYPERLINK("https://n.news.naver.com/mnews/article/057/0000131915?sid=104")</f>
        <v>https://n.news.naver.com/mnews/article/057/0000131915?sid=104</v>
      </c>
      <c r="H9672">
        <v>0.38700000000000001</v>
      </c>
    </row>
    <row r="9673" spans="1:8" x14ac:dyDescent="0.3">
      <c r="A9673" t="s">
        <v>24042</v>
      </c>
      <c r="B9673" t="s">
        <v>26951</v>
      </c>
      <c r="C9673" t="s">
        <v>24151</v>
      </c>
      <c r="D9673" t="s">
        <v>24150</v>
      </c>
      <c r="E9673" s="2" t="s">
        <v>517</v>
      </c>
      <c r="F9673" t="s">
        <v>1188</v>
      </c>
      <c r="G9673" t="str">
        <f>HYPERLINK("https://n.news.naver.com/mnews/article/018/0006054175?sid=102")</f>
        <v>https://n.news.naver.com/mnews/article/018/0006054175?sid=102</v>
      </c>
      <c r="H9673">
        <v>0.29199999999999998</v>
      </c>
    </row>
    <row r="9674" spans="1:8" x14ac:dyDescent="0.3">
      <c r="A9674" t="s">
        <v>24042</v>
      </c>
      <c r="B9674" t="s">
        <v>26951</v>
      </c>
      <c r="C9674" t="s">
        <v>24153</v>
      </c>
      <c r="D9674" t="s">
        <v>24152</v>
      </c>
      <c r="E9674" s="2" t="s">
        <v>517</v>
      </c>
      <c r="F9674" t="s">
        <v>9255</v>
      </c>
      <c r="G9674" t="str">
        <f>HYPERLINK("https://www.ggilbo.com/news/articleView.html?idxno=1095503")</f>
        <v>https://www.ggilbo.com/news/articleView.html?idxno=1095503</v>
      </c>
      <c r="H9674">
        <v>0.39200000000000002</v>
      </c>
    </row>
    <row r="9675" spans="1:8" x14ac:dyDescent="0.3">
      <c r="A9675" t="s">
        <v>24042</v>
      </c>
      <c r="B9675" t="s">
        <v>26951</v>
      </c>
      <c r="C9675" t="s">
        <v>24155</v>
      </c>
      <c r="D9675" t="s">
        <v>24154</v>
      </c>
      <c r="E9675" s="2" t="s">
        <v>517</v>
      </c>
      <c r="F9675" t="s">
        <v>13060</v>
      </c>
      <c r="G9675" t="str">
        <f>HYPERLINK("https://www.newswhoplus.com/news/articleView.html?idxno=30038")</f>
        <v>https://www.newswhoplus.com/news/articleView.html?idxno=30038</v>
      </c>
      <c r="H9675">
        <v>0.89200000000000002</v>
      </c>
    </row>
    <row r="9676" spans="1:8" x14ac:dyDescent="0.3">
      <c r="A9676" t="s">
        <v>24042</v>
      </c>
      <c r="B9676" t="s">
        <v>26951</v>
      </c>
      <c r="C9676" t="s">
        <v>24158</v>
      </c>
      <c r="D9676" t="s">
        <v>24157</v>
      </c>
      <c r="E9676" s="2" t="s">
        <v>517</v>
      </c>
      <c r="F9676" t="s">
        <v>24156</v>
      </c>
      <c r="G9676" t="str">
        <f>HYPERLINK("https://n.news.naver.com/mnews/article/014/0005370923?sid=101")</f>
        <v>https://n.news.naver.com/mnews/article/014/0005370923?sid=101</v>
      </c>
      <c r="H9676">
        <v>0.30399999999999999</v>
      </c>
    </row>
    <row r="9677" spans="1:8" x14ac:dyDescent="0.3">
      <c r="A9677" t="s">
        <v>24042</v>
      </c>
      <c r="B9677" t="s">
        <v>26951</v>
      </c>
      <c r="C9677" t="s">
        <v>24161</v>
      </c>
      <c r="D9677" t="s">
        <v>24160</v>
      </c>
      <c r="E9677" s="2" t="s">
        <v>538</v>
      </c>
      <c r="F9677" t="s">
        <v>24159</v>
      </c>
      <c r="G9677" t="str">
        <f>HYPERLINK("https://www.danbinews.com/news/articleView.html?idxno=31012")</f>
        <v>https://www.danbinews.com/news/articleView.html?idxno=31012</v>
      </c>
      <c r="H9677">
        <v>0.36799999999999999</v>
      </c>
    </row>
    <row r="9678" spans="1:8" x14ac:dyDescent="0.3">
      <c r="A9678" t="s">
        <v>24042</v>
      </c>
      <c r="B9678" t="s">
        <v>26951</v>
      </c>
      <c r="C9678" t="s">
        <v>24163</v>
      </c>
      <c r="D9678" t="s">
        <v>24162</v>
      </c>
      <c r="E9678" s="2" t="s">
        <v>538</v>
      </c>
      <c r="F9678" t="s">
        <v>9738</v>
      </c>
      <c r="G9678" t="str">
        <f>HYPERLINK("https://n.news.naver.com/mnews/article/119/0002967106?sid=103")</f>
        <v>https://n.news.naver.com/mnews/article/119/0002967106?sid=103</v>
      </c>
      <c r="H9678">
        <v>0.32200000000000001</v>
      </c>
    </row>
    <row r="9679" spans="1:8" x14ac:dyDescent="0.3">
      <c r="A9679" t="s">
        <v>24042</v>
      </c>
      <c r="B9679" t="s">
        <v>26951</v>
      </c>
      <c r="C9679" t="s">
        <v>24165</v>
      </c>
      <c r="D9679" t="s">
        <v>24164</v>
      </c>
      <c r="E9679" s="2" t="s">
        <v>538</v>
      </c>
      <c r="F9679" t="s">
        <v>12089</v>
      </c>
      <c r="G9679" t="str">
        <f>HYPERLINK("https://www.greened.kr/news/articleView.html?idxno=327788")</f>
        <v>https://www.greened.kr/news/articleView.html?idxno=327788</v>
      </c>
      <c r="H9679">
        <v>0.61799999999999999</v>
      </c>
    </row>
    <row r="9680" spans="1:8" x14ac:dyDescent="0.3">
      <c r="A9680" t="s">
        <v>24042</v>
      </c>
      <c r="B9680" t="s">
        <v>26951</v>
      </c>
      <c r="C9680" t="s">
        <v>24168</v>
      </c>
      <c r="D9680" t="s">
        <v>24167</v>
      </c>
      <c r="E9680" s="2" t="s">
        <v>538</v>
      </c>
      <c r="F9680" t="s">
        <v>24166</v>
      </c>
      <c r="G9680" t="str">
        <f>HYPERLINK("http://www.seoulwire.com/news/articleView.html?idxno=420287")</f>
        <v>http://www.seoulwire.com/news/articleView.html?idxno=420287</v>
      </c>
      <c r="H9680">
        <v>0.28699999999999998</v>
      </c>
    </row>
    <row r="9681" spans="1:8" x14ac:dyDescent="0.3">
      <c r="A9681" t="s">
        <v>24042</v>
      </c>
      <c r="B9681" t="s">
        <v>26951</v>
      </c>
      <c r="C9681" t="s">
        <v>24171</v>
      </c>
      <c r="D9681" t="s">
        <v>24170</v>
      </c>
      <c r="E9681" s="2" t="s">
        <v>538</v>
      </c>
      <c r="F9681" t="s">
        <v>24169</v>
      </c>
      <c r="G9681" t="str">
        <f>HYPERLINK("https://www.lecturernews.com/news/articleView.html?idxno=180293")</f>
        <v>https://www.lecturernews.com/news/articleView.html?idxno=180293</v>
      </c>
      <c r="H9681">
        <v>0.98599999999999999</v>
      </c>
    </row>
    <row r="9682" spans="1:8" x14ac:dyDescent="0.3">
      <c r="A9682" t="s">
        <v>24042</v>
      </c>
      <c r="B9682" t="s">
        <v>26951</v>
      </c>
      <c r="C9682" t="s">
        <v>24173</v>
      </c>
      <c r="D9682" t="s">
        <v>24172</v>
      </c>
      <c r="E9682" s="2" t="s">
        <v>538</v>
      </c>
      <c r="F9682" t="s">
        <v>11037</v>
      </c>
      <c r="G9682" t="str">
        <f>HYPERLINK("http://www.chungnamilbo.co.kr/news/articleView.html?idxno=833568")</f>
        <v>http://www.chungnamilbo.co.kr/news/articleView.html?idxno=833568</v>
      </c>
      <c r="H9682">
        <v>0.84099999999999997</v>
      </c>
    </row>
    <row r="9683" spans="1:8" x14ac:dyDescent="0.3">
      <c r="A9683" t="s">
        <v>24042</v>
      </c>
      <c r="B9683" t="s">
        <v>26951</v>
      </c>
      <c r="C9683" t="s">
        <v>24175</v>
      </c>
      <c r="D9683" t="s">
        <v>24174</v>
      </c>
      <c r="E9683" s="2" t="s">
        <v>538</v>
      </c>
      <c r="F9683" t="s">
        <v>13900</v>
      </c>
      <c r="G9683" t="str">
        <f>HYPERLINK("https://www.lecturernews.com/news/articleView.html?idxno=180293")</f>
        <v>https://www.lecturernews.com/news/articleView.html?idxno=180293</v>
      </c>
      <c r="H9683">
        <v>0.86599999999999999</v>
      </c>
    </row>
    <row r="9684" spans="1:8" x14ac:dyDescent="0.3">
      <c r="A9684" t="s">
        <v>24042</v>
      </c>
      <c r="B9684" t="s">
        <v>26951</v>
      </c>
      <c r="C9684" t="s">
        <v>12344</v>
      </c>
      <c r="D9684" t="s">
        <v>12343</v>
      </c>
      <c r="E9684" s="2" t="s">
        <v>538</v>
      </c>
      <c r="F9684" t="s">
        <v>7580</v>
      </c>
      <c r="G9684" t="str">
        <f>HYPERLINK("https://n.news.naver.com/mnews/article/016/0002483844?sid=103")</f>
        <v>https://n.news.naver.com/mnews/article/016/0002483844?sid=103</v>
      </c>
      <c r="H9684">
        <v>0.19400000000000001</v>
      </c>
    </row>
    <row r="9685" spans="1:8" x14ac:dyDescent="0.3">
      <c r="A9685" t="s">
        <v>24042</v>
      </c>
      <c r="B9685" t="s">
        <v>26951</v>
      </c>
      <c r="C9685" t="s">
        <v>24178</v>
      </c>
      <c r="D9685" t="s">
        <v>24177</v>
      </c>
      <c r="E9685" s="2" t="s">
        <v>538</v>
      </c>
      <c r="F9685" t="s">
        <v>24176</v>
      </c>
      <c r="G9685" t="str">
        <f>HYPERLINK("https://www.ftimes.kr/news/articleView.html?idxno=31337")</f>
        <v>https://www.ftimes.kr/news/articleView.html?idxno=31337</v>
      </c>
      <c r="H9685">
        <v>0.66100000000000003</v>
      </c>
    </row>
    <row r="9686" spans="1:8" x14ac:dyDescent="0.3">
      <c r="A9686" t="s">
        <v>24042</v>
      </c>
      <c r="B9686" t="s">
        <v>26951</v>
      </c>
      <c r="C9686" t="s">
        <v>24180</v>
      </c>
      <c r="D9686" t="s">
        <v>24179</v>
      </c>
      <c r="E9686" s="2" t="s">
        <v>538</v>
      </c>
      <c r="F9686" t="s">
        <v>3420</v>
      </c>
      <c r="G9686" t="str">
        <f>HYPERLINK("https://n.news.naver.com/mnews/article/119/0002967106?sid=103")</f>
        <v>https://n.news.naver.com/mnews/article/119/0002967106?sid=103</v>
      </c>
      <c r="H9686">
        <v>0.248</v>
      </c>
    </row>
    <row r="9687" spans="1:8" x14ac:dyDescent="0.3">
      <c r="A9687" t="s">
        <v>24042</v>
      </c>
      <c r="B9687" t="s">
        <v>26951</v>
      </c>
      <c r="C9687" t="s">
        <v>24182</v>
      </c>
      <c r="D9687" t="s">
        <v>24181</v>
      </c>
      <c r="E9687" s="2" t="s">
        <v>538</v>
      </c>
      <c r="F9687" t="s">
        <v>8342</v>
      </c>
      <c r="G9687" t="str">
        <f>HYPERLINK("https://www.idaegu.co.kr/news/articleView.html?idxno=512606")</f>
        <v>https://www.idaegu.co.kr/news/articleView.html?idxno=512606</v>
      </c>
      <c r="H9687">
        <v>0.97699999999999998</v>
      </c>
    </row>
    <row r="9688" spans="1:8" x14ac:dyDescent="0.3">
      <c r="A9688" t="s">
        <v>24042</v>
      </c>
      <c r="B9688" t="s">
        <v>26951</v>
      </c>
      <c r="C9688" t="s">
        <v>24185</v>
      </c>
      <c r="D9688" t="s">
        <v>24184</v>
      </c>
      <c r="E9688" s="2" t="s">
        <v>538</v>
      </c>
      <c r="F9688" t="s">
        <v>24183</v>
      </c>
      <c r="G9688" t="str">
        <f>HYPERLINK("https://www.discoverynews.kr/news/articleView.html?idxno=1066191")</f>
        <v>https://www.discoverynews.kr/news/articleView.html?idxno=1066191</v>
      </c>
      <c r="H9688">
        <v>0.98099999999999998</v>
      </c>
    </row>
    <row r="9689" spans="1:8" x14ac:dyDescent="0.3">
      <c r="A9689" t="s">
        <v>24042</v>
      </c>
      <c r="B9689" t="s">
        <v>26951</v>
      </c>
      <c r="C9689" t="s">
        <v>24188</v>
      </c>
      <c r="D9689" t="s">
        <v>24187</v>
      </c>
      <c r="E9689" s="2" t="s">
        <v>538</v>
      </c>
      <c r="F9689" t="s">
        <v>24186</v>
      </c>
      <c r="G9689" t="str">
        <f>HYPERLINK("https://www.pdjournal.com/news/articleView.html?idxno=80720")</f>
        <v>https://www.pdjournal.com/news/articleView.html?idxno=80720</v>
      </c>
      <c r="H9689">
        <v>0.42399999999999999</v>
      </c>
    </row>
    <row r="9690" spans="1:8" x14ac:dyDescent="0.3">
      <c r="A9690" t="s">
        <v>24042</v>
      </c>
      <c r="B9690" t="s">
        <v>26951</v>
      </c>
      <c r="C9690" t="s">
        <v>24190</v>
      </c>
      <c r="D9690" t="s">
        <v>24189</v>
      </c>
      <c r="E9690" s="2" t="s">
        <v>572</v>
      </c>
      <c r="F9690" t="s">
        <v>10422</v>
      </c>
      <c r="G9690" t="str">
        <f>HYPERLINK("https://www.jemin.com/news/articleView.html?idxno=817932")</f>
        <v>https://www.jemin.com/news/articleView.html?idxno=817932</v>
      </c>
      <c r="H9690">
        <v>0.63</v>
      </c>
    </row>
    <row r="9691" spans="1:8" x14ac:dyDescent="0.3">
      <c r="A9691" t="s">
        <v>24042</v>
      </c>
      <c r="B9691" t="s">
        <v>26951</v>
      </c>
      <c r="C9691" t="s">
        <v>24193</v>
      </c>
      <c r="D9691" t="s">
        <v>24192</v>
      </c>
      <c r="E9691" s="2" t="s">
        <v>572</v>
      </c>
      <c r="F9691" t="s">
        <v>24191</v>
      </c>
      <c r="G9691" t="str">
        <f>HYPERLINK("https://www.greened.kr/news/articleView.html?idxno=326894")</f>
        <v>https://www.greened.kr/news/articleView.html?idxno=326894</v>
      </c>
      <c r="H9691">
        <v>0.28699999999999998</v>
      </c>
    </row>
    <row r="9692" spans="1:8" x14ac:dyDescent="0.3">
      <c r="A9692" t="s">
        <v>24042</v>
      </c>
      <c r="B9692" t="s">
        <v>26951</v>
      </c>
      <c r="C9692" t="s">
        <v>24196</v>
      </c>
      <c r="D9692" t="s">
        <v>24195</v>
      </c>
      <c r="E9692" s="2" t="s">
        <v>572</v>
      </c>
      <c r="F9692" t="s">
        <v>24194</v>
      </c>
      <c r="G9692" t="str">
        <f>HYPERLINK("http://www.gndomin.com/news/articleView.html?idxno=437093")</f>
        <v>http://www.gndomin.com/news/articleView.html?idxno=437093</v>
      </c>
      <c r="H9692">
        <v>0.71099999999999997</v>
      </c>
    </row>
    <row r="9693" spans="1:8" x14ac:dyDescent="0.3">
      <c r="A9693" t="s">
        <v>24042</v>
      </c>
      <c r="B9693" t="s">
        <v>26951</v>
      </c>
      <c r="C9693" t="s">
        <v>24198</v>
      </c>
      <c r="D9693" t="s">
        <v>24197</v>
      </c>
      <c r="E9693" s="2" t="s">
        <v>572</v>
      </c>
      <c r="F9693" t="s">
        <v>10764</v>
      </c>
      <c r="G9693" t="str">
        <f>HYPERLINK("https://n.news.naver.com/mnews/article/057/0001894452?sid=103")</f>
        <v>https://n.news.naver.com/mnews/article/057/0001894452?sid=103</v>
      </c>
      <c r="H9693">
        <v>0.14299999999999999</v>
      </c>
    </row>
    <row r="9694" spans="1:8" x14ac:dyDescent="0.3">
      <c r="A9694" t="s">
        <v>24042</v>
      </c>
      <c r="B9694" t="s">
        <v>26951</v>
      </c>
      <c r="C9694" t="s">
        <v>24200</v>
      </c>
      <c r="D9694" t="s">
        <v>24199</v>
      </c>
      <c r="E9694" s="2" t="s">
        <v>572</v>
      </c>
      <c r="F9694" t="s">
        <v>7635</v>
      </c>
      <c r="G9694" t="str">
        <f>HYPERLINK("https://www.apnews.kr/news/articleView.html?idxno=3028169")</f>
        <v>https://www.apnews.kr/news/articleView.html?idxno=3028169</v>
      </c>
      <c r="H9694">
        <v>0.33200000000000002</v>
      </c>
    </row>
    <row r="9695" spans="1:8" x14ac:dyDescent="0.3">
      <c r="A9695" t="s">
        <v>24042</v>
      </c>
      <c r="B9695" t="s">
        <v>26951</v>
      </c>
      <c r="C9695" t="s">
        <v>24202</v>
      </c>
      <c r="D9695" t="s">
        <v>24201</v>
      </c>
      <c r="E9695" s="2" t="s">
        <v>572</v>
      </c>
      <c r="F9695" t="s">
        <v>11313</v>
      </c>
      <c r="G9695" t="str">
        <f>HYPERLINK("https://www.nc.press/news/articleView.html?idxno=568565")</f>
        <v>https://www.nc.press/news/articleView.html?idxno=568565</v>
      </c>
      <c r="H9695">
        <v>0.46100000000000002</v>
      </c>
    </row>
    <row r="9696" spans="1:8" x14ac:dyDescent="0.3">
      <c r="A9696" t="s">
        <v>24042</v>
      </c>
      <c r="B9696" t="s">
        <v>26951</v>
      </c>
      <c r="C9696" t="s">
        <v>24205</v>
      </c>
      <c r="D9696" t="s">
        <v>24204</v>
      </c>
      <c r="E9696" s="2" t="s">
        <v>572</v>
      </c>
      <c r="F9696" t="s">
        <v>24203</v>
      </c>
      <c r="G9696" t="str">
        <f>HYPERLINK("https://n.news.naver.com/mnews/article/079/0004039022?sid=103")</f>
        <v>https://n.news.naver.com/mnews/article/079/0004039022?sid=103</v>
      </c>
      <c r="H9696">
        <v>0.28000000000000003</v>
      </c>
    </row>
    <row r="9697" spans="1:8" x14ac:dyDescent="0.3">
      <c r="A9697" t="s">
        <v>24042</v>
      </c>
      <c r="B9697" t="s">
        <v>26951</v>
      </c>
      <c r="C9697" t="s">
        <v>24207</v>
      </c>
      <c r="D9697" t="s">
        <v>24206</v>
      </c>
      <c r="E9697" s="2" t="s">
        <v>609</v>
      </c>
      <c r="F9697" t="s">
        <v>17324</v>
      </c>
      <c r="G9697" t="str">
        <f>HYPERLINK("https://www.fashionbiz.co.kr/article/217400")</f>
        <v>https://www.fashionbiz.co.kr/article/217400</v>
      </c>
      <c r="H9697">
        <v>0.38700000000000001</v>
      </c>
    </row>
    <row r="9698" spans="1:8" x14ac:dyDescent="0.3">
      <c r="A9698" t="s">
        <v>24042</v>
      </c>
      <c r="B9698" t="s">
        <v>26951</v>
      </c>
      <c r="C9698" t="s">
        <v>24210</v>
      </c>
      <c r="D9698" t="s">
        <v>24209</v>
      </c>
      <c r="E9698" s="2" t="s">
        <v>609</v>
      </c>
      <c r="F9698" t="s">
        <v>24208</v>
      </c>
      <c r="G9698" t="str">
        <f>HYPERLINK("https://www.sisamagazine.co.kr/news/articleView.html?idxno=513306")</f>
        <v>https://www.sisamagazine.co.kr/news/articleView.html?idxno=513306</v>
      </c>
      <c r="H9698">
        <v>0.61499999999999999</v>
      </c>
    </row>
    <row r="9699" spans="1:8" x14ac:dyDescent="0.3">
      <c r="A9699" t="s">
        <v>24042</v>
      </c>
      <c r="B9699" t="s">
        <v>26951</v>
      </c>
      <c r="C9699" t="s">
        <v>24213</v>
      </c>
      <c r="D9699" t="s">
        <v>24212</v>
      </c>
      <c r="E9699" s="2" t="s">
        <v>609</v>
      </c>
      <c r="F9699" t="s">
        <v>24211</v>
      </c>
      <c r="G9699" t="str">
        <f>HYPERLINK("https://n.news.naver.com/mnews/article/022/0004048136?sid=103")</f>
        <v>https://n.news.naver.com/mnews/article/022/0004048136?sid=103</v>
      </c>
      <c r="H9699">
        <v>0.34100000000000003</v>
      </c>
    </row>
    <row r="9700" spans="1:8" x14ac:dyDescent="0.3">
      <c r="A9700" t="s">
        <v>24042</v>
      </c>
      <c r="B9700" t="s">
        <v>26951</v>
      </c>
      <c r="C9700" t="s">
        <v>24215</v>
      </c>
      <c r="D9700" t="s">
        <v>24214</v>
      </c>
      <c r="E9700" s="2" t="s">
        <v>609</v>
      </c>
      <c r="F9700" t="s">
        <v>1527</v>
      </c>
      <c r="G9700" t="str">
        <f>HYPERLINK("https://www.apnews.kr/news/articleView.html?idxno=3036114")</f>
        <v>https://www.apnews.kr/news/articleView.html?idxno=3036114</v>
      </c>
      <c r="H9700">
        <v>0.31</v>
      </c>
    </row>
    <row r="9701" spans="1:8" x14ac:dyDescent="0.3">
      <c r="A9701" t="s">
        <v>24042</v>
      </c>
      <c r="B9701" t="s">
        <v>26951</v>
      </c>
      <c r="C9701" t="s">
        <v>24218</v>
      </c>
      <c r="D9701" t="s">
        <v>24217</v>
      </c>
      <c r="E9701" s="2" t="s">
        <v>609</v>
      </c>
      <c r="F9701" t="s">
        <v>24216</v>
      </c>
      <c r="G9701" t="str">
        <f>HYPERLINK("http://www.bzeronews.com/news/articleView.html?idxno=688589")</f>
        <v>http://www.bzeronews.com/news/articleView.html?idxno=688589</v>
      </c>
      <c r="H9701">
        <v>0.27300000000000002</v>
      </c>
    </row>
    <row r="9702" spans="1:8" x14ac:dyDescent="0.3">
      <c r="A9702" t="s">
        <v>24042</v>
      </c>
      <c r="B9702" t="s">
        <v>26951</v>
      </c>
      <c r="C9702" t="s">
        <v>24220</v>
      </c>
      <c r="D9702" t="s">
        <v>24219</v>
      </c>
      <c r="E9702" s="2" t="s">
        <v>609</v>
      </c>
      <c r="F9702" t="s">
        <v>10287</v>
      </c>
      <c r="G9702" t="str">
        <f>HYPERLINK("http://www.yeongnam.com/mnews/newsview.do?mode=newsView&amp;newskey=20131101.010410731090001")</f>
        <v>http://www.yeongnam.com/mnews/newsview.do?mode=newsView&amp;newskey=20131101.010410731090001</v>
      </c>
      <c r="H9702">
        <v>0.48199999999999998</v>
      </c>
    </row>
    <row r="9703" spans="1:8" x14ac:dyDescent="0.3">
      <c r="A9703" t="s">
        <v>24042</v>
      </c>
      <c r="B9703" t="s">
        <v>26951</v>
      </c>
      <c r="C9703" t="s">
        <v>24222</v>
      </c>
      <c r="D9703" t="s">
        <v>24221</v>
      </c>
      <c r="E9703" s="2" t="s">
        <v>609</v>
      </c>
      <c r="F9703" t="s">
        <v>24105</v>
      </c>
      <c r="G9703" t="str">
        <f>HYPERLINK("https://sports.hankooki.com/news/articleView.html?idxno=6897181")</f>
        <v>https://sports.hankooki.com/news/articleView.html?idxno=6897181</v>
      </c>
      <c r="H9703">
        <v>0.46</v>
      </c>
    </row>
    <row r="9704" spans="1:8" x14ac:dyDescent="0.3">
      <c r="A9704" t="s">
        <v>24042</v>
      </c>
      <c r="B9704" t="s">
        <v>26951</v>
      </c>
      <c r="C9704" t="s">
        <v>24224</v>
      </c>
      <c r="D9704" t="s">
        <v>24223</v>
      </c>
      <c r="E9704" s="2" t="s">
        <v>609</v>
      </c>
      <c r="F9704" t="s">
        <v>10178</v>
      </c>
      <c r="G9704" t="str">
        <f>HYPERLINK("https://sports.hankooki.com/news/articleView.html?idxno=6901907")</f>
        <v>https://sports.hankooki.com/news/articleView.html?idxno=6901907</v>
      </c>
      <c r="H9704">
        <v>0.57999999999999996</v>
      </c>
    </row>
    <row r="9705" spans="1:8" x14ac:dyDescent="0.3">
      <c r="A9705" t="s">
        <v>24042</v>
      </c>
      <c r="B9705" t="s">
        <v>26951</v>
      </c>
      <c r="C9705" t="s">
        <v>24226</v>
      </c>
      <c r="D9705" t="s">
        <v>24225</v>
      </c>
      <c r="E9705" s="2" t="s">
        <v>609</v>
      </c>
      <c r="F9705" t="s">
        <v>9897</v>
      </c>
      <c r="G9705" t="str">
        <f>HYPERLINK("https://sports.hankooki.com/news/articleView.html?idxno=6891928")</f>
        <v>https://sports.hankooki.com/news/articleView.html?idxno=6891928</v>
      </c>
      <c r="H9705">
        <v>0.5</v>
      </c>
    </row>
    <row r="9706" spans="1:8" x14ac:dyDescent="0.3">
      <c r="A9706" t="s">
        <v>24042</v>
      </c>
      <c r="B9706" t="s">
        <v>26951</v>
      </c>
      <c r="C9706" t="s">
        <v>24228</v>
      </c>
      <c r="D9706" t="s">
        <v>24227</v>
      </c>
      <c r="E9706" s="2" t="s">
        <v>609</v>
      </c>
      <c r="F9706" t="s">
        <v>1822</v>
      </c>
      <c r="G9706" t="str">
        <f>HYPERLINK("https://n.news.naver.com/mnews/article/079/0004032975?sid=103")</f>
        <v>https://n.news.naver.com/mnews/article/079/0004032975?sid=103</v>
      </c>
      <c r="H9706">
        <v>0.191</v>
      </c>
    </row>
    <row r="9707" spans="1:8" x14ac:dyDescent="0.3">
      <c r="A9707" t="s">
        <v>24042</v>
      </c>
      <c r="B9707" t="s">
        <v>26951</v>
      </c>
      <c r="C9707" t="s">
        <v>24231</v>
      </c>
      <c r="D9707" t="s">
        <v>24230</v>
      </c>
      <c r="E9707" s="2" t="s">
        <v>653</v>
      </c>
      <c r="F9707" t="s">
        <v>24229</v>
      </c>
      <c r="G9707" t="str">
        <f>HYPERLINK("http://www.kbmaeil.com/news/articleView.html?idxno=918154")</f>
        <v>http://www.kbmaeil.com/news/articleView.html?idxno=918154</v>
      </c>
      <c r="H9707">
        <v>0.48299999999999998</v>
      </c>
    </row>
    <row r="9708" spans="1:8" x14ac:dyDescent="0.3">
      <c r="A9708" t="s">
        <v>24042</v>
      </c>
      <c r="B9708" t="s">
        <v>26951</v>
      </c>
      <c r="C9708" t="s">
        <v>24234</v>
      </c>
      <c r="D9708" t="s">
        <v>24233</v>
      </c>
      <c r="E9708" s="2" t="s">
        <v>653</v>
      </c>
      <c r="F9708" t="s">
        <v>24232</v>
      </c>
      <c r="G9708" t="str">
        <f>HYPERLINK("https://www.jemin.com/news/articleView.html?idxno=797905")</f>
        <v>https://www.jemin.com/news/articleView.html?idxno=797905</v>
      </c>
      <c r="H9708">
        <v>0.48</v>
      </c>
    </row>
    <row r="9709" spans="1:8" x14ac:dyDescent="0.3">
      <c r="A9709" t="s">
        <v>24042</v>
      </c>
      <c r="B9709" t="s">
        <v>26951</v>
      </c>
      <c r="C9709" t="s">
        <v>24237</v>
      </c>
      <c r="D9709" t="s">
        <v>24236</v>
      </c>
      <c r="E9709" s="2" t="s">
        <v>653</v>
      </c>
      <c r="F9709" t="s">
        <v>24235</v>
      </c>
      <c r="G9709" t="str">
        <f>HYPERLINK("https://n.news.naver.com/mnews/article/214/0001134666?sid=100")</f>
        <v>https://n.news.naver.com/mnews/article/214/0001134666?sid=100</v>
      </c>
      <c r="H9709">
        <v>0.51100000000000001</v>
      </c>
    </row>
    <row r="9710" spans="1:8" x14ac:dyDescent="0.3">
      <c r="A9710" t="s">
        <v>24042</v>
      </c>
      <c r="B9710" t="s">
        <v>26951</v>
      </c>
      <c r="C9710" t="s">
        <v>24239</v>
      </c>
      <c r="D9710" t="s">
        <v>24238</v>
      </c>
      <c r="E9710" s="2" t="s">
        <v>653</v>
      </c>
      <c r="F9710" t="s">
        <v>24113</v>
      </c>
      <c r="G9710" t="str">
        <f>HYPERLINK("http://www.hyunbulnews.com/news/articleView.html?idxno=298716")</f>
        <v>http://www.hyunbulnews.com/news/articleView.html?idxno=298716</v>
      </c>
      <c r="H9710">
        <v>0.28499999999999998</v>
      </c>
    </row>
    <row r="9711" spans="1:8" x14ac:dyDescent="0.3">
      <c r="A9711" t="s">
        <v>24042</v>
      </c>
      <c r="B9711" t="s">
        <v>26951</v>
      </c>
      <c r="C9711" t="s">
        <v>24241</v>
      </c>
      <c r="D9711" t="s">
        <v>24240</v>
      </c>
      <c r="E9711" s="2" t="s">
        <v>653</v>
      </c>
      <c r="F9711" t="s">
        <v>2064</v>
      </c>
      <c r="G9711" t="str">
        <f>HYPERLINK("https://www.obsnews.co.kr/news/articleView.html?idxno=1488503")</f>
        <v>https://www.obsnews.co.kr/news/articleView.html?idxno=1488503</v>
      </c>
      <c r="H9711">
        <v>0.34599999999999997</v>
      </c>
    </row>
    <row r="9712" spans="1:8" x14ac:dyDescent="0.3">
      <c r="A9712" t="s">
        <v>24042</v>
      </c>
      <c r="B9712" t="s">
        <v>26951</v>
      </c>
      <c r="C9712" t="s">
        <v>11686</v>
      </c>
      <c r="D9712" t="s">
        <v>11685</v>
      </c>
      <c r="E9712" s="2" t="s">
        <v>653</v>
      </c>
      <c r="F9712" t="s">
        <v>9962</v>
      </c>
      <c r="G9712" t="str">
        <f>HYPERLINK("https://weekly.cnbnews.com/news/article.html?no=181923")</f>
        <v>https://weekly.cnbnews.com/news/article.html?no=181923</v>
      </c>
      <c r="H9712">
        <v>0.45800000000000002</v>
      </c>
    </row>
    <row r="9713" spans="1:8" x14ac:dyDescent="0.3">
      <c r="A9713" t="s">
        <v>24042</v>
      </c>
      <c r="B9713" t="s">
        <v>26951</v>
      </c>
      <c r="C9713" t="s">
        <v>24243</v>
      </c>
      <c r="D9713" t="s">
        <v>24242</v>
      </c>
      <c r="E9713" s="2" t="s">
        <v>653</v>
      </c>
      <c r="F9713" t="s">
        <v>8206</v>
      </c>
      <c r="G9713" t="str">
        <f>HYPERLINK("https://sports.hankooki.com/news/articleView.html?idxno=6902143")</f>
        <v>https://sports.hankooki.com/news/articleView.html?idxno=6902143</v>
      </c>
      <c r="H9713">
        <v>0.59</v>
      </c>
    </row>
    <row r="9714" spans="1:8" x14ac:dyDescent="0.3">
      <c r="A9714" t="s">
        <v>24042</v>
      </c>
      <c r="B9714" t="s">
        <v>26951</v>
      </c>
      <c r="C9714" t="s">
        <v>24245</v>
      </c>
      <c r="D9714" t="s">
        <v>24244</v>
      </c>
      <c r="E9714" s="2" t="s">
        <v>653</v>
      </c>
      <c r="F9714" t="s">
        <v>3420</v>
      </c>
      <c r="G9714" t="str">
        <f>HYPERLINK("https://n.news.naver.com/mnews/article/079/0004038990?sid=103")</f>
        <v>https://n.news.naver.com/mnews/article/079/0004038990?sid=103</v>
      </c>
      <c r="H9714">
        <v>0.316</v>
      </c>
    </row>
    <row r="9715" spans="1:8" x14ac:dyDescent="0.3">
      <c r="A9715" t="s">
        <v>24042</v>
      </c>
      <c r="B9715" t="s">
        <v>26951</v>
      </c>
      <c r="C9715" t="s">
        <v>24247</v>
      </c>
      <c r="D9715" t="s">
        <v>24246</v>
      </c>
      <c r="E9715" s="2" t="s">
        <v>653</v>
      </c>
      <c r="F9715" t="s">
        <v>13618</v>
      </c>
      <c r="G9715" t="str">
        <f>HYPERLINK("https://n.news.naver.com/mnews/article/016/0002492526?sid=102")</f>
        <v>https://n.news.naver.com/mnews/article/016/0002492526?sid=102</v>
      </c>
      <c r="H9715">
        <v>7.8E-2</v>
      </c>
    </row>
    <row r="9716" spans="1:8" x14ac:dyDescent="0.3">
      <c r="A9716" t="s">
        <v>24042</v>
      </c>
      <c r="B9716" t="s">
        <v>26951</v>
      </c>
      <c r="C9716" t="s">
        <v>24250</v>
      </c>
      <c r="D9716" t="s">
        <v>24249</v>
      </c>
      <c r="E9716" s="2" t="s">
        <v>653</v>
      </c>
      <c r="F9716" t="s">
        <v>24248</v>
      </c>
      <c r="G9716" t="str">
        <f>HYPERLINK("https://n.news.naver.com/mnews/article/014/0005360392?sid=102")</f>
        <v>https://n.news.naver.com/mnews/article/014/0005360392?sid=102</v>
      </c>
      <c r="H9716">
        <v>0.34499999999999997</v>
      </c>
    </row>
    <row r="9717" spans="1:8" x14ac:dyDescent="0.3">
      <c r="A9717" t="s">
        <v>24042</v>
      </c>
      <c r="B9717" t="s">
        <v>26951</v>
      </c>
      <c r="C9717" t="s">
        <v>24252</v>
      </c>
      <c r="D9717" t="s">
        <v>24251</v>
      </c>
      <c r="E9717" s="2" t="s">
        <v>653</v>
      </c>
      <c r="F9717" t="s">
        <v>15017</v>
      </c>
      <c r="G9717" t="str">
        <f>HYPERLINK("http://www.seoulwire.com/news/articleView.html?idxno=654973")</f>
        <v>http://www.seoulwire.com/news/articleView.html?idxno=654973</v>
      </c>
      <c r="H9717">
        <v>0.56100000000000005</v>
      </c>
    </row>
    <row r="9718" spans="1:8" x14ac:dyDescent="0.3">
      <c r="A9718" t="s">
        <v>24042</v>
      </c>
      <c r="B9718" t="s">
        <v>26951</v>
      </c>
      <c r="C9718" t="s">
        <v>24254</v>
      </c>
      <c r="D9718" t="s">
        <v>24253</v>
      </c>
      <c r="E9718" s="2" t="s">
        <v>653</v>
      </c>
      <c r="F9718" t="s">
        <v>677</v>
      </c>
      <c r="G9718" t="str">
        <f>HYPERLINK("https://n.news.naver.com/mnews/article/057/0001886686?sid=102")</f>
        <v>https://n.news.naver.com/mnews/article/057/0001886686?sid=102</v>
      </c>
      <c r="H9718">
        <v>0.35199999999999998</v>
      </c>
    </row>
    <row r="9719" spans="1:8" x14ac:dyDescent="0.3">
      <c r="A9719" t="s">
        <v>24042</v>
      </c>
      <c r="B9719" t="s">
        <v>26951</v>
      </c>
      <c r="C9719" t="s">
        <v>24256</v>
      </c>
      <c r="D9719" t="s">
        <v>24255</v>
      </c>
      <c r="E9719" s="2" t="s">
        <v>653</v>
      </c>
      <c r="F9719" t="s">
        <v>7893</v>
      </c>
      <c r="G9719" t="str">
        <f>HYPERLINK("http://www.newsfreezone.co.kr/news/articleView.html?idxno=333518")</f>
        <v>http://www.newsfreezone.co.kr/news/articleView.html?idxno=333518</v>
      </c>
      <c r="H9719">
        <v>0.13500000000000001</v>
      </c>
    </row>
    <row r="9720" spans="1:8" x14ac:dyDescent="0.3">
      <c r="A9720" t="s">
        <v>24042</v>
      </c>
      <c r="B9720" t="s">
        <v>26951</v>
      </c>
      <c r="C9720" t="s">
        <v>24259</v>
      </c>
      <c r="D9720" t="s">
        <v>24258</v>
      </c>
      <c r="E9720" s="2" t="s">
        <v>653</v>
      </c>
      <c r="F9720" t="s">
        <v>24257</v>
      </c>
      <c r="G9720" t="str">
        <f>HYPERLINK("http://www.newsfreezone.co.kr/news/articleView.html?idxno=444472")</f>
        <v>http://www.newsfreezone.co.kr/news/articleView.html?idxno=444472</v>
      </c>
      <c r="H9720">
        <v>0.68300000000000005</v>
      </c>
    </row>
    <row r="9721" spans="1:8" x14ac:dyDescent="0.3">
      <c r="A9721" t="s">
        <v>24042</v>
      </c>
      <c r="B9721" t="s">
        <v>26951</v>
      </c>
      <c r="C9721" t="s">
        <v>24262</v>
      </c>
      <c r="D9721" t="s">
        <v>24261</v>
      </c>
      <c r="E9721" s="2" t="s">
        <v>692</v>
      </c>
      <c r="F9721" t="s">
        <v>24260</v>
      </c>
      <c r="G9721" t="str">
        <f>HYPERLINK("https://www.gameple.co.kr/news/articleView.html?idxno=213367")</f>
        <v>https://www.gameple.co.kr/news/articleView.html?idxno=213367</v>
      </c>
      <c r="H9721">
        <v>0.375</v>
      </c>
    </row>
    <row r="9722" spans="1:8" x14ac:dyDescent="0.3">
      <c r="A9722" t="s">
        <v>24042</v>
      </c>
      <c r="B9722" t="s">
        <v>26951</v>
      </c>
      <c r="C9722" t="s">
        <v>24264</v>
      </c>
      <c r="D9722" t="s">
        <v>24263</v>
      </c>
      <c r="E9722" s="2" t="s">
        <v>692</v>
      </c>
      <c r="F9722" t="s">
        <v>10135</v>
      </c>
      <c r="G9722" t="str">
        <f>HYPERLINK("https://www.jemin.com/news/articleView.html?idxno=810029")</f>
        <v>https://www.jemin.com/news/articleView.html?idxno=810029</v>
      </c>
      <c r="H9722">
        <v>0.47299999999999998</v>
      </c>
    </row>
    <row r="9723" spans="1:8" x14ac:dyDescent="0.3">
      <c r="A9723" t="s">
        <v>24042</v>
      </c>
      <c r="B9723" t="s">
        <v>26951</v>
      </c>
      <c r="C9723" t="s">
        <v>24266</v>
      </c>
      <c r="D9723" t="s">
        <v>24265</v>
      </c>
      <c r="E9723" s="2" t="s">
        <v>692</v>
      </c>
      <c r="F9723" t="s">
        <v>817</v>
      </c>
      <c r="G9723" t="str">
        <f>HYPERLINK("https://www.vogue.co.kr/2024/03/04/%eb%a6%ac%eb%8d%94-%eb%8d%b8%ed%95%80-%ec%95%84%eb%a5%b4%eb%85%b8/?utm_source=naver&amp;utm_medium=partnership")</f>
        <v>https://www.vogue.co.kr/2024/03/04/%eb%a6%ac%eb%8d%94-%eb%8d%b8%ed%95%80-%ec%95%84%eb%a5%b4%eb%85%b8/?utm_source=naver&amp;utm_medium=partnership</v>
      </c>
      <c r="H9723">
        <v>0.55500000000000005</v>
      </c>
    </row>
    <row r="9724" spans="1:8" x14ac:dyDescent="0.3">
      <c r="A9724" t="s">
        <v>24042</v>
      </c>
      <c r="B9724" t="s">
        <v>26951</v>
      </c>
      <c r="C9724" t="s">
        <v>24268</v>
      </c>
      <c r="D9724" t="s">
        <v>24267</v>
      </c>
      <c r="E9724" s="2" t="s">
        <v>692</v>
      </c>
      <c r="F9724" t="s">
        <v>4695</v>
      </c>
      <c r="G9724" t="str">
        <f>HYPERLINK("http://www.incheonin.com/news/articleView.html?idxno=109511")</f>
        <v>http://www.incheonin.com/news/articleView.html?idxno=109511</v>
      </c>
      <c r="H9724">
        <v>0.33900000000000002</v>
      </c>
    </row>
    <row r="9725" spans="1:8" x14ac:dyDescent="0.3">
      <c r="A9725" t="s">
        <v>24042</v>
      </c>
      <c r="B9725" t="s">
        <v>26951</v>
      </c>
      <c r="C9725" t="s">
        <v>24271</v>
      </c>
      <c r="D9725" t="s">
        <v>24270</v>
      </c>
      <c r="E9725" s="2" t="s">
        <v>711</v>
      </c>
      <c r="F9725" t="s">
        <v>24269</v>
      </c>
      <c r="G9725" t="str">
        <f>HYPERLINK("http://kor.theasian.asia/archives/385255")</f>
        <v>http://kor.theasian.asia/archives/385255</v>
      </c>
      <c r="H9725">
        <v>0.45400000000000001</v>
      </c>
    </row>
    <row r="9726" spans="1:8" x14ac:dyDescent="0.3">
      <c r="A9726" t="s">
        <v>24042</v>
      </c>
      <c r="B9726" t="s">
        <v>26951</v>
      </c>
      <c r="C9726" t="s">
        <v>24273</v>
      </c>
      <c r="D9726" t="s">
        <v>24272</v>
      </c>
      <c r="E9726" s="2" t="s">
        <v>711</v>
      </c>
      <c r="F9726" t="s">
        <v>4207</v>
      </c>
      <c r="G9726" t="str">
        <f>HYPERLINK("https://n.news.naver.com/mnews/article/028/0002751017?sid=103")</f>
        <v>https://n.news.naver.com/mnews/article/028/0002751017?sid=103</v>
      </c>
      <c r="H9726">
        <v>0.26300000000000001</v>
      </c>
    </row>
    <row r="9727" spans="1:8" x14ac:dyDescent="0.3">
      <c r="A9727" t="s">
        <v>24042</v>
      </c>
      <c r="B9727" t="s">
        <v>26951</v>
      </c>
      <c r="C9727" t="s">
        <v>24275</v>
      </c>
      <c r="D9727" t="s">
        <v>24274</v>
      </c>
      <c r="E9727" s="2" t="s">
        <v>711</v>
      </c>
      <c r="F9727" t="s">
        <v>6307</v>
      </c>
      <c r="G9727" t="str">
        <f>HYPERLINK("http://www.fortunekorea.co.kr/news/articleView.html?idxno=13422")</f>
        <v>http://www.fortunekorea.co.kr/news/articleView.html?idxno=13422</v>
      </c>
      <c r="H9727">
        <v>0.28100000000000003</v>
      </c>
    </row>
    <row r="9728" spans="1:8" x14ac:dyDescent="0.3">
      <c r="A9728" t="s">
        <v>24042</v>
      </c>
      <c r="B9728" t="s">
        <v>26951</v>
      </c>
      <c r="C9728" t="s">
        <v>24277</v>
      </c>
      <c r="D9728" t="s">
        <v>24276</v>
      </c>
      <c r="E9728" s="2" t="s">
        <v>711</v>
      </c>
      <c r="F9728" t="s">
        <v>6135</v>
      </c>
      <c r="G9728" t="str">
        <f>HYPERLINK("http://kor.theasian.asia/archives/386872")</f>
        <v>http://kor.theasian.asia/archives/386872</v>
      </c>
      <c r="H9728">
        <v>0.41199999999999998</v>
      </c>
    </row>
    <row r="9729" spans="1:8" x14ac:dyDescent="0.3">
      <c r="A9729" t="s">
        <v>24042</v>
      </c>
      <c r="B9729" t="s">
        <v>26951</v>
      </c>
      <c r="C9729" t="s">
        <v>24280</v>
      </c>
      <c r="D9729" t="s">
        <v>24279</v>
      </c>
      <c r="E9729" s="2" t="s">
        <v>711</v>
      </c>
      <c r="F9729" t="s">
        <v>24278</v>
      </c>
      <c r="G9729" t="str">
        <f>HYPERLINK("https://n.news.naver.com/mnews/article/008/0005203980?sid=102")</f>
        <v>https://n.news.naver.com/mnews/article/008/0005203980?sid=102</v>
      </c>
      <c r="H9729">
        <v>0.19800000000000001</v>
      </c>
    </row>
    <row r="9730" spans="1:8" x14ac:dyDescent="0.3">
      <c r="A9730" t="s">
        <v>24042</v>
      </c>
      <c r="B9730" t="s">
        <v>26951</v>
      </c>
      <c r="C9730" t="s">
        <v>24282</v>
      </c>
      <c r="D9730" t="s">
        <v>24281</v>
      </c>
      <c r="E9730" s="2" t="s">
        <v>711</v>
      </c>
      <c r="F9730" t="s">
        <v>10674</v>
      </c>
      <c r="G9730" t="str">
        <f>HYPERLINK("https://n.news.naver.com/mnews/article/057/0001726043?sid=103")</f>
        <v>https://n.news.naver.com/mnews/article/057/0001726043?sid=103</v>
      </c>
      <c r="H9730">
        <v>0.27100000000000002</v>
      </c>
    </row>
    <row r="9731" spans="1:8" x14ac:dyDescent="0.3">
      <c r="A9731" t="s">
        <v>24042</v>
      </c>
      <c r="B9731" t="s">
        <v>26951</v>
      </c>
      <c r="C9731" t="s">
        <v>24285</v>
      </c>
      <c r="D9731" t="s">
        <v>24284</v>
      </c>
      <c r="E9731" s="2" t="s">
        <v>711</v>
      </c>
      <c r="F9731" t="s">
        <v>24283</v>
      </c>
      <c r="G9731" t="str">
        <f>HYPERLINK("https://n.news.naver.com/mnews/article/662/0000072148?sid=103")</f>
        <v>https://n.news.naver.com/mnews/article/662/0000072148?sid=103</v>
      </c>
      <c r="H9731">
        <v>0.16800000000000001</v>
      </c>
    </row>
    <row r="9732" spans="1:8" x14ac:dyDescent="0.3">
      <c r="A9732" t="s">
        <v>24042</v>
      </c>
      <c r="B9732" t="s">
        <v>26951</v>
      </c>
      <c r="C9732" t="s">
        <v>24288</v>
      </c>
      <c r="D9732" t="s">
        <v>24287</v>
      </c>
      <c r="E9732" s="2" t="s">
        <v>725</v>
      </c>
      <c r="F9732" t="s">
        <v>24286</v>
      </c>
      <c r="G9732" t="str">
        <f>HYPERLINK("https://www.apnews.kr/news/articleView.html?idxno=3032921")</f>
        <v>https://www.apnews.kr/news/articleView.html?idxno=3032921</v>
      </c>
      <c r="H9732">
        <v>0.30299999999999999</v>
      </c>
    </row>
    <row r="9733" spans="1:8" x14ac:dyDescent="0.3">
      <c r="A9733" t="s">
        <v>24042</v>
      </c>
      <c r="B9733" t="s">
        <v>26951</v>
      </c>
      <c r="C9733" t="s">
        <v>24291</v>
      </c>
      <c r="D9733" t="s">
        <v>24290</v>
      </c>
      <c r="E9733" s="2" t="s">
        <v>725</v>
      </c>
      <c r="F9733" t="s">
        <v>24289</v>
      </c>
      <c r="G9733" t="str">
        <f>HYPERLINK("http://www.newsroad.co.kr/news/articleView.html?idxno=40540")</f>
        <v>http://www.newsroad.co.kr/news/articleView.html?idxno=40540</v>
      </c>
      <c r="H9733">
        <v>0.94099999999999995</v>
      </c>
    </row>
    <row r="9734" spans="1:8" x14ac:dyDescent="0.3">
      <c r="A9734" t="s">
        <v>24042</v>
      </c>
      <c r="B9734" t="s">
        <v>26951</v>
      </c>
      <c r="C9734" t="s">
        <v>24294</v>
      </c>
      <c r="D9734" t="s">
        <v>24293</v>
      </c>
      <c r="E9734" s="2" t="s">
        <v>725</v>
      </c>
      <c r="F9734" t="s">
        <v>24292</v>
      </c>
      <c r="G9734" t="str">
        <f>HYPERLINK("https://www.greened.kr/news/articleView.html?idxno=322546")</f>
        <v>https://www.greened.kr/news/articleView.html?idxno=322546</v>
      </c>
      <c r="H9734">
        <v>0.53700000000000003</v>
      </c>
    </row>
    <row r="9735" spans="1:8" x14ac:dyDescent="0.3">
      <c r="A9735" t="s">
        <v>24042</v>
      </c>
      <c r="B9735" t="s">
        <v>26951</v>
      </c>
      <c r="C9735" t="s">
        <v>24296</v>
      </c>
      <c r="D9735" t="s">
        <v>24295</v>
      </c>
      <c r="E9735" s="2" t="s">
        <v>725</v>
      </c>
      <c r="F9735" t="s">
        <v>732</v>
      </c>
      <c r="G9735" t="str">
        <f>HYPERLINK("https://n.news.naver.com/mnews/article/057/0001887729?sid=154")</f>
        <v>https://n.news.naver.com/mnews/article/057/0001887729?sid=154</v>
      </c>
      <c r="H9735">
        <v>0.153</v>
      </c>
    </row>
    <row r="9736" spans="1:8" x14ac:dyDescent="0.3">
      <c r="A9736" t="s">
        <v>24042</v>
      </c>
      <c r="B9736" t="s">
        <v>26951</v>
      </c>
      <c r="C9736" t="s">
        <v>24299</v>
      </c>
      <c r="D9736" t="s">
        <v>24298</v>
      </c>
      <c r="E9736" s="2" t="s">
        <v>725</v>
      </c>
      <c r="F9736" t="s">
        <v>24297</v>
      </c>
      <c r="G9736" t="str">
        <f>HYPERLINK("https://mdtoday.co.kr/news/view/1065598163645218")</f>
        <v>https://mdtoday.co.kr/news/view/1065598163645218</v>
      </c>
      <c r="H9736">
        <v>0.34300000000000003</v>
      </c>
    </row>
    <row r="9737" spans="1:8" x14ac:dyDescent="0.3">
      <c r="A9737" t="s">
        <v>24042</v>
      </c>
      <c r="B9737" t="s">
        <v>26951</v>
      </c>
      <c r="C9737" t="s">
        <v>24301</v>
      </c>
      <c r="D9737" t="s">
        <v>24300</v>
      </c>
      <c r="E9737" s="2" t="s">
        <v>725</v>
      </c>
      <c r="F9737" t="s">
        <v>1377</v>
      </c>
      <c r="G9737" t="str">
        <f>HYPERLINK("https://n.news.naver.com/mnews/article/022/0004041463?sid=100")</f>
        <v>https://n.news.naver.com/mnews/article/022/0004041463?sid=100</v>
      </c>
      <c r="H9737">
        <v>7.6999999999999999E-2</v>
      </c>
    </row>
    <row r="9738" spans="1:8" x14ac:dyDescent="0.3">
      <c r="A9738" t="s">
        <v>24042</v>
      </c>
      <c r="B9738" t="s">
        <v>26951</v>
      </c>
      <c r="C9738" t="s">
        <v>24303</v>
      </c>
      <c r="D9738" t="s">
        <v>24302</v>
      </c>
      <c r="E9738" s="2" t="s">
        <v>725</v>
      </c>
      <c r="F9738" t="s">
        <v>24286</v>
      </c>
      <c r="G9738" t="str">
        <f>HYPERLINK("https://n.news.naver.com/mnews/article/057/0001236210?sid=103")</f>
        <v>https://n.news.naver.com/mnews/article/057/0001236210?sid=103</v>
      </c>
      <c r="H9738">
        <v>9.8000000000000004E-2</v>
      </c>
    </row>
    <row r="9739" spans="1:8" x14ac:dyDescent="0.3">
      <c r="A9739" t="s">
        <v>24042</v>
      </c>
      <c r="B9739" t="s">
        <v>26951</v>
      </c>
      <c r="C9739" t="s">
        <v>24305</v>
      </c>
      <c r="D9739" t="s">
        <v>24304</v>
      </c>
      <c r="E9739" s="2" t="s">
        <v>725</v>
      </c>
      <c r="F9739" t="s">
        <v>9957</v>
      </c>
      <c r="G9739" t="str">
        <f>HYPERLINK("https://n.news.naver.com/mnews/article/008/0005203980?sid=102")</f>
        <v>https://n.news.naver.com/mnews/article/008/0005203980?sid=102</v>
      </c>
      <c r="H9739">
        <v>0.23200000000000001</v>
      </c>
    </row>
    <row r="9740" spans="1:8" x14ac:dyDescent="0.3">
      <c r="A9740" t="s">
        <v>24042</v>
      </c>
      <c r="B9740" t="s">
        <v>26951</v>
      </c>
      <c r="C9740" t="s">
        <v>24307</v>
      </c>
      <c r="D9740" t="s">
        <v>24306</v>
      </c>
      <c r="E9740" s="2" t="s">
        <v>725</v>
      </c>
      <c r="F9740" t="s">
        <v>5087</v>
      </c>
      <c r="G9740" t="str">
        <f>HYPERLINK("https://n.news.naver.com/mnews/article/057/0001892073?sid=100")</f>
        <v>https://n.news.naver.com/mnews/article/057/0001892073?sid=100</v>
      </c>
      <c r="H9740">
        <v>0.249</v>
      </c>
    </row>
    <row r="9741" spans="1:8" x14ac:dyDescent="0.3">
      <c r="A9741" t="s">
        <v>24042</v>
      </c>
      <c r="B9741" t="s">
        <v>26951</v>
      </c>
      <c r="C9741" t="s">
        <v>24309</v>
      </c>
      <c r="D9741" t="s">
        <v>24308</v>
      </c>
      <c r="E9741" s="2" t="s">
        <v>725</v>
      </c>
      <c r="F9741" t="s">
        <v>10014</v>
      </c>
      <c r="G9741" t="str">
        <f>HYPERLINK("https://n.news.naver.com/mnews/article/057/0001889911?sid=102")</f>
        <v>https://n.news.naver.com/mnews/article/057/0001889911?sid=102</v>
      </c>
      <c r="H9741">
        <v>0.223</v>
      </c>
    </row>
    <row r="9742" spans="1:8" x14ac:dyDescent="0.3">
      <c r="A9742" t="s">
        <v>24042</v>
      </c>
      <c r="B9742" t="s">
        <v>26951</v>
      </c>
      <c r="C9742" t="s">
        <v>24311</v>
      </c>
      <c r="D9742" t="s">
        <v>24310</v>
      </c>
      <c r="E9742" s="2" t="s">
        <v>742</v>
      </c>
      <c r="F9742" t="s">
        <v>1606</v>
      </c>
      <c r="G9742" t="str">
        <f>HYPERLINK("https://n.news.naver.com/mnews/article/014/0005360935?sid=102")</f>
        <v>https://n.news.naver.com/mnews/article/014/0005360935?sid=102</v>
      </c>
      <c r="H9742">
        <v>0.10199999999999999</v>
      </c>
    </row>
    <row r="9743" spans="1:8" x14ac:dyDescent="0.3">
      <c r="A9743" t="s">
        <v>24042</v>
      </c>
      <c r="B9743" t="s">
        <v>26951</v>
      </c>
      <c r="C9743" t="s">
        <v>24313</v>
      </c>
      <c r="D9743" t="s">
        <v>24312</v>
      </c>
      <c r="E9743" s="2" t="s">
        <v>742</v>
      </c>
      <c r="F9743" t="s">
        <v>11363</v>
      </c>
      <c r="G9743" t="str">
        <f>HYPERLINK("https://n.news.naver.com/mnews/article/018/0006031692?sid=103")</f>
        <v>https://n.news.naver.com/mnews/article/018/0006031692?sid=103</v>
      </c>
      <c r="H9743">
        <v>0.185</v>
      </c>
    </row>
    <row r="9744" spans="1:8" x14ac:dyDescent="0.3">
      <c r="A9744" t="s">
        <v>24042</v>
      </c>
      <c r="B9744" t="s">
        <v>26951</v>
      </c>
      <c r="C9744" t="s">
        <v>24315</v>
      </c>
      <c r="D9744" t="s">
        <v>24314</v>
      </c>
      <c r="E9744" s="2" t="s">
        <v>742</v>
      </c>
      <c r="F9744" t="s">
        <v>4733</v>
      </c>
      <c r="G9744" t="str">
        <f>HYPERLINK("http://www.greened.kr/news/articleView.html?idxno=298120")</f>
        <v>http://www.greened.kr/news/articleView.html?idxno=298120</v>
      </c>
      <c r="H9744">
        <v>0.48499999999999999</v>
      </c>
    </row>
    <row r="9745" spans="1:8" x14ac:dyDescent="0.3">
      <c r="A9745" t="s">
        <v>24042</v>
      </c>
      <c r="B9745" t="s">
        <v>26951</v>
      </c>
      <c r="C9745" t="s">
        <v>24317</v>
      </c>
      <c r="D9745" t="s">
        <v>24316</v>
      </c>
      <c r="E9745" s="2" t="s">
        <v>742</v>
      </c>
      <c r="F9745" t="s">
        <v>1606</v>
      </c>
      <c r="G9745" t="str">
        <f>HYPERLINK("https://n.news.naver.com/mnews/article/028/0002753671?sid=100")</f>
        <v>https://n.news.naver.com/mnews/article/028/0002753671?sid=100</v>
      </c>
      <c r="H9745">
        <v>0.14699999999999999</v>
      </c>
    </row>
    <row r="9746" spans="1:8" x14ac:dyDescent="0.3">
      <c r="A9746" t="s">
        <v>24042</v>
      </c>
      <c r="B9746" t="s">
        <v>26951</v>
      </c>
      <c r="C9746" t="s">
        <v>24319</v>
      </c>
      <c r="D9746" t="s">
        <v>24318</v>
      </c>
      <c r="E9746" s="2" t="s">
        <v>742</v>
      </c>
      <c r="F9746" t="s">
        <v>9897</v>
      </c>
      <c r="G9746" t="str">
        <f>HYPERLINK("https://n.news.naver.com/mnews/article/081/0003546779?sid=100")</f>
        <v>https://n.news.naver.com/mnews/article/081/0003546779?sid=100</v>
      </c>
      <c r="H9746">
        <v>0.23200000000000001</v>
      </c>
    </row>
    <row r="9747" spans="1:8" x14ac:dyDescent="0.3">
      <c r="A9747" t="s">
        <v>24042</v>
      </c>
      <c r="B9747" t="s">
        <v>26951</v>
      </c>
      <c r="C9747" t="s">
        <v>24321</v>
      </c>
      <c r="D9747" t="s">
        <v>24320</v>
      </c>
      <c r="E9747" s="2" t="s">
        <v>742</v>
      </c>
      <c r="F9747" t="s">
        <v>1606</v>
      </c>
      <c r="G9747" t="str">
        <f>HYPERLINK("https://www.banronbodo.com/news/articleView.html?idxno=30547")</f>
        <v>https://www.banronbodo.com/news/articleView.html?idxno=30547</v>
      </c>
      <c r="H9747">
        <v>0.10199999999999999</v>
      </c>
    </row>
    <row r="9748" spans="1:8" x14ac:dyDescent="0.3">
      <c r="A9748" t="s">
        <v>24042</v>
      </c>
      <c r="B9748" t="s">
        <v>26951</v>
      </c>
      <c r="C9748" t="s">
        <v>24323</v>
      </c>
      <c r="D9748" t="s">
        <v>24322</v>
      </c>
      <c r="E9748" s="2" t="s">
        <v>742</v>
      </c>
      <c r="F9748" t="s">
        <v>15221</v>
      </c>
      <c r="G9748" t="str">
        <f>HYPERLINK("https://www.pennmike.com/news/articleView.html?idxno=103635")</f>
        <v>https://www.pennmike.com/news/articleView.html?idxno=103635</v>
      </c>
      <c r="H9748">
        <v>0.47099999999999997</v>
      </c>
    </row>
    <row r="9749" spans="1:8" x14ac:dyDescent="0.3">
      <c r="A9749" t="s">
        <v>24042</v>
      </c>
      <c r="B9749" t="s">
        <v>26951</v>
      </c>
      <c r="C9749" t="s">
        <v>24326</v>
      </c>
      <c r="D9749" t="s">
        <v>24325</v>
      </c>
      <c r="E9749" s="2" t="s">
        <v>742</v>
      </c>
      <c r="F9749" t="s">
        <v>24324</v>
      </c>
      <c r="G9749" t="str">
        <f>HYPERLINK("http://www.christiantoday.co.kr/view.htm?id=274779")</f>
        <v>http://www.christiantoday.co.kr/view.htm?id=274779</v>
      </c>
      <c r="H9749">
        <v>0.27100000000000002</v>
      </c>
    </row>
    <row r="9750" spans="1:8" x14ac:dyDescent="0.3">
      <c r="A9750" t="s">
        <v>24042</v>
      </c>
      <c r="B9750" t="s">
        <v>26951</v>
      </c>
      <c r="C9750" t="s">
        <v>24328</v>
      </c>
      <c r="D9750" t="s">
        <v>24327</v>
      </c>
      <c r="E9750" s="2" t="s">
        <v>742</v>
      </c>
      <c r="F9750" t="s">
        <v>4430</v>
      </c>
      <c r="G9750" t="str">
        <f>HYPERLINK("https://www.apnews.kr/news/articleView.html?idxno=3036114")</f>
        <v>https://www.apnews.kr/news/articleView.html?idxno=3036114</v>
      </c>
      <c r="H9750">
        <v>0.39400000000000002</v>
      </c>
    </row>
    <row r="9751" spans="1:8" x14ac:dyDescent="0.3">
      <c r="A9751" t="s">
        <v>24042</v>
      </c>
      <c r="B9751" t="s">
        <v>26951</v>
      </c>
      <c r="C9751" t="s">
        <v>24331</v>
      </c>
      <c r="D9751" t="s">
        <v>24330</v>
      </c>
      <c r="E9751" s="2" t="s">
        <v>799</v>
      </c>
      <c r="F9751" t="s">
        <v>24329</v>
      </c>
      <c r="G9751" t="str">
        <f>HYPERLINK("https://www.ziksir.com/news/articleView.html?idxno=53418")</f>
        <v>https://www.ziksir.com/news/articleView.html?idxno=53418</v>
      </c>
      <c r="H9751">
        <v>0.50700000000000001</v>
      </c>
    </row>
    <row r="9752" spans="1:8" x14ac:dyDescent="0.3">
      <c r="A9752" t="s">
        <v>24042</v>
      </c>
      <c r="B9752" t="s">
        <v>26951</v>
      </c>
      <c r="C9752" t="s">
        <v>24333</v>
      </c>
      <c r="D9752" t="s">
        <v>24332</v>
      </c>
      <c r="E9752" s="2" t="s">
        <v>799</v>
      </c>
      <c r="F9752" t="s">
        <v>19533</v>
      </c>
      <c r="G9752" t="str">
        <f>HYPERLINK("http://www.metroseoul.co.kr/article/20250701500341")</f>
        <v>http://www.metroseoul.co.kr/article/20250701500341</v>
      </c>
      <c r="H9752">
        <v>0.50600000000000001</v>
      </c>
    </row>
    <row r="9753" spans="1:8" x14ac:dyDescent="0.3">
      <c r="A9753" t="s">
        <v>24042</v>
      </c>
      <c r="B9753" t="s">
        <v>26951</v>
      </c>
      <c r="C9753" t="s">
        <v>24335</v>
      </c>
      <c r="D9753" t="s">
        <v>24334</v>
      </c>
      <c r="E9753" s="2" t="s">
        <v>799</v>
      </c>
      <c r="F9753" t="s">
        <v>8848</v>
      </c>
      <c r="G9753" t="str">
        <f>HYPERLINK("https://www.incheontoday.com/news/articleView.html?idxno=304630")</f>
        <v>https://www.incheontoday.com/news/articleView.html?idxno=304630</v>
      </c>
      <c r="H9753">
        <v>0.53600000000000003</v>
      </c>
    </row>
    <row r="9754" spans="1:8" x14ac:dyDescent="0.3">
      <c r="A9754" t="s">
        <v>24042</v>
      </c>
      <c r="B9754" t="s">
        <v>26951</v>
      </c>
      <c r="C9754" t="s">
        <v>24337</v>
      </c>
      <c r="D9754" t="s">
        <v>24336</v>
      </c>
      <c r="E9754" s="2" t="s">
        <v>799</v>
      </c>
      <c r="F9754" t="s">
        <v>857</v>
      </c>
      <c r="G9754" t="str">
        <f>HYPERLINK("http://www.gqkorea.co.kr/2020/03/19/%eb%b4%84%ec%9d%b4%eb%9d%bc-%eb%8d%94-%ec%83%9d%ea%b0%81%eb%82%98%eb%8a%94-%ec%b1%84%ec%8b%9d-%eb%a0%88%ec%8a%a4%ed%86%a0%eb%9e%91/?utm_source=naver&amp;utm_medium=partnership")</f>
        <v>http://www.gqkorea.co.kr/2020/03/19/%eb%b4%84%ec%9d%b4%eb%9d%bc-%eb%8d%94-%ec%83%9d%ea%b0%81%eb%82%98%eb%8a%94-%ec%b1%84%ec%8b%9d-%eb%a0%88%ec%8a%a4%ed%86%a0%eb%9e%91/?utm_source=naver&amp;utm_medium=partnership</v>
      </c>
      <c r="H9754">
        <v>0.26700000000000002</v>
      </c>
    </row>
    <row r="9755" spans="1:8" x14ac:dyDescent="0.3">
      <c r="A9755" t="s">
        <v>24042</v>
      </c>
      <c r="B9755" t="s">
        <v>26951</v>
      </c>
      <c r="C9755" t="s">
        <v>24340</v>
      </c>
      <c r="D9755" t="s">
        <v>24339</v>
      </c>
      <c r="E9755" s="2" t="s">
        <v>840</v>
      </c>
      <c r="F9755" t="s">
        <v>24338</v>
      </c>
      <c r="G9755" t="str">
        <f>HYPERLINK("https://n.news.naver.com/mnews/article/658/0000019591?sid=103")</f>
        <v>https://n.news.naver.com/mnews/article/658/0000019591?sid=103</v>
      </c>
      <c r="H9755">
        <v>0.30099999999999999</v>
      </c>
    </row>
    <row r="9756" spans="1:8" x14ac:dyDescent="0.3">
      <c r="A9756" t="s">
        <v>24042</v>
      </c>
      <c r="B9756" t="s">
        <v>26951</v>
      </c>
      <c r="C9756" t="s">
        <v>24342</v>
      </c>
      <c r="D9756" t="s">
        <v>24341</v>
      </c>
      <c r="E9756" s="2" t="s">
        <v>840</v>
      </c>
      <c r="F9756" t="s">
        <v>14802</v>
      </c>
      <c r="G9756" t="str">
        <f>HYPERLINK("https://www.geconomy.co.kr/news/article.html?no=297449")</f>
        <v>https://www.geconomy.co.kr/news/article.html?no=297449</v>
      </c>
      <c r="H9756">
        <v>0.80200000000000005</v>
      </c>
    </row>
    <row r="9757" spans="1:8" x14ac:dyDescent="0.3">
      <c r="A9757" t="s">
        <v>24042</v>
      </c>
      <c r="B9757" t="s">
        <v>26951</v>
      </c>
      <c r="C9757" t="s">
        <v>24344</v>
      </c>
      <c r="D9757" t="s">
        <v>24343</v>
      </c>
      <c r="E9757" s="2" t="s">
        <v>840</v>
      </c>
      <c r="F9757" t="s">
        <v>4476</v>
      </c>
      <c r="G9757" t="str">
        <f>HYPERLINK("http://www.newsian.co.kr/news/articleView.html?idxno=80651")</f>
        <v>http://www.newsian.co.kr/news/articleView.html?idxno=80651</v>
      </c>
      <c r="H9757">
        <v>0.52600000000000002</v>
      </c>
    </row>
    <row r="9758" spans="1:8" x14ac:dyDescent="0.3">
      <c r="A9758" t="s">
        <v>24042</v>
      </c>
      <c r="B9758" t="s">
        <v>26951</v>
      </c>
      <c r="C9758" t="s">
        <v>24346</v>
      </c>
      <c r="D9758" t="s">
        <v>24345</v>
      </c>
      <c r="E9758" s="2" t="s">
        <v>860</v>
      </c>
      <c r="F9758" t="s">
        <v>10178</v>
      </c>
      <c r="G9758" t="str">
        <f>HYPERLINK("https://n.news.naver.com/mnews/article/057/0000069678?sid=102")</f>
        <v>https://n.news.naver.com/mnews/article/057/0000069678?sid=102</v>
      </c>
      <c r="H9758">
        <v>0.46500000000000002</v>
      </c>
    </row>
    <row r="9759" spans="1:8" x14ac:dyDescent="0.3">
      <c r="A9759" t="s">
        <v>24042</v>
      </c>
      <c r="B9759" t="s">
        <v>26951</v>
      </c>
      <c r="C9759" t="s">
        <v>24348</v>
      </c>
      <c r="D9759" t="s">
        <v>24347</v>
      </c>
      <c r="E9759" s="2" t="s">
        <v>860</v>
      </c>
      <c r="F9759" t="s">
        <v>1277</v>
      </c>
      <c r="G9759" t="str">
        <f>HYPERLINK("https://n.news.naver.com/mnews/article/036/0000051768?sid=100")</f>
        <v>https://n.news.naver.com/mnews/article/036/0000051768?sid=100</v>
      </c>
      <c r="H9759">
        <v>0.27900000000000003</v>
      </c>
    </row>
    <row r="9760" spans="1:8" x14ac:dyDescent="0.3">
      <c r="A9760" t="s">
        <v>24042</v>
      </c>
      <c r="B9760" t="s">
        <v>26951</v>
      </c>
      <c r="C9760" t="s">
        <v>24351</v>
      </c>
      <c r="D9760" t="s">
        <v>24350</v>
      </c>
      <c r="E9760" s="2" t="s">
        <v>860</v>
      </c>
      <c r="F9760" t="s">
        <v>24349</v>
      </c>
      <c r="G9760" t="str">
        <f>HYPERLINK("https://www.newspim.com/news/view/20250601000444")</f>
        <v>https://www.newspim.com/news/view/20250601000444</v>
      </c>
      <c r="H9760">
        <v>0.65400000000000003</v>
      </c>
    </row>
    <row r="9761" spans="1:8" x14ac:dyDescent="0.3">
      <c r="A9761" t="s">
        <v>24042</v>
      </c>
      <c r="B9761" t="s">
        <v>26951</v>
      </c>
      <c r="C9761" t="s">
        <v>24353</v>
      </c>
      <c r="D9761" t="s">
        <v>24352</v>
      </c>
      <c r="E9761" s="2" t="s">
        <v>860</v>
      </c>
      <c r="F9761" t="s">
        <v>5244</v>
      </c>
      <c r="G9761" t="str">
        <f>HYPERLINK("http://www.chungnamilbo.co.kr/news/articleView.html?idxno=831870")</f>
        <v>http://www.chungnamilbo.co.kr/news/articleView.html?idxno=831870</v>
      </c>
      <c r="H9761">
        <v>0.79100000000000004</v>
      </c>
    </row>
    <row r="9762" spans="1:8" x14ac:dyDescent="0.3">
      <c r="A9762" t="s">
        <v>24042</v>
      </c>
      <c r="B9762" t="s">
        <v>26951</v>
      </c>
      <c r="C9762" t="s">
        <v>24356</v>
      </c>
      <c r="D9762" t="s">
        <v>24355</v>
      </c>
      <c r="E9762" s="2" t="s">
        <v>860</v>
      </c>
      <c r="F9762" t="s">
        <v>24354</v>
      </c>
      <c r="G9762" t="str">
        <f>HYPERLINK("http://www.kdpress.co.kr/news/articleView.html?idxno=122719")</f>
        <v>http://www.kdpress.co.kr/news/articleView.html?idxno=122719</v>
      </c>
      <c r="H9762">
        <v>0.47</v>
      </c>
    </row>
    <row r="9763" spans="1:8" x14ac:dyDescent="0.3">
      <c r="A9763" t="s">
        <v>24042</v>
      </c>
      <c r="B9763" t="s">
        <v>26951</v>
      </c>
      <c r="C9763" t="s">
        <v>24358</v>
      </c>
      <c r="D9763" t="s">
        <v>24357</v>
      </c>
      <c r="E9763" s="2" t="s">
        <v>860</v>
      </c>
      <c r="F9763" t="s">
        <v>817</v>
      </c>
      <c r="G9763" t="str">
        <f>HYPERLINK("https://www.ggilbo.com/news/articleView.html?idxno=1093032")</f>
        <v>https://www.ggilbo.com/news/articleView.html?idxno=1093032</v>
      </c>
      <c r="H9763">
        <v>0.40200000000000002</v>
      </c>
    </row>
    <row r="9764" spans="1:8" x14ac:dyDescent="0.3">
      <c r="A9764" t="s">
        <v>24042</v>
      </c>
      <c r="B9764" t="s">
        <v>26951</v>
      </c>
      <c r="C9764" t="s">
        <v>24360</v>
      </c>
      <c r="D9764" t="s">
        <v>24359</v>
      </c>
      <c r="E9764" s="2" t="s">
        <v>860</v>
      </c>
      <c r="F9764" t="s">
        <v>6720</v>
      </c>
      <c r="G9764" t="str">
        <f>HYPERLINK("http://www.chungnamilbo.co.kr/news/articleView.html?idxno=831870")</f>
        <v>http://www.chungnamilbo.co.kr/news/articleView.html?idxno=831870</v>
      </c>
      <c r="H9764">
        <v>0.92200000000000004</v>
      </c>
    </row>
    <row r="9765" spans="1:8" x14ac:dyDescent="0.3">
      <c r="A9765" t="s">
        <v>24042</v>
      </c>
      <c r="B9765" t="s">
        <v>26951</v>
      </c>
      <c r="C9765" t="s">
        <v>24362</v>
      </c>
      <c r="D9765" t="s">
        <v>24361</v>
      </c>
      <c r="E9765" s="2" t="s">
        <v>860</v>
      </c>
      <c r="F9765" t="s">
        <v>171</v>
      </c>
      <c r="G9765" t="str">
        <f>HYPERLINK("https://www.newscj.com/news/articleView.html?idxno=3276719")</f>
        <v>https://www.newscj.com/news/articleView.html?idxno=3276719</v>
      </c>
      <c r="H9765">
        <v>0.56799999999999995</v>
      </c>
    </row>
    <row r="9766" spans="1:8" x14ac:dyDescent="0.3">
      <c r="A9766" t="s">
        <v>24042</v>
      </c>
      <c r="B9766" t="s">
        <v>26951</v>
      </c>
      <c r="C9766" t="s">
        <v>24363</v>
      </c>
      <c r="D9766" t="s">
        <v>24357</v>
      </c>
      <c r="E9766" s="2" t="s">
        <v>860</v>
      </c>
      <c r="F9766" t="s">
        <v>817</v>
      </c>
      <c r="G9766" t="str">
        <f>HYPERLINK("https://www.ggilbo.com/news/articleView.html?idxno=1093032")</f>
        <v>https://www.ggilbo.com/news/articleView.html?idxno=1093032</v>
      </c>
      <c r="H9766">
        <v>0.41799999999999998</v>
      </c>
    </row>
    <row r="9767" spans="1:8" x14ac:dyDescent="0.3">
      <c r="A9767" t="s">
        <v>24042</v>
      </c>
      <c r="B9767" t="s">
        <v>26951</v>
      </c>
      <c r="C9767" t="s">
        <v>24365</v>
      </c>
      <c r="D9767" t="s">
        <v>24364</v>
      </c>
      <c r="E9767" s="2" t="s">
        <v>860</v>
      </c>
      <c r="F9767" t="s">
        <v>11037</v>
      </c>
      <c r="G9767" t="str">
        <f>HYPERLINK("http://www.chungnamilbo.co.kr/news/articleView.html?idxno=831870")</f>
        <v>http://www.chungnamilbo.co.kr/news/articleView.html?idxno=831870</v>
      </c>
      <c r="H9767">
        <v>0.83599999999999997</v>
      </c>
    </row>
    <row r="9768" spans="1:8" x14ac:dyDescent="0.3">
      <c r="A9768" t="s">
        <v>24042</v>
      </c>
      <c r="B9768" t="s">
        <v>26951</v>
      </c>
      <c r="C9768" t="s">
        <v>24367</v>
      </c>
      <c r="D9768" t="s">
        <v>24366</v>
      </c>
      <c r="E9768" s="2" t="s">
        <v>860</v>
      </c>
      <c r="F9768" t="s">
        <v>11310</v>
      </c>
      <c r="G9768" t="str">
        <f>HYPERLINK("https://news.ifm.kr/news/articleView.html?idxno=446265")</f>
        <v>https://news.ifm.kr/news/articleView.html?idxno=446265</v>
      </c>
      <c r="H9768">
        <v>8.4000000000000005E-2</v>
      </c>
    </row>
    <row r="9769" spans="1:8" x14ac:dyDescent="0.3">
      <c r="A9769" t="s">
        <v>24042</v>
      </c>
      <c r="B9769" t="s">
        <v>26951</v>
      </c>
      <c r="C9769" t="s">
        <v>24369</v>
      </c>
      <c r="D9769" t="s">
        <v>24368</v>
      </c>
      <c r="E9769" s="2" t="s">
        <v>860</v>
      </c>
      <c r="F9769" t="s">
        <v>11310</v>
      </c>
      <c r="G9769" t="str">
        <f>HYPERLINK("https://www.sportsw.kr/news/newsview.php?ncode=1065600824619785")</f>
        <v>https://www.sportsw.kr/news/newsview.php?ncode=1065600824619785</v>
      </c>
      <c r="H9769">
        <v>0.13900000000000001</v>
      </c>
    </row>
    <row r="9770" spans="1:8" x14ac:dyDescent="0.3">
      <c r="A9770" t="s">
        <v>24042</v>
      </c>
      <c r="B9770" t="s">
        <v>26951</v>
      </c>
      <c r="C9770" t="s">
        <v>24371</v>
      </c>
      <c r="D9770" t="s">
        <v>24370</v>
      </c>
      <c r="E9770" s="2" t="s">
        <v>860</v>
      </c>
      <c r="F9770" t="s">
        <v>11310</v>
      </c>
      <c r="G9770" t="str">
        <f>HYPERLINK("https://golfhankook.hankooki.com/news/articleView.html?idxno=20011630")</f>
        <v>https://golfhankook.hankooki.com/news/articleView.html?idxno=20011630</v>
      </c>
      <c r="H9770">
        <v>0.17199999999999999</v>
      </c>
    </row>
    <row r="9771" spans="1:8" x14ac:dyDescent="0.3">
      <c r="A9771" t="s">
        <v>24042</v>
      </c>
      <c r="B9771" t="s">
        <v>26951</v>
      </c>
      <c r="C9771" t="s">
        <v>24374</v>
      </c>
      <c r="D9771" t="s">
        <v>24373</v>
      </c>
      <c r="E9771" s="2" t="s">
        <v>860</v>
      </c>
      <c r="F9771" t="s">
        <v>24372</v>
      </c>
      <c r="G9771" t="str">
        <f>HYPERLINK("https://golfhankook.hankooki.com/news/articleView.html?idxno=20016090")</f>
        <v>https://golfhankook.hankooki.com/news/articleView.html?idxno=20016090</v>
      </c>
      <c r="H9771">
        <v>0.29499999999999998</v>
      </c>
    </row>
    <row r="9772" spans="1:8" x14ac:dyDescent="0.3">
      <c r="A9772" t="s">
        <v>24042</v>
      </c>
      <c r="B9772" t="s">
        <v>26951</v>
      </c>
      <c r="C9772" t="s">
        <v>24375</v>
      </c>
      <c r="D9772" t="s">
        <v>24357</v>
      </c>
      <c r="E9772" s="2" t="s">
        <v>860</v>
      </c>
      <c r="F9772" t="s">
        <v>817</v>
      </c>
      <c r="G9772" t="str">
        <f>HYPERLINK("https://www.ggilbo.com/news/articleView.html?idxno=1093032")</f>
        <v>https://www.ggilbo.com/news/articleView.html?idxno=1093032</v>
      </c>
      <c r="H9772">
        <v>0.51800000000000002</v>
      </c>
    </row>
    <row r="9773" spans="1:8" x14ac:dyDescent="0.3">
      <c r="A9773" t="s">
        <v>24042</v>
      </c>
      <c r="B9773" t="s">
        <v>26951</v>
      </c>
      <c r="C9773" t="s">
        <v>24377</v>
      </c>
      <c r="D9773" t="s">
        <v>24376</v>
      </c>
      <c r="E9773" s="2" t="s">
        <v>860</v>
      </c>
      <c r="F9773" t="s">
        <v>7621</v>
      </c>
      <c r="G9773" t="str">
        <f>HYPERLINK("https://www.laborplus.co.kr/news/articleView.html?idxno=35845")</f>
        <v>https://www.laborplus.co.kr/news/articleView.html?idxno=35845</v>
      </c>
      <c r="H9773">
        <v>0.32</v>
      </c>
    </row>
    <row r="9774" spans="1:8" x14ac:dyDescent="0.3">
      <c r="A9774" t="s">
        <v>24042</v>
      </c>
      <c r="B9774" t="s">
        <v>26951</v>
      </c>
      <c r="C9774" t="s">
        <v>24379</v>
      </c>
      <c r="D9774" t="s">
        <v>24378</v>
      </c>
      <c r="E9774" s="2" t="s">
        <v>903</v>
      </c>
      <c r="F9774" t="s">
        <v>10444</v>
      </c>
      <c r="G9774" t="str">
        <f>HYPERLINK("http://www.bzeronews.com/news/articleView.html?idxno=447365")</f>
        <v>http://www.bzeronews.com/news/articleView.html?idxno=447365</v>
      </c>
      <c r="H9774">
        <v>0.35599999999999998</v>
      </c>
    </row>
    <row r="9775" spans="1:8" x14ac:dyDescent="0.3">
      <c r="A9775" t="s">
        <v>24042</v>
      </c>
      <c r="B9775" t="s">
        <v>26951</v>
      </c>
      <c r="C9775" t="s">
        <v>24381</v>
      </c>
      <c r="D9775" t="s">
        <v>24380</v>
      </c>
      <c r="E9775" s="2" t="s">
        <v>903</v>
      </c>
      <c r="F9775" t="s">
        <v>13964</v>
      </c>
      <c r="G9775" t="str">
        <f>HYPERLINK("http://www.hansbiz.co.kr/news/articleView.html?idxno=757965")</f>
        <v>http://www.hansbiz.co.kr/news/articleView.html?idxno=757965</v>
      </c>
      <c r="H9775">
        <v>0.376</v>
      </c>
    </row>
    <row r="9776" spans="1:8" x14ac:dyDescent="0.3">
      <c r="A9776" t="s">
        <v>24042</v>
      </c>
      <c r="B9776" t="s">
        <v>26951</v>
      </c>
      <c r="C9776" t="s">
        <v>24384</v>
      </c>
      <c r="D9776" t="s">
        <v>24383</v>
      </c>
      <c r="E9776" s="2" t="s">
        <v>903</v>
      </c>
      <c r="F9776" t="s">
        <v>24382</v>
      </c>
      <c r="G9776" t="str">
        <f>HYPERLINK("https://www.viva100.com/article/20250601500608")</f>
        <v>https://www.viva100.com/article/20250601500608</v>
      </c>
      <c r="H9776">
        <v>0.63200000000000001</v>
      </c>
    </row>
    <row r="9777" spans="1:8" x14ac:dyDescent="0.3">
      <c r="A9777" t="s">
        <v>24042</v>
      </c>
      <c r="B9777" t="s">
        <v>26951</v>
      </c>
      <c r="C9777" t="s">
        <v>24386</v>
      </c>
      <c r="D9777" t="s">
        <v>24385</v>
      </c>
      <c r="E9777" s="2" t="s">
        <v>903</v>
      </c>
      <c r="F9777" t="s">
        <v>17243</v>
      </c>
      <c r="G9777" t="str">
        <f>HYPERLINK("https://golfhankook.hankooki.com/news/articleView.html?idxno=20016527")</f>
        <v>https://golfhankook.hankooki.com/news/articleView.html?idxno=20016527</v>
      </c>
      <c r="H9777">
        <v>0.16500000000000001</v>
      </c>
    </row>
    <row r="9778" spans="1:8" x14ac:dyDescent="0.3">
      <c r="A9778" t="s">
        <v>24042</v>
      </c>
      <c r="B9778" t="s">
        <v>26951</v>
      </c>
      <c r="C9778" t="s">
        <v>24389</v>
      </c>
      <c r="D9778" t="s">
        <v>24388</v>
      </c>
      <c r="E9778" s="2" t="s">
        <v>903</v>
      </c>
      <c r="F9778" t="s">
        <v>24387</v>
      </c>
      <c r="G9778" t="str">
        <f>HYPERLINK("https://n.news.naver.com/mnews/article/057/0001889234?sid=004")</f>
        <v>https://n.news.naver.com/mnews/article/057/0001889234?sid=004</v>
      </c>
      <c r="H9778">
        <v>0.28199999999999997</v>
      </c>
    </row>
    <row r="9779" spans="1:8" x14ac:dyDescent="0.3">
      <c r="A9779" t="s">
        <v>24042</v>
      </c>
      <c r="B9779" t="s">
        <v>26951</v>
      </c>
      <c r="C9779" t="s">
        <v>24391</v>
      </c>
      <c r="D9779" t="s">
        <v>24390</v>
      </c>
      <c r="E9779" s="2" t="s">
        <v>903</v>
      </c>
      <c r="F9779" t="s">
        <v>16811</v>
      </c>
      <c r="G9779" t="str">
        <f>HYPERLINK("https://www.viva100.com/article/20250625500015")</f>
        <v>https://www.viva100.com/article/20250625500015</v>
      </c>
      <c r="H9779">
        <v>0.435</v>
      </c>
    </row>
    <row r="9780" spans="1:8" x14ac:dyDescent="0.3">
      <c r="A9780" t="s">
        <v>24042</v>
      </c>
      <c r="B9780" t="s">
        <v>26951</v>
      </c>
      <c r="C9780" t="s">
        <v>24393</v>
      </c>
      <c r="D9780" t="s">
        <v>24392</v>
      </c>
      <c r="E9780" s="2" t="s">
        <v>903</v>
      </c>
      <c r="F9780" t="s">
        <v>11310</v>
      </c>
      <c r="G9780" t="str">
        <f>HYPERLINK("http://www.newsian.co.kr/news/articleView.html?idxno=70100")</f>
        <v>http://www.newsian.co.kr/news/articleView.html?idxno=70100</v>
      </c>
      <c r="H9780">
        <v>0.26700000000000002</v>
      </c>
    </row>
    <row r="9781" spans="1:8" x14ac:dyDescent="0.3">
      <c r="A9781" t="s">
        <v>24042</v>
      </c>
      <c r="B9781" t="s">
        <v>26951</v>
      </c>
      <c r="C9781" t="s">
        <v>24395</v>
      </c>
      <c r="D9781" t="s">
        <v>24394</v>
      </c>
      <c r="E9781" s="2" t="s">
        <v>903</v>
      </c>
      <c r="F9781" t="s">
        <v>857</v>
      </c>
      <c r="G9781" t="str">
        <f>HYPERLINK("https://www.apnews.kr/news/articleView.html?idxno=3027501")</f>
        <v>https://www.apnews.kr/news/articleView.html?idxno=3027501</v>
      </c>
      <c r="H9781">
        <v>0.16500000000000001</v>
      </c>
    </row>
    <row r="9782" spans="1:8" x14ac:dyDescent="0.3">
      <c r="A9782" t="s">
        <v>24042</v>
      </c>
      <c r="B9782" t="s">
        <v>26951</v>
      </c>
      <c r="C9782" t="s">
        <v>24397</v>
      </c>
      <c r="D9782" t="s">
        <v>24396</v>
      </c>
      <c r="E9782" s="2" t="s">
        <v>903</v>
      </c>
      <c r="F9782" t="s">
        <v>2033</v>
      </c>
      <c r="G9782" t="str">
        <f>HYPERLINK("https://www.jemin.com/news/articleView.html?idxno=807247")</f>
        <v>https://www.jemin.com/news/articleView.html?idxno=807247</v>
      </c>
      <c r="H9782">
        <v>0.66300000000000003</v>
      </c>
    </row>
    <row r="9783" spans="1:8" x14ac:dyDescent="0.3">
      <c r="A9783" t="s">
        <v>24042</v>
      </c>
      <c r="B9783" t="s">
        <v>26951</v>
      </c>
      <c r="C9783" t="s">
        <v>24399</v>
      </c>
      <c r="D9783" t="s">
        <v>24398</v>
      </c>
      <c r="E9783" s="2" t="s">
        <v>7</v>
      </c>
      <c r="F9783" t="s">
        <v>14157</v>
      </c>
      <c r="G9783" t="str">
        <f>HYPERLINK("http://www.sporbiz.co.kr/news/articleView.html?idxno=505456")</f>
        <v>http://www.sporbiz.co.kr/news/articleView.html?idxno=505456</v>
      </c>
      <c r="H9783">
        <v>0.434</v>
      </c>
    </row>
    <row r="9784" spans="1:8" x14ac:dyDescent="0.3">
      <c r="A9784" t="s">
        <v>24042</v>
      </c>
      <c r="B9784" t="s">
        <v>26951</v>
      </c>
      <c r="C9784" t="s">
        <v>24401</v>
      </c>
      <c r="D9784" t="s">
        <v>24400</v>
      </c>
      <c r="E9784" s="2" t="s">
        <v>7</v>
      </c>
      <c r="F9784" t="s">
        <v>11471</v>
      </c>
      <c r="G9784" t="str">
        <f>HYPERLINK("http://www.apnews.kr/news/articleView.html?idxno=3000776")</f>
        <v>http://www.apnews.kr/news/articleView.html?idxno=3000776</v>
      </c>
      <c r="H9784">
        <v>0.40500000000000003</v>
      </c>
    </row>
    <row r="9785" spans="1:8" x14ac:dyDescent="0.3">
      <c r="A9785" t="s">
        <v>24042</v>
      </c>
      <c r="B9785" t="s">
        <v>26951</v>
      </c>
      <c r="C9785" t="s">
        <v>24403</v>
      </c>
      <c r="D9785" t="s">
        <v>24402</v>
      </c>
      <c r="E9785" s="2" t="s">
        <v>7</v>
      </c>
      <c r="F9785" t="s">
        <v>10471</v>
      </c>
      <c r="G9785" t="str">
        <f>HYPERLINK("https://www.jemin.com/news/articleView.html?idxno=789606")</f>
        <v>https://www.jemin.com/news/articleView.html?idxno=789606</v>
      </c>
      <c r="H9785">
        <v>0.67500000000000004</v>
      </c>
    </row>
    <row r="9786" spans="1:8" x14ac:dyDescent="0.3">
      <c r="A9786" t="s">
        <v>24042</v>
      </c>
      <c r="B9786" t="s">
        <v>26951</v>
      </c>
      <c r="C9786" t="s">
        <v>24405</v>
      </c>
      <c r="D9786" t="s">
        <v>24404</v>
      </c>
      <c r="E9786" s="2" t="s">
        <v>7</v>
      </c>
      <c r="F9786" t="s">
        <v>111</v>
      </c>
      <c r="G9786" t="str">
        <f>HYPERLINK("http://www.the-pr.co.kr/news/articleView.html?idxno=16115")</f>
        <v>http://www.the-pr.co.kr/news/articleView.html?idxno=16115</v>
      </c>
      <c r="H9786">
        <v>0.41699999999999998</v>
      </c>
    </row>
    <row r="9787" spans="1:8" x14ac:dyDescent="0.3">
      <c r="A9787" t="s">
        <v>24042</v>
      </c>
      <c r="B9787" t="s">
        <v>26951</v>
      </c>
      <c r="C9787" t="s">
        <v>24408</v>
      </c>
      <c r="D9787" t="s">
        <v>24407</v>
      </c>
      <c r="E9787" s="2" t="s">
        <v>7</v>
      </c>
      <c r="F9787" t="s">
        <v>24406</v>
      </c>
      <c r="G9787" t="str">
        <f>HYPERLINK("https://www.ntoday.co.kr/news/articleView.html?idxno=116742")</f>
        <v>https://www.ntoday.co.kr/news/articleView.html?idxno=116742</v>
      </c>
      <c r="H9787">
        <v>0.75700000000000001</v>
      </c>
    </row>
    <row r="9788" spans="1:8" x14ac:dyDescent="0.3">
      <c r="A9788" t="s">
        <v>24042</v>
      </c>
      <c r="B9788" t="s">
        <v>26951</v>
      </c>
      <c r="C9788" t="s">
        <v>24410</v>
      </c>
      <c r="D9788" t="s">
        <v>24409</v>
      </c>
      <c r="E9788" s="2" t="s">
        <v>7</v>
      </c>
      <c r="F9788" t="s">
        <v>13416</v>
      </c>
      <c r="G9788" t="str">
        <f>HYPERLINK("http://www.knnews.co.kr/news/articleView.php?idxno=1341202")</f>
        <v>http://www.knnews.co.kr/news/articleView.php?idxno=1341202</v>
      </c>
      <c r="H9788">
        <v>0.51700000000000002</v>
      </c>
    </row>
    <row r="9789" spans="1:8" x14ac:dyDescent="0.3">
      <c r="A9789" t="s">
        <v>24042</v>
      </c>
      <c r="B9789" t="s">
        <v>26951</v>
      </c>
      <c r="C9789" t="s">
        <v>24412</v>
      </c>
      <c r="D9789" t="s">
        <v>24411</v>
      </c>
      <c r="E9789" s="2" t="s">
        <v>7</v>
      </c>
      <c r="F9789" t="s">
        <v>857</v>
      </c>
      <c r="G9789" t="str">
        <f>HYPERLINK("https://www.apnews.kr/news/articleView.html?idxno=3032017")</f>
        <v>https://www.apnews.kr/news/articleView.html?idxno=3032017</v>
      </c>
      <c r="H9789">
        <v>0.17199999999999999</v>
      </c>
    </row>
    <row r="9790" spans="1:8" x14ac:dyDescent="0.3">
      <c r="A9790" t="s">
        <v>24042</v>
      </c>
      <c r="B9790" t="s">
        <v>26951</v>
      </c>
      <c r="C9790" t="s">
        <v>24414</v>
      </c>
      <c r="D9790" t="s">
        <v>24413</v>
      </c>
      <c r="E9790" s="2" t="s">
        <v>66</v>
      </c>
      <c r="F9790" t="s">
        <v>45</v>
      </c>
      <c r="G9790" t="str">
        <f>HYPERLINK("https://www.golfjournal.co.kr/news/articleView.html?idxno=10475")</f>
        <v>https://www.golfjournal.co.kr/news/articleView.html?idxno=10475</v>
      </c>
      <c r="H9790">
        <v>0.20399999999999999</v>
      </c>
    </row>
    <row r="9791" spans="1:8" x14ac:dyDescent="0.3">
      <c r="A9791" t="s">
        <v>24042</v>
      </c>
      <c r="B9791" t="s">
        <v>26951</v>
      </c>
      <c r="C9791" t="s">
        <v>24416</v>
      </c>
      <c r="D9791" t="s">
        <v>24415</v>
      </c>
      <c r="E9791" s="2" t="s">
        <v>66</v>
      </c>
      <c r="F9791" t="s">
        <v>5548</v>
      </c>
      <c r="G9791" t="str">
        <f>HYPERLINK("https://www.jemin.com/news/articleView.html?idxno=819543")</f>
        <v>https://www.jemin.com/news/articleView.html?idxno=819543</v>
      </c>
      <c r="H9791">
        <v>0.67800000000000005</v>
      </c>
    </row>
    <row r="9792" spans="1:8" x14ac:dyDescent="0.3">
      <c r="A9792" t="s">
        <v>24042</v>
      </c>
      <c r="B9792" t="s">
        <v>26951</v>
      </c>
      <c r="C9792" t="s">
        <v>24419</v>
      </c>
      <c r="D9792" t="s">
        <v>24418</v>
      </c>
      <c r="E9792" s="2" t="s">
        <v>74</v>
      </c>
      <c r="F9792" t="s">
        <v>24417</v>
      </c>
      <c r="G9792" t="str">
        <f>HYPERLINK("http://jmagazine.joins.com/forbes/view/338186")</f>
        <v>http://jmagazine.joins.com/forbes/view/338186</v>
      </c>
      <c r="H9792">
        <v>0.35699999999999998</v>
      </c>
    </row>
    <row r="9793" spans="1:8" x14ac:dyDescent="0.3">
      <c r="A9793" t="s">
        <v>24042</v>
      </c>
      <c r="B9793" t="s">
        <v>26951</v>
      </c>
      <c r="C9793" t="s">
        <v>24421</v>
      </c>
      <c r="D9793" t="s">
        <v>24420</v>
      </c>
      <c r="E9793" s="2" t="s">
        <v>74</v>
      </c>
      <c r="F9793" t="s">
        <v>15896</v>
      </c>
      <c r="G9793" t="str">
        <f>HYPERLINK("http://www.newstof.com/news/articleView.html?idxno=10195")</f>
        <v>http://www.newstof.com/news/articleView.html?idxno=10195</v>
      </c>
      <c r="H9793">
        <v>0.42599999999999999</v>
      </c>
    </row>
    <row r="9794" spans="1:8" x14ac:dyDescent="0.3">
      <c r="A9794" t="s">
        <v>24042</v>
      </c>
      <c r="B9794" t="s">
        <v>26951</v>
      </c>
      <c r="C9794" t="s">
        <v>24423</v>
      </c>
      <c r="D9794" t="s">
        <v>24422</v>
      </c>
      <c r="E9794" s="2" t="s">
        <v>74</v>
      </c>
      <c r="F9794" t="s">
        <v>12458</v>
      </c>
      <c r="G9794" t="str">
        <f>HYPERLINK("https://n.news.naver.com/mnews/article/028/0002629896?sid=103")</f>
        <v>https://n.news.naver.com/mnews/article/028/0002629896?sid=103</v>
      </c>
      <c r="H9794">
        <v>0.24099999999999999</v>
      </c>
    </row>
    <row r="9795" spans="1:8" x14ac:dyDescent="0.3">
      <c r="A9795" t="s">
        <v>24042</v>
      </c>
      <c r="B9795" t="s">
        <v>26951</v>
      </c>
      <c r="C9795" t="s">
        <v>24426</v>
      </c>
      <c r="D9795" t="s">
        <v>24425</v>
      </c>
      <c r="E9795" s="2" t="s">
        <v>74</v>
      </c>
      <c r="F9795" t="s">
        <v>24424</v>
      </c>
      <c r="G9795" t="str">
        <f>HYPERLINK("https://n.news.naver.com/mnews/article/057/0001893728?sid=102")</f>
        <v>https://n.news.naver.com/mnews/article/057/0001893728?sid=102</v>
      </c>
      <c r="H9795">
        <v>0.29499999999999998</v>
      </c>
    </row>
    <row r="9796" spans="1:8" x14ac:dyDescent="0.3">
      <c r="A9796" t="s">
        <v>24042</v>
      </c>
      <c r="B9796" t="s">
        <v>26951</v>
      </c>
      <c r="C9796" t="s">
        <v>24428</v>
      </c>
      <c r="D9796" t="s">
        <v>24427</v>
      </c>
      <c r="E9796" s="2" t="s">
        <v>74</v>
      </c>
      <c r="F9796" t="s">
        <v>9134</v>
      </c>
      <c r="G9796" t="str">
        <f>HYPERLINK("https://n.news.naver.com/mnews/article/057/0001894452?sid=103")</f>
        <v>https://n.news.naver.com/mnews/article/057/0001894452?sid=103</v>
      </c>
      <c r="H9796">
        <v>0.14699999999999999</v>
      </c>
    </row>
    <row r="9797" spans="1:8" x14ac:dyDescent="0.3">
      <c r="A9797" t="s">
        <v>24042</v>
      </c>
      <c r="B9797" t="s">
        <v>26951</v>
      </c>
      <c r="C9797" t="s">
        <v>24431</v>
      </c>
      <c r="D9797" t="s">
        <v>24430</v>
      </c>
      <c r="E9797" s="2" t="s">
        <v>74</v>
      </c>
      <c r="F9797" t="s">
        <v>24429</v>
      </c>
      <c r="G9797" t="str">
        <f>HYPERLINK("http://ch.yes24.com/Article/View/49548")</f>
        <v>http://ch.yes24.com/Article/View/49548</v>
      </c>
      <c r="H9797">
        <v>0.49199999999999999</v>
      </c>
    </row>
    <row r="9798" spans="1:8" x14ac:dyDescent="0.3">
      <c r="A9798" t="s">
        <v>24042</v>
      </c>
      <c r="B9798" t="s">
        <v>26951</v>
      </c>
      <c r="C9798" t="s">
        <v>24433</v>
      </c>
      <c r="D9798" t="s">
        <v>24432</v>
      </c>
      <c r="E9798" s="2" t="s">
        <v>74</v>
      </c>
      <c r="F9798" t="s">
        <v>9134</v>
      </c>
      <c r="G9798" t="str">
        <f>HYPERLINK("https://n.news.naver.com/mnews/article/057/0001894452?sid=103")</f>
        <v>https://n.news.naver.com/mnews/article/057/0001894452?sid=103</v>
      </c>
      <c r="H9798">
        <v>0.27</v>
      </c>
    </row>
    <row r="9799" spans="1:8" x14ac:dyDescent="0.3">
      <c r="A9799" t="s">
        <v>24042</v>
      </c>
      <c r="B9799" t="s">
        <v>26951</v>
      </c>
      <c r="C9799" t="s">
        <v>24435</v>
      </c>
      <c r="D9799" t="s">
        <v>24434</v>
      </c>
      <c r="E9799" s="2" t="s">
        <v>74</v>
      </c>
      <c r="F9799" t="s">
        <v>89</v>
      </c>
      <c r="G9799" t="str">
        <f>HYPERLINK("https://n.news.naver.com/mnews/article/057/0001886847?sid=004")</f>
        <v>https://n.news.naver.com/mnews/article/057/0001886847?sid=004</v>
      </c>
      <c r="H9799">
        <v>0.17699999999999999</v>
      </c>
    </row>
    <row r="9800" spans="1:8" x14ac:dyDescent="0.3">
      <c r="A9800" t="s">
        <v>24042</v>
      </c>
      <c r="B9800" t="s">
        <v>26951</v>
      </c>
      <c r="C9800" t="s">
        <v>24437</v>
      </c>
      <c r="D9800" t="s">
        <v>24436</v>
      </c>
      <c r="E9800" s="2" t="s">
        <v>74</v>
      </c>
      <c r="F9800" t="s">
        <v>1885</v>
      </c>
      <c r="G9800" t="str">
        <f>HYPERLINK("http://www.ilemonde.com/news/articleView.html?idxno=15658")</f>
        <v>http://www.ilemonde.com/news/articleView.html?idxno=15658</v>
      </c>
      <c r="H9800">
        <v>0.48699999999999999</v>
      </c>
    </row>
    <row r="9801" spans="1:8" x14ac:dyDescent="0.3">
      <c r="A9801" t="s">
        <v>24042</v>
      </c>
      <c r="B9801" t="s">
        <v>26951</v>
      </c>
      <c r="C9801" t="s">
        <v>24439</v>
      </c>
      <c r="D9801" t="s">
        <v>24438</v>
      </c>
      <c r="E9801" s="2" t="s">
        <v>105</v>
      </c>
      <c r="F9801" t="s">
        <v>11034</v>
      </c>
      <c r="G9801" t="str">
        <f>HYPERLINK("https://n.news.naver.com/mnews/article/006/0000129851?sid=154")</f>
        <v>https://n.news.naver.com/mnews/article/006/0000129851?sid=154</v>
      </c>
      <c r="H9801">
        <v>0.26300000000000001</v>
      </c>
    </row>
    <row r="9802" spans="1:8" x14ac:dyDescent="0.3">
      <c r="A9802" t="s">
        <v>24042</v>
      </c>
      <c r="B9802" t="s">
        <v>26951</v>
      </c>
      <c r="C9802" t="s">
        <v>24442</v>
      </c>
      <c r="D9802" t="s">
        <v>24441</v>
      </c>
      <c r="E9802" s="2" t="s">
        <v>105</v>
      </c>
      <c r="F9802" t="s">
        <v>24440</v>
      </c>
      <c r="G9802" t="str">
        <f>HYPERLINK("http://www.lecturernews.com/news/articleView.html?idxno=61476")</f>
        <v>http://www.lecturernews.com/news/articleView.html?idxno=61476</v>
      </c>
      <c r="H9802">
        <v>0.498</v>
      </c>
    </row>
    <row r="9803" spans="1:8" x14ac:dyDescent="0.3">
      <c r="A9803" t="s">
        <v>24042</v>
      </c>
      <c r="B9803" t="s">
        <v>26951</v>
      </c>
      <c r="C9803" t="s">
        <v>24445</v>
      </c>
      <c r="D9803" t="s">
        <v>24444</v>
      </c>
      <c r="E9803" s="2" t="s">
        <v>105</v>
      </c>
      <c r="F9803" t="s">
        <v>24443</v>
      </c>
      <c r="G9803" t="str">
        <f>HYPERLINK("http://www.kyosu.net/news/articleView.html?idxno=116544")</f>
        <v>http://www.kyosu.net/news/articleView.html?idxno=116544</v>
      </c>
      <c r="H9803">
        <v>0.55900000000000005</v>
      </c>
    </row>
    <row r="9804" spans="1:8" x14ac:dyDescent="0.3">
      <c r="A9804" t="s">
        <v>24042</v>
      </c>
      <c r="B9804" t="s">
        <v>26951</v>
      </c>
      <c r="C9804" t="s">
        <v>24447</v>
      </c>
      <c r="D9804" t="s">
        <v>24446</v>
      </c>
      <c r="E9804" s="2" t="s">
        <v>105</v>
      </c>
      <c r="F9804" t="s">
        <v>13903</v>
      </c>
      <c r="G9804" t="str">
        <f>HYPERLINK("https://www.joongangenews.com/news/articleView.html?idxno=430887")</f>
        <v>https://www.joongangenews.com/news/articleView.html?idxno=430887</v>
      </c>
      <c r="H9804">
        <v>0.437</v>
      </c>
    </row>
    <row r="9805" spans="1:8" x14ac:dyDescent="0.3">
      <c r="A9805" t="s">
        <v>24042</v>
      </c>
      <c r="B9805" t="s">
        <v>26951</v>
      </c>
      <c r="C9805" t="s">
        <v>24449</v>
      </c>
      <c r="D9805" t="s">
        <v>24448</v>
      </c>
      <c r="E9805" s="2" t="s">
        <v>105</v>
      </c>
      <c r="F9805" t="s">
        <v>1378</v>
      </c>
      <c r="G9805" t="str">
        <f>HYPERLINK("https://n.news.naver.com/mnews/article/008/0004004560?sid=103")</f>
        <v>https://n.news.naver.com/mnews/article/008/0004004560?sid=103</v>
      </c>
      <c r="H9805">
        <v>0.32100000000000001</v>
      </c>
    </row>
    <row r="9806" spans="1:8" x14ac:dyDescent="0.3">
      <c r="A9806" t="s">
        <v>24042</v>
      </c>
      <c r="B9806" t="s">
        <v>26951</v>
      </c>
      <c r="C9806" t="s">
        <v>24452</v>
      </c>
      <c r="D9806" t="s">
        <v>24451</v>
      </c>
      <c r="E9806" s="2" t="s">
        <v>105</v>
      </c>
      <c r="F9806" t="s">
        <v>24450</v>
      </c>
      <c r="G9806" t="str">
        <f>HYPERLINK("http://www.psychiatricnews.net/news/articleView.html?idxno=36004")</f>
        <v>http://www.psychiatricnews.net/news/articleView.html?idxno=36004</v>
      </c>
      <c r="H9806">
        <v>0.51</v>
      </c>
    </row>
    <row r="9807" spans="1:8" x14ac:dyDescent="0.3">
      <c r="A9807" t="s">
        <v>24042</v>
      </c>
      <c r="B9807" t="s">
        <v>26951</v>
      </c>
      <c r="C9807" t="s">
        <v>24454</v>
      </c>
      <c r="D9807" t="s">
        <v>24453</v>
      </c>
      <c r="E9807" s="2" t="s">
        <v>133</v>
      </c>
      <c r="F9807" t="s">
        <v>17345</v>
      </c>
      <c r="G9807" t="str">
        <f>HYPERLINK("https://www.ftimes.kr/news/articleView.html?idxno=31627")</f>
        <v>https://www.ftimes.kr/news/articleView.html?idxno=31627</v>
      </c>
      <c r="H9807">
        <v>0.34499999999999997</v>
      </c>
    </row>
    <row r="9808" spans="1:8" x14ac:dyDescent="0.3">
      <c r="A9808" t="s">
        <v>24042</v>
      </c>
      <c r="B9808" t="s">
        <v>26951</v>
      </c>
      <c r="C9808" t="s">
        <v>24457</v>
      </c>
      <c r="D9808" t="s">
        <v>24456</v>
      </c>
      <c r="E9808" s="2" t="s">
        <v>133</v>
      </c>
      <c r="F9808" t="s">
        <v>24455</v>
      </c>
      <c r="G9808" t="str">
        <f>HYPERLINK("http://www.newswhoplus.com/news/articleView.html?idxno=6595")</f>
        <v>http://www.newswhoplus.com/news/articleView.html?idxno=6595</v>
      </c>
      <c r="H9808">
        <v>0.63900000000000001</v>
      </c>
    </row>
    <row r="9809" spans="1:8" x14ac:dyDescent="0.3">
      <c r="A9809" t="s">
        <v>24042</v>
      </c>
      <c r="B9809" t="s">
        <v>26951</v>
      </c>
      <c r="C9809" t="s">
        <v>24459</v>
      </c>
      <c r="D9809" t="s">
        <v>24458</v>
      </c>
      <c r="E9809" s="2" t="s">
        <v>133</v>
      </c>
      <c r="F9809" t="s">
        <v>11906</v>
      </c>
      <c r="G9809" t="str">
        <f>HYPERLINK("https://n.news.naver.com/mnews/article/022/0004046361?sid=102")</f>
        <v>https://n.news.naver.com/mnews/article/022/0004046361?sid=102</v>
      </c>
      <c r="H9809">
        <v>0.28999999999999998</v>
      </c>
    </row>
    <row r="9810" spans="1:8" x14ac:dyDescent="0.3">
      <c r="A9810" t="s">
        <v>24042</v>
      </c>
      <c r="B9810" t="s">
        <v>26951</v>
      </c>
      <c r="C9810" t="s">
        <v>24461</v>
      </c>
      <c r="D9810" t="s">
        <v>24460</v>
      </c>
      <c r="E9810" s="2" t="s">
        <v>133</v>
      </c>
      <c r="F9810" t="s">
        <v>817</v>
      </c>
      <c r="G9810" t="str">
        <f>HYPERLINK("https://www.pointe.co.kr/news/articleView.html?idxno=47869")</f>
        <v>https://www.pointe.co.kr/news/articleView.html?idxno=47869</v>
      </c>
      <c r="H9810">
        <v>0.91400000000000003</v>
      </c>
    </row>
    <row r="9811" spans="1:8" x14ac:dyDescent="0.3">
      <c r="A9811" t="s">
        <v>24042</v>
      </c>
      <c r="B9811" t="s">
        <v>26951</v>
      </c>
      <c r="C9811" t="s">
        <v>24463</v>
      </c>
      <c r="D9811" t="s">
        <v>24462</v>
      </c>
      <c r="E9811" s="2" t="s">
        <v>133</v>
      </c>
      <c r="F9811" t="s">
        <v>1266</v>
      </c>
      <c r="G9811" t="str">
        <f>HYPERLINK("https://n.news.naver.com/mnews/article/018/0006049007?sid=102")</f>
        <v>https://n.news.naver.com/mnews/article/018/0006049007?sid=102</v>
      </c>
      <c r="H9811">
        <v>0.26800000000000002</v>
      </c>
    </row>
    <row r="9812" spans="1:8" x14ac:dyDescent="0.3">
      <c r="A9812" t="s">
        <v>24042</v>
      </c>
      <c r="B9812" t="s">
        <v>26951</v>
      </c>
      <c r="C9812" t="s">
        <v>24465</v>
      </c>
      <c r="D9812" t="s">
        <v>24464</v>
      </c>
      <c r="E9812" s="2" t="s">
        <v>133</v>
      </c>
      <c r="F9812" t="s">
        <v>7787</v>
      </c>
      <c r="G9812" t="str">
        <f>HYPERLINK("http://www.mygoyang.com/news/articleView.html?idxno=64994")</f>
        <v>http://www.mygoyang.com/news/articleView.html?idxno=64994</v>
      </c>
      <c r="H9812">
        <v>0.40300000000000002</v>
      </c>
    </row>
    <row r="9813" spans="1:8" x14ac:dyDescent="0.3">
      <c r="A9813" t="s">
        <v>24042</v>
      </c>
      <c r="B9813" t="s">
        <v>26951</v>
      </c>
      <c r="C9813" t="s">
        <v>24467</v>
      </c>
      <c r="D9813" t="s">
        <v>24466</v>
      </c>
      <c r="E9813" s="2" t="s">
        <v>133</v>
      </c>
      <c r="F9813" t="s">
        <v>10840</v>
      </c>
      <c r="G9813" t="str">
        <f>HYPERLINK("https://n.news.naver.com/mnews/article/014/0005368559?sid=102")</f>
        <v>https://n.news.naver.com/mnews/article/014/0005368559?sid=102</v>
      </c>
      <c r="H9813">
        <v>0.249</v>
      </c>
    </row>
    <row r="9814" spans="1:8" x14ac:dyDescent="0.3">
      <c r="A9814" t="s">
        <v>24042</v>
      </c>
      <c r="B9814" t="s">
        <v>26951</v>
      </c>
      <c r="C9814" t="s">
        <v>24469</v>
      </c>
      <c r="D9814" t="s">
        <v>24468</v>
      </c>
      <c r="E9814" s="2" t="s">
        <v>133</v>
      </c>
      <c r="F9814" t="s">
        <v>5087</v>
      </c>
      <c r="G9814" t="str">
        <f>HYPERLINK("https://sports.hankooki.com/news/articleView.html?idxno=6902082")</f>
        <v>https://sports.hankooki.com/news/articleView.html?idxno=6902082</v>
      </c>
      <c r="H9814">
        <v>0.76100000000000001</v>
      </c>
    </row>
    <row r="9815" spans="1:8" x14ac:dyDescent="0.3">
      <c r="A9815" t="s">
        <v>24042</v>
      </c>
      <c r="B9815" t="s">
        <v>26951</v>
      </c>
      <c r="C9815" t="s">
        <v>24471</v>
      </c>
      <c r="D9815" t="s">
        <v>24470</v>
      </c>
      <c r="E9815" s="2" t="s">
        <v>172</v>
      </c>
      <c r="F9815" t="s">
        <v>1957</v>
      </c>
      <c r="G9815" t="str">
        <f>HYPERLINK("https://radio.ytn.co.kr/program/?f=2&amp;id=89847&amp;s_mcd=0211&amp;s_hcd=09")</f>
        <v>https://radio.ytn.co.kr/program/?f=2&amp;id=89847&amp;s_mcd=0211&amp;s_hcd=09</v>
      </c>
      <c r="H9815">
        <v>0.41499999999999998</v>
      </c>
    </row>
    <row r="9816" spans="1:8" x14ac:dyDescent="0.3">
      <c r="A9816" t="s">
        <v>24042</v>
      </c>
      <c r="B9816" t="s">
        <v>26951</v>
      </c>
      <c r="C9816" t="s">
        <v>24473</v>
      </c>
      <c r="D9816" t="s">
        <v>24472</v>
      </c>
      <c r="E9816" s="2" t="s">
        <v>172</v>
      </c>
      <c r="F9816" t="s">
        <v>5548</v>
      </c>
      <c r="G9816" t="str">
        <f>HYPERLINK("https://sports.hankooki.com/news/articleView.html?idxno=6879720")</f>
        <v>https://sports.hankooki.com/news/articleView.html?idxno=6879720</v>
      </c>
      <c r="H9816">
        <v>0.55600000000000005</v>
      </c>
    </row>
    <row r="9817" spans="1:8" x14ac:dyDescent="0.3">
      <c r="A9817" t="s">
        <v>24042</v>
      </c>
      <c r="B9817" t="s">
        <v>26951</v>
      </c>
      <c r="C9817" t="s">
        <v>24476</v>
      </c>
      <c r="D9817" t="s">
        <v>24475</v>
      </c>
      <c r="E9817" s="2" t="s">
        <v>172</v>
      </c>
      <c r="F9817" t="s">
        <v>24474</v>
      </c>
      <c r="G9817" t="str">
        <f>HYPERLINK("https://n.news.naver.com/mnews/article/008/0005209870?sid=103")</f>
        <v>https://n.news.naver.com/mnews/article/008/0005209870?sid=103</v>
      </c>
      <c r="H9817">
        <v>0.30399999999999999</v>
      </c>
    </row>
    <row r="9818" spans="1:8" x14ac:dyDescent="0.3">
      <c r="A9818" t="s">
        <v>24042</v>
      </c>
      <c r="B9818" t="s">
        <v>26951</v>
      </c>
      <c r="C9818" t="s">
        <v>24478</v>
      </c>
      <c r="D9818" t="s">
        <v>24477</v>
      </c>
      <c r="E9818" s="2" t="s">
        <v>172</v>
      </c>
      <c r="F9818" t="s">
        <v>8961</v>
      </c>
      <c r="G9818" t="str">
        <f>HYPERLINK("https://n.news.naver.com/mnews/article/036/0000011462?sid=102")</f>
        <v>https://n.news.naver.com/mnews/article/036/0000011462?sid=102</v>
      </c>
      <c r="H9818">
        <v>0.33</v>
      </c>
    </row>
    <row r="9819" spans="1:8" x14ac:dyDescent="0.3">
      <c r="A9819" t="s">
        <v>24042</v>
      </c>
      <c r="B9819" t="s">
        <v>26951</v>
      </c>
      <c r="C9819" t="s">
        <v>24480</v>
      </c>
      <c r="D9819" t="s">
        <v>24479</v>
      </c>
      <c r="E9819" s="2" t="s">
        <v>172</v>
      </c>
      <c r="F9819" t="s">
        <v>857</v>
      </c>
      <c r="G9819" t="str">
        <f>HYPERLINK("https://www.thebilliards.kr/news/articleView.html?idxno=27869")</f>
        <v>https://www.thebilliards.kr/news/articleView.html?idxno=27869</v>
      </c>
      <c r="H9819">
        <v>0.11899999999999999</v>
      </c>
    </row>
    <row r="9820" spans="1:8" x14ac:dyDescent="0.3">
      <c r="A9820" t="s">
        <v>24042</v>
      </c>
      <c r="B9820" t="s">
        <v>26951</v>
      </c>
      <c r="C9820" t="s">
        <v>24482</v>
      </c>
      <c r="D9820" t="s">
        <v>24481</v>
      </c>
      <c r="E9820" s="2" t="s">
        <v>196</v>
      </c>
      <c r="F9820" t="s">
        <v>2517</v>
      </c>
      <c r="G9820" t="str">
        <f>HYPERLINK("https://wemakenews.co.kr/news/view.php?no=21869")</f>
        <v>https://wemakenews.co.kr/news/view.php?no=21869</v>
      </c>
      <c r="H9820">
        <v>0.36799999999999999</v>
      </c>
    </row>
    <row r="9821" spans="1:8" x14ac:dyDescent="0.3">
      <c r="A9821" t="s">
        <v>24042</v>
      </c>
      <c r="B9821" t="s">
        <v>26951</v>
      </c>
      <c r="C9821" t="s">
        <v>13935</v>
      </c>
      <c r="D9821" t="s">
        <v>13934</v>
      </c>
      <c r="E9821" s="2" t="s">
        <v>196</v>
      </c>
      <c r="F9821" t="s">
        <v>9962</v>
      </c>
      <c r="G9821" t="str">
        <f>HYPERLINK("https://weekly.cnbnews.com/news/article.html?no=181923")</f>
        <v>https://weekly.cnbnews.com/news/article.html?no=181923</v>
      </c>
      <c r="H9821">
        <v>0.46800000000000003</v>
      </c>
    </row>
    <row r="9822" spans="1:8" x14ac:dyDescent="0.3">
      <c r="A9822" t="s">
        <v>24042</v>
      </c>
      <c r="B9822" t="s">
        <v>26951</v>
      </c>
      <c r="C9822" t="s">
        <v>24485</v>
      </c>
      <c r="D9822" t="s">
        <v>24484</v>
      </c>
      <c r="E9822" s="2" t="s">
        <v>196</v>
      </c>
      <c r="F9822" t="s">
        <v>24483</v>
      </c>
      <c r="G9822" t="str">
        <f>HYPERLINK("https://n.news.naver.com/mnews/article/057/0000864558?sid=103")</f>
        <v>https://n.news.naver.com/mnews/article/057/0000864558?sid=103</v>
      </c>
      <c r="H9822">
        <v>0.26600000000000001</v>
      </c>
    </row>
    <row r="9823" spans="1:8" x14ac:dyDescent="0.3">
      <c r="A9823" t="s">
        <v>24042</v>
      </c>
      <c r="B9823" t="s">
        <v>26951</v>
      </c>
      <c r="C9823" t="s">
        <v>24487</v>
      </c>
      <c r="D9823" t="s">
        <v>24486</v>
      </c>
      <c r="E9823" s="2" t="s">
        <v>196</v>
      </c>
      <c r="F9823" t="s">
        <v>9152</v>
      </c>
      <c r="G9823" t="str">
        <f>HYPERLINK("http://www.newstnt.com/news/articleView.html?idxno=502817")</f>
        <v>http://www.newstnt.com/news/articleView.html?idxno=502817</v>
      </c>
      <c r="H9823">
        <v>0.98399999999999999</v>
      </c>
    </row>
    <row r="9824" spans="1:8" x14ac:dyDescent="0.3">
      <c r="A9824" t="s">
        <v>24042</v>
      </c>
      <c r="B9824" t="s">
        <v>26951</v>
      </c>
      <c r="C9824" t="s">
        <v>24489</v>
      </c>
      <c r="D9824" t="s">
        <v>24488</v>
      </c>
      <c r="E9824" s="2" t="s">
        <v>196</v>
      </c>
      <c r="F9824" t="s">
        <v>9749</v>
      </c>
      <c r="G9824" t="str">
        <f>HYPERLINK("https://n.news.naver.com/mnews/article/014/0005367151?sid=103")</f>
        <v>https://n.news.naver.com/mnews/article/014/0005367151?sid=103</v>
      </c>
      <c r="H9824">
        <v>0.254</v>
      </c>
    </row>
    <row r="9825" spans="1:8" x14ac:dyDescent="0.3">
      <c r="A9825" t="s">
        <v>24042</v>
      </c>
      <c r="B9825" t="s">
        <v>26951</v>
      </c>
      <c r="C9825" t="s">
        <v>24491</v>
      </c>
      <c r="D9825" t="s">
        <v>24490</v>
      </c>
      <c r="E9825" s="2" t="s">
        <v>196</v>
      </c>
      <c r="F9825" t="s">
        <v>10471</v>
      </c>
      <c r="G9825" t="str">
        <f>HYPERLINK("https://n.news.naver.com/mnews/article/014/0005367151?sid=103")</f>
        <v>https://n.news.naver.com/mnews/article/014/0005367151?sid=103</v>
      </c>
      <c r="H9825">
        <v>0.28499999999999998</v>
      </c>
    </row>
    <row r="9826" spans="1:8" x14ac:dyDescent="0.3">
      <c r="A9826" t="s">
        <v>24042</v>
      </c>
      <c r="B9826" t="s">
        <v>26951</v>
      </c>
      <c r="C9826" t="s">
        <v>24493</v>
      </c>
      <c r="D9826" t="s">
        <v>24492</v>
      </c>
      <c r="E9826" s="2" t="s">
        <v>230</v>
      </c>
      <c r="F9826" t="s">
        <v>7786</v>
      </c>
      <c r="G9826" t="str">
        <f>HYPERLINK("https://n.news.naver.com/mnews/article/277/0005611844?sid=103")</f>
        <v>https://n.news.naver.com/mnews/article/277/0005611844?sid=103</v>
      </c>
      <c r="H9826">
        <v>0.18</v>
      </c>
    </row>
    <row r="9827" spans="1:8" x14ac:dyDescent="0.3">
      <c r="A9827" t="s">
        <v>24042</v>
      </c>
      <c r="B9827" t="s">
        <v>26951</v>
      </c>
      <c r="C9827" t="s">
        <v>24496</v>
      </c>
      <c r="D9827" t="s">
        <v>24495</v>
      </c>
      <c r="E9827" s="2" t="s">
        <v>230</v>
      </c>
      <c r="F9827" t="s">
        <v>24494</v>
      </c>
      <c r="G9827" t="str">
        <f>HYPERLINK("https://www.rcast.co.kr/news/articleView.html?idxno=28284")</f>
        <v>https://www.rcast.co.kr/news/articleView.html?idxno=28284</v>
      </c>
      <c r="H9827">
        <v>0.25900000000000001</v>
      </c>
    </row>
    <row r="9828" spans="1:8" x14ac:dyDescent="0.3">
      <c r="A9828" t="s">
        <v>24042</v>
      </c>
      <c r="B9828" t="s">
        <v>26951</v>
      </c>
      <c r="C9828" t="s">
        <v>24498</v>
      </c>
      <c r="D9828" t="s">
        <v>24497</v>
      </c>
      <c r="E9828" s="2" t="s">
        <v>230</v>
      </c>
      <c r="F9828" t="s">
        <v>13678</v>
      </c>
      <c r="G9828" t="str">
        <f>HYPERLINK("https://www.vogue.co.kr/2023/09/13/%ec%9c%a4%ea%b3%84%ec%83%81-%ea%b9%80%ec%8b%a0%eb%a1%9d-%eb%b0%95%ec%84%b1%ed%9b%88-%ec%9c%a0%eb%82%98%ea%b0%80-%eb%b3%b4%eb%82%b4%eb%8a%94-%ec%9c%84%eb%a1%9c/?utm_source=naver&amp;utm_medium=partnership")</f>
        <v>https://www.vogue.co.kr/2023/09/13/%ec%9c%a4%ea%b3%84%ec%83%81-%ea%b9%80%ec%8b%a0%eb%a1%9d-%eb%b0%95%ec%84%b1%ed%9b%88-%ec%9c%a0%eb%82%98%ea%b0%80-%eb%b3%b4%eb%82%b4%eb%8a%94-%ec%9c%84%eb%a1%9c/?utm_source=naver&amp;utm_medium=partnership</v>
      </c>
      <c r="H9828">
        <v>0.40100000000000002</v>
      </c>
    </row>
    <row r="9829" spans="1:8" x14ac:dyDescent="0.3">
      <c r="A9829" t="s">
        <v>24042</v>
      </c>
      <c r="B9829" t="s">
        <v>26951</v>
      </c>
      <c r="C9829" t="s">
        <v>24501</v>
      </c>
      <c r="D9829" t="s">
        <v>24500</v>
      </c>
      <c r="E9829" s="2" t="s">
        <v>267</v>
      </c>
      <c r="F9829" t="s">
        <v>24499</v>
      </c>
      <c r="G9829" t="str">
        <f>HYPERLINK("http://www.koreastocknews.com/news/articleView.html?idxno=98657")</f>
        <v>http://www.koreastocknews.com/news/articleView.html?idxno=98657</v>
      </c>
      <c r="H9829">
        <v>0.215</v>
      </c>
    </row>
    <row r="9830" spans="1:8" x14ac:dyDescent="0.3">
      <c r="A9830" t="s">
        <v>24042</v>
      </c>
      <c r="B9830" t="s">
        <v>26951</v>
      </c>
      <c r="C9830" t="s">
        <v>6905</v>
      </c>
      <c r="D9830" t="s">
        <v>6904</v>
      </c>
      <c r="E9830" s="2" t="s">
        <v>267</v>
      </c>
      <c r="F9830" t="s">
        <v>5724</v>
      </c>
      <c r="G9830" t="str">
        <f>HYPERLINK("https://radio.ytn.co.kr/program/?f=2&amp;id=82498&amp;s_mcd=0263&amp;s_hcd=01")</f>
        <v>https://radio.ytn.co.kr/program/?f=2&amp;id=82498&amp;s_mcd=0263&amp;s_hcd=01</v>
      </c>
      <c r="H9830">
        <v>0.35199999999999998</v>
      </c>
    </row>
    <row r="9831" spans="1:8" x14ac:dyDescent="0.3">
      <c r="A9831" t="s">
        <v>24042</v>
      </c>
      <c r="B9831" t="s">
        <v>26951</v>
      </c>
      <c r="C9831" t="s">
        <v>24504</v>
      </c>
      <c r="D9831" t="s">
        <v>24503</v>
      </c>
      <c r="E9831" s="2" t="s">
        <v>267</v>
      </c>
      <c r="F9831" t="s">
        <v>24502</v>
      </c>
      <c r="G9831" t="str">
        <f>HYPERLINK("http://apnews.kr/View.aspx?No=912409")</f>
        <v>http://apnews.kr/View.aspx?No=912409</v>
      </c>
      <c r="H9831">
        <v>0.18099999999999999</v>
      </c>
    </row>
    <row r="9832" spans="1:8" x14ac:dyDescent="0.3">
      <c r="A9832" t="s">
        <v>24042</v>
      </c>
      <c r="B9832" t="s">
        <v>26951</v>
      </c>
      <c r="C9832" t="s">
        <v>24506</v>
      </c>
      <c r="D9832" t="s">
        <v>24505</v>
      </c>
      <c r="E9832" s="2" t="s">
        <v>267</v>
      </c>
      <c r="F9832" t="s">
        <v>9134</v>
      </c>
      <c r="G9832" t="str">
        <f>HYPERLINK("https://n.news.naver.com/mnews/article/057/0001894452?sid=103")</f>
        <v>https://n.news.naver.com/mnews/article/057/0001894452?sid=103</v>
      </c>
      <c r="H9832">
        <v>0.28599999999999998</v>
      </c>
    </row>
    <row r="9833" spans="1:8" x14ac:dyDescent="0.3">
      <c r="A9833" t="s">
        <v>24042</v>
      </c>
      <c r="B9833" t="s">
        <v>26951</v>
      </c>
      <c r="C9833" t="s">
        <v>24508</v>
      </c>
      <c r="D9833" t="s">
        <v>24507</v>
      </c>
      <c r="E9833" s="2" t="s">
        <v>280</v>
      </c>
      <c r="F9833" t="s">
        <v>1377</v>
      </c>
      <c r="G9833" t="str">
        <f>HYPERLINK("https://sports.hankooki.com/news/articleView.html?idxno=6901622")</f>
        <v>https://sports.hankooki.com/news/articleView.html?idxno=6901622</v>
      </c>
      <c r="H9833">
        <v>0.55600000000000005</v>
      </c>
    </row>
    <row r="9834" spans="1:8" x14ac:dyDescent="0.3">
      <c r="A9834" t="s">
        <v>24042</v>
      </c>
      <c r="B9834" t="s">
        <v>26951</v>
      </c>
      <c r="C9834" t="s">
        <v>24511</v>
      </c>
      <c r="D9834" t="s">
        <v>24510</v>
      </c>
      <c r="E9834" s="2" t="s">
        <v>280</v>
      </c>
      <c r="F9834" t="s">
        <v>24509</v>
      </c>
      <c r="G9834" t="str">
        <f>HYPERLINK("http://www.incheonin.com/news/articleView.html?idxno=110448")</f>
        <v>http://www.incheonin.com/news/articleView.html?idxno=110448</v>
      </c>
      <c r="H9834">
        <v>0.38300000000000001</v>
      </c>
    </row>
    <row r="9835" spans="1:8" x14ac:dyDescent="0.3">
      <c r="A9835" t="s">
        <v>24042</v>
      </c>
      <c r="B9835" t="s">
        <v>26951</v>
      </c>
      <c r="C9835" t="s">
        <v>24513</v>
      </c>
      <c r="D9835" t="s">
        <v>24512</v>
      </c>
      <c r="E9835" s="2" t="s">
        <v>280</v>
      </c>
      <c r="F9835" t="s">
        <v>9152</v>
      </c>
      <c r="G9835" t="str">
        <f>HYPERLINK("https://www.aitimes.kr/news/articleView.html?idxno=31519")</f>
        <v>https://www.aitimes.kr/news/articleView.html?idxno=31519</v>
      </c>
      <c r="H9835">
        <v>0.61899999999999999</v>
      </c>
    </row>
    <row r="9836" spans="1:8" x14ac:dyDescent="0.3">
      <c r="A9836" t="s">
        <v>24042</v>
      </c>
      <c r="B9836" t="s">
        <v>26951</v>
      </c>
      <c r="C9836" t="s">
        <v>24515</v>
      </c>
      <c r="D9836" t="s">
        <v>24514</v>
      </c>
      <c r="E9836" s="2" t="s">
        <v>280</v>
      </c>
      <c r="F9836" t="s">
        <v>13066</v>
      </c>
      <c r="G9836" t="str">
        <f>HYPERLINK("https://n.news.naver.com/mnews/article/018/0006053243?sid=102")</f>
        <v>https://n.news.naver.com/mnews/article/018/0006053243?sid=102</v>
      </c>
      <c r="H9836">
        <v>0.193</v>
      </c>
    </row>
    <row r="9837" spans="1:8" x14ac:dyDescent="0.3">
      <c r="A9837" t="s">
        <v>24042</v>
      </c>
      <c r="B9837" t="s">
        <v>26951</v>
      </c>
      <c r="C9837" t="s">
        <v>24518</v>
      </c>
      <c r="D9837" t="s">
        <v>24517</v>
      </c>
      <c r="E9837" s="2" t="s">
        <v>280</v>
      </c>
      <c r="F9837" t="s">
        <v>24516</v>
      </c>
      <c r="G9837" t="str">
        <f>HYPERLINK("http://www.fortunekorea.co.kr/news/articleView.html?idxno=11983")</f>
        <v>http://www.fortunekorea.co.kr/news/articleView.html?idxno=11983</v>
      </c>
      <c r="H9837">
        <v>0.66400000000000003</v>
      </c>
    </row>
    <row r="9838" spans="1:8" x14ac:dyDescent="0.3">
      <c r="A9838" t="s">
        <v>24042</v>
      </c>
      <c r="B9838" t="s">
        <v>26951</v>
      </c>
      <c r="C9838" t="s">
        <v>24520</v>
      </c>
      <c r="D9838" t="s">
        <v>24519</v>
      </c>
      <c r="E9838" s="2" t="s">
        <v>280</v>
      </c>
      <c r="F9838" t="s">
        <v>12569</v>
      </c>
      <c r="G9838" t="str">
        <f>HYPERLINK("https://n.news.naver.com/mnews/article/036/0000032995?sid=102")</f>
        <v>https://n.news.naver.com/mnews/article/036/0000032995?sid=102</v>
      </c>
      <c r="H9838">
        <v>0.193</v>
      </c>
    </row>
    <row r="9839" spans="1:8" x14ac:dyDescent="0.3">
      <c r="A9839" t="s">
        <v>24521</v>
      </c>
      <c r="B9839" t="s">
        <v>26951</v>
      </c>
      <c r="C9839" t="s">
        <v>24527</v>
      </c>
      <c r="D9839" t="s">
        <v>24526</v>
      </c>
      <c r="E9839" s="2" t="s">
        <v>230</v>
      </c>
      <c r="F9839" t="s">
        <v>24525</v>
      </c>
      <c r="G9839" t="str">
        <f>HYPERLINK("https://www.m-joongang.com/news/articleView.html?idxno=400509")</f>
        <v>https://www.m-joongang.com/news/articleView.html?idxno=400509</v>
      </c>
      <c r="H9839">
        <v>0.59299999999999997</v>
      </c>
    </row>
    <row r="9840" spans="1:8" x14ac:dyDescent="0.3">
      <c r="A9840" t="s">
        <v>24521</v>
      </c>
      <c r="B9840" t="s">
        <v>26951</v>
      </c>
      <c r="C9840" t="s">
        <v>24529</v>
      </c>
      <c r="D9840" t="s">
        <v>24528</v>
      </c>
      <c r="E9840" s="2" t="s">
        <v>356</v>
      </c>
      <c r="F9840" t="s">
        <v>2046</v>
      </c>
      <c r="G9840" t="str">
        <f>HYPERLINK("https://www.ksilbo.co.kr/news/articleView.html?idxno=1028944")</f>
        <v>https://www.ksilbo.co.kr/news/articleView.html?idxno=1028944</v>
      </c>
      <c r="H9840">
        <v>0.99099999999999999</v>
      </c>
    </row>
    <row r="9841" spans="1:8" x14ac:dyDescent="0.3">
      <c r="A9841" t="s">
        <v>24521</v>
      </c>
      <c r="B9841" t="s">
        <v>26951</v>
      </c>
      <c r="C9841" t="s">
        <v>24531</v>
      </c>
      <c r="D9841" t="s">
        <v>24530</v>
      </c>
      <c r="E9841" s="2" t="s">
        <v>538</v>
      </c>
      <c r="F9841" t="s">
        <v>1579</v>
      </c>
      <c r="G9841" t="str">
        <f>HYPERLINK("https://www.ulsanpress.net/news/articleView.html?idxno=515855")</f>
        <v>https://www.ulsanpress.net/news/articleView.html?idxno=515855</v>
      </c>
      <c r="H9841">
        <v>0.47599999999999998</v>
      </c>
    </row>
    <row r="9842" spans="1:8" x14ac:dyDescent="0.3">
      <c r="A9842" t="s">
        <v>24521</v>
      </c>
      <c r="B9842" t="s">
        <v>26951</v>
      </c>
      <c r="C9842" t="s">
        <v>24534</v>
      </c>
      <c r="D9842" t="s">
        <v>24533</v>
      </c>
      <c r="E9842" s="2" t="s">
        <v>860</v>
      </c>
      <c r="F9842" t="s">
        <v>24532</v>
      </c>
      <c r="G9842" t="str">
        <f>HYPERLINK("https://www.ksilbo.co.kr/news/articleView.html?idxno=1028499")</f>
        <v>https://www.ksilbo.co.kr/news/articleView.html?idxno=1028499</v>
      </c>
      <c r="H9842">
        <v>0.95899999999999996</v>
      </c>
    </row>
    <row r="9843" spans="1:8" x14ac:dyDescent="0.3">
      <c r="A9843" t="s">
        <v>19042</v>
      </c>
      <c r="B9843" t="s">
        <v>26951</v>
      </c>
      <c r="C9843" t="s">
        <v>24537</v>
      </c>
      <c r="D9843" t="s">
        <v>24536</v>
      </c>
      <c r="E9843" s="2" t="s">
        <v>7</v>
      </c>
      <c r="F9843" t="s">
        <v>13606</v>
      </c>
      <c r="G9843" t="str">
        <f>HYPERLINK("https://www.joongboo.com/news/articleView.html?idxno=363685618")</f>
        <v>https://www.joongboo.com/news/articleView.html?idxno=363685618</v>
      </c>
      <c r="H9843">
        <v>0.80100000000000005</v>
      </c>
    </row>
    <row r="9844" spans="1:8" x14ac:dyDescent="0.3">
      <c r="A9844" t="s">
        <v>19042</v>
      </c>
      <c r="B9844" t="s">
        <v>26951</v>
      </c>
      <c r="C9844" t="s">
        <v>24540</v>
      </c>
      <c r="D9844" t="s">
        <v>24539</v>
      </c>
      <c r="E9844" s="2" t="s">
        <v>105</v>
      </c>
      <c r="F9844" t="s">
        <v>24538</v>
      </c>
      <c r="G9844" t="str">
        <f>HYPERLINK("http://www.suwonilbo.kr/news/articleView.html?idxno=307920")</f>
        <v>http://www.suwonilbo.kr/news/articleView.html?idxno=307920</v>
      </c>
      <c r="H9844">
        <v>0.40300000000000002</v>
      </c>
    </row>
    <row r="9845" spans="1:8" x14ac:dyDescent="0.3">
      <c r="A9845" t="s">
        <v>19042</v>
      </c>
      <c r="B9845" t="s">
        <v>26951</v>
      </c>
      <c r="C9845" t="s">
        <v>24542</v>
      </c>
      <c r="D9845" t="s">
        <v>24541</v>
      </c>
      <c r="E9845" s="2" t="s">
        <v>133</v>
      </c>
      <c r="F9845" t="s">
        <v>1546</v>
      </c>
      <c r="G9845" t="str">
        <f>HYPERLINK("https://www.joongboo.com/news/articleView.html?idxno=363696937")</f>
        <v>https://www.joongboo.com/news/articleView.html?idxno=363696937</v>
      </c>
      <c r="H9845">
        <v>0.129</v>
      </c>
    </row>
    <row r="9846" spans="1:8" x14ac:dyDescent="0.3">
      <c r="A9846" t="s">
        <v>19042</v>
      </c>
      <c r="B9846" t="s">
        <v>26951</v>
      </c>
      <c r="C9846" t="s">
        <v>24544</v>
      </c>
      <c r="D9846" t="s">
        <v>24543</v>
      </c>
      <c r="E9846" s="2" t="s">
        <v>230</v>
      </c>
      <c r="F9846" t="s">
        <v>19042</v>
      </c>
      <c r="G9846" t="str">
        <f>HYPERLINK("https://www.joongboo.com/news/articleView.html?idxno=363696105")</f>
        <v>https://www.joongboo.com/news/articleView.html?idxno=363696105</v>
      </c>
      <c r="H9846">
        <v>0.95699999999999996</v>
      </c>
    </row>
    <row r="9847" spans="1:8" x14ac:dyDescent="0.3">
      <c r="A9847" t="s">
        <v>19042</v>
      </c>
      <c r="B9847" t="s">
        <v>26951</v>
      </c>
      <c r="C9847" t="s">
        <v>24547</v>
      </c>
      <c r="D9847" t="s">
        <v>24546</v>
      </c>
      <c r="E9847" s="2" t="s">
        <v>313</v>
      </c>
      <c r="F9847" t="s">
        <v>24545</v>
      </c>
      <c r="G9847" t="str">
        <f>HYPERLINK("https://www.ekn.kr/web/view.php?key=20250627023201047")</f>
        <v>https://www.ekn.kr/web/view.php?key=20250627023201047</v>
      </c>
      <c r="H9847">
        <v>0.59399999999999997</v>
      </c>
    </row>
    <row r="9848" spans="1:8" x14ac:dyDescent="0.3">
      <c r="A9848" t="s">
        <v>19042</v>
      </c>
      <c r="B9848" t="s">
        <v>26951</v>
      </c>
      <c r="C9848" t="s">
        <v>24549</v>
      </c>
      <c r="D9848" t="s">
        <v>24548</v>
      </c>
      <c r="E9848" s="2" t="s">
        <v>356</v>
      </c>
      <c r="F9848" t="s">
        <v>715</v>
      </c>
      <c r="G9848" t="str">
        <f>HYPERLINK("http://www.joongboo.com/news/articleView.html?idxno=363553144")</f>
        <v>http://www.joongboo.com/news/articleView.html?idxno=363553144</v>
      </c>
      <c r="H9848">
        <v>0.34</v>
      </c>
    </row>
    <row r="9849" spans="1:8" x14ac:dyDescent="0.3">
      <c r="A9849" t="s">
        <v>19042</v>
      </c>
      <c r="B9849" t="s">
        <v>26951</v>
      </c>
      <c r="C9849" t="s">
        <v>24552</v>
      </c>
      <c r="D9849" t="s">
        <v>24551</v>
      </c>
      <c r="E9849" s="2" t="s">
        <v>394</v>
      </c>
      <c r="F9849" t="s">
        <v>24550</v>
      </c>
      <c r="G9849" t="str">
        <f>HYPERLINK("https://www.ntoday.co.kr/news/articleView.html?idxno=115782")</f>
        <v>https://www.ntoday.co.kr/news/articleView.html?idxno=115782</v>
      </c>
      <c r="H9849">
        <v>0.621</v>
      </c>
    </row>
    <row r="9850" spans="1:8" x14ac:dyDescent="0.3">
      <c r="A9850" t="s">
        <v>19042</v>
      </c>
      <c r="B9850" t="s">
        <v>26951</v>
      </c>
      <c r="C9850" t="s">
        <v>24555</v>
      </c>
      <c r="D9850" t="s">
        <v>24554</v>
      </c>
      <c r="E9850" s="2" t="s">
        <v>418</v>
      </c>
      <c r="F9850" t="s">
        <v>24553</v>
      </c>
      <c r="G9850" t="str">
        <f>HYPERLINK("https://n.news.naver.com/mnews/article/057/0001655202?sid=102")</f>
        <v>https://n.news.naver.com/mnews/article/057/0001655202?sid=102</v>
      </c>
      <c r="H9850">
        <v>0.18</v>
      </c>
    </row>
    <row r="9851" spans="1:8" x14ac:dyDescent="0.3">
      <c r="A9851" t="s">
        <v>19042</v>
      </c>
      <c r="B9851" t="s">
        <v>26951</v>
      </c>
      <c r="C9851" t="s">
        <v>24558</v>
      </c>
      <c r="D9851" t="s">
        <v>24557</v>
      </c>
      <c r="E9851" s="2" t="s">
        <v>452</v>
      </c>
      <c r="F9851" t="s">
        <v>24556</v>
      </c>
      <c r="G9851" t="str">
        <f>HYPERLINK("https://www.joongboo.com/news/articleView.html?idxno=363695118")</f>
        <v>https://www.joongboo.com/news/articleView.html?idxno=363695118</v>
      </c>
      <c r="H9851">
        <v>0.42</v>
      </c>
    </row>
    <row r="9852" spans="1:8" x14ac:dyDescent="0.3">
      <c r="A9852" t="s">
        <v>19042</v>
      </c>
      <c r="B9852" t="s">
        <v>26951</v>
      </c>
      <c r="C9852" t="s">
        <v>24561</v>
      </c>
      <c r="D9852" t="s">
        <v>24560</v>
      </c>
      <c r="E9852" s="2" t="s">
        <v>517</v>
      </c>
      <c r="F9852" t="s">
        <v>24559</v>
      </c>
      <c r="G9852" t="str">
        <f>HYPERLINK("https://www.joongboo.com/news/articleView.html?idxno=363695179")</f>
        <v>https://www.joongboo.com/news/articleView.html?idxno=363695179</v>
      </c>
      <c r="H9852">
        <v>0.317</v>
      </c>
    </row>
    <row r="9853" spans="1:8" x14ac:dyDescent="0.3">
      <c r="A9853" t="s">
        <v>19042</v>
      </c>
      <c r="B9853" t="s">
        <v>26951</v>
      </c>
      <c r="C9853" t="s">
        <v>24563</v>
      </c>
      <c r="D9853" t="s">
        <v>24562</v>
      </c>
      <c r="E9853" s="2" t="s">
        <v>653</v>
      </c>
      <c r="F9853" t="s">
        <v>54</v>
      </c>
      <c r="G9853" t="str">
        <f>HYPERLINK("http://www.seoulwire.com/news/articleView.html?idxno=405457")</f>
        <v>http://www.seoulwire.com/news/articleView.html?idxno=405457</v>
      </c>
      <c r="H9853">
        <v>0.20899999999999999</v>
      </c>
    </row>
    <row r="9854" spans="1:8" x14ac:dyDescent="0.3">
      <c r="A9854" t="s">
        <v>19042</v>
      </c>
      <c r="B9854" t="s">
        <v>26951</v>
      </c>
      <c r="C9854" t="s">
        <v>24565</v>
      </c>
      <c r="D9854" t="s">
        <v>24564</v>
      </c>
      <c r="E9854" s="2" t="s">
        <v>799</v>
      </c>
      <c r="F9854" t="s">
        <v>19042</v>
      </c>
      <c r="G9854" t="str">
        <f>HYPERLINK("https://www.apnews.kr/news/articleView.html?idxno=3019812")</f>
        <v>https://www.apnews.kr/news/articleView.html?idxno=3019812</v>
      </c>
      <c r="H9854">
        <v>0.40100000000000002</v>
      </c>
    </row>
    <row r="9855" spans="1:8" x14ac:dyDescent="0.3">
      <c r="A9855" t="s">
        <v>19042</v>
      </c>
      <c r="B9855" t="s">
        <v>26951</v>
      </c>
      <c r="C9855" t="s">
        <v>24567</v>
      </c>
      <c r="D9855" t="s">
        <v>24566</v>
      </c>
      <c r="E9855" s="2" t="s">
        <v>860</v>
      </c>
      <c r="F9855" t="s">
        <v>19042</v>
      </c>
      <c r="G9855" t="str">
        <f>HYPERLINK("http://www.hansbiz.co.kr/news/articleView.html?idxno=758711")</f>
        <v>http://www.hansbiz.co.kr/news/articleView.html?idxno=758711</v>
      </c>
      <c r="H9855">
        <v>0.56599999999999995</v>
      </c>
    </row>
    <row r="9856" spans="1:8" x14ac:dyDescent="0.3">
      <c r="A9856" t="s">
        <v>24568</v>
      </c>
      <c r="B9856" t="s">
        <v>26951</v>
      </c>
      <c r="C9856" t="s">
        <v>24572</v>
      </c>
      <c r="D9856" t="s">
        <v>24571</v>
      </c>
      <c r="E9856" s="2" t="s">
        <v>230</v>
      </c>
      <c r="F9856" t="s">
        <v>5244</v>
      </c>
      <c r="G9856" t="str">
        <f>HYPERLINK("https://www.jbnews.com/news/articleView.html?idxno=1480550")</f>
        <v>https://www.jbnews.com/news/articleView.html?idxno=1480550</v>
      </c>
      <c r="H9856">
        <v>0.80700000000000005</v>
      </c>
    </row>
    <row r="9857" spans="1:8" x14ac:dyDescent="0.3">
      <c r="A9857" t="s">
        <v>24568</v>
      </c>
      <c r="B9857" t="s">
        <v>26951</v>
      </c>
      <c r="C9857" t="s">
        <v>24575</v>
      </c>
      <c r="D9857" t="s">
        <v>24574</v>
      </c>
      <c r="E9857" s="2" t="s">
        <v>230</v>
      </c>
      <c r="F9857" t="s">
        <v>24573</v>
      </c>
      <c r="G9857" t="str">
        <f>HYPERLINK("http://www.chungnamilbo.co.kr/news/articleView.html?idxno=835081")</f>
        <v>http://www.chungnamilbo.co.kr/news/articleView.html?idxno=835081</v>
      </c>
      <c r="H9857">
        <v>0.97599999999999998</v>
      </c>
    </row>
    <row r="9858" spans="1:8" x14ac:dyDescent="0.3">
      <c r="A9858" t="s">
        <v>24568</v>
      </c>
      <c r="B9858" t="s">
        <v>26951</v>
      </c>
      <c r="C9858" t="s">
        <v>24577</v>
      </c>
      <c r="D9858" t="s">
        <v>24576</v>
      </c>
      <c r="E9858" s="2" t="s">
        <v>230</v>
      </c>
      <c r="F9858" t="s">
        <v>6720</v>
      </c>
      <c r="G9858" t="str">
        <f>HYPERLINK("http://www.chungnamilbo.co.kr/news/articleView.html?idxno=835081")</f>
        <v>http://www.chungnamilbo.co.kr/news/articleView.html?idxno=835081</v>
      </c>
      <c r="H9858">
        <v>0.89100000000000001</v>
      </c>
    </row>
    <row r="9859" spans="1:8" x14ac:dyDescent="0.3">
      <c r="A9859" t="s">
        <v>24568</v>
      </c>
      <c r="B9859" t="s">
        <v>26951</v>
      </c>
      <c r="C9859" t="s">
        <v>24580</v>
      </c>
      <c r="D9859" t="s">
        <v>24579</v>
      </c>
      <c r="E9859" s="2" t="s">
        <v>452</v>
      </c>
      <c r="F9859" t="s">
        <v>24578</v>
      </c>
      <c r="G9859" t="str">
        <f>HYPERLINK("https://www.jbnews.com/news/articleView.html?idxno=1479729")</f>
        <v>https://www.jbnews.com/news/articleView.html?idxno=1479729</v>
      </c>
      <c r="H9859">
        <v>0.71599999999999997</v>
      </c>
    </row>
    <row r="9860" spans="1:8" x14ac:dyDescent="0.3">
      <c r="A9860" t="s">
        <v>24568</v>
      </c>
      <c r="B9860" t="s">
        <v>26951</v>
      </c>
      <c r="C9860" t="s">
        <v>24582</v>
      </c>
      <c r="D9860" t="s">
        <v>24581</v>
      </c>
      <c r="E9860" s="2" t="s">
        <v>481</v>
      </c>
      <c r="F9860" t="s">
        <v>588</v>
      </c>
      <c r="G9860" t="str">
        <f>HYPERLINK("https://www.eroun.net/news/articleView.html?idxno=57770")</f>
        <v>https://www.eroun.net/news/articleView.html?idxno=57770</v>
      </c>
      <c r="H9860">
        <v>0.69099999999999995</v>
      </c>
    </row>
    <row r="9861" spans="1:8" x14ac:dyDescent="0.3">
      <c r="A9861" t="s">
        <v>24568</v>
      </c>
      <c r="B9861" t="s">
        <v>26951</v>
      </c>
      <c r="C9861" t="s">
        <v>24585</v>
      </c>
      <c r="D9861" t="s">
        <v>24584</v>
      </c>
      <c r="E9861" s="2" t="s">
        <v>609</v>
      </c>
      <c r="F9861" t="s">
        <v>24583</v>
      </c>
      <c r="G9861" t="str">
        <f>HYPERLINK("https://www.ccdn.co.kr/news/articleView.html?idxno=968345")</f>
        <v>https://www.ccdn.co.kr/news/articleView.html?idxno=968345</v>
      </c>
      <c r="H9861">
        <v>0.217</v>
      </c>
    </row>
    <row r="9862" spans="1:8" x14ac:dyDescent="0.3">
      <c r="A9862" t="s">
        <v>24568</v>
      </c>
      <c r="B9862" t="s">
        <v>26951</v>
      </c>
      <c r="C9862" t="s">
        <v>24588</v>
      </c>
      <c r="D9862" t="s">
        <v>24587</v>
      </c>
      <c r="E9862" s="2" t="s">
        <v>840</v>
      </c>
      <c r="F9862" t="s">
        <v>24586</v>
      </c>
      <c r="G9862" t="str">
        <f>HYPERLINK("https://www.jbnews.com/news/articleView.html?idxno=1472878")</f>
        <v>https://www.jbnews.com/news/articleView.html?idxno=1472878</v>
      </c>
      <c r="H9862">
        <v>0.38800000000000001</v>
      </c>
    </row>
    <row r="9863" spans="1:8" x14ac:dyDescent="0.3">
      <c r="A9863" t="s">
        <v>24589</v>
      </c>
      <c r="B9863" t="s">
        <v>26951</v>
      </c>
      <c r="C9863" t="s">
        <v>24592</v>
      </c>
      <c r="D9863" t="s">
        <v>24591</v>
      </c>
      <c r="E9863" s="2" t="s">
        <v>172</v>
      </c>
      <c r="F9863" t="s">
        <v>24590</v>
      </c>
      <c r="G9863" t="str">
        <f>HYPERLINK("https://www.idaegu.co.kr/news/articleView.html?idxno=514751")</f>
        <v>https://www.idaegu.co.kr/news/articleView.html?idxno=514751</v>
      </c>
      <c r="H9863">
        <v>0.377</v>
      </c>
    </row>
    <row r="9864" spans="1:8" x14ac:dyDescent="0.3">
      <c r="A9864" t="s">
        <v>24589</v>
      </c>
      <c r="B9864" t="s">
        <v>26951</v>
      </c>
      <c r="C9864" t="s">
        <v>24595</v>
      </c>
      <c r="D9864" t="s">
        <v>24594</v>
      </c>
      <c r="E9864" s="2" t="s">
        <v>267</v>
      </c>
      <c r="F9864" t="s">
        <v>24593</v>
      </c>
      <c r="G9864" t="str">
        <f>HYPERLINK("http://www.incheonin.com/news/articleView.html?idxno=108155")</f>
        <v>http://www.incheonin.com/news/articleView.html?idxno=108155</v>
      </c>
      <c r="H9864">
        <v>0.249</v>
      </c>
    </row>
    <row r="9865" spans="1:8" x14ac:dyDescent="0.3">
      <c r="A9865" t="s">
        <v>24589</v>
      </c>
      <c r="B9865" t="s">
        <v>26951</v>
      </c>
      <c r="C9865" t="s">
        <v>24597</v>
      </c>
      <c r="D9865" t="s">
        <v>24596</v>
      </c>
      <c r="E9865" s="2" t="s">
        <v>313</v>
      </c>
      <c r="F9865" t="s">
        <v>2057</v>
      </c>
      <c r="G9865" t="str">
        <f>HYPERLINK("http://www.namdonews.com/news/articleView.html?idxno=686867")</f>
        <v>http://www.namdonews.com/news/articleView.html?idxno=686867</v>
      </c>
      <c r="H9865">
        <v>0.253</v>
      </c>
    </row>
    <row r="9866" spans="1:8" x14ac:dyDescent="0.3">
      <c r="A9866" t="s">
        <v>24589</v>
      </c>
      <c r="B9866" t="s">
        <v>26951</v>
      </c>
      <c r="C9866" t="s">
        <v>24599</v>
      </c>
      <c r="D9866" t="s">
        <v>24598</v>
      </c>
      <c r="E9866" s="2" t="s">
        <v>418</v>
      </c>
      <c r="F9866" t="s">
        <v>2057</v>
      </c>
      <c r="G9866" t="str">
        <f>HYPERLINK("http://jmagazine.joins.com/monthly/view/321789")</f>
        <v>http://jmagazine.joins.com/monthly/view/321789</v>
      </c>
      <c r="H9866">
        <v>0.29399999999999998</v>
      </c>
    </row>
    <row r="9867" spans="1:8" x14ac:dyDescent="0.3">
      <c r="A9867" t="s">
        <v>24589</v>
      </c>
      <c r="B9867" t="s">
        <v>26951</v>
      </c>
      <c r="C9867" t="s">
        <v>24602</v>
      </c>
      <c r="D9867" t="s">
        <v>24601</v>
      </c>
      <c r="E9867" s="2" t="s">
        <v>502</v>
      </c>
      <c r="F9867" t="s">
        <v>24600</v>
      </c>
      <c r="G9867" t="str">
        <f>HYPERLINK("http://www.domin.co.kr/news/articleView.html?idxno=1512374")</f>
        <v>http://www.domin.co.kr/news/articleView.html?idxno=1512374</v>
      </c>
      <c r="H9867">
        <v>0.217</v>
      </c>
    </row>
    <row r="9868" spans="1:8" x14ac:dyDescent="0.3">
      <c r="A9868" t="s">
        <v>24589</v>
      </c>
      <c r="B9868" t="s">
        <v>26951</v>
      </c>
      <c r="C9868" t="s">
        <v>24605</v>
      </c>
      <c r="D9868" t="s">
        <v>24604</v>
      </c>
      <c r="E9868" s="2" t="s">
        <v>502</v>
      </c>
      <c r="F9868" t="s">
        <v>24603</v>
      </c>
      <c r="G9868" t="str">
        <f>HYPERLINK("http://www.breaknews.com/804017")</f>
        <v>http://www.breaknews.com/804017</v>
      </c>
      <c r="H9868">
        <v>0.125</v>
      </c>
    </row>
    <row r="9869" spans="1:8" x14ac:dyDescent="0.3">
      <c r="A9869" t="s">
        <v>24589</v>
      </c>
      <c r="B9869" t="s">
        <v>26951</v>
      </c>
      <c r="C9869" t="s">
        <v>24608</v>
      </c>
      <c r="D9869" t="s">
        <v>24607</v>
      </c>
      <c r="E9869" s="2" t="s">
        <v>502</v>
      </c>
      <c r="F9869" t="s">
        <v>24606</v>
      </c>
      <c r="G9869" t="str">
        <f>HYPERLINK("http://www.kyeongin.com/main/view.php?key=20210224010004264")</f>
        <v>http://www.kyeongin.com/main/view.php?key=20210224010004264</v>
      </c>
      <c r="H9869">
        <v>0.5</v>
      </c>
    </row>
    <row r="9870" spans="1:8" x14ac:dyDescent="0.3">
      <c r="A9870" t="s">
        <v>24589</v>
      </c>
      <c r="B9870" t="s">
        <v>26951</v>
      </c>
      <c r="C9870" t="s">
        <v>24611</v>
      </c>
      <c r="D9870" t="s">
        <v>24610</v>
      </c>
      <c r="E9870" s="2" t="s">
        <v>653</v>
      </c>
      <c r="F9870" t="s">
        <v>24609</v>
      </c>
      <c r="G9870" t="str">
        <f>HYPERLINK("https://www.ceoscoredaily.com/page/view/2025063016214032011")</f>
        <v>https://www.ceoscoredaily.com/page/view/2025063016214032011</v>
      </c>
      <c r="H9870">
        <v>0.39300000000000002</v>
      </c>
    </row>
    <row r="9871" spans="1:8" x14ac:dyDescent="0.3">
      <c r="A9871" t="s">
        <v>24589</v>
      </c>
      <c r="B9871" t="s">
        <v>26951</v>
      </c>
      <c r="C9871" t="s">
        <v>24614</v>
      </c>
      <c r="D9871" t="s">
        <v>24613</v>
      </c>
      <c r="E9871" s="2" t="s">
        <v>692</v>
      </c>
      <c r="F9871" t="s">
        <v>24612</v>
      </c>
      <c r="G9871" t="str">
        <f>HYPERLINK("http://www.mediapen.com/news/articleView.html?idxno=101322")</f>
        <v>http://www.mediapen.com/news/articleView.html?idxno=101322</v>
      </c>
      <c r="H9871">
        <v>0.55300000000000005</v>
      </c>
    </row>
    <row r="9872" spans="1:8" x14ac:dyDescent="0.3">
      <c r="A9872" t="s">
        <v>24589</v>
      </c>
      <c r="B9872" t="s">
        <v>26951</v>
      </c>
      <c r="C9872" t="s">
        <v>24616</v>
      </c>
      <c r="D9872" t="s">
        <v>24615</v>
      </c>
      <c r="E9872" s="2" t="s">
        <v>799</v>
      </c>
      <c r="F9872" t="s">
        <v>24589</v>
      </c>
      <c r="G9872" t="str">
        <f>HYPERLINK("https://www.joongdo.co.kr/web/view.php?key=20241116010004461")</f>
        <v>https://www.joongdo.co.kr/web/view.php?key=20241116010004461</v>
      </c>
      <c r="H9872">
        <v>0.35699999999999998</v>
      </c>
    </row>
    <row r="9873" spans="1:8" x14ac:dyDescent="0.3">
      <c r="A9873" t="s">
        <v>24589</v>
      </c>
      <c r="B9873" t="s">
        <v>26951</v>
      </c>
      <c r="C9873" t="s">
        <v>24618</v>
      </c>
      <c r="D9873" t="s">
        <v>24617</v>
      </c>
      <c r="E9873" s="2" t="s">
        <v>840</v>
      </c>
      <c r="F9873" t="s">
        <v>24589</v>
      </c>
      <c r="G9873" t="str">
        <f>HYPERLINK("http://www.kyeongin.com/main/view.php?key=20170203010000597")</f>
        <v>http://www.kyeongin.com/main/view.php?key=20170203010000597</v>
      </c>
      <c r="H9873">
        <v>0.57599999999999996</v>
      </c>
    </row>
    <row r="9874" spans="1:8" x14ac:dyDescent="0.3">
      <c r="A9874" t="s">
        <v>24619</v>
      </c>
      <c r="B9874" t="s">
        <v>26951</v>
      </c>
      <c r="C9874" t="s">
        <v>24621</v>
      </c>
      <c r="D9874" t="s">
        <v>24620</v>
      </c>
      <c r="E9874" s="2" t="s">
        <v>7</v>
      </c>
      <c r="F9874" t="s">
        <v>208</v>
      </c>
      <c r="G9874" t="str">
        <f>HYPERLINK("http://www.sisafocus.co.kr/news/articleView.html?idxno=342114")</f>
        <v>http://www.sisafocus.co.kr/news/articleView.html?idxno=342114</v>
      </c>
      <c r="H9874">
        <v>0.17199999999999999</v>
      </c>
    </row>
    <row r="9875" spans="1:8" x14ac:dyDescent="0.3">
      <c r="A9875" t="s">
        <v>24619</v>
      </c>
      <c r="B9875" t="s">
        <v>26951</v>
      </c>
      <c r="C9875" t="s">
        <v>24624</v>
      </c>
      <c r="D9875" t="s">
        <v>24623</v>
      </c>
      <c r="E9875" s="2" t="s">
        <v>74</v>
      </c>
      <c r="F9875" t="s">
        <v>24622</v>
      </c>
      <c r="G9875" t="str">
        <f>HYPERLINK("https://n.news.naver.com/mnews/article/014/0005369481?sid=100")</f>
        <v>https://n.news.naver.com/mnews/article/014/0005369481?sid=100</v>
      </c>
      <c r="H9875">
        <v>0.19800000000000001</v>
      </c>
    </row>
    <row r="9876" spans="1:8" x14ac:dyDescent="0.3">
      <c r="A9876" t="s">
        <v>24619</v>
      </c>
      <c r="B9876" t="s">
        <v>26951</v>
      </c>
      <c r="C9876" t="s">
        <v>24626</v>
      </c>
      <c r="D9876" t="s">
        <v>24625</v>
      </c>
      <c r="E9876" s="2" t="s">
        <v>105</v>
      </c>
      <c r="F9876" t="s">
        <v>857</v>
      </c>
      <c r="G9876" t="str">
        <f>HYPERLINK("https://n.news.naver.com/mnews/article/087/0001121535?sid=102")</f>
        <v>https://n.news.naver.com/mnews/article/087/0001121535?sid=102</v>
      </c>
      <c r="H9876">
        <v>9.9000000000000005E-2</v>
      </c>
    </row>
    <row r="9877" spans="1:8" x14ac:dyDescent="0.3">
      <c r="A9877" t="s">
        <v>24619</v>
      </c>
      <c r="B9877" t="s">
        <v>26951</v>
      </c>
      <c r="C9877" t="s">
        <v>24629</v>
      </c>
      <c r="D9877" t="s">
        <v>24628</v>
      </c>
      <c r="E9877" s="2" t="s">
        <v>133</v>
      </c>
      <c r="F9877" t="s">
        <v>24627</v>
      </c>
      <c r="G9877" t="str">
        <f>HYPERLINK("https://n.news.naver.com/mnews/article/087/0001126041?sid=101")</f>
        <v>https://n.news.naver.com/mnews/article/087/0001126041?sid=101</v>
      </c>
      <c r="H9877">
        <v>0.25</v>
      </c>
    </row>
    <row r="9878" spans="1:8" x14ac:dyDescent="0.3">
      <c r="A9878" t="s">
        <v>24619</v>
      </c>
      <c r="B9878" t="s">
        <v>26951</v>
      </c>
      <c r="C9878" t="s">
        <v>24632</v>
      </c>
      <c r="D9878" t="s">
        <v>24631</v>
      </c>
      <c r="E9878" s="2" t="s">
        <v>230</v>
      </c>
      <c r="F9878" t="s">
        <v>24630</v>
      </c>
      <c r="G9878" t="str">
        <f>HYPERLINK("http://www.kado.net/news/articleView.html?idxno=734850")</f>
        <v>http://www.kado.net/news/articleView.html?idxno=734850</v>
      </c>
      <c r="H9878">
        <v>0.622</v>
      </c>
    </row>
    <row r="9879" spans="1:8" x14ac:dyDescent="0.3">
      <c r="A9879" t="s">
        <v>24619</v>
      </c>
      <c r="B9879" t="s">
        <v>26951</v>
      </c>
      <c r="C9879" t="s">
        <v>24635</v>
      </c>
      <c r="D9879" t="s">
        <v>24634</v>
      </c>
      <c r="E9879" s="2" t="s">
        <v>280</v>
      </c>
      <c r="F9879" t="s">
        <v>24633</v>
      </c>
      <c r="G9879" t="str">
        <f>HYPERLINK("http://www.ggilbo.com/news/articleView.html?idxno=366988")</f>
        <v>http://www.ggilbo.com/news/articleView.html?idxno=366988</v>
      </c>
      <c r="H9879">
        <v>0.30099999999999999</v>
      </c>
    </row>
    <row r="9880" spans="1:8" x14ac:dyDescent="0.3">
      <c r="A9880" t="s">
        <v>24619</v>
      </c>
      <c r="B9880" t="s">
        <v>26951</v>
      </c>
      <c r="C9880" t="s">
        <v>24637</v>
      </c>
      <c r="D9880" t="s">
        <v>24636</v>
      </c>
      <c r="E9880" s="2" t="s">
        <v>394</v>
      </c>
      <c r="F9880" t="s">
        <v>22572</v>
      </c>
      <c r="G9880" t="str">
        <f>HYPERLINK("https://n.news.naver.com/mnews/article/022/0004027243?sid=100")</f>
        <v>https://n.news.naver.com/mnews/article/022/0004027243?sid=100</v>
      </c>
      <c r="H9880">
        <v>0.20499999999999999</v>
      </c>
    </row>
    <row r="9881" spans="1:8" x14ac:dyDescent="0.3">
      <c r="A9881" t="s">
        <v>24619</v>
      </c>
      <c r="B9881" t="s">
        <v>26951</v>
      </c>
      <c r="C9881" t="s">
        <v>24639</v>
      </c>
      <c r="D9881" t="s">
        <v>24638</v>
      </c>
      <c r="E9881" s="2" t="s">
        <v>394</v>
      </c>
      <c r="F9881" t="s">
        <v>205</v>
      </c>
      <c r="G9881" t="str">
        <f>HYPERLINK("https://n.news.naver.com/mnews/article/654/0000128012?sid=102")</f>
        <v>https://n.news.naver.com/mnews/article/654/0000128012?sid=102</v>
      </c>
      <c r="H9881">
        <v>0.17399999999999999</v>
      </c>
    </row>
    <row r="9882" spans="1:8" x14ac:dyDescent="0.3">
      <c r="A9882" t="s">
        <v>24619</v>
      </c>
      <c r="B9882" t="s">
        <v>26951</v>
      </c>
      <c r="C9882" t="s">
        <v>24641</v>
      </c>
      <c r="D9882" t="s">
        <v>24640</v>
      </c>
      <c r="E9882" s="2" t="s">
        <v>418</v>
      </c>
      <c r="F9882" t="s">
        <v>12515</v>
      </c>
      <c r="G9882" t="str">
        <f>HYPERLINK("http://www.metroseoul.co.kr/article/20250618500140")</f>
        <v>http://www.metroseoul.co.kr/article/20250618500140</v>
      </c>
      <c r="H9882">
        <v>0.96499999999999997</v>
      </c>
    </row>
    <row r="9883" spans="1:8" x14ac:dyDescent="0.3">
      <c r="A9883" t="s">
        <v>24619</v>
      </c>
      <c r="B9883" t="s">
        <v>26951</v>
      </c>
      <c r="C9883" t="s">
        <v>24643</v>
      </c>
      <c r="D9883" t="s">
        <v>24642</v>
      </c>
      <c r="E9883" s="2" t="s">
        <v>452</v>
      </c>
      <c r="F9883" t="s">
        <v>677</v>
      </c>
      <c r="G9883" t="str">
        <f>HYPERLINK("https://n.news.naver.com/mnews/article/032/0003089032?sid=100")</f>
        <v>https://n.news.naver.com/mnews/article/032/0003089032?sid=100</v>
      </c>
      <c r="H9883">
        <v>0.26200000000000001</v>
      </c>
    </row>
    <row r="9884" spans="1:8" x14ac:dyDescent="0.3">
      <c r="A9884" t="s">
        <v>24619</v>
      </c>
      <c r="B9884" t="s">
        <v>26951</v>
      </c>
      <c r="C9884" t="s">
        <v>24646</v>
      </c>
      <c r="D9884" t="s">
        <v>24645</v>
      </c>
      <c r="E9884" s="2" t="s">
        <v>481</v>
      </c>
      <c r="F9884" t="s">
        <v>24644</v>
      </c>
      <c r="G9884" t="str">
        <f>HYPERLINK("http://www.kdpress.co.kr/news/articleView.html?idxno=138686")</f>
        <v>http://www.kdpress.co.kr/news/articleView.html?idxno=138686</v>
      </c>
      <c r="H9884">
        <v>0.12</v>
      </c>
    </row>
    <row r="9885" spans="1:8" x14ac:dyDescent="0.3">
      <c r="A9885" t="s">
        <v>24619</v>
      </c>
      <c r="B9885" t="s">
        <v>26951</v>
      </c>
      <c r="C9885" t="s">
        <v>24649</v>
      </c>
      <c r="D9885" t="s">
        <v>24648</v>
      </c>
      <c r="E9885" s="2" t="s">
        <v>481</v>
      </c>
      <c r="F9885" t="s">
        <v>24647</v>
      </c>
      <c r="G9885" t="str">
        <f>HYPERLINK("https://www.jemin.com/news/articleView.html?idxno=813009")</f>
        <v>https://www.jemin.com/news/articleView.html?idxno=813009</v>
      </c>
      <c r="H9885">
        <v>0.50600000000000001</v>
      </c>
    </row>
    <row r="9886" spans="1:8" x14ac:dyDescent="0.3">
      <c r="A9886" t="s">
        <v>24619</v>
      </c>
      <c r="B9886" t="s">
        <v>26951</v>
      </c>
      <c r="C9886" t="s">
        <v>24652</v>
      </c>
      <c r="D9886" t="s">
        <v>24651</v>
      </c>
      <c r="E9886" s="2" t="s">
        <v>517</v>
      </c>
      <c r="F9886" t="s">
        <v>24650</v>
      </c>
      <c r="G9886" t="str">
        <f>HYPERLINK("https://n.news.naver.com/mnews/article/014/0005370760?sid=100")</f>
        <v>https://n.news.naver.com/mnews/article/014/0005370760?sid=100</v>
      </c>
      <c r="H9886">
        <v>0.28699999999999998</v>
      </c>
    </row>
    <row r="9887" spans="1:8" x14ac:dyDescent="0.3">
      <c r="A9887" t="s">
        <v>24619</v>
      </c>
      <c r="B9887" t="s">
        <v>26951</v>
      </c>
      <c r="C9887" t="s">
        <v>24654</v>
      </c>
      <c r="D9887" t="s">
        <v>24653</v>
      </c>
      <c r="E9887" s="2" t="s">
        <v>517</v>
      </c>
      <c r="F9887" t="s">
        <v>12402</v>
      </c>
      <c r="G9887" t="str">
        <f>HYPERLINK("https://n.news.naver.com/mnews/article/032/0003380030?sid=100")</f>
        <v>https://n.news.naver.com/mnews/article/032/0003380030?sid=100</v>
      </c>
      <c r="H9887">
        <v>0.17599999999999999</v>
      </c>
    </row>
    <row r="9888" spans="1:8" x14ac:dyDescent="0.3">
      <c r="A9888" t="s">
        <v>24619</v>
      </c>
      <c r="B9888" t="s">
        <v>26951</v>
      </c>
      <c r="C9888" t="s">
        <v>24657</v>
      </c>
      <c r="D9888" t="s">
        <v>24656</v>
      </c>
      <c r="E9888" s="2" t="s">
        <v>538</v>
      </c>
      <c r="F9888" t="s">
        <v>24655</v>
      </c>
      <c r="G9888" t="str">
        <f>HYPERLINK("https://n.news.naver.com/mnews/article/057/0001876244?sid=102")</f>
        <v>https://n.news.naver.com/mnews/article/057/0001876244?sid=102</v>
      </c>
      <c r="H9888">
        <v>7.1999999999999995E-2</v>
      </c>
    </row>
    <row r="9889" spans="1:8" x14ac:dyDescent="0.3">
      <c r="A9889" t="s">
        <v>24619</v>
      </c>
      <c r="B9889" t="s">
        <v>26951</v>
      </c>
      <c r="C9889" t="s">
        <v>24659</v>
      </c>
      <c r="D9889" t="s">
        <v>24658</v>
      </c>
      <c r="E9889" s="2" t="s">
        <v>572</v>
      </c>
      <c r="F9889" t="s">
        <v>205</v>
      </c>
      <c r="G9889" t="str">
        <f>HYPERLINK("https://n.news.naver.com/mnews/article/087/0000959281?sid=102")</f>
        <v>https://n.news.naver.com/mnews/article/087/0000959281?sid=102</v>
      </c>
      <c r="H9889">
        <v>9.9000000000000005E-2</v>
      </c>
    </row>
    <row r="9890" spans="1:8" x14ac:dyDescent="0.3">
      <c r="A9890" t="s">
        <v>24619</v>
      </c>
      <c r="B9890" t="s">
        <v>26951</v>
      </c>
      <c r="C9890" t="s">
        <v>24661</v>
      </c>
      <c r="D9890" t="s">
        <v>24660</v>
      </c>
      <c r="E9890" s="2" t="s">
        <v>609</v>
      </c>
      <c r="F9890" t="s">
        <v>2109</v>
      </c>
      <c r="G9890" t="str">
        <f>HYPERLINK("https://www.apnews.kr/news/articleView.html?idxno=3008779")</f>
        <v>https://www.apnews.kr/news/articleView.html?idxno=3008779</v>
      </c>
      <c r="H9890">
        <v>0.21099999999999999</v>
      </c>
    </row>
    <row r="9891" spans="1:8" x14ac:dyDescent="0.3">
      <c r="A9891" t="s">
        <v>24619</v>
      </c>
      <c r="B9891" t="s">
        <v>26951</v>
      </c>
      <c r="C9891" t="s">
        <v>24664</v>
      </c>
      <c r="D9891" t="s">
        <v>24663</v>
      </c>
      <c r="E9891" s="2" t="s">
        <v>653</v>
      </c>
      <c r="F9891" t="s">
        <v>24662</v>
      </c>
      <c r="G9891" t="str">
        <f>HYPERLINK("http://www.namdonews.com/news/articleView.html?idxno=824502")</f>
        <v>http://www.namdonews.com/news/articleView.html?idxno=824502</v>
      </c>
      <c r="H9891">
        <v>0.26600000000000001</v>
      </c>
    </row>
    <row r="9892" spans="1:8" x14ac:dyDescent="0.3">
      <c r="A9892" t="s">
        <v>24619</v>
      </c>
      <c r="B9892" t="s">
        <v>26951</v>
      </c>
      <c r="C9892" t="s">
        <v>24666</v>
      </c>
      <c r="D9892" t="s">
        <v>24665</v>
      </c>
      <c r="E9892" s="2" t="s">
        <v>742</v>
      </c>
      <c r="F9892" t="s">
        <v>12402</v>
      </c>
      <c r="G9892" t="str">
        <f>HYPERLINK("http://www.namdonews.com/news/articleView.html?idxno=790858")</f>
        <v>http://www.namdonews.com/news/articleView.html?idxno=790858</v>
      </c>
      <c r="H9892">
        <v>0.27300000000000002</v>
      </c>
    </row>
    <row r="9893" spans="1:8" x14ac:dyDescent="0.3">
      <c r="A9893" t="s">
        <v>24619</v>
      </c>
      <c r="B9893" t="s">
        <v>26951</v>
      </c>
      <c r="C9893" t="s">
        <v>24669</v>
      </c>
      <c r="D9893" t="s">
        <v>24668</v>
      </c>
      <c r="E9893" s="2" t="s">
        <v>742</v>
      </c>
      <c r="F9893" t="s">
        <v>24667</v>
      </c>
      <c r="G9893" t="str">
        <f>HYPERLINK("http://www.worldkorean.net/news/articleView.html?idxno=39092")</f>
        <v>http://www.worldkorean.net/news/articleView.html?idxno=39092</v>
      </c>
      <c r="H9893">
        <v>0.38800000000000001</v>
      </c>
    </row>
    <row r="9894" spans="1:8" x14ac:dyDescent="0.3">
      <c r="A9894" t="s">
        <v>24670</v>
      </c>
      <c r="B9894" t="s">
        <v>26951</v>
      </c>
      <c r="C9894" t="s">
        <v>24673</v>
      </c>
      <c r="D9894" t="s">
        <v>24672</v>
      </c>
      <c r="E9894" s="2" t="s">
        <v>7</v>
      </c>
      <c r="F9894" t="s">
        <v>24671</v>
      </c>
      <c r="G9894" t="str">
        <f>HYPERLINK("http://www.sisaon.co.kr/news/articleView.html?idxno=165948")</f>
        <v>http://www.sisaon.co.kr/news/articleView.html?idxno=165948</v>
      </c>
      <c r="H9894">
        <v>0.622</v>
      </c>
    </row>
    <row r="9895" spans="1:8" x14ac:dyDescent="0.3">
      <c r="A9895" t="s">
        <v>24670</v>
      </c>
      <c r="B9895" t="s">
        <v>26951</v>
      </c>
      <c r="C9895" t="s">
        <v>24676</v>
      </c>
      <c r="D9895" t="s">
        <v>24675</v>
      </c>
      <c r="E9895" s="2" t="s">
        <v>7</v>
      </c>
      <c r="F9895" t="s">
        <v>24674</v>
      </c>
      <c r="G9895" t="str">
        <f>HYPERLINK("http://www.fntoday.co.kr/news/articleView.html?idxno=356017")</f>
        <v>http://www.fntoday.co.kr/news/articleView.html?idxno=356017</v>
      </c>
      <c r="H9895">
        <v>0.46400000000000002</v>
      </c>
    </row>
    <row r="9896" spans="1:8" x14ac:dyDescent="0.3">
      <c r="A9896" t="s">
        <v>24670</v>
      </c>
      <c r="B9896" t="s">
        <v>26951</v>
      </c>
      <c r="C9896" t="s">
        <v>24678</v>
      </c>
      <c r="D9896" t="s">
        <v>24677</v>
      </c>
      <c r="E9896" s="2" t="s">
        <v>7</v>
      </c>
      <c r="F9896" t="s">
        <v>4508</v>
      </c>
      <c r="G9896" t="str">
        <f>HYPERLINK("https://www.financialpost.co.kr/news/articleView.html?idxno=223717")</f>
        <v>https://www.financialpost.co.kr/news/articleView.html?idxno=223717</v>
      </c>
      <c r="H9896">
        <v>0.58899999999999997</v>
      </c>
    </row>
    <row r="9897" spans="1:8" x14ac:dyDescent="0.3">
      <c r="A9897" t="s">
        <v>24670</v>
      </c>
      <c r="B9897" t="s">
        <v>26951</v>
      </c>
      <c r="C9897" t="s">
        <v>24681</v>
      </c>
      <c r="D9897" t="s">
        <v>24680</v>
      </c>
      <c r="E9897" s="2" t="s">
        <v>7</v>
      </c>
      <c r="F9897" t="s">
        <v>24679</v>
      </c>
      <c r="G9897" t="str">
        <f>HYPERLINK("https://news.einfomax.co.kr/news/articleView.html?idxno=4360578")</f>
        <v>https://news.einfomax.co.kr/news/articleView.html?idxno=4360578</v>
      </c>
      <c r="H9897">
        <v>0.59</v>
      </c>
    </row>
    <row r="9898" spans="1:8" x14ac:dyDescent="0.3">
      <c r="A9898" t="s">
        <v>24670</v>
      </c>
      <c r="B9898" t="s">
        <v>26951</v>
      </c>
      <c r="C9898" t="s">
        <v>24685</v>
      </c>
      <c r="D9898" t="s">
        <v>24684</v>
      </c>
      <c r="E9898" s="2" t="s">
        <v>7</v>
      </c>
      <c r="F9898" t="s">
        <v>24683</v>
      </c>
      <c r="G9898" t="str">
        <f>HYPERLINK("https://news.einfomax.co.kr/news/articleView.html?idxno=4316070")</f>
        <v>https://news.einfomax.co.kr/news/articleView.html?idxno=4316070</v>
      </c>
      <c r="H9898">
        <v>0.57599999999999996</v>
      </c>
    </row>
    <row r="9899" spans="1:8" x14ac:dyDescent="0.3">
      <c r="A9899" t="s">
        <v>24670</v>
      </c>
      <c r="B9899" t="s">
        <v>26951</v>
      </c>
      <c r="C9899" t="s">
        <v>24688</v>
      </c>
      <c r="D9899" t="s">
        <v>24687</v>
      </c>
      <c r="E9899" s="2" t="s">
        <v>7</v>
      </c>
      <c r="F9899" t="s">
        <v>24686</v>
      </c>
      <c r="G9899" t="str">
        <f>HYPERLINK("http://www.it-b.co.kr/news/articleView.html?idxno=81746")</f>
        <v>http://www.it-b.co.kr/news/articleView.html?idxno=81746</v>
      </c>
      <c r="H9899">
        <v>0.63400000000000001</v>
      </c>
    </row>
    <row r="9900" spans="1:8" x14ac:dyDescent="0.3">
      <c r="A9900" t="s">
        <v>24670</v>
      </c>
      <c r="B9900" t="s">
        <v>26951</v>
      </c>
      <c r="C9900" t="s">
        <v>24691</v>
      </c>
      <c r="D9900" t="s">
        <v>24690</v>
      </c>
      <c r="E9900" s="2" t="s">
        <v>7</v>
      </c>
      <c r="F9900" t="s">
        <v>24689</v>
      </c>
      <c r="G9900" t="str">
        <f>HYPERLINK("http://www.ifs.or.kr/bbs/board.php?bo_table=globalnewsfocus&amp;wr_id=32")</f>
        <v>http://www.ifs.or.kr/bbs/board.php?bo_table=globalnewsfocus&amp;wr_id=32</v>
      </c>
      <c r="H9900">
        <v>0.59299999999999997</v>
      </c>
    </row>
    <row r="9901" spans="1:8" x14ac:dyDescent="0.3">
      <c r="A9901" t="s">
        <v>24670</v>
      </c>
      <c r="B9901" t="s">
        <v>26951</v>
      </c>
      <c r="C9901" t="s">
        <v>24694</v>
      </c>
      <c r="D9901" t="s">
        <v>24693</v>
      </c>
      <c r="E9901" s="2" t="s">
        <v>66</v>
      </c>
      <c r="F9901" t="s">
        <v>24692</v>
      </c>
      <c r="G9901" t="str">
        <f>HYPERLINK("http://www.beyondpost.co.kr/view.php?ud=20250612081324851546a9e4dd7f_30")</f>
        <v>http://www.beyondpost.co.kr/view.php?ud=20250612081324851546a9e4dd7f_30</v>
      </c>
      <c r="H9901">
        <v>0.14000000000000001</v>
      </c>
    </row>
    <row r="9902" spans="1:8" x14ac:dyDescent="0.3">
      <c r="A9902" t="s">
        <v>24670</v>
      </c>
      <c r="B9902" t="s">
        <v>26951</v>
      </c>
      <c r="C9902" t="s">
        <v>24697</v>
      </c>
      <c r="D9902" t="s">
        <v>24696</v>
      </c>
      <c r="E9902" s="2" t="s">
        <v>74</v>
      </c>
      <c r="F9902" t="s">
        <v>24695</v>
      </c>
      <c r="G9902" t="str">
        <f>HYPERLINK("http://www.ifs.or.kr/bbs/board.php?bo_table=NewsInsight&amp;wr_id=1358")</f>
        <v>http://www.ifs.or.kr/bbs/board.php?bo_table=NewsInsight&amp;wr_id=1358</v>
      </c>
      <c r="H9902">
        <v>0.63</v>
      </c>
    </row>
    <row r="9903" spans="1:8" x14ac:dyDescent="0.3">
      <c r="A9903" t="s">
        <v>24670</v>
      </c>
      <c r="B9903" t="s">
        <v>26951</v>
      </c>
      <c r="C9903" t="s">
        <v>24700</v>
      </c>
      <c r="D9903" t="s">
        <v>24699</v>
      </c>
      <c r="E9903" s="2" t="s">
        <v>74</v>
      </c>
      <c r="F9903" t="s">
        <v>24698</v>
      </c>
      <c r="G9903" t="str">
        <f>HYPERLINK("https://www.getnews.co.kr/news/articleView.html?idxno=828561")</f>
        <v>https://www.getnews.co.kr/news/articleView.html?idxno=828561</v>
      </c>
      <c r="H9903">
        <v>0.63300000000000001</v>
      </c>
    </row>
    <row r="9904" spans="1:8" x14ac:dyDescent="0.3">
      <c r="A9904" t="s">
        <v>24670</v>
      </c>
      <c r="B9904" t="s">
        <v>26951</v>
      </c>
      <c r="C9904" t="s">
        <v>24703</v>
      </c>
      <c r="D9904" t="s">
        <v>24702</v>
      </c>
      <c r="E9904" s="2" t="s">
        <v>74</v>
      </c>
      <c r="F9904" t="s">
        <v>24701</v>
      </c>
      <c r="G9904" t="str">
        <f>HYPERLINK("https://news.einfomax.co.kr/news/articleView.html?idxno=4363002")</f>
        <v>https://news.einfomax.co.kr/news/articleView.html?idxno=4363002</v>
      </c>
      <c r="H9904">
        <v>0.71099999999999997</v>
      </c>
    </row>
    <row r="9905" spans="1:8" x14ac:dyDescent="0.3">
      <c r="A9905" t="s">
        <v>24670</v>
      </c>
      <c r="B9905" t="s">
        <v>26951</v>
      </c>
      <c r="C9905" t="s">
        <v>24706</v>
      </c>
      <c r="D9905" t="s">
        <v>24705</v>
      </c>
      <c r="E9905" s="2" t="s">
        <v>74</v>
      </c>
      <c r="F9905" t="s">
        <v>24704</v>
      </c>
      <c r="G9905" t="str">
        <f>HYPERLINK("https://www.fortunekorea.co.kr/news/articleView.html?idxno=43136")</f>
        <v>https://www.fortunekorea.co.kr/news/articleView.html?idxno=43136</v>
      </c>
      <c r="H9905">
        <v>0.55200000000000005</v>
      </c>
    </row>
    <row r="9906" spans="1:8" x14ac:dyDescent="0.3">
      <c r="A9906" t="s">
        <v>24670</v>
      </c>
      <c r="B9906" t="s">
        <v>26951</v>
      </c>
      <c r="C9906" t="s">
        <v>24709</v>
      </c>
      <c r="D9906" t="s">
        <v>24708</v>
      </c>
      <c r="E9906" s="2" t="s">
        <v>74</v>
      </c>
      <c r="F9906" t="s">
        <v>24707</v>
      </c>
      <c r="G9906" t="str">
        <f>HYPERLINK("https://news.einfomax.co.kr/news/articleView.html?idxno=4362280")</f>
        <v>https://news.einfomax.co.kr/news/articleView.html?idxno=4362280</v>
      </c>
      <c r="H9906">
        <v>0.80700000000000005</v>
      </c>
    </row>
    <row r="9907" spans="1:8" x14ac:dyDescent="0.3">
      <c r="A9907" t="s">
        <v>24670</v>
      </c>
      <c r="B9907" t="s">
        <v>26951</v>
      </c>
      <c r="C9907" t="s">
        <v>24711</v>
      </c>
      <c r="D9907" t="s">
        <v>24710</v>
      </c>
      <c r="E9907" s="2" t="s">
        <v>74</v>
      </c>
      <c r="F9907" t="s">
        <v>8890</v>
      </c>
      <c r="G9907" t="str">
        <f>HYPERLINK("https://news.einfomax.co.kr/news/articleView.html?idxno=4362772")</f>
        <v>https://news.einfomax.co.kr/news/articleView.html?idxno=4362772</v>
      </c>
      <c r="H9907">
        <v>0.63300000000000001</v>
      </c>
    </row>
    <row r="9908" spans="1:8" x14ac:dyDescent="0.3">
      <c r="A9908" t="s">
        <v>24670</v>
      </c>
      <c r="B9908" t="s">
        <v>26951</v>
      </c>
      <c r="C9908" t="s">
        <v>24714</v>
      </c>
      <c r="D9908" t="s">
        <v>24713</v>
      </c>
      <c r="E9908" s="2" t="s">
        <v>74</v>
      </c>
      <c r="F9908" t="s">
        <v>24712</v>
      </c>
      <c r="G9908" t="str">
        <f>HYPERLINK("https://news.einfomax.co.kr/news/articleView.html?idxno=4296900")</f>
        <v>https://news.einfomax.co.kr/news/articleView.html?idxno=4296900</v>
      </c>
      <c r="H9908">
        <v>0.61099999999999999</v>
      </c>
    </row>
    <row r="9909" spans="1:8" x14ac:dyDescent="0.3">
      <c r="A9909" t="s">
        <v>24670</v>
      </c>
      <c r="B9909" t="s">
        <v>26951</v>
      </c>
      <c r="C9909" t="s">
        <v>24717</v>
      </c>
      <c r="D9909" t="s">
        <v>24716</v>
      </c>
      <c r="E9909" s="2" t="s">
        <v>105</v>
      </c>
      <c r="F9909" t="s">
        <v>24715</v>
      </c>
      <c r="G9909" t="str">
        <f>HYPERLINK("https://www.delighti.co.kr/news/articleView.html?idxno=98409")</f>
        <v>https://www.delighti.co.kr/news/articleView.html?idxno=98409</v>
      </c>
      <c r="H9909">
        <v>0.46400000000000002</v>
      </c>
    </row>
    <row r="9910" spans="1:8" x14ac:dyDescent="0.3">
      <c r="A9910" t="s">
        <v>24670</v>
      </c>
      <c r="B9910" t="s">
        <v>26951</v>
      </c>
      <c r="C9910" t="s">
        <v>24720</v>
      </c>
      <c r="D9910" t="s">
        <v>24719</v>
      </c>
      <c r="E9910" s="2" t="s">
        <v>105</v>
      </c>
      <c r="F9910" t="s">
        <v>24718</v>
      </c>
      <c r="G9910" t="str">
        <f>HYPERLINK("https://www.bbc.com/korean/articles/cdezyz60l7yo?xtor=AL-73-%5Bpartner%5D-%5Bnaver%5D-%5Bheadline%5D-%5Bkorean%5D-%5Bbizdev%5D-%5Bisapi%5D")</f>
        <v>https://www.bbc.com/korean/articles/cdezyz60l7yo?xtor=AL-73-%5Bpartner%5D-%5Bnaver%5D-%5Bheadline%5D-%5Bkorean%5D-%5Bbizdev%5D-%5Bisapi%5D</v>
      </c>
      <c r="H9910">
        <v>0.64700000000000002</v>
      </c>
    </row>
    <row r="9911" spans="1:8" x14ac:dyDescent="0.3">
      <c r="A9911" t="s">
        <v>24670</v>
      </c>
      <c r="B9911" t="s">
        <v>26951</v>
      </c>
      <c r="C9911" t="s">
        <v>24722</v>
      </c>
      <c r="D9911" t="s">
        <v>24721</v>
      </c>
      <c r="E9911" s="2" t="s">
        <v>105</v>
      </c>
      <c r="F9911" t="s">
        <v>7264</v>
      </c>
      <c r="G9911" t="str">
        <f>HYPERLINK("https://n.news.naver.com/mnews/article/119/0002971563?sid=101")</f>
        <v>https://n.news.naver.com/mnews/article/119/0002971563?sid=101</v>
      </c>
      <c r="H9911">
        <v>0.28199999999999997</v>
      </c>
    </row>
    <row r="9912" spans="1:8" x14ac:dyDescent="0.3">
      <c r="A9912" t="s">
        <v>24670</v>
      </c>
      <c r="B9912" t="s">
        <v>26951</v>
      </c>
      <c r="C9912" t="s">
        <v>24725</v>
      </c>
      <c r="D9912" t="s">
        <v>24724</v>
      </c>
      <c r="E9912" s="2" t="s">
        <v>105</v>
      </c>
      <c r="F9912" t="s">
        <v>24723</v>
      </c>
      <c r="G9912" t="str">
        <f>HYPERLINK("https://www.naeil.com/news/read/552639?ref=naver")</f>
        <v>https://www.naeil.com/news/read/552639?ref=naver</v>
      </c>
      <c r="H9912">
        <v>0.98</v>
      </c>
    </row>
    <row r="9913" spans="1:8" x14ac:dyDescent="0.3">
      <c r="A9913" t="s">
        <v>24670</v>
      </c>
      <c r="B9913" t="s">
        <v>26951</v>
      </c>
      <c r="C9913" t="s">
        <v>24727</v>
      </c>
      <c r="D9913" t="s">
        <v>24726</v>
      </c>
      <c r="E9913" s="2" t="s">
        <v>105</v>
      </c>
      <c r="F9913" t="s">
        <v>15221</v>
      </c>
      <c r="G9913" t="str">
        <f>HYPERLINK("https://news.einfomax.co.kr/news/articleView.html?idxno=4302451")</f>
        <v>https://news.einfomax.co.kr/news/articleView.html?idxno=4302451</v>
      </c>
      <c r="H9913">
        <v>0.58699999999999997</v>
      </c>
    </row>
    <row r="9914" spans="1:8" x14ac:dyDescent="0.3">
      <c r="A9914" t="s">
        <v>24670</v>
      </c>
      <c r="B9914" t="s">
        <v>26951</v>
      </c>
      <c r="C9914" t="s">
        <v>24730</v>
      </c>
      <c r="D9914" t="s">
        <v>24729</v>
      </c>
      <c r="E9914" s="2" t="s">
        <v>105</v>
      </c>
      <c r="F9914" t="s">
        <v>24728</v>
      </c>
      <c r="G9914" t="str">
        <f>HYPERLINK("https://www.financialpost.co.kr/news/articleView.html?idxno=226976")</f>
        <v>https://www.financialpost.co.kr/news/articleView.html?idxno=226976</v>
      </c>
      <c r="H9914">
        <v>0.47</v>
      </c>
    </row>
    <row r="9915" spans="1:8" x14ac:dyDescent="0.3">
      <c r="A9915" t="s">
        <v>24670</v>
      </c>
      <c r="B9915" t="s">
        <v>26951</v>
      </c>
      <c r="C9915" t="s">
        <v>24733</v>
      </c>
      <c r="D9915" t="s">
        <v>24732</v>
      </c>
      <c r="E9915" s="2" t="s">
        <v>105</v>
      </c>
      <c r="F9915" t="s">
        <v>1432</v>
      </c>
      <c r="G9915" t="str">
        <f>HYPERLINK("http://www.hellodd.com/news/articleView.html?idxno=105798")</f>
        <v>http://www.hellodd.com/news/articleView.html?idxno=105798</v>
      </c>
      <c r="H9915">
        <v>0.58799999999999997</v>
      </c>
    </row>
    <row r="9916" spans="1:8" x14ac:dyDescent="0.3">
      <c r="A9916" t="s">
        <v>24670</v>
      </c>
      <c r="B9916" t="s">
        <v>26951</v>
      </c>
      <c r="C9916" t="s">
        <v>24735</v>
      </c>
      <c r="D9916" t="s">
        <v>24734</v>
      </c>
      <c r="E9916" s="2" t="s">
        <v>105</v>
      </c>
      <c r="F9916" t="s">
        <v>1162</v>
      </c>
      <c r="G9916" t="str">
        <f>HYPERLINK("http://www.pennmike.com/news/articleView.html?idxno=75337")</f>
        <v>http://www.pennmike.com/news/articleView.html?idxno=75337</v>
      </c>
      <c r="H9916">
        <v>0.40899999999999997</v>
      </c>
    </row>
    <row r="9917" spans="1:8" x14ac:dyDescent="0.3">
      <c r="A9917" t="s">
        <v>24670</v>
      </c>
      <c r="B9917" t="s">
        <v>26951</v>
      </c>
      <c r="C9917" t="s">
        <v>24738</v>
      </c>
      <c r="D9917" t="s">
        <v>24737</v>
      </c>
      <c r="E9917" s="2" t="s">
        <v>105</v>
      </c>
      <c r="F9917" t="s">
        <v>24736</v>
      </c>
      <c r="G9917" t="str">
        <f>HYPERLINK("https://news.unn.net/news/articleView.html?idxno=535378")</f>
        <v>https://news.unn.net/news/articleView.html?idxno=535378</v>
      </c>
      <c r="H9917">
        <v>0.60299999999999998</v>
      </c>
    </row>
    <row r="9918" spans="1:8" x14ac:dyDescent="0.3">
      <c r="A9918" t="s">
        <v>24670</v>
      </c>
      <c r="B9918" t="s">
        <v>26951</v>
      </c>
      <c r="C9918" t="s">
        <v>24741</v>
      </c>
      <c r="D9918" t="s">
        <v>24740</v>
      </c>
      <c r="E9918" s="2" t="s">
        <v>105</v>
      </c>
      <c r="F9918" t="s">
        <v>24739</v>
      </c>
      <c r="G9918" t="str">
        <f>HYPERLINK("https://n.news.naver.com/mnews/article/056/0011241579?sid=101")</f>
        <v>https://n.news.naver.com/mnews/article/056/0011241579?sid=101</v>
      </c>
      <c r="H9918">
        <v>0.21099999999999999</v>
      </c>
    </row>
    <row r="9919" spans="1:8" x14ac:dyDescent="0.3">
      <c r="A9919" t="s">
        <v>24670</v>
      </c>
      <c r="B9919" t="s">
        <v>26951</v>
      </c>
      <c r="C9919" t="s">
        <v>24743</v>
      </c>
      <c r="D9919" t="s">
        <v>24742</v>
      </c>
      <c r="E9919" s="2" t="s">
        <v>105</v>
      </c>
      <c r="F9919" t="s">
        <v>24707</v>
      </c>
      <c r="G9919" t="str">
        <f>HYPERLINK("https://news.dealsitetv.com/news/articleView.html?idxno=129235")</f>
        <v>https://news.dealsitetv.com/news/articleView.html?idxno=129235</v>
      </c>
      <c r="H9919">
        <v>0.67400000000000004</v>
      </c>
    </row>
    <row r="9920" spans="1:8" x14ac:dyDescent="0.3">
      <c r="A9920" t="s">
        <v>24670</v>
      </c>
      <c r="B9920" t="s">
        <v>26951</v>
      </c>
      <c r="C9920" t="s">
        <v>24746</v>
      </c>
      <c r="D9920" t="s">
        <v>24745</v>
      </c>
      <c r="E9920" s="2" t="s">
        <v>105</v>
      </c>
      <c r="F9920" t="s">
        <v>24744</v>
      </c>
      <c r="G9920" t="str">
        <f>HYPERLINK("https://www.youthdaily.co.kr/news/article.html?no=183620")</f>
        <v>https://www.youthdaily.co.kr/news/article.html?no=183620</v>
      </c>
      <c r="H9920">
        <v>0.29899999999999999</v>
      </c>
    </row>
    <row r="9921" spans="1:8" x14ac:dyDescent="0.3">
      <c r="A9921" t="s">
        <v>24670</v>
      </c>
      <c r="B9921" t="s">
        <v>26951</v>
      </c>
      <c r="C9921" t="s">
        <v>24749</v>
      </c>
      <c r="D9921" t="s">
        <v>24748</v>
      </c>
      <c r="E9921" s="2" t="s">
        <v>133</v>
      </c>
      <c r="F9921" t="s">
        <v>24747</v>
      </c>
      <c r="G9921" t="str">
        <f>HYPERLINK("https://n.news.naver.com/mnews/article/008/0004953549?sid=101")</f>
        <v>https://n.news.naver.com/mnews/article/008/0004953549?sid=101</v>
      </c>
      <c r="H9921">
        <v>0.32500000000000001</v>
      </c>
    </row>
    <row r="9922" spans="1:8" x14ac:dyDescent="0.3">
      <c r="A9922" t="s">
        <v>24670</v>
      </c>
      <c r="B9922" t="s">
        <v>26951</v>
      </c>
      <c r="C9922" t="s">
        <v>24752</v>
      </c>
      <c r="D9922" t="s">
        <v>24751</v>
      </c>
      <c r="E9922" s="2" t="s">
        <v>133</v>
      </c>
      <c r="F9922" t="s">
        <v>24750</v>
      </c>
      <c r="G9922" t="str">
        <f>HYPERLINK("https://news.einfomax.co.kr/news/articleView.html?idxno=4333654")</f>
        <v>https://news.einfomax.co.kr/news/articleView.html?idxno=4333654</v>
      </c>
      <c r="H9922">
        <v>0.56699999999999995</v>
      </c>
    </row>
    <row r="9923" spans="1:8" x14ac:dyDescent="0.3">
      <c r="A9923" t="s">
        <v>24670</v>
      </c>
      <c r="B9923" t="s">
        <v>26951</v>
      </c>
      <c r="C9923" t="s">
        <v>24755</v>
      </c>
      <c r="D9923" t="s">
        <v>24754</v>
      </c>
      <c r="E9923" s="2" t="s">
        <v>133</v>
      </c>
      <c r="F9923" t="s">
        <v>24753</v>
      </c>
      <c r="G9923" t="str">
        <f>HYPERLINK("https://www.pointdaily.co.kr/news/articleView.html?idxno=255646")</f>
        <v>https://www.pointdaily.co.kr/news/articleView.html?idxno=255646</v>
      </c>
      <c r="H9923">
        <v>0.184</v>
      </c>
    </row>
    <row r="9924" spans="1:8" x14ac:dyDescent="0.3">
      <c r="A9924" t="s">
        <v>24670</v>
      </c>
      <c r="B9924" t="s">
        <v>26951</v>
      </c>
      <c r="C9924" t="s">
        <v>24758</v>
      </c>
      <c r="D9924" t="s">
        <v>24757</v>
      </c>
      <c r="E9924" s="2" t="s">
        <v>133</v>
      </c>
      <c r="F9924" t="s">
        <v>24756</v>
      </c>
      <c r="G9924" t="str">
        <f>HYPERLINK("http://www.fntoday.co.kr/news/articleView.html?idxno=355973")</f>
        <v>http://www.fntoday.co.kr/news/articleView.html?idxno=355973</v>
      </c>
      <c r="H9924">
        <v>0.39700000000000002</v>
      </c>
    </row>
    <row r="9925" spans="1:8" x14ac:dyDescent="0.3">
      <c r="A9925" t="s">
        <v>24670</v>
      </c>
      <c r="B9925" t="s">
        <v>26951</v>
      </c>
      <c r="C9925" t="s">
        <v>24761</v>
      </c>
      <c r="D9925" t="s">
        <v>24760</v>
      </c>
      <c r="E9925" s="2" t="s">
        <v>133</v>
      </c>
      <c r="F9925" t="s">
        <v>24759</v>
      </c>
      <c r="G9925" t="str">
        <f>HYPERLINK("http://www.newscj.com/article/20221219580191")</f>
        <v>http://www.newscj.com/article/20221219580191</v>
      </c>
      <c r="H9925">
        <v>0.69599999999999995</v>
      </c>
    </row>
    <row r="9926" spans="1:8" x14ac:dyDescent="0.3">
      <c r="A9926" t="s">
        <v>24670</v>
      </c>
      <c r="B9926" t="s">
        <v>26951</v>
      </c>
      <c r="C9926" t="s">
        <v>24763</v>
      </c>
      <c r="D9926" t="s">
        <v>24762</v>
      </c>
      <c r="E9926" s="2" t="s">
        <v>133</v>
      </c>
      <c r="F9926" t="s">
        <v>24707</v>
      </c>
      <c r="G9926" t="str">
        <f>HYPERLINK("https://www.m-economynews.com/news/article.html?no=56453")</f>
        <v>https://www.m-economynews.com/news/article.html?no=56453</v>
      </c>
      <c r="H9926">
        <v>0.76100000000000001</v>
      </c>
    </row>
    <row r="9927" spans="1:8" x14ac:dyDescent="0.3">
      <c r="A9927" t="s">
        <v>24670</v>
      </c>
      <c r="B9927" t="s">
        <v>26951</v>
      </c>
      <c r="C9927" t="s">
        <v>24766</v>
      </c>
      <c r="D9927" t="s">
        <v>24765</v>
      </c>
      <c r="E9927" s="2" t="s">
        <v>172</v>
      </c>
      <c r="F9927" t="s">
        <v>24764</v>
      </c>
      <c r="G9927" t="str">
        <f>HYPERLINK("https://www.getnews.co.kr/news/articleView.html?idxno=829120")</f>
        <v>https://www.getnews.co.kr/news/articleView.html?idxno=829120</v>
      </c>
      <c r="H9927">
        <v>0.39200000000000002</v>
      </c>
    </row>
    <row r="9928" spans="1:8" x14ac:dyDescent="0.3">
      <c r="A9928" t="s">
        <v>24670</v>
      </c>
      <c r="B9928" t="s">
        <v>26951</v>
      </c>
      <c r="C9928" t="s">
        <v>24768</v>
      </c>
      <c r="D9928" t="s">
        <v>24767</v>
      </c>
      <c r="E9928" s="2" t="s">
        <v>172</v>
      </c>
      <c r="F9928" t="s">
        <v>240</v>
      </c>
      <c r="G9928" t="str">
        <f>HYPERLINK("https://news.einfomax.co.kr/news/articleView.html?idxno=4363043")</f>
        <v>https://news.einfomax.co.kr/news/articleView.html?idxno=4363043</v>
      </c>
      <c r="H9928">
        <v>0.59099999999999997</v>
      </c>
    </row>
    <row r="9929" spans="1:8" x14ac:dyDescent="0.3">
      <c r="A9929" t="s">
        <v>24670</v>
      </c>
      <c r="B9929" t="s">
        <v>26951</v>
      </c>
      <c r="C9929" t="s">
        <v>24770</v>
      </c>
      <c r="D9929" t="s">
        <v>24769</v>
      </c>
      <c r="E9929" s="2" t="s">
        <v>172</v>
      </c>
      <c r="F9929" t="s">
        <v>6971</v>
      </c>
      <c r="G9929" t="str">
        <f>HYPERLINK("http://www.greened.kr/news/articleView.html?idxno=298028")</f>
        <v>http://www.greened.kr/news/articleView.html?idxno=298028</v>
      </c>
      <c r="H9929">
        <v>0.34100000000000003</v>
      </c>
    </row>
    <row r="9930" spans="1:8" x14ac:dyDescent="0.3">
      <c r="A9930" t="s">
        <v>24670</v>
      </c>
      <c r="B9930" t="s">
        <v>26951</v>
      </c>
      <c r="C9930" t="s">
        <v>24773</v>
      </c>
      <c r="D9930" t="s">
        <v>24772</v>
      </c>
      <c r="E9930" s="2" t="s">
        <v>172</v>
      </c>
      <c r="F9930" t="s">
        <v>24771</v>
      </c>
      <c r="G9930" t="str">
        <f>HYPERLINK("https://www.sisaweek.com/news/articleView.html?idxno=226444")</f>
        <v>https://www.sisaweek.com/news/articleView.html?idxno=226444</v>
      </c>
      <c r="H9930">
        <v>0.622</v>
      </c>
    </row>
    <row r="9931" spans="1:8" x14ac:dyDescent="0.3">
      <c r="A9931" t="s">
        <v>24670</v>
      </c>
      <c r="B9931" t="s">
        <v>26951</v>
      </c>
      <c r="C9931" t="s">
        <v>24776</v>
      </c>
      <c r="D9931" t="s">
        <v>24775</v>
      </c>
      <c r="E9931" s="2" t="s">
        <v>172</v>
      </c>
      <c r="F9931" t="s">
        <v>24774</v>
      </c>
      <c r="G9931" t="str">
        <f>HYPERLINK("https://www.ilyoseoul.co.kr/news/articleView.html?idxno=504216")</f>
        <v>https://www.ilyoseoul.co.kr/news/articleView.html?idxno=504216</v>
      </c>
      <c r="H9931">
        <v>0.503</v>
      </c>
    </row>
    <row r="9932" spans="1:8" x14ac:dyDescent="0.3">
      <c r="A9932" t="s">
        <v>24670</v>
      </c>
      <c r="B9932" t="s">
        <v>26951</v>
      </c>
      <c r="C9932" t="s">
        <v>24778</v>
      </c>
      <c r="D9932" t="s">
        <v>24777</v>
      </c>
      <c r="E9932" s="2" t="s">
        <v>172</v>
      </c>
      <c r="F9932" t="s">
        <v>22565</v>
      </c>
      <c r="G9932" t="str">
        <f>HYPERLINK("https://www.nc.press/news/articleView.html?idxno=568655")</f>
        <v>https://www.nc.press/news/articleView.html?idxno=568655</v>
      </c>
      <c r="H9932">
        <v>0.496</v>
      </c>
    </row>
    <row r="9933" spans="1:8" x14ac:dyDescent="0.3">
      <c r="A9933" t="s">
        <v>24670</v>
      </c>
      <c r="B9933" t="s">
        <v>26951</v>
      </c>
      <c r="C9933" t="s">
        <v>24780</v>
      </c>
      <c r="D9933" t="s">
        <v>24779</v>
      </c>
      <c r="E9933" s="2" t="s">
        <v>172</v>
      </c>
      <c r="F9933" t="s">
        <v>24731</v>
      </c>
      <c r="G9933" t="str">
        <f>HYPERLINK("https://news.einfomax.co.kr/news/articleView.html?idxno=4361831")</f>
        <v>https://news.einfomax.co.kr/news/articleView.html?idxno=4361831</v>
      </c>
      <c r="H9933">
        <v>0.89400000000000002</v>
      </c>
    </row>
    <row r="9934" spans="1:8" x14ac:dyDescent="0.3">
      <c r="A9934" t="s">
        <v>24670</v>
      </c>
      <c r="B9934" t="s">
        <v>26951</v>
      </c>
      <c r="C9934" t="s">
        <v>24783</v>
      </c>
      <c r="D9934" t="s">
        <v>24782</v>
      </c>
      <c r="E9934" s="2" t="s">
        <v>172</v>
      </c>
      <c r="F9934" t="s">
        <v>24781</v>
      </c>
      <c r="G9934" t="str">
        <f>HYPERLINK("https://n.news.naver.com/mnews/article/044/0000090700?sid=104")</f>
        <v>https://n.news.naver.com/mnews/article/044/0000090700?sid=104</v>
      </c>
      <c r="H9934">
        <v>0.22500000000000001</v>
      </c>
    </row>
    <row r="9935" spans="1:8" x14ac:dyDescent="0.3">
      <c r="A9935" t="s">
        <v>24670</v>
      </c>
      <c r="B9935" t="s">
        <v>26951</v>
      </c>
      <c r="C9935" t="s">
        <v>24786</v>
      </c>
      <c r="D9935" t="s">
        <v>24785</v>
      </c>
      <c r="E9935" s="2" t="s">
        <v>172</v>
      </c>
      <c r="F9935" t="s">
        <v>24784</v>
      </c>
      <c r="G9935" t="str">
        <f>HYPERLINK("https://www.newsquest.co.kr/news/articleView.html?idxno=247187")</f>
        <v>https://www.newsquest.co.kr/news/articleView.html?idxno=247187</v>
      </c>
      <c r="H9935">
        <v>0.98399999999999999</v>
      </c>
    </row>
    <row r="9936" spans="1:8" x14ac:dyDescent="0.3">
      <c r="A9936" t="s">
        <v>24670</v>
      </c>
      <c r="B9936" t="s">
        <v>26951</v>
      </c>
      <c r="C9936" t="s">
        <v>24788</v>
      </c>
      <c r="D9936" t="s">
        <v>24787</v>
      </c>
      <c r="E9936" s="2" t="s">
        <v>172</v>
      </c>
      <c r="F9936" t="s">
        <v>505</v>
      </c>
      <c r="G9936" t="str">
        <f>HYPERLINK("http://www.sisaon.co.kr/news/articleView.html?idxno=172250")</f>
        <v>http://www.sisaon.co.kr/news/articleView.html?idxno=172250</v>
      </c>
      <c r="H9936">
        <v>0.50800000000000001</v>
      </c>
    </row>
    <row r="9937" spans="1:8" x14ac:dyDescent="0.3">
      <c r="A9937" t="s">
        <v>24670</v>
      </c>
      <c r="B9937" t="s">
        <v>26951</v>
      </c>
      <c r="C9937" t="s">
        <v>24790</v>
      </c>
      <c r="D9937" t="s">
        <v>24789</v>
      </c>
      <c r="E9937" s="2" t="s">
        <v>172</v>
      </c>
      <c r="F9937" t="s">
        <v>6455</v>
      </c>
      <c r="G9937" t="str">
        <f>HYPERLINK("https://n.news.naver.com/mnews/article/008/0004828410?sid=103")</f>
        <v>https://n.news.naver.com/mnews/article/008/0004828410?sid=103</v>
      </c>
      <c r="H9937">
        <v>0.34399999999999997</v>
      </c>
    </row>
    <row r="9938" spans="1:8" x14ac:dyDescent="0.3">
      <c r="A9938" t="s">
        <v>24670</v>
      </c>
      <c r="B9938" t="s">
        <v>26951</v>
      </c>
      <c r="C9938" t="s">
        <v>24793</v>
      </c>
      <c r="D9938" t="s">
        <v>24792</v>
      </c>
      <c r="E9938" s="2" t="s">
        <v>172</v>
      </c>
      <c r="F9938" t="s">
        <v>24791</v>
      </c>
      <c r="G9938" t="str">
        <f>HYPERLINK("https://news.einfomax.co.kr/news/articleView.html?idxno=4305903")</f>
        <v>https://news.einfomax.co.kr/news/articleView.html?idxno=4305903</v>
      </c>
      <c r="H9938">
        <v>0.62</v>
      </c>
    </row>
    <row r="9939" spans="1:8" x14ac:dyDescent="0.3">
      <c r="A9939" t="s">
        <v>24670</v>
      </c>
      <c r="B9939" t="s">
        <v>26951</v>
      </c>
      <c r="C9939" t="s">
        <v>24795</v>
      </c>
      <c r="D9939" t="s">
        <v>24794</v>
      </c>
      <c r="E9939" s="2" t="s">
        <v>172</v>
      </c>
      <c r="F9939" t="s">
        <v>24707</v>
      </c>
      <c r="G9939" t="str">
        <f>HYPERLINK("https://www.todayenergy.kr/news/articleView.html?idxno=284936")</f>
        <v>https://www.todayenergy.kr/news/articleView.html?idxno=284936</v>
      </c>
      <c r="H9939">
        <v>0.76200000000000001</v>
      </c>
    </row>
    <row r="9940" spans="1:8" x14ac:dyDescent="0.3">
      <c r="A9940" t="s">
        <v>24670</v>
      </c>
      <c r="B9940" t="s">
        <v>26951</v>
      </c>
      <c r="C9940" t="s">
        <v>24797</v>
      </c>
      <c r="D9940" t="s">
        <v>24796</v>
      </c>
      <c r="E9940" s="2" t="s">
        <v>196</v>
      </c>
      <c r="F9940" t="s">
        <v>240</v>
      </c>
      <c r="G9940" t="str">
        <f>HYPERLINK("https://www.tokenpost.kr/news/cryptocurrency/258230")</f>
        <v>https://www.tokenpost.kr/news/cryptocurrency/258230</v>
      </c>
      <c r="H9940">
        <v>0.51500000000000001</v>
      </c>
    </row>
    <row r="9941" spans="1:8" x14ac:dyDescent="0.3">
      <c r="A9941" t="s">
        <v>24670</v>
      </c>
      <c r="B9941" t="s">
        <v>26951</v>
      </c>
      <c r="C9941" t="s">
        <v>24800</v>
      </c>
      <c r="D9941" t="s">
        <v>24799</v>
      </c>
      <c r="E9941" s="2" t="s">
        <v>196</v>
      </c>
      <c r="F9941" t="s">
        <v>24798</v>
      </c>
      <c r="G9941" t="str">
        <f>HYPERLINK("https://n.news.naver.com/mnews/article/016/0002489414?sid=101")</f>
        <v>https://n.news.naver.com/mnews/article/016/0002489414?sid=101</v>
      </c>
      <c r="H9941">
        <v>0.32100000000000001</v>
      </c>
    </row>
    <row r="9942" spans="1:8" x14ac:dyDescent="0.3">
      <c r="A9942" t="s">
        <v>24670</v>
      </c>
      <c r="B9942" t="s">
        <v>26951</v>
      </c>
      <c r="C9942" t="s">
        <v>24803</v>
      </c>
      <c r="D9942" t="s">
        <v>24802</v>
      </c>
      <c r="E9942" s="2" t="s">
        <v>196</v>
      </c>
      <c r="F9942" t="s">
        <v>24801</v>
      </c>
      <c r="G9942" t="str">
        <f>HYPERLINK("http://www.naeil.com/news_view/?id_art=163733")</f>
        <v>http://www.naeil.com/news_view/?id_art=163733</v>
      </c>
      <c r="H9942">
        <v>0.35299999999999998</v>
      </c>
    </row>
    <row r="9943" spans="1:8" x14ac:dyDescent="0.3">
      <c r="A9943" t="s">
        <v>24670</v>
      </c>
      <c r="B9943" t="s">
        <v>26951</v>
      </c>
      <c r="C9943" t="s">
        <v>24806</v>
      </c>
      <c r="D9943" t="s">
        <v>24805</v>
      </c>
      <c r="E9943" s="2" t="s">
        <v>196</v>
      </c>
      <c r="F9943" t="s">
        <v>24804</v>
      </c>
      <c r="G9943" t="str">
        <f>HYPERLINK("https://n.news.naver.com/mnews/article/277/0004202183?sid=101")</f>
        <v>https://n.news.naver.com/mnews/article/277/0004202183?sid=101</v>
      </c>
      <c r="H9943">
        <v>0.26700000000000002</v>
      </c>
    </row>
    <row r="9944" spans="1:8" x14ac:dyDescent="0.3">
      <c r="A9944" t="s">
        <v>24670</v>
      </c>
      <c r="B9944" t="s">
        <v>26951</v>
      </c>
      <c r="C9944" t="s">
        <v>24808</v>
      </c>
      <c r="D9944" t="s">
        <v>24807</v>
      </c>
      <c r="E9944" s="2" t="s">
        <v>196</v>
      </c>
      <c r="F9944" t="s">
        <v>93</v>
      </c>
      <c r="G9944" t="str">
        <f>HYPERLINK("https://www.newscj.com/news/articleView.html?idxno=3285057")</f>
        <v>https://www.newscj.com/news/articleView.html?idxno=3285057</v>
      </c>
      <c r="H9944">
        <v>0.45800000000000002</v>
      </c>
    </row>
    <row r="9945" spans="1:8" x14ac:dyDescent="0.3">
      <c r="A9945" t="s">
        <v>24670</v>
      </c>
      <c r="B9945" t="s">
        <v>26951</v>
      </c>
      <c r="C9945" t="s">
        <v>24810</v>
      </c>
      <c r="D9945" t="s">
        <v>24809</v>
      </c>
      <c r="E9945" s="2" t="s">
        <v>196</v>
      </c>
      <c r="F9945" t="s">
        <v>24739</v>
      </c>
      <c r="G9945" t="str">
        <f>HYPERLINK("http://www.opinionnews.co.kr/news/articleView.html?idxno=78279")</f>
        <v>http://www.opinionnews.co.kr/news/articleView.html?idxno=78279</v>
      </c>
      <c r="H9945">
        <v>0.48</v>
      </c>
    </row>
    <row r="9946" spans="1:8" x14ac:dyDescent="0.3">
      <c r="A9946" t="s">
        <v>24670</v>
      </c>
      <c r="B9946" t="s">
        <v>26951</v>
      </c>
      <c r="C9946" t="s">
        <v>24813</v>
      </c>
      <c r="D9946" t="s">
        <v>24812</v>
      </c>
      <c r="E9946" s="2" t="s">
        <v>196</v>
      </c>
      <c r="F9946" t="s">
        <v>24811</v>
      </c>
      <c r="G9946" t="str">
        <f>HYPERLINK("http://www.wikileaks-kr.org/news/articleView.html?idxno=170662")</f>
        <v>http://www.wikileaks-kr.org/news/articleView.html?idxno=170662</v>
      </c>
      <c r="H9946">
        <v>0.67100000000000004</v>
      </c>
    </row>
    <row r="9947" spans="1:8" x14ac:dyDescent="0.3">
      <c r="A9947" t="s">
        <v>24670</v>
      </c>
      <c r="B9947" t="s">
        <v>26951</v>
      </c>
      <c r="C9947" t="s">
        <v>24816</v>
      </c>
      <c r="D9947" t="s">
        <v>24815</v>
      </c>
      <c r="E9947" s="2" t="s">
        <v>196</v>
      </c>
      <c r="F9947" t="s">
        <v>24814</v>
      </c>
      <c r="G9947" t="str">
        <f>HYPERLINK("https://n.news.naver.com/mnews/article/079/0004040685?sid=102")</f>
        <v>https://n.news.naver.com/mnews/article/079/0004040685?sid=102</v>
      </c>
      <c r="H9947">
        <v>0.26700000000000002</v>
      </c>
    </row>
    <row r="9948" spans="1:8" x14ac:dyDescent="0.3">
      <c r="A9948" t="s">
        <v>24670</v>
      </c>
      <c r="B9948" t="s">
        <v>26951</v>
      </c>
      <c r="C9948" t="s">
        <v>24818</v>
      </c>
      <c r="D9948" t="s">
        <v>24817</v>
      </c>
      <c r="E9948" s="2" t="s">
        <v>196</v>
      </c>
      <c r="F9948" t="s">
        <v>24707</v>
      </c>
      <c r="G9948" t="str">
        <f>HYPERLINK("https://www.todayenergy.kr/news/articleView.html?idxno=284936")</f>
        <v>https://www.todayenergy.kr/news/articleView.html?idxno=284936</v>
      </c>
      <c r="H9948">
        <v>0.70299999999999996</v>
      </c>
    </row>
    <row r="9949" spans="1:8" x14ac:dyDescent="0.3">
      <c r="A9949" t="s">
        <v>24670</v>
      </c>
      <c r="B9949" t="s">
        <v>26951</v>
      </c>
      <c r="C9949" t="s">
        <v>24821</v>
      </c>
      <c r="D9949" t="s">
        <v>24820</v>
      </c>
      <c r="E9949" s="2" t="s">
        <v>196</v>
      </c>
      <c r="F9949" t="s">
        <v>24819</v>
      </c>
      <c r="G9949" t="str">
        <f>HYPERLINK("http://www.knnews.co.kr/news/articleView.php?idxno=1201750")</f>
        <v>http://www.knnews.co.kr/news/articleView.php?idxno=1201750</v>
      </c>
      <c r="H9949">
        <v>0.52200000000000002</v>
      </c>
    </row>
    <row r="9950" spans="1:8" x14ac:dyDescent="0.3">
      <c r="A9950" t="s">
        <v>24670</v>
      </c>
      <c r="B9950" t="s">
        <v>26951</v>
      </c>
      <c r="C9950" t="s">
        <v>24824</v>
      </c>
      <c r="D9950" t="s">
        <v>24823</v>
      </c>
      <c r="E9950" s="2" t="s">
        <v>230</v>
      </c>
      <c r="F9950" t="s">
        <v>24822</v>
      </c>
      <c r="G9950" t="str">
        <f>HYPERLINK("https://www.financialpost.co.kr/news/articleView.html?idxno=217022")</f>
        <v>https://www.financialpost.co.kr/news/articleView.html?idxno=217022</v>
      </c>
      <c r="H9950">
        <v>0.69</v>
      </c>
    </row>
    <row r="9951" spans="1:8" x14ac:dyDescent="0.3">
      <c r="A9951" t="s">
        <v>24670</v>
      </c>
      <c r="B9951" t="s">
        <v>26951</v>
      </c>
      <c r="C9951" t="s">
        <v>24827</v>
      </c>
      <c r="D9951" t="s">
        <v>24826</v>
      </c>
      <c r="E9951" s="2" t="s">
        <v>230</v>
      </c>
      <c r="F9951" t="s">
        <v>24825</v>
      </c>
      <c r="G9951" t="str">
        <f>HYPERLINK("https://www.straightnews.co.kr/news/articleView.html?idxno=275015")</f>
        <v>https://www.straightnews.co.kr/news/articleView.html?idxno=275015</v>
      </c>
      <c r="H9951">
        <v>0.06</v>
      </c>
    </row>
    <row r="9952" spans="1:8" x14ac:dyDescent="0.3">
      <c r="A9952" t="s">
        <v>24670</v>
      </c>
      <c r="B9952" t="s">
        <v>26951</v>
      </c>
      <c r="C9952" t="s">
        <v>24829</v>
      </c>
      <c r="D9952" t="s">
        <v>24828</v>
      </c>
      <c r="E9952" s="2" t="s">
        <v>230</v>
      </c>
      <c r="F9952" t="s">
        <v>22616</v>
      </c>
      <c r="G9952" t="str">
        <f>HYPERLINK("http://www.opinionnews.co.kr/news/articleView.html?idxno=119021")</f>
        <v>http://www.opinionnews.co.kr/news/articleView.html?idxno=119021</v>
      </c>
      <c r="H9952">
        <v>0.78600000000000003</v>
      </c>
    </row>
    <row r="9953" spans="1:8" x14ac:dyDescent="0.3">
      <c r="A9953" t="s">
        <v>24670</v>
      </c>
      <c r="B9953" t="s">
        <v>26951</v>
      </c>
      <c r="C9953" t="s">
        <v>24831</v>
      </c>
      <c r="D9953" t="s">
        <v>24830</v>
      </c>
      <c r="E9953" s="2" t="s">
        <v>230</v>
      </c>
      <c r="F9953" t="s">
        <v>1432</v>
      </c>
      <c r="G9953" t="str">
        <f>HYPERLINK("https://www.bbc.com/korean/articles/cgqvlwz8kkwo?xtor=AL-73-%5Bpartner%5D-%5Bnaver%5D-%5Bheadline%5D-%5Bkorean%5D-%5Bbizdev%5D-%5Bisapi%5D")</f>
        <v>https://www.bbc.com/korean/articles/cgqvlwz8kkwo?xtor=AL-73-%5Bpartner%5D-%5Bnaver%5D-%5Bheadline%5D-%5Bkorean%5D-%5Bbizdev%5D-%5Bisapi%5D</v>
      </c>
      <c r="H9953">
        <v>0.69299999999999995</v>
      </c>
    </row>
    <row r="9954" spans="1:8" x14ac:dyDescent="0.3">
      <c r="A9954" t="s">
        <v>24670</v>
      </c>
      <c r="B9954" t="s">
        <v>26951</v>
      </c>
      <c r="C9954" t="s">
        <v>24833</v>
      </c>
      <c r="D9954" t="s">
        <v>24832</v>
      </c>
      <c r="E9954" s="2" t="s">
        <v>230</v>
      </c>
      <c r="F9954" t="s">
        <v>18301</v>
      </c>
      <c r="G9954" t="str">
        <f>HYPERLINK("https://www.nspna.com/news/?mode=view&amp;newsid=762643")</f>
        <v>https://www.nspna.com/news/?mode=view&amp;newsid=762643</v>
      </c>
      <c r="H9954">
        <v>0.38</v>
      </c>
    </row>
    <row r="9955" spans="1:8" x14ac:dyDescent="0.3">
      <c r="A9955" t="s">
        <v>24670</v>
      </c>
      <c r="B9955" t="s">
        <v>26951</v>
      </c>
      <c r="C9955" t="s">
        <v>24835</v>
      </c>
      <c r="D9955" t="s">
        <v>24834</v>
      </c>
      <c r="E9955" s="2" t="s">
        <v>230</v>
      </c>
      <c r="F9955" t="s">
        <v>24674</v>
      </c>
      <c r="G9955" t="str">
        <f>HYPERLINK("https://n.news.naver.com/mnews/article/028/0002752250?sid=104")</f>
        <v>https://n.news.naver.com/mnews/article/028/0002752250?sid=104</v>
      </c>
      <c r="H9955">
        <v>0.35799999999999998</v>
      </c>
    </row>
    <row r="9956" spans="1:8" x14ac:dyDescent="0.3">
      <c r="A9956" t="s">
        <v>24670</v>
      </c>
      <c r="B9956" t="s">
        <v>26951</v>
      </c>
      <c r="C9956" t="s">
        <v>24837</v>
      </c>
      <c r="D9956" t="s">
        <v>24836</v>
      </c>
      <c r="E9956" s="2" t="s">
        <v>230</v>
      </c>
      <c r="F9956" t="s">
        <v>15221</v>
      </c>
      <c r="G9956" t="str">
        <f>HYPERLINK("https://n.news.naver.com/mnews/article/016/0002488859?sid=101")</f>
        <v>https://n.news.naver.com/mnews/article/016/0002488859?sid=101</v>
      </c>
      <c r="H9956">
        <v>0.376</v>
      </c>
    </row>
    <row r="9957" spans="1:8" x14ac:dyDescent="0.3">
      <c r="A9957" t="s">
        <v>24670</v>
      </c>
      <c r="B9957" t="s">
        <v>26951</v>
      </c>
      <c r="C9957" t="s">
        <v>24840</v>
      </c>
      <c r="D9957" t="s">
        <v>24839</v>
      </c>
      <c r="E9957" s="2" t="s">
        <v>267</v>
      </c>
      <c r="F9957" t="s">
        <v>24838</v>
      </c>
      <c r="G9957" t="str">
        <f>HYPERLINK("https://n.news.naver.com/mnews/article/119/0002969495?sid=100")</f>
        <v>https://n.news.naver.com/mnews/article/119/0002969495?sid=100</v>
      </c>
      <c r="H9957">
        <v>0.27600000000000002</v>
      </c>
    </row>
    <row r="9958" spans="1:8" x14ac:dyDescent="0.3">
      <c r="A9958" t="s">
        <v>24670</v>
      </c>
      <c r="B9958" t="s">
        <v>26951</v>
      </c>
      <c r="C9958" t="s">
        <v>24842</v>
      </c>
      <c r="D9958" t="s">
        <v>24841</v>
      </c>
      <c r="E9958" s="2" t="s">
        <v>267</v>
      </c>
      <c r="F9958" t="s">
        <v>23961</v>
      </c>
      <c r="G9958" t="str">
        <f>HYPERLINK("http://coinreaders.com/9706")</f>
        <v>http://coinreaders.com/9706</v>
      </c>
      <c r="H9958">
        <v>0.47499999999999998</v>
      </c>
    </row>
    <row r="9959" spans="1:8" x14ac:dyDescent="0.3">
      <c r="A9959" t="s">
        <v>24670</v>
      </c>
      <c r="B9959" t="s">
        <v>26951</v>
      </c>
      <c r="C9959" t="s">
        <v>24845</v>
      </c>
      <c r="D9959" t="s">
        <v>24844</v>
      </c>
      <c r="E9959" s="2" t="s">
        <v>267</v>
      </c>
      <c r="F9959" t="s">
        <v>24843</v>
      </c>
      <c r="G9959" t="str">
        <f>HYPERLINK("https://n.news.naver.com/mnews/article/002/0002393909?sid=104")</f>
        <v>https://n.news.naver.com/mnews/article/002/0002393909?sid=104</v>
      </c>
      <c r="H9959">
        <v>0.254</v>
      </c>
    </row>
    <row r="9960" spans="1:8" x14ac:dyDescent="0.3">
      <c r="A9960" t="s">
        <v>24670</v>
      </c>
      <c r="B9960" t="s">
        <v>26951</v>
      </c>
      <c r="C9960" t="s">
        <v>24847</v>
      </c>
      <c r="D9960" t="s">
        <v>24846</v>
      </c>
      <c r="E9960" s="2" t="s">
        <v>280</v>
      </c>
      <c r="F9960" t="s">
        <v>14</v>
      </c>
      <c r="G9960" t="str">
        <f>HYPERLINK("https://news.einfomax.co.kr/news/articleView.html?idxno=4328425")</f>
        <v>https://news.einfomax.co.kr/news/articleView.html?idxno=4328425</v>
      </c>
      <c r="H9960">
        <v>0.247</v>
      </c>
    </row>
    <row r="9961" spans="1:8" x14ac:dyDescent="0.3">
      <c r="A9961" t="s">
        <v>24670</v>
      </c>
      <c r="B9961" t="s">
        <v>26951</v>
      </c>
      <c r="C9961" t="s">
        <v>24850</v>
      </c>
      <c r="D9961" t="s">
        <v>24849</v>
      </c>
      <c r="E9961" s="2" t="s">
        <v>280</v>
      </c>
      <c r="F9961" t="s">
        <v>24848</v>
      </c>
      <c r="G9961" t="str">
        <f>HYPERLINK("https://www.newspim.com/news/view/20250419000002")</f>
        <v>https://www.newspim.com/news/view/20250419000002</v>
      </c>
      <c r="H9961">
        <v>0.61499999999999999</v>
      </c>
    </row>
    <row r="9962" spans="1:8" x14ac:dyDescent="0.3">
      <c r="A9962" t="s">
        <v>24670</v>
      </c>
      <c r="B9962" t="s">
        <v>26951</v>
      </c>
      <c r="C9962" t="s">
        <v>24853</v>
      </c>
      <c r="D9962" t="s">
        <v>24852</v>
      </c>
      <c r="E9962" s="2" t="s">
        <v>280</v>
      </c>
      <c r="F9962" t="s">
        <v>24851</v>
      </c>
      <c r="G9962" t="str">
        <f>HYPERLINK("https://n.news.naver.com/mnews/article/022/0004047689?sid=102")</f>
        <v>https://n.news.naver.com/mnews/article/022/0004047689?sid=102</v>
      </c>
      <c r="H9962">
        <v>0.27200000000000002</v>
      </c>
    </row>
    <row r="9963" spans="1:8" x14ac:dyDescent="0.3">
      <c r="A9963" t="s">
        <v>24670</v>
      </c>
      <c r="B9963" t="s">
        <v>26951</v>
      </c>
      <c r="C9963" t="s">
        <v>24856</v>
      </c>
      <c r="D9963" t="s">
        <v>24855</v>
      </c>
      <c r="E9963" s="2" t="s">
        <v>280</v>
      </c>
      <c r="F9963" t="s">
        <v>24854</v>
      </c>
      <c r="G9963" t="str">
        <f>HYPERLINK("https://www.eroun.net/news/articleView.html?idxno=56890")</f>
        <v>https://www.eroun.net/news/articleView.html?idxno=56890</v>
      </c>
      <c r="H9963">
        <v>0.61899999999999999</v>
      </c>
    </row>
    <row r="9964" spans="1:8" x14ac:dyDescent="0.3">
      <c r="A9964" t="s">
        <v>24670</v>
      </c>
      <c r="B9964" t="s">
        <v>26951</v>
      </c>
      <c r="C9964" t="s">
        <v>24859</v>
      </c>
      <c r="D9964" t="s">
        <v>24858</v>
      </c>
      <c r="E9964" s="2" t="s">
        <v>280</v>
      </c>
      <c r="F9964" t="s">
        <v>24857</v>
      </c>
      <c r="G9964" t="str">
        <f>HYPERLINK("https://www.m-joongang.com/news/articleView.html?idxno=401223")</f>
        <v>https://www.m-joongang.com/news/articleView.html?idxno=401223</v>
      </c>
      <c r="H9964">
        <v>0.71099999999999997</v>
      </c>
    </row>
    <row r="9965" spans="1:8" x14ac:dyDescent="0.3">
      <c r="A9965" t="s">
        <v>24670</v>
      </c>
      <c r="B9965" t="s">
        <v>26951</v>
      </c>
      <c r="C9965" t="s">
        <v>24862</v>
      </c>
      <c r="D9965" t="s">
        <v>24861</v>
      </c>
      <c r="E9965" s="2" t="s">
        <v>280</v>
      </c>
      <c r="F9965" t="s">
        <v>24860</v>
      </c>
      <c r="G9965" t="str">
        <f>HYPERLINK("https://www.businessplus.kr/news/articleView.html?idxno=86946")</f>
        <v>https://www.businessplus.kr/news/articleView.html?idxno=86946</v>
      </c>
      <c r="H9965">
        <v>0.56200000000000006</v>
      </c>
    </row>
    <row r="9966" spans="1:8" x14ac:dyDescent="0.3">
      <c r="A9966" t="s">
        <v>24670</v>
      </c>
      <c r="B9966" t="s">
        <v>26951</v>
      </c>
      <c r="C9966" t="s">
        <v>24865</v>
      </c>
      <c r="D9966" t="s">
        <v>24864</v>
      </c>
      <c r="E9966" s="2" t="s">
        <v>280</v>
      </c>
      <c r="F9966" t="s">
        <v>24863</v>
      </c>
      <c r="G9966" t="str">
        <f>HYPERLINK("http://www.worldkorean.net/news/articleView.html?idxno=54344")</f>
        <v>http://www.worldkorean.net/news/articleView.html?idxno=54344</v>
      </c>
      <c r="H9966">
        <v>0.63800000000000001</v>
      </c>
    </row>
    <row r="9967" spans="1:8" x14ac:dyDescent="0.3">
      <c r="A9967" t="s">
        <v>24670</v>
      </c>
      <c r="B9967" t="s">
        <v>26951</v>
      </c>
      <c r="C9967" t="s">
        <v>24868</v>
      </c>
      <c r="D9967" t="s">
        <v>24867</v>
      </c>
      <c r="E9967" s="2" t="s">
        <v>313</v>
      </c>
      <c r="F9967" t="s">
        <v>24866</v>
      </c>
      <c r="G9967" t="str">
        <f>HYPERLINK("http://www.kdfnews.com/news/articleView.html?idxno=159246")</f>
        <v>http://www.kdfnews.com/news/articleView.html?idxno=159246</v>
      </c>
      <c r="H9967">
        <v>0.52300000000000002</v>
      </c>
    </row>
    <row r="9968" spans="1:8" x14ac:dyDescent="0.3">
      <c r="A9968" t="s">
        <v>24670</v>
      </c>
      <c r="B9968" t="s">
        <v>26951</v>
      </c>
      <c r="C9968" t="s">
        <v>24870</v>
      </c>
      <c r="D9968" t="s">
        <v>24869</v>
      </c>
      <c r="E9968" s="2" t="s">
        <v>313</v>
      </c>
      <c r="F9968" t="s">
        <v>1432</v>
      </c>
      <c r="G9968" t="str">
        <f>HYPERLINK("http://www.ggilbo.com/news/articleView.html?idxno=767549")</f>
        <v>http://www.ggilbo.com/news/articleView.html?idxno=767549</v>
      </c>
      <c r="H9968">
        <v>0.73799999999999999</v>
      </c>
    </row>
    <row r="9969" spans="1:8" x14ac:dyDescent="0.3">
      <c r="A9969" t="s">
        <v>24670</v>
      </c>
      <c r="B9969" t="s">
        <v>26951</v>
      </c>
      <c r="C9969" t="s">
        <v>24872</v>
      </c>
      <c r="D9969" t="s">
        <v>24871</v>
      </c>
      <c r="E9969" s="2" t="s">
        <v>313</v>
      </c>
      <c r="F9969" t="s">
        <v>24771</v>
      </c>
      <c r="G9969" t="str">
        <f>HYPERLINK("https://www.straightnews.co.kr/news/articleView.html?idxno=273954")</f>
        <v>https://www.straightnews.co.kr/news/articleView.html?idxno=273954</v>
      </c>
      <c r="H9969">
        <v>0.64900000000000002</v>
      </c>
    </row>
    <row r="9970" spans="1:8" x14ac:dyDescent="0.3">
      <c r="A9970" t="s">
        <v>24670</v>
      </c>
      <c r="B9970" t="s">
        <v>26951</v>
      </c>
      <c r="C9970" t="s">
        <v>24875</v>
      </c>
      <c r="D9970" t="s">
        <v>24874</v>
      </c>
      <c r="E9970" s="2" t="s">
        <v>313</v>
      </c>
      <c r="F9970" t="s">
        <v>24873</v>
      </c>
      <c r="G9970" t="str">
        <f>HYPERLINK("https://www.datasom.co.kr/news/articleView.html?idxno=205016")</f>
        <v>https://www.datasom.co.kr/news/articleView.html?idxno=205016</v>
      </c>
      <c r="H9970">
        <v>0.4</v>
      </c>
    </row>
    <row r="9971" spans="1:8" x14ac:dyDescent="0.3">
      <c r="A9971" t="s">
        <v>24670</v>
      </c>
      <c r="B9971" t="s">
        <v>26951</v>
      </c>
      <c r="C9971" t="s">
        <v>24877</v>
      </c>
      <c r="D9971" t="s">
        <v>24876</v>
      </c>
      <c r="E9971" s="2" t="s">
        <v>313</v>
      </c>
      <c r="F9971" t="s">
        <v>24682</v>
      </c>
      <c r="G9971" t="str">
        <f>HYPERLINK("http://www.updownnews.co.kr/news/articleView.html?idxno=305079")</f>
        <v>http://www.updownnews.co.kr/news/articleView.html?idxno=305079</v>
      </c>
      <c r="H9971">
        <v>0.45600000000000002</v>
      </c>
    </row>
    <row r="9972" spans="1:8" x14ac:dyDescent="0.3">
      <c r="A9972" t="s">
        <v>24670</v>
      </c>
      <c r="B9972" t="s">
        <v>26951</v>
      </c>
      <c r="C9972" t="s">
        <v>24880</v>
      </c>
      <c r="D9972" t="s">
        <v>24879</v>
      </c>
      <c r="E9972" s="2" t="s">
        <v>313</v>
      </c>
      <c r="F9972" t="s">
        <v>24878</v>
      </c>
      <c r="G9972" t="str">
        <f>HYPERLINK("https://www.akomnews.com/bbs/board.php?bo_table=news&amp;wr_id=59726")</f>
        <v>https://www.akomnews.com/bbs/board.php?bo_table=news&amp;wr_id=59726</v>
      </c>
      <c r="H9972">
        <v>0.57399999999999995</v>
      </c>
    </row>
    <row r="9973" spans="1:8" x14ac:dyDescent="0.3">
      <c r="A9973" t="s">
        <v>24670</v>
      </c>
      <c r="B9973" t="s">
        <v>26951</v>
      </c>
      <c r="C9973" t="s">
        <v>24883</v>
      </c>
      <c r="D9973" t="s">
        <v>24882</v>
      </c>
      <c r="E9973" s="2" t="s">
        <v>313</v>
      </c>
      <c r="F9973" t="s">
        <v>24881</v>
      </c>
      <c r="G9973" t="str">
        <f>HYPERLINK("http://gamefocus.co.kr/detail.php?number=145582")</f>
        <v>http://gamefocus.co.kr/detail.php?number=145582</v>
      </c>
      <c r="H9973">
        <v>0.63700000000000001</v>
      </c>
    </row>
    <row r="9974" spans="1:8" x14ac:dyDescent="0.3">
      <c r="A9974" t="s">
        <v>24670</v>
      </c>
      <c r="B9974" t="s">
        <v>26951</v>
      </c>
      <c r="C9974" t="s">
        <v>24886</v>
      </c>
      <c r="D9974" t="s">
        <v>24885</v>
      </c>
      <c r="E9974" s="2" t="s">
        <v>313</v>
      </c>
      <c r="F9974" t="s">
        <v>24884</v>
      </c>
      <c r="G9974" t="str">
        <f>HYPERLINK("https://www.naeil.com/news/read/540452?ref=naver")</f>
        <v>https://www.naeil.com/news/read/540452?ref=naver</v>
      </c>
      <c r="H9974">
        <v>0.44800000000000001</v>
      </c>
    </row>
    <row r="9975" spans="1:8" x14ac:dyDescent="0.3">
      <c r="A9975" t="s">
        <v>24670</v>
      </c>
      <c r="B9975" t="s">
        <v>26951</v>
      </c>
      <c r="C9975" t="s">
        <v>24889</v>
      </c>
      <c r="D9975" t="s">
        <v>24888</v>
      </c>
      <c r="E9975" s="2" t="s">
        <v>313</v>
      </c>
      <c r="F9975" t="s">
        <v>24887</v>
      </c>
      <c r="G9975" t="str">
        <f>HYPERLINK("https://www.straightnews.co.kr/news/articleView.html?idxno=275015")</f>
        <v>https://www.straightnews.co.kr/news/articleView.html?idxno=275015</v>
      </c>
      <c r="H9975">
        <v>0.65100000000000002</v>
      </c>
    </row>
    <row r="9976" spans="1:8" x14ac:dyDescent="0.3">
      <c r="A9976" t="s">
        <v>24670</v>
      </c>
      <c r="B9976" t="s">
        <v>26951</v>
      </c>
      <c r="C9976" t="s">
        <v>24892</v>
      </c>
      <c r="D9976" t="s">
        <v>24891</v>
      </c>
      <c r="E9976" s="2" t="s">
        <v>313</v>
      </c>
      <c r="F9976" t="s">
        <v>24890</v>
      </c>
      <c r="G9976" t="str">
        <f>HYPERLINK("http://www.lecturernews.com/news/articleView.html?idxno=85557")</f>
        <v>http://www.lecturernews.com/news/articleView.html?idxno=85557</v>
      </c>
      <c r="H9976">
        <v>0.36</v>
      </c>
    </row>
    <row r="9977" spans="1:8" x14ac:dyDescent="0.3">
      <c r="A9977" t="s">
        <v>24670</v>
      </c>
      <c r="B9977" t="s">
        <v>26951</v>
      </c>
      <c r="C9977" t="s">
        <v>24894</v>
      </c>
      <c r="D9977" t="s">
        <v>24893</v>
      </c>
      <c r="E9977" s="2" t="s">
        <v>356</v>
      </c>
      <c r="F9977" t="s">
        <v>8417</v>
      </c>
      <c r="G9977" t="str">
        <f>HYPERLINK("https://n.news.naver.com/mnews/article/119/0002974452?sid=103")</f>
        <v>https://n.news.naver.com/mnews/article/119/0002974452?sid=103</v>
      </c>
      <c r="H9977">
        <v>0.245</v>
      </c>
    </row>
    <row r="9978" spans="1:8" x14ac:dyDescent="0.3">
      <c r="A9978" t="s">
        <v>24670</v>
      </c>
      <c r="B9978" t="s">
        <v>26951</v>
      </c>
      <c r="C9978" t="s">
        <v>24896</v>
      </c>
      <c r="D9978" t="s">
        <v>24895</v>
      </c>
      <c r="E9978" s="2" t="s">
        <v>356</v>
      </c>
      <c r="F9978" t="s">
        <v>2594</v>
      </c>
      <c r="G9978" t="str">
        <f>HYPERLINK("http://www.pennmike.com/news/articleView.html?idxno=75337")</f>
        <v>http://www.pennmike.com/news/articleView.html?idxno=75337</v>
      </c>
      <c r="H9978">
        <v>0.45200000000000001</v>
      </c>
    </row>
    <row r="9979" spans="1:8" x14ac:dyDescent="0.3">
      <c r="A9979" t="s">
        <v>24670</v>
      </c>
      <c r="B9979" t="s">
        <v>26951</v>
      </c>
      <c r="C9979" t="s">
        <v>24898</v>
      </c>
      <c r="D9979" t="s">
        <v>24897</v>
      </c>
      <c r="E9979" s="2" t="s">
        <v>356</v>
      </c>
      <c r="F9979" t="s">
        <v>240</v>
      </c>
      <c r="G9979" t="str">
        <f>HYPERLINK("http://www.dailysmart.co.kr/news/articleView.html?idxno=4964")</f>
        <v>http://www.dailysmart.co.kr/news/articleView.html?idxno=4964</v>
      </c>
      <c r="H9979">
        <v>0.53700000000000003</v>
      </c>
    </row>
    <row r="9980" spans="1:8" x14ac:dyDescent="0.3">
      <c r="A9980" t="s">
        <v>24670</v>
      </c>
      <c r="B9980" t="s">
        <v>26951</v>
      </c>
      <c r="C9980" t="s">
        <v>24900</v>
      </c>
      <c r="D9980" t="s">
        <v>24899</v>
      </c>
      <c r="E9980" s="2" t="s">
        <v>356</v>
      </c>
      <c r="F9980" t="s">
        <v>19931</v>
      </c>
      <c r="G9980" t="str">
        <f>HYPERLINK("https://www.naeil.com/news/read/551725?ref=naver")</f>
        <v>https://www.naeil.com/news/read/551725?ref=naver</v>
      </c>
      <c r="H9980">
        <v>0.63700000000000001</v>
      </c>
    </row>
    <row r="9981" spans="1:8" x14ac:dyDescent="0.3">
      <c r="A9981" t="s">
        <v>24670</v>
      </c>
      <c r="B9981" t="s">
        <v>26951</v>
      </c>
      <c r="C9981" t="s">
        <v>24902</v>
      </c>
      <c r="D9981" t="s">
        <v>24901</v>
      </c>
      <c r="E9981" s="2" t="s">
        <v>356</v>
      </c>
      <c r="F9981" t="s">
        <v>2336</v>
      </c>
      <c r="G9981" t="str">
        <f>HYPERLINK("https://n.news.naver.com/mnews/article/648/0000037250?sid=101")</f>
        <v>https://n.news.naver.com/mnews/article/648/0000037250?sid=101</v>
      </c>
      <c r="H9981">
        <v>0.191</v>
      </c>
    </row>
    <row r="9982" spans="1:8" x14ac:dyDescent="0.3">
      <c r="A9982" t="s">
        <v>24670</v>
      </c>
      <c r="B9982" t="s">
        <v>26951</v>
      </c>
      <c r="C9982" t="s">
        <v>24904</v>
      </c>
      <c r="D9982" t="s">
        <v>24903</v>
      </c>
      <c r="E9982" s="2" t="s">
        <v>356</v>
      </c>
      <c r="F9982" t="s">
        <v>12688</v>
      </c>
      <c r="G9982" t="str">
        <f>HYPERLINK("https://www.bbc.com/korean/articles/cdezyz60l7yo?xtor=AL-73-%5Bpartner%5D-%5Bnaver%5D-%5Bheadline%5D-%5Bkorean%5D-%5Bbizdev%5D-%5Bisapi%5D")</f>
        <v>https://www.bbc.com/korean/articles/cdezyz60l7yo?xtor=AL-73-%5Bpartner%5D-%5Bnaver%5D-%5Bheadline%5D-%5Bkorean%5D-%5Bbizdev%5D-%5Bisapi%5D</v>
      </c>
      <c r="H9982">
        <v>0.72399999999999998</v>
      </c>
    </row>
    <row r="9983" spans="1:8" x14ac:dyDescent="0.3">
      <c r="A9983" t="s">
        <v>24670</v>
      </c>
      <c r="B9983" t="s">
        <v>26951</v>
      </c>
      <c r="C9983" t="s">
        <v>24906</v>
      </c>
      <c r="D9983" t="s">
        <v>24905</v>
      </c>
      <c r="E9983" s="2" t="s">
        <v>356</v>
      </c>
      <c r="F9983" t="s">
        <v>24682</v>
      </c>
      <c r="G9983" t="str">
        <f>HYPERLINK("https://www.tokenpost.kr/article-203172")</f>
        <v>https://www.tokenpost.kr/article-203172</v>
      </c>
      <c r="H9983">
        <v>0.47799999999999998</v>
      </c>
    </row>
    <row r="9984" spans="1:8" x14ac:dyDescent="0.3">
      <c r="A9984" t="s">
        <v>24670</v>
      </c>
      <c r="B9984" t="s">
        <v>26951</v>
      </c>
      <c r="C9984" t="s">
        <v>24908</v>
      </c>
      <c r="D9984" t="s">
        <v>24907</v>
      </c>
      <c r="E9984" s="2" t="s">
        <v>356</v>
      </c>
      <c r="F9984" t="s">
        <v>3006</v>
      </c>
      <c r="G9984" t="str">
        <f>HYPERLINK("http://news.inochong.org/detail.php?number=6055&amp;thread=22r07")</f>
        <v>http://news.inochong.org/detail.php?number=6055&amp;thread=22r07</v>
      </c>
      <c r="H9984">
        <v>0.38900000000000001</v>
      </c>
    </row>
    <row r="9985" spans="1:8" x14ac:dyDescent="0.3">
      <c r="A9985" t="s">
        <v>24670</v>
      </c>
      <c r="B9985" t="s">
        <v>26951</v>
      </c>
      <c r="C9985" t="s">
        <v>24910</v>
      </c>
      <c r="D9985" t="s">
        <v>24909</v>
      </c>
      <c r="E9985" s="2" t="s">
        <v>356</v>
      </c>
      <c r="F9985" t="s">
        <v>15975</v>
      </c>
      <c r="G9985" t="str">
        <f>HYPERLINK("http://www.livesnews.com/news/article.html?no=47818")</f>
        <v>http://www.livesnews.com/news/article.html?no=47818</v>
      </c>
      <c r="H9985">
        <v>0.318</v>
      </c>
    </row>
    <row r="9986" spans="1:8" x14ac:dyDescent="0.3">
      <c r="A9986" t="s">
        <v>24670</v>
      </c>
      <c r="B9986" t="s">
        <v>26951</v>
      </c>
      <c r="C9986" t="s">
        <v>24912</v>
      </c>
      <c r="D9986" t="s">
        <v>24911</v>
      </c>
      <c r="E9986" s="2" t="s">
        <v>356</v>
      </c>
      <c r="F9986" t="s">
        <v>24811</v>
      </c>
      <c r="G9986" t="str">
        <f>HYPERLINK("https://www.ekn.kr/web/view.php?key=20240610021542938")</f>
        <v>https://www.ekn.kr/web/view.php?key=20240610021542938</v>
      </c>
      <c r="H9986">
        <v>0.5</v>
      </c>
    </row>
    <row r="9987" spans="1:8" x14ac:dyDescent="0.3">
      <c r="A9987" t="s">
        <v>24670</v>
      </c>
      <c r="B9987" t="s">
        <v>26951</v>
      </c>
      <c r="C9987" t="s">
        <v>24914</v>
      </c>
      <c r="D9987" t="s">
        <v>24913</v>
      </c>
      <c r="E9987" s="2" t="s">
        <v>356</v>
      </c>
      <c r="F9987" t="s">
        <v>1975</v>
      </c>
      <c r="G9987" t="str">
        <f>HYPERLINK("http://news.bbsi.co.kr/news/articleView.html?idxno=779085")</f>
        <v>http://news.bbsi.co.kr/news/articleView.html?idxno=779085</v>
      </c>
      <c r="H9987">
        <v>0.57399999999999995</v>
      </c>
    </row>
    <row r="9988" spans="1:8" x14ac:dyDescent="0.3">
      <c r="A9988" t="s">
        <v>24670</v>
      </c>
      <c r="B9988" t="s">
        <v>26951</v>
      </c>
      <c r="C9988" t="s">
        <v>24916</v>
      </c>
      <c r="D9988" t="s">
        <v>24915</v>
      </c>
      <c r="E9988" s="2" t="s">
        <v>356</v>
      </c>
      <c r="F9988" t="s">
        <v>24887</v>
      </c>
      <c r="G9988" t="str">
        <f>HYPERLINK("https://www.straightnews.co.kr/news/articleView.html?idxno=275015")</f>
        <v>https://www.straightnews.co.kr/news/articleView.html?idxno=275015</v>
      </c>
      <c r="H9988">
        <v>0.629</v>
      </c>
    </row>
    <row r="9989" spans="1:8" x14ac:dyDescent="0.3">
      <c r="A9989" t="s">
        <v>24670</v>
      </c>
      <c r="B9989" t="s">
        <v>26951</v>
      </c>
      <c r="C9989" t="s">
        <v>24919</v>
      </c>
      <c r="D9989" t="s">
        <v>24918</v>
      </c>
      <c r="E9989" s="2" t="s">
        <v>394</v>
      </c>
      <c r="F9989" t="s">
        <v>24917</v>
      </c>
      <c r="G9989" t="str">
        <f>HYPERLINK("https://n.news.naver.com/mnews/article/011/0004489522?sid=101")</f>
        <v>https://n.news.naver.com/mnews/article/011/0004489522?sid=101</v>
      </c>
      <c r="H9989">
        <v>0.20799999999999999</v>
      </c>
    </row>
    <row r="9990" spans="1:8" x14ac:dyDescent="0.3">
      <c r="A9990" t="s">
        <v>24670</v>
      </c>
      <c r="B9990" t="s">
        <v>26951</v>
      </c>
      <c r="C9990" t="s">
        <v>24921</v>
      </c>
      <c r="D9990" t="s">
        <v>24920</v>
      </c>
      <c r="E9990" s="2" t="s">
        <v>394</v>
      </c>
      <c r="F9990" t="s">
        <v>10509</v>
      </c>
      <c r="G9990" t="str">
        <f>HYPERLINK("https://www.ekn.kr/web/view.php?key=20250213023365752")</f>
        <v>https://www.ekn.kr/web/view.php?key=20250213023365752</v>
      </c>
      <c r="H9990">
        <v>0.38</v>
      </c>
    </row>
    <row r="9991" spans="1:8" x14ac:dyDescent="0.3">
      <c r="A9991" t="s">
        <v>24670</v>
      </c>
      <c r="B9991" t="s">
        <v>26951</v>
      </c>
      <c r="C9991" t="s">
        <v>24923</v>
      </c>
      <c r="D9991" t="s">
        <v>24922</v>
      </c>
      <c r="E9991" s="2" t="s">
        <v>394</v>
      </c>
      <c r="F9991" t="s">
        <v>88</v>
      </c>
      <c r="G9991" t="str">
        <f>HYPERLINK("https://n.news.naver.com/mnews/article/079/0004040685?sid=102")</f>
        <v>https://n.news.naver.com/mnews/article/079/0004040685?sid=102</v>
      </c>
      <c r="H9991">
        <v>0.19400000000000001</v>
      </c>
    </row>
    <row r="9992" spans="1:8" x14ac:dyDescent="0.3">
      <c r="A9992" t="s">
        <v>24670</v>
      </c>
      <c r="B9992" t="s">
        <v>26951</v>
      </c>
      <c r="C9992" t="s">
        <v>24925</v>
      </c>
      <c r="D9992" t="s">
        <v>24924</v>
      </c>
      <c r="E9992" s="2" t="s">
        <v>394</v>
      </c>
      <c r="F9992" t="s">
        <v>4508</v>
      </c>
      <c r="G9992" t="str">
        <f>HYPERLINK("https://news.einfomax.co.kr/news/articleView.html?idxno=4332524")</f>
        <v>https://news.einfomax.co.kr/news/articleView.html?idxno=4332524</v>
      </c>
      <c r="H9992">
        <v>0.75</v>
      </c>
    </row>
    <row r="9993" spans="1:8" x14ac:dyDescent="0.3">
      <c r="A9993" t="s">
        <v>24670</v>
      </c>
      <c r="B9993" t="s">
        <v>26951</v>
      </c>
      <c r="C9993" t="s">
        <v>24928</v>
      </c>
      <c r="D9993" t="s">
        <v>24927</v>
      </c>
      <c r="E9993" s="2" t="s">
        <v>394</v>
      </c>
      <c r="F9993" t="s">
        <v>24926</v>
      </c>
      <c r="G9993" t="str">
        <f>HYPERLINK("https://www.greened.kr/news/articleView.html?idxno=324791")</f>
        <v>https://www.greened.kr/news/articleView.html?idxno=324791</v>
      </c>
      <c r="H9993">
        <v>0.61499999999999999</v>
      </c>
    </row>
    <row r="9994" spans="1:8" x14ac:dyDescent="0.3">
      <c r="A9994" t="s">
        <v>24670</v>
      </c>
      <c r="B9994" t="s">
        <v>26951</v>
      </c>
      <c r="C9994" t="s">
        <v>24930</v>
      </c>
      <c r="D9994" t="s">
        <v>24929</v>
      </c>
      <c r="E9994" s="2" t="s">
        <v>394</v>
      </c>
      <c r="F9994" t="s">
        <v>24731</v>
      </c>
      <c r="G9994" t="str">
        <f>HYPERLINK("https://news.einfomax.co.kr/news/articleView.html?idxno=4360646")</f>
        <v>https://news.einfomax.co.kr/news/articleView.html?idxno=4360646</v>
      </c>
      <c r="H9994">
        <v>0.90200000000000002</v>
      </c>
    </row>
    <row r="9995" spans="1:8" x14ac:dyDescent="0.3">
      <c r="A9995" t="s">
        <v>24670</v>
      </c>
      <c r="B9995" t="s">
        <v>26951</v>
      </c>
      <c r="C9995" t="s">
        <v>24932</v>
      </c>
      <c r="D9995" t="s">
        <v>24931</v>
      </c>
      <c r="E9995" s="2" t="s">
        <v>394</v>
      </c>
      <c r="F9995" t="s">
        <v>24731</v>
      </c>
      <c r="G9995" t="str">
        <f>HYPERLINK("https://news.einfomax.co.kr/news/articleView.html?idxno=4284343")</f>
        <v>https://news.einfomax.co.kr/news/articleView.html?idxno=4284343</v>
      </c>
      <c r="H9995">
        <v>0.48199999999999998</v>
      </c>
    </row>
    <row r="9996" spans="1:8" x14ac:dyDescent="0.3">
      <c r="A9996" t="s">
        <v>24670</v>
      </c>
      <c r="B9996" t="s">
        <v>26951</v>
      </c>
      <c r="C9996" t="s">
        <v>24934</v>
      </c>
      <c r="D9996" t="s">
        <v>24933</v>
      </c>
      <c r="E9996" s="2" t="s">
        <v>394</v>
      </c>
      <c r="F9996" t="s">
        <v>1432</v>
      </c>
      <c r="G9996" t="str">
        <f>HYPERLINK("https://www.smarttoday.co.kr/news/articleView.html?idxno=29112")</f>
        <v>https://www.smarttoday.co.kr/news/articleView.html?idxno=29112</v>
      </c>
      <c r="H9996">
        <v>0.61699999999999999</v>
      </c>
    </row>
    <row r="9997" spans="1:8" x14ac:dyDescent="0.3">
      <c r="A9997" t="s">
        <v>24670</v>
      </c>
      <c r="B9997" t="s">
        <v>26951</v>
      </c>
      <c r="C9997" t="s">
        <v>24937</v>
      </c>
      <c r="D9997" t="s">
        <v>24936</v>
      </c>
      <c r="E9997" s="2" t="s">
        <v>394</v>
      </c>
      <c r="F9997" t="s">
        <v>24935</v>
      </c>
      <c r="G9997" t="str">
        <f>HYPERLINK("http://www.econonews.co.kr/news/articleView.html?idxno=392356")</f>
        <v>http://www.econonews.co.kr/news/articleView.html?idxno=392356</v>
      </c>
      <c r="H9997">
        <v>0.65</v>
      </c>
    </row>
    <row r="9998" spans="1:8" x14ac:dyDescent="0.3">
      <c r="A9998" t="s">
        <v>24670</v>
      </c>
      <c r="B9998" t="s">
        <v>26951</v>
      </c>
      <c r="C9998" t="s">
        <v>24939</v>
      </c>
      <c r="D9998" t="s">
        <v>24938</v>
      </c>
      <c r="E9998" s="2" t="s">
        <v>394</v>
      </c>
      <c r="F9998" t="s">
        <v>24701</v>
      </c>
      <c r="G9998" t="str">
        <f>HYPERLINK("https://news.einfomax.co.kr/news/articleView.html?idxno=4360691")</f>
        <v>https://news.einfomax.co.kr/news/articleView.html?idxno=4360691</v>
      </c>
      <c r="H9998">
        <v>0.79900000000000004</v>
      </c>
    </row>
    <row r="9999" spans="1:8" x14ac:dyDescent="0.3">
      <c r="A9999" t="s">
        <v>24670</v>
      </c>
      <c r="B9999" t="s">
        <v>26951</v>
      </c>
      <c r="C9999" t="s">
        <v>24941</v>
      </c>
      <c r="D9999" t="s">
        <v>24940</v>
      </c>
      <c r="E9999" s="2" t="s">
        <v>394</v>
      </c>
      <c r="F9999" t="s">
        <v>1083</v>
      </c>
      <c r="G9999" t="str">
        <f>HYPERLINK("https://www.etoday.co.kr/news/view/2479686")</f>
        <v>https://www.etoday.co.kr/news/view/2479686</v>
      </c>
      <c r="H9999">
        <v>0.58199999999999996</v>
      </c>
    </row>
    <row r="10000" spans="1:8" x14ac:dyDescent="0.3">
      <c r="A10000" t="s">
        <v>24670</v>
      </c>
      <c r="B10000" t="s">
        <v>26951</v>
      </c>
      <c r="C10000" t="s">
        <v>24943</v>
      </c>
      <c r="D10000" t="s">
        <v>24942</v>
      </c>
      <c r="E10000" s="2" t="s">
        <v>394</v>
      </c>
      <c r="F10000" t="s">
        <v>24689</v>
      </c>
      <c r="G10000" t="str">
        <f>HYPERLINK("http://www.choicenews.co.kr/news/articleView.html?idxno=149057")</f>
        <v>http://www.choicenews.co.kr/news/articleView.html?idxno=149057</v>
      </c>
      <c r="H10000">
        <v>0.99</v>
      </c>
    </row>
    <row r="10001" spans="1:8" x14ac:dyDescent="0.3">
      <c r="A10001" t="s">
        <v>24670</v>
      </c>
      <c r="B10001" t="s">
        <v>26951</v>
      </c>
      <c r="C10001" t="s">
        <v>24946</v>
      </c>
      <c r="D10001" t="s">
        <v>24945</v>
      </c>
      <c r="E10001" s="2" t="s">
        <v>394</v>
      </c>
      <c r="F10001" t="s">
        <v>24944</v>
      </c>
      <c r="G10001" t="str">
        <f>HYPERLINK("https://news.einfomax.co.kr/news/articleView.html?idxno=4362494")</f>
        <v>https://news.einfomax.co.kr/news/articleView.html?idxno=4362494</v>
      </c>
      <c r="H10001">
        <v>0.66700000000000004</v>
      </c>
    </row>
    <row r="10002" spans="1:8" x14ac:dyDescent="0.3">
      <c r="A10002" t="s">
        <v>24670</v>
      </c>
      <c r="B10002" t="s">
        <v>26951</v>
      </c>
      <c r="C10002" t="s">
        <v>24948</v>
      </c>
      <c r="D10002" t="s">
        <v>24947</v>
      </c>
      <c r="E10002" s="2" t="s">
        <v>394</v>
      </c>
      <c r="F10002" t="s">
        <v>24791</v>
      </c>
      <c r="G10002" t="str">
        <f>HYPERLINK("https://www.mstoday.co.kr/news/articleView.html?idxno=98044")</f>
        <v>https://www.mstoday.co.kr/news/articleView.html?idxno=98044</v>
      </c>
      <c r="H10002">
        <v>0.45600000000000002</v>
      </c>
    </row>
    <row r="10003" spans="1:8" x14ac:dyDescent="0.3">
      <c r="A10003" t="s">
        <v>24670</v>
      </c>
      <c r="B10003" t="s">
        <v>26951</v>
      </c>
      <c r="C10003" t="s">
        <v>24950</v>
      </c>
      <c r="D10003" t="s">
        <v>24949</v>
      </c>
      <c r="E10003" s="2" t="s">
        <v>394</v>
      </c>
      <c r="F10003" t="s">
        <v>24692</v>
      </c>
      <c r="G10003" t="str">
        <f>HYPERLINK("http://www.aflnews.co.kr/news/articleView.html?idxno=298497")</f>
        <v>http://www.aflnews.co.kr/news/articleView.html?idxno=298497</v>
      </c>
      <c r="H10003">
        <v>0.29299999999999998</v>
      </c>
    </row>
    <row r="10004" spans="1:8" x14ac:dyDescent="0.3">
      <c r="A10004" t="s">
        <v>24670</v>
      </c>
      <c r="B10004" t="s">
        <v>26951</v>
      </c>
      <c r="C10004" t="s">
        <v>24953</v>
      </c>
      <c r="D10004" t="s">
        <v>24952</v>
      </c>
      <c r="E10004" s="2" t="s">
        <v>394</v>
      </c>
      <c r="F10004" t="s">
        <v>24951</v>
      </c>
      <c r="G10004" t="str">
        <f>HYPERLINK("http://www.greened.kr/news/articleView.html?idxno=304646")</f>
        <v>http://www.greened.kr/news/articleView.html?idxno=304646</v>
      </c>
      <c r="H10004">
        <v>0.55000000000000004</v>
      </c>
    </row>
    <row r="10005" spans="1:8" x14ac:dyDescent="0.3">
      <c r="A10005" t="s">
        <v>24670</v>
      </c>
      <c r="B10005" t="s">
        <v>26951</v>
      </c>
      <c r="C10005" t="s">
        <v>24955</v>
      </c>
      <c r="D10005" t="s">
        <v>24954</v>
      </c>
      <c r="E10005" s="2" t="s">
        <v>418</v>
      </c>
      <c r="F10005" t="s">
        <v>17158</v>
      </c>
      <c r="G10005" t="str">
        <f>HYPERLINK("http://www.lecturernews.com/news/articleView.html?idxno=42712")</f>
        <v>http://www.lecturernews.com/news/articleView.html?idxno=42712</v>
      </c>
      <c r="H10005">
        <v>0.64600000000000002</v>
      </c>
    </row>
    <row r="10006" spans="1:8" x14ac:dyDescent="0.3">
      <c r="A10006" t="s">
        <v>24670</v>
      </c>
      <c r="B10006" t="s">
        <v>26951</v>
      </c>
      <c r="C10006" t="s">
        <v>24957</v>
      </c>
      <c r="D10006" t="s">
        <v>24956</v>
      </c>
      <c r="E10006" s="2" t="s">
        <v>418</v>
      </c>
      <c r="F10006" t="s">
        <v>240</v>
      </c>
      <c r="G10006" t="str">
        <f>HYPERLINK("https://www.tokenpost.kr/article-190740")</f>
        <v>https://www.tokenpost.kr/article-190740</v>
      </c>
      <c r="H10006">
        <v>0.59</v>
      </c>
    </row>
    <row r="10007" spans="1:8" x14ac:dyDescent="0.3">
      <c r="A10007" t="s">
        <v>24670</v>
      </c>
      <c r="B10007" t="s">
        <v>26951</v>
      </c>
      <c r="C10007" t="s">
        <v>24960</v>
      </c>
      <c r="D10007" t="s">
        <v>24959</v>
      </c>
      <c r="E10007" s="2" t="s">
        <v>418</v>
      </c>
      <c r="F10007" t="s">
        <v>24958</v>
      </c>
      <c r="G10007" t="str">
        <f>HYPERLINK("http://www.newstnt.com/news/articleView.html?idxno=493670")</f>
        <v>http://www.newstnt.com/news/articleView.html?idxno=493670</v>
      </c>
      <c r="H10007">
        <v>0.59299999999999997</v>
      </c>
    </row>
    <row r="10008" spans="1:8" x14ac:dyDescent="0.3">
      <c r="A10008" t="s">
        <v>24670</v>
      </c>
      <c r="B10008" t="s">
        <v>26951</v>
      </c>
      <c r="C10008" t="s">
        <v>24963</v>
      </c>
      <c r="D10008" t="s">
        <v>24962</v>
      </c>
      <c r="E10008" s="2" t="s">
        <v>418</v>
      </c>
      <c r="F10008" t="s">
        <v>24961</v>
      </c>
      <c r="G10008" t="str">
        <f>HYPERLINK("https://n.news.naver.com/mnews/article/056/0011936533?sid=100")</f>
        <v>https://n.news.naver.com/mnews/article/056/0011936533?sid=100</v>
      </c>
      <c r="H10008">
        <v>0.34499999999999997</v>
      </c>
    </row>
    <row r="10009" spans="1:8" x14ac:dyDescent="0.3">
      <c r="A10009" t="s">
        <v>24670</v>
      </c>
      <c r="B10009" t="s">
        <v>26951</v>
      </c>
      <c r="C10009" t="s">
        <v>24965</v>
      </c>
      <c r="D10009" t="s">
        <v>24964</v>
      </c>
      <c r="E10009" s="2" t="s">
        <v>418</v>
      </c>
      <c r="F10009" t="s">
        <v>15975</v>
      </c>
      <c r="G10009" t="str">
        <f>HYPERLINK("http://www.intn.co.kr/news/articleView.html?idxno=2042094")</f>
        <v>http://www.intn.co.kr/news/articleView.html?idxno=2042094</v>
      </c>
      <c r="H10009">
        <v>0.47399999999999998</v>
      </c>
    </row>
    <row r="10010" spans="1:8" x14ac:dyDescent="0.3">
      <c r="A10010" t="s">
        <v>24670</v>
      </c>
      <c r="B10010" t="s">
        <v>26951</v>
      </c>
      <c r="C10010" t="s">
        <v>24968</v>
      </c>
      <c r="D10010" t="s">
        <v>24967</v>
      </c>
      <c r="E10010" s="2" t="s">
        <v>452</v>
      </c>
      <c r="F10010" t="s">
        <v>24966</v>
      </c>
      <c r="G10010" t="str">
        <f>HYPERLINK("https://sports.hankooki.com/news/articleView.html?idxno=6901436")</f>
        <v>https://sports.hankooki.com/news/articleView.html?idxno=6901436</v>
      </c>
      <c r="H10010">
        <v>0.71099999999999997</v>
      </c>
    </row>
    <row r="10011" spans="1:8" x14ac:dyDescent="0.3">
      <c r="A10011" t="s">
        <v>24670</v>
      </c>
      <c r="B10011" t="s">
        <v>26951</v>
      </c>
      <c r="C10011" t="s">
        <v>24970</v>
      </c>
      <c r="D10011" t="s">
        <v>24969</v>
      </c>
      <c r="E10011" s="2" t="s">
        <v>452</v>
      </c>
      <c r="F10011" t="s">
        <v>6049</v>
      </c>
      <c r="G10011" t="str">
        <f>HYPERLINK("http://www.itdaily.kr/news/articleView.html?idxno=233859")</f>
        <v>http://www.itdaily.kr/news/articleView.html?idxno=233859</v>
      </c>
      <c r="H10011">
        <v>0.58199999999999996</v>
      </c>
    </row>
    <row r="10012" spans="1:8" x14ac:dyDescent="0.3">
      <c r="A10012" t="s">
        <v>24670</v>
      </c>
      <c r="B10012" t="s">
        <v>26951</v>
      </c>
      <c r="C10012" t="s">
        <v>24972</v>
      </c>
      <c r="D10012" t="s">
        <v>24971</v>
      </c>
      <c r="E10012" s="2" t="s">
        <v>452</v>
      </c>
      <c r="F10012" t="s">
        <v>24674</v>
      </c>
      <c r="G10012" t="str">
        <f>HYPERLINK("https://n.news.naver.com/mnews/article/032/0003255327?sid=104")</f>
        <v>https://n.news.naver.com/mnews/article/032/0003255327?sid=104</v>
      </c>
      <c r="H10012">
        <v>0.34699999999999998</v>
      </c>
    </row>
    <row r="10013" spans="1:8" x14ac:dyDescent="0.3">
      <c r="A10013" t="s">
        <v>24670</v>
      </c>
      <c r="B10013" t="s">
        <v>26951</v>
      </c>
      <c r="C10013" t="s">
        <v>24974</v>
      </c>
      <c r="D10013" t="s">
        <v>16024</v>
      </c>
      <c r="E10013" s="2" t="s">
        <v>452</v>
      </c>
      <c r="F10013" t="s">
        <v>24973</v>
      </c>
      <c r="G10013" t="str">
        <f>HYPERLINK("https://sports.hankooki.com/news/articleView.html?idxno=6902351")</f>
        <v>https://sports.hankooki.com/news/articleView.html?idxno=6902351</v>
      </c>
      <c r="H10013">
        <v>0.46100000000000002</v>
      </c>
    </row>
    <row r="10014" spans="1:8" x14ac:dyDescent="0.3">
      <c r="A10014" t="s">
        <v>24670</v>
      </c>
      <c r="B10014" t="s">
        <v>26951</v>
      </c>
      <c r="C10014" t="s">
        <v>24977</v>
      </c>
      <c r="D10014" t="s">
        <v>24976</v>
      </c>
      <c r="E10014" s="2" t="s">
        <v>452</v>
      </c>
      <c r="F10014" t="s">
        <v>24975</v>
      </c>
      <c r="G10014" t="str">
        <f>HYPERLINK("http://www.dhnews.co.kr/news/articleView.html?idxno=71754")</f>
        <v>http://www.dhnews.co.kr/news/articleView.html?idxno=71754</v>
      </c>
      <c r="H10014">
        <v>0.38500000000000001</v>
      </c>
    </row>
    <row r="10015" spans="1:8" x14ac:dyDescent="0.3">
      <c r="A10015" t="s">
        <v>24670</v>
      </c>
      <c r="B10015" t="s">
        <v>26951</v>
      </c>
      <c r="C10015" t="s">
        <v>24980</v>
      </c>
      <c r="D10015" t="s">
        <v>24979</v>
      </c>
      <c r="E10015" s="2" t="s">
        <v>452</v>
      </c>
      <c r="F10015" t="s">
        <v>24978</v>
      </c>
      <c r="G10015" t="str">
        <f>HYPERLINK("http://www.ifs.or.kr/bbs/board.php?bo_table=research&amp;wr_id=10758")</f>
        <v>http://www.ifs.or.kr/bbs/board.php?bo_table=research&amp;wr_id=10758</v>
      </c>
      <c r="H10015">
        <v>2.1999999999999999E-2</v>
      </c>
    </row>
    <row r="10016" spans="1:8" x14ac:dyDescent="0.3">
      <c r="A10016" t="s">
        <v>24670</v>
      </c>
      <c r="B10016" t="s">
        <v>26951</v>
      </c>
      <c r="C10016" t="s">
        <v>24983</v>
      </c>
      <c r="D10016" t="s">
        <v>24982</v>
      </c>
      <c r="E10016" s="2" t="s">
        <v>452</v>
      </c>
      <c r="F10016" t="s">
        <v>24981</v>
      </c>
      <c r="G10016" t="str">
        <f>HYPERLINK("https://www.dentalnews.or.kr/news/article.html?no=44543")</f>
        <v>https://www.dentalnews.or.kr/news/article.html?no=44543</v>
      </c>
      <c r="H10016">
        <v>0.34899999999999998</v>
      </c>
    </row>
    <row r="10017" spans="1:8" x14ac:dyDescent="0.3">
      <c r="A10017" t="s">
        <v>24670</v>
      </c>
      <c r="B10017" t="s">
        <v>26951</v>
      </c>
      <c r="C10017" t="s">
        <v>24985</v>
      </c>
      <c r="D10017" t="s">
        <v>24984</v>
      </c>
      <c r="E10017" s="2" t="s">
        <v>452</v>
      </c>
      <c r="F10017" t="s">
        <v>24682</v>
      </c>
      <c r="G10017" t="str">
        <f>HYPERLINK("http://www.gamevu.co.kr/news/articleView.html?idxno=37933")</f>
        <v>http://www.gamevu.co.kr/news/articleView.html?idxno=37933</v>
      </c>
      <c r="H10017">
        <v>0.01</v>
      </c>
    </row>
    <row r="10018" spans="1:8" x14ac:dyDescent="0.3">
      <c r="A10018" t="s">
        <v>24670</v>
      </c>
      <c r="B10018" t="s">
        <v>26951</v>
      </c>
      <c r="C10018" t="s">
        <v>24987</v>
      </c>
      <c r="D10018" t="s">
        <v>24986</v>
      </c>
      <c r="E10018" s="2" t="s">
        <v>452</v>
      </c>
      <c r="F10018" t="s">
        <v>1908</v>
      </c>
      <c r="G10018" t="str">
        <f>HYPERLINK("https://www.sisaweek.com/news/articleView.html?idxno=222556")</f>
        <v>https://www.sisaweek.com/news/articleView.html?idxno=222556</v>
      </c>
      <c r="H10018">
        <v>0.6</v>
      </c>
    </row>
    <row r="10019" spans="1:8" x14ac:dyDescent="0.3">
      <c r="A10019" t="s">
        <v>24670</v>
      </c>
      <c r="B10019" t="s">
        <v>26951</v>
      </c>
      <c r="C10019" t="s">
        <v>24989</v>
      </c>
      <c r="D10019" t="s">
        <v>24988</v>
      </c>
      <c r="E10019" s="2" t="s">
        <v>452</v>
      </c>
      <c r="F10019" t="s">
        <v>12898</v>
      </c>
      <c r="G10019" t="str">
        <f>HYPERLINK("https://news.einfomax.co.kr/news/articleView.html?idxno=4362772")</f>
        <v>https://news.einfomax.co.kr/news/articleView.html?idxno=4362772</v>
      </c>
      <c r="H10019">
        <v>0.55200000000000005</v>
      </c>
    </row>
    <row r="10020" spans="1:8" x14ac:dyDescent="0.3">
      <c r="A10020" t="s">
        <v>24670</v>
      </c>
      <c r="B10020" t="s">
        <v>26951</v>
      </c>
      <c r="C10020" t="s">
        <v>24991</v>
      </c>
      <c r="D10020" t="s">
        <v>24990</v>
      </c>
      <c r="E10020" s="2" t="s">
        <v>481</v>
      </c>
      <c r="F10020" t="s">
        <v>11957</v>
      </c>
      <c r="G10020" t="str">
        <f>HYPERLINK("https://www.naeil.com/news/read/550947?ref=naver")</f>
        <v>https://www.naeil.com/news/read/550947?ref=naver</v>
      </c>
      <c r="H10020">
        <v>0.36799999999999999</v>
      </c>
    </row>
    <row r="10021" spans="1:8" x14ac:dyDescent="0.3">
      <c r="A10021" t="s">
        <v>24670</v>
      </c>
      <c r="B10021" t="s">
        <v>26951</v>
      </c>
      <c r="C10021" t="s">
        <v>24994</v>
      </c>
      <c r="D10021" t="s">
        <v>24993</v>
      </c>
      <c r="E10021" s="2" t="s">
        <v>481</v>
      </c>
      <c r="F10021" t="s">
        <v>24992</v>
      </c>
      <c r="G10021" t="str">
        <f>HYPERLINK("https://n.news.naver.com/mnews/article/057/0001894390?sid=102")</f>
        <v>https://n.news.naver.com/mnews/article/057/0001894390?sid=102</v>
      </c>
      <c r="H10021">
        <v>0.27300000000000002</v>
      </c>
    </row>
    <row r="10022" spans="1:8" x14ac:dyDescent="0.3">
      <c r="A10022" t="s">
        <v>24670</v>
      </c>
      <c r="B10022" t="s">
        <v>26951</v>
      </c>
      <c r="C10022" t="s">
        <v>24997</v>
      </c>
      <c r="D10022" t="s">
        <v>24996</v>
      </c>
      <c r="E10022" s="2" t="s">
        <v>481</v>
      </c>
      <c r="F10022" t="s">
        <v>24995</v>
      </c>
      <c r="G10022" t="str">
        <f>HYPERLINK("https://www.econovill.com/news/articleView.html?idxno=699760")</f>
        <v>https://www.econovill.com/news/articleView.html?idxno=699760</v>
      </c>
      <c r="H10022">
        <v>0.67200000000000004</v>
      </c>
    </row>
    <row r="10023" spans="1:8" x14ac:dyDescent="0.3">
      <c r="A10023" t="s">
        <v>24670</v>
      </c>
      <c r="B10023" t="s">
        <v>26951</v>
      </c>
      <c r="C10023" t="s">
        <v>24999</v>
      </c>
      <c r="D10023" t="s">
        <v>24998</v>
      </c>
      <c r="E10023" s="2" t="s">
        <v>502</v>
      </c>
      <c r="F10023" t="s">
        <v>12688</v>
      </c>
      <c r="G10023" t="str">
        <f>HYPERLINK("http://www.metroseoul.co.kr/article/20250623500412")</f>
        <v>http://www.metroseoul.co.kr/article/20250623500412</v>
      </c>
      <c r="H10023">
        <v>0.56799999999999995</v>
      </c>
    </row>
    <row r="10024" spans="1:8" x14ac:dyDescent="0.3">
      <c r="A10024" t="s">
        <v>24670</v>
      </c>
      <c r="B10024" t="s">
        <v>26951</v>
      </c>
      <c r="C10024" t="s">
        <v>25002</v>
      </c>
      <c r="D10024" t="s">
        <v>25001</v>
      </c>
      <c r="E10024" s="2" t="s">
        <v>502</v>
      </c>
      <c r="F10024" t="s">
        <v>25000</v>
      </c>
      <c r="G10024" t="str">
        <f>HYPERLINK("https://www.newspim.com/news/view/20250611000974")</f>
        <v>https://www.newspim.com/news/view/20250611000974</v>
      </c>
      <c r="H10024">
        <v>0.32900000000000001</v>
      </c>
    </row>
    <row r="10025" spans="1:8" x14ac:dyDescent="0.3">
      <c r="A10025" t="s">
        <v>24670</v>
      </c>
      <c r="B10025" t="s">
        <v>26951</v>
      </c>
      <c r="C10025" t="s">
        <v>25005</v>
      </c>
      <c r="D10025" t="s">
        <v>25004</v>
      </c>
      <c r="E10025" s="2" t="s">
        <v>502</v>
      </c>
      <c r="F10025" t="s">
        <v>25003</v>
      </c>
      <c r="G10025" t="str">
        <f>HYPERLINK("http://www.nongaek.com/news/articleView.html?idxno=91675")</f>
        <v>http://www.nongaek.com/news/articleView.html?idxno=91675</v>
      </c>
      <c r="H10025">
        <v>0.28599999999999998</v>
      </c>
    </row>
    <row r="10026" spans="1:8" x14ac:dyDescent="0.3">
      <c r="A10026" t="s">
        <v>24670</v>
      </c>
      <c r="B10026" t="s">
        <v>26951</v>
      </c>
      <c r="C10026" t="s">
        <v>25007</v>
      </c>
      <c r="D10026" t="s">
        <v>25006</v>
      </c>
      <c r="E10026" s="2" t="s">
        <v>502</v>
      </c>
      <c r="F10026" t="s">
        <v>19392</v>
      </c>
      <c r="G10026" t="str">
        <f>HYPERLINK("http://www.dtnews24.com/news/articleView.html?idxno=793625")</f>
        <v>http://www.dtnews24.com/news/articleView.html?idxno=793625</v>
      </c>
      <c r="H10026">
        <v>0.44900000000000001</v>
      </c>
    </row>
    <row r="10027" spans="1:8" x14ac:dyDescent="0.3">
      <c r="A10027" t="s">
        <v>24670</v>
      </c>
      <c r="B10027" t="s">
        <v>26951</v>
      </c>
      <c r="C10027" t="s">
        <v>25009</v>
      </c>
      <c r="D10027" t="s">
        <v>25008</v>
      </c>
      <c r="E10027" s="2" t="s">
        <v>517</v>
      </c>
      <c r="F10027" t="s">
        <v>15221</v>
      </c>
      <c r="G10027" t="str">
        <f>HYPERLINK("http://www.ggilbo.com/news/articleView.html?idxno=990770")</f>
        <v>http://www.ggilbo.com/news/articleView.html?idxno=990770</v>
      </c>
      <c r="H10027">
        <v>0.64200000000000002</v>
      </c>
    </row>
    <row r="10028" spans="1:8" x14ac:dyDescent="0.3">
      <c r="A10028" t="s">
        <v>24670</v>
      </c>
      <c r="B10028" t="s">
        <v>26951</v>
      </c>
      <c r="C10028" t="s">
        <v>25011</v>
      </c>
      <c r="D10028" t="s">
        <v>25010</v>
      </c>
      <c r="E10028" s="2" t="s">
        <v>517</v>
      </c>
      <c r="F10028" t="s">
        <v>8713</v>
      </c>
      <c r="G10028" t="str">
        <f>HYPERLINK("https://n.news.naver.com/mnews/article/011/0004499431?sid=104")</f>
        <v>https://n.news.naver.com/mnews/article/011/0004499431?sid=104</v>
      </c>
      <c r="H10028">
        <v>0.249</v>
      </c>
    </row>
    <row r="10029" spans="1:8" x14ac:dyDescent="0.3">
      <c r="A10029" t="s">
        <v>24670</v>
      </c>
      <c r="B10029" t="s">
        <v>26951</v>
      </c>
      <c r="C10029" t="s">
        <v>25014</v>
      </c>
      <c r="D10029" t="s">
        <v>25013</v>
      </c>
      <c r="E10029" s="2" t="s">
        <v>517</v>
      </c>
      <c r="F10029" t="s">
        <v>25012</v>
      </c>
      <c r="G10029" t="str">
        <f>HYPERLINK("https://n.news.naver.com/mnews/article/018/0005646242?sid=101")</f>
        <v>https://n.news.naver.com/mnews/article/018/0005646242?sid=101</v>
      </c>
      <c r="H10029">
        <v>0.34499999999999997</v>
      </c>
    </row>
    <row r="10030" spans="1:8" x14ac:dyDescent="0.3">
      <c r="A10030" t="s">
        <v>24670</v>
      </c>
      <c r="B10030" t="s">
        <v>26951</v>
      </c>
      <c r="C10030" t="s">
        <v>25017</v>
      </c>
      <c r="D10030" t="s">
        <v>25016</v>
      </c>
      <c r="E10030" s="2" t="s">
        <v>517</v>
      </c>
      <c r="F10030" t="s">
        <v>25015</v>
      </c>
      <c r="G10030" t="str">
        <f>HYPERLINK("http://www.worldkorean.net/news/articleView.html?idxno=54344")</f>
        <v>http://www.worldkorean.net/news/articleView.html?idxno=54344</v>
      </c>
      <c r="H10030">
        <v>0.65200000000000002</v>
      </c>
    </row>
    <row r="10031" spans="1:8" x14ac:dyDescent="0.3">
      <c r="A10031" t="s">
        <v>24670</v>
      </c>
      <c r="B10031" t="s">
        <v>26951</v>
      </c>
      <c r="C10031" t="s">
        <v>25019</v>
      </c>
      <c r="D10031" t="s">
        <v>25018</v>
      </c>
      <c r="E10031" s="2" t="s">
        <v>517</v>
      </c>
      <c r="F10031" t="s">
        <v>15066</v>
      </c>
      <c r="G10031" t="str">
        <f>HYPERLINK("http://www.chungnamilbo.co.kr/news/articleView.html?idxno=833775")</f>
        <v>http://www.chungnamilbo.co.kr/news/articleView.html?idxno=833775</v>
      </c>
      <c r="H10031">
        <v>0.95499999999999996</v>
      </c>
    </row>
    <row r="10032" spans="1:8" x14ac:dyDescent="0.3">
      <c r="A10032" t="s">
        <v>24670</v>
      </c>
      <c r="B10032" t="s">
        <v>26951</v>
      </c>
      <c r="C10032" t="s">
        <v>25022</v>
      </c>
      <c r="D10032" t="s">
        <v>25021</v>
      </c>
      <c r="E10032" s="2" t="s">
        <v>538</v>
      </c>
      <c r="F10032" t="s">
        <v>25020</v>
      </c>
      <c r="G10032" t="str">
        <f>HYPERLINK("http://www.gjdream.com/news/articleView.html?idxno=621079")</f>
        <v>http://www.gjdream.com/news/articleView.html?idxno=621079</v>
      </c>
      <c r="H10032">
        <v>0.55900000000000005</v>
      </c>
    </row>
    <row r="10033" spans="1:8" x14ac:dyDescent="0.3">
      <c r="A10033" t="s">
        <v>24670</v>
      </c>
      <c r="B10033" t="s">
        <v>26951</v>
      </c>
      <c r="C10033" t="s">
        <v>25024</v>
      </c>
      <c r="D10033" t="s">
        <v>25023</v>
      </c>
      <c r="E10033" s="2" t="s">
        <v>538</v>
      </c>
      <c r="F10033" t="s">
        <v>24756</v>
      </c>
      <c r="G10033" t="str">
        <f>HYPERLINK("https://n.news.naver.com/mnews/article/002/0002381719?sid=104")</f>
        <v>https://n.news.naver.com/mnews/article/002/0002381719?sid=104</v>
      </c>
      <c r="H10033">
        <v>0.251</v>
      </c>
    </row>
    <row r="10034" spans="1:8" x14ac:dyDescent="0.3">
      <c r="A10034" t="s">
        <v>24670</v>
      </c>
      <c r="B10034" t="s">
        <v>26951</v>
      </c>
      <c r="C10034" t="s">
        <v>25027</v>
      </c>
      <c r="D10034" t="s">
        <v>25026</v>
      </c>
      <c r="E10034" s="2" t="s">
        <v>538</v>
      </c>
      <c r="F10034" t="s">
        <v>25025</v>
      </c>
      <c r="G10034" t="str">
        <f>HYPERLINK("http://www.econovill.com/news/articleView.html?idxno=285226")</f>
        <v>http://www.econovill.com/news/articleView.html?idxno=285226</v>
      </c>
      <c r="H10034">
        <v>0.68300000000000005</v>
      </c>
    </row>
    <row r="10035" spans="1:8" x14ac:dyDescent="0.3">
      <c r="A10035" t="s">
        <v>24670</v>
      </c>
      <c r="B10035" t="s">
        <v>26951</v>
      </c>
      <c r="C10035" t="s">
        <v>25029</v>
      </c>
      <c r="D10035" t="s">
        <v>25028</v>
      </c>
      <c r="E10035" s="2" t="s">
        <v>538</v>
      </c>
      <c r="F10035" t="s">
        <v>25012</v>
      </c>
      <c r="G10035" t="str">
        <f>HYPERLINK("https://n.news.naver.com/mnews/article/018/0005646242?sid=101")</f>
        <v>https://n.news.naver.com/mnews/article/018/0005646242?sid=101</v>
      </c>
      <c r="H10035">
        <v>0.39600000000000002</v>
      </c>
    </row>
    <row r="10036" spans="1:8" x14ac:dyDescent="0.3">
      <c r="A10036" t="s">
        <v>24670</v>
      </c>
      <c r="B10036" t="s">
        <v>26951</v>
      </c>
      <c r="C10036" t="s">
        <v>25031</v>
      </c>
      <c r="D10036" t="s">
        <v>25030</v>
      </c>
      <c r="E10036" s="2" t="s">
        <v>538</v>
      </c>
      <c r="F10036" t="s">
        <v>8148</v>
      </c>
      <c r="G10036" t="str">
        <f>HYPERLINK("https://news.einfomax.co.kr/news/articleView.html?idxno=4303692")</f>
        <v>https://news.einfomax.co.kr/news/articleView.html?idxno=4303692</v>
      </c>
      <c r="H10036">
        <v>0.53</v>
      </c>
    </row>
    <row r="10037" spans="1:8" x14ac:dyDescent="0.3">
      <c r="A10037" t="s">
        <v>24670</v>
      </c>
      <c r="B10037" t="s">
        <v>26951</v>
      </c>
      <c r="C10037" t="s">
        <v>25033</v>
      </c>
      <c r="D10037" t="s">
        <v>25032</v>
      </c>
      <c r="E10037" s="2" t="s">
        <v>538</v>
      </c>
      <c r="F10037" t="s">
        <v>24701</v>
      </c>
      <c r="G10037" t="str">
        <f>HYPERLINK("https://www.newspim.com/news/view/20250625000126")</f>
        <v>https://www.newspim.com/news/view/20250625000126</v>
      </c>
      <c r="H10037">
        <v>0.66</v>
      </c>
    </row>
    <row r="10038" spans="1:8" x14ac:dyDescent="0.3">
      <c r="A10038" t="s">
        <v>24670</v>
      </c>
      <c r="B10038" t="s">
        <v>26951</v>
      </c>
      <c r="C10038" t="s">
        <v>25035</v>
      </c>
      <c r="D10038" t="s">
        <v>25034</v>
      </c>
      <c r="E10038" s="2" t="s">
        <v>538</v>
      </c>
      <c r="F10038" t="s">
        <v>24707</v>
      </c>
      <c r="G10038" t="str">
        <f>HYPERLINK("http://www.econovill.com/news/articleView.html?idxno=366991")</f>
        <v>http://www.econovill.com/news/articleView.html?idxno=366991</v>
      </c>
      <c r="H10038">
        <v>0.75700000000000001</v>
      </c>
    </row>
    <row r="10039" spans="1:8" x14ac:dyDescent="0.3">
      <c r="A10039" t="s">
        <v>24670</v>
      </c>
      <c r="B10039" t="s">
        <v>26951</v>
      </c>
      <c r="C10039" t="s">
        <v>25038</v>
      </c>
      <c r="D10039" t="s">
        <v>25037</v>
      </c>
      <c r="E10039" s="2" t="s">
        <v>572</v>
      </c>
      <c r="F10039" t="s">
        <v>25036</v>
      </c>
      <c r="G10039" t="str">
        <f>HYPERLINK("https://www.getnews.co.kr/news/articleView.html?idxno=825298")</f>
        <v>https://www.getnews.co.kr/news/articleView.html?idxno=825298</v>
      </c>
      <c r="H10039">
        <v>0.74199999999999999</v>
      </c>
    </row>
    <row r="10040" spans="1:8" x14ac:dyDescent="0.3">
      <c r="A10040" t="s">
        <v>24670</v>
      </c>
      <c r="B10040" t="s">
        <v>26951</v>
      </c>
      <c r="C10040" t="s">
        <v>25040</v>
      </c>
      <c r="D10040" t="s">
        <v>25039</v>
      </c>
      <c r="E10040" s="2" t="s">
        <v>572</v>
      </c>
      <c r="F10040" t="s">
        <v>879</v>
      </c>
      <c r="G10040" t="str">
        <f>HYPERLINK("https://news.einfomax.co.kr/news/articleView.html?idxno=4362280")</f>
        <v>https://news.einfomax.co.kr/news/articleView.html?idxno=4362280</v>
      </c>
      <c r="H10040">
        <v>0.438</v>
      </c>
    </row>
    <row r="10041" spans="1:8" x14ac:dyDescent="0.3">
      <c r="A10041" t="s">
        <v>24670</v>
      </c>
      <c r="B10041" t="s">
        <v>26951</v>
      </c>
      <c r="C10041" t="s">
        <v>25042</v>
      </c>
      <c r="D10041" t="s">
        <v>25041</v>
      </c>
      <c r="E10041" s="2" t="s">
        <v>572</v>
      </c>
      <c r="F10041" t="s">
        <v>15025</v>
      </c>
      <c r="G10041" t="str">
        <f>HYPERLINK("https://www.huffingtonpost.kr/news/articleView.html?idxno=236603")</f>
        <v>https://www.huffingtonpost.kr/news/articleView.html?idxno=236603</v>
      </c>
      <c r="H10041">
        <v>0.68899999999999995</v>
      </c>
    </row>
    <row r="10042" spans="1:8" x14ac:dyDescent="0.3">
      <c r="A10042" t="s">
        <v>24670</v>
      </c>
      <c r="B10042" t="s">
        <v>26951</v>
      </c>
      <c r="C10042" t="s">
        <v>25044</v>
      </c>
      <c r="D10042" t="s">
        <v>25043</v>
      </c>
      <c r="E10042" s="2" t="s">
        <v>572</v>
      </c>
      <c r="F10042" t="s">
        <v>15221</v>
      </c>
      <c r="G10042" t="str">
        <f>HYPERLINK("https://n.news.naver.com/mnews/article/016/0002467421?sid=101")</f>
        <v>https://n.news.naver.com/mnews/article/016/0002467421?sid=101</v>
      </c>
      <c r="H10042">
        <v>0.29499999999999998</v>
      </c>
    </row>
    <row r="10043" spans="1:8" x14ac:dyDescent="0.3">
      <c r="A10043" t="s">
        <v>24670</v>
      </c>
      <c r="B10043" t="s">
        <v>26951</v>
      </c>
      <c r="C10043" t="s">
        <v>25047</v>
      </c>
      <c r="D10043" t="s">
        <v>25046</v>
      </c>
      <c r="E10043" s="2" t="s">
        <v>572</v>
      </c>
      <c r="F10043" t="s">
        <v>25045</v>
      </c>
      <c r="G10043" t="str">
        <f>HYPERLINK("http://www.cstimes.com/news/articleView.html?idxno=110916")</f>
        <v>http://www.cstimes.com/news/articleView.html?idxno=110916</v>
      </c>
      <c r="H10043">
        <v>0.29099999999999998</v>
      </c>
    </row>
    <row r="10044" spans="1:8" x14ac:dyDescent="0.3">
      <c r="A10044" t="s">
        <v>24670</v>
      </c>
      <c r="B10044" t="s">
        <v>26951</v>
      </c>
      <c r="C10044" t="s">
        <v>25050</v>
      </c>
      <c r="D10044" t="s">
        <v>25049</v>
      </c>
      <c r="E10044" s="2" t="s">
        <v>572</v>
      </c>
      <c r="F10044" t="s">
        <v>25048</v>
      </c>
      <c r="G10044" t="str">
        <f>HYPERLINK("http://www.dailypop.kr/news/articleView.html?idxno=57729")</f>
        <v>http://www.dailypop.kr/news/articleView.html?idxno=57729</v>
      </c>
      <c r="H10044">
        <v>0.57999999999999996</v>
      </c>
    </row>
    <row r="10045" spans="1:8" x14ac:dyDescent="0.3">
      <c r="A10045" t="s">
        <v>24670</v>
      </c>
      <c r="B10045" t="s">
        <v>26951</v>
      </c>
      <c r="C10045" t="s">
        <v>25052</v>
      </c>
      <c r="D10045" t="s">
        <v>25051</v>
      </c>
      <c r="E10045" s="2" t="s">
        <v>572</v>
      </c>
      <c r="F10045" t="s">
        <v>549</v>
      </c>
      <c r="G10045" t="str">
        <f>HYPERLINK("https://news.einfomax.co.kr/news/articleView.html?idxno=4362201")</f>
        <v>https://news.einfomax.co.kr/news/articleView.html?idxno=4362201</v>
      </c>
      <c r="H10045">
        <v>0.70199999999999996</v>
      </c>
    </row>
    <row r="10046" spans="1:8" x14ac:dyDescent="0.3">
      <c r="A10046" t="s">
        <v>24670</v>
      </c>
      <c r="B10046" t="s">
        <v>26951</v>
      </c>
      <c r="C10046" t="s">
        <v>25054</v>
      </c>
      <c r="D10046" t="s">
        <v>25053</v>
      </c>
      <c r="E10046" s="2" t="s">
        <v>572</v>
      </c>
      <c r="F10046" t="s">
        <v>24750</v>
      </c>
      <c r="G10046" t="str">
        <f>HYPERLINK("https://news.einfomax.co.kr/news/articleView.html?idxno=4333654")</f>
        <v>https://news.einfomax.co.kr/news/articleView.html?idxno=4333654</v>
      </c>
      <c r="H10046">
        <v>0.53800000000000003</v>
      </c>
    </row>
    <row r="10047" spans="1:8" x14ac:dyDescent="0.3">
      <c r="A10047" t="s">
        <v>24670</v>
      </c>
      <c r="B10047" t="s">
        <v>26951</v>
      </c>
      <c r="C10047" t="s">
        <v>25056</v>
      </c>
      <c r="D10047" t="s">
        <v>25055</v>
      </c>
      <c r="E10047" s="2" t="s">
        <v>572</v>
      </c>
      <c r="F10047" t="s">
        <v>151</v>
      </c>
      <c r="G10047" t="str">
        <f>HYPERLINK("https://news.einfomax.co.kr/news/articleView.html?idxno=4313958")</f>
        <v>https://news.einfomax.co.kr/news/articleView.html?idxno=4313958</v>
      </c>
      <c r="H10047">
        <v>0.60699999999999998</v>
      </c>
    </row>
    <row r="10048" spans="1:8" x14ac:dyDescent="0.3">
      <c r="A10048" t="s">
        <v>24670</v>
      </c>
      <c r="B10048" t="s">
        <v>26951</v>
      </c>
      <c r="C10048" t="s">
        <v>25058</v>
      </c>
      <c r="D10048" t="s">
        <v>25057</v>
      </c>
      <c r="E10048" s="2" t="s">
        <v>572</v>
      </c>
      <c r="F10048" t="s">
        <v>12898</v>
      </c>
      <c r="G10048" t="str">
        <f>HYPERLINK("http://www.ifs.or.kr/bbs/board.php?bo_table=News&amp;wr_id=4345")</f>
        <v>http://www.ifs.or.kr/bbs/board.php?bo_table=News&amp;wr_id=4345</v>
      </c>
      <c r="H10048">
        <v>0.60199999999999998</v>
      </c>
    </row>
    <row r="10049" spans="1:8" x14ac:dyDescent="0.3">
      <c r="A10049" t="s">
        <v>24670</v>
      </c>
      <c r="B10049" t="s">
        <v>26951</v>
      </c>
      <c r="C10049" t="s">
        <v>25060</v>
      </c>
      <c r="D10049" t="s">
        <v>25059</v>
      </c>
      <c r="E10049" s="2" t="s">
        <v>572</v>
      </c>
      <c r="F10049" t="s">
        <v>549</v>
      </c>
      <c r="G10049" t="str">
        <f>HYPERLINK("https://news.einfomax.co.kr/news/articleView.html?idxno=4359698")</f>
        <v>https://news.einfomax.co.kr/news/articleView.html?idxno=4359698</v>
      </c>
      <c r="H10049">
        <v>0.98499999999999999</v>
      </c>
    </row>
    <row r="10050" spans="1:8" x14ac:dyDescent="0.3">
      <c r="A10050" t="s">
        <v>24670</v>
      </c>
      <c r="B10050" t="s">
        <v>26951</v>
      </c>
      <c r="C10050" t="s">
        <v>25062</v>
      </c>
      <c r="D10050" t="s">
        <v>25061</v>
      </c>
      <c r="E10050" s="2" t="s">
        <v>572</v>
      </c>
      <c r="F10050" t="s">
        <v>549</v>
      </c>
      <c r="G10050" t="str">
        <f>HYPERLINK("https://news.einfomax.co.kr/news/articleView.html?idxno=4359697")</f>
        <v>https://news.einfomax.co.kr/news/articleView.html?idxno=4359697</v>
      </c>
      <c r="H10050">
        <v>0.98399999999999999</v>
      </c>
    </row>
    <row r="10051" spans="1:8" x14ac:dyDescent="0.3">
      <c r="A10051" t="s">
        <v>24670</v>
      </c>
      <c r="B10051" t="s">
        <v>26951</v>
      </c>
      <c r="C10051" t="s">
        <v>25065</v>
      </c>
      <c r="D10051" t="s">
        <v>25064</v>
      </c>
      <c r="E10051" s="2" t="s">
        <v>572</v>
      </c>
      <c r="F10051" t="s">
        <v>25063</v>
      </c>
      <c r="G10051" t="str">
        <f>HYPERLINK("https://news.einfomax.co.kr/news/articleView.html?idxno=4361301")</f>
        <v>https://news.einfomax.co.kr/news/articleView.html?idxno=4361301</v>
      </c>
      <c r="H10051">
        <v>0.65900000000000003</v>
      </c>
    </row>
    <row r="10052" spans="1:8" x14ac:dyDescent="0.3">
      <c r="A10052" t="s">
        <v>24670</v>
      </c>
      <c r="B10052" t="s">
        <v>26951</v>
      </c>
      <c r="C10052" t="s">
        <v>25068</v>
      </c>
      <c r="D10052" t="s">
        <v>25067</v>
      </c>
      <c r="E10052" s="2" t="s">
        <v>572</v>
      </c>
      <c r="F10052" t="s">
        <v>25066</v>
      </c>
      <c r="G10052" t="str">
        <f>HYPERLINK("https://www.newscj.com/news/articleView.html?idxno=3240613")</f>
        <v>https://www.newscj.com/news/articleView.html?idxno=3240613</v>
      </c>
      <c r="H10052">
        <v>0.75700000000000001</v>
      </c>
    </row>
    <row r="10053" spans="1:8" x14ac:dyDescent="0.3">
      <c r="A10053" t="s">
        <v>24670</v>
      </c>
      <c r="B10053" t="s">
        <v>26951</v>
      </c>
      <c r="C10053" t="s">
        <v>25070</v>
      </c>
      <c r="D10053" t="s">
        <v>25069</v>
      </c>
      <c r="E10053" s="2" t="s">
        <v>572</v>
      </c>
      <c r="F10053" t="s">
        <v>3086</v>
      </c>
      <c r="G10053" t="str">
        <f>HYPERLINK("https://n.news.naver.com/mnews/article/119/0002968499?sid=102")</f>
        <v>https://n.news.naver.com/mnews/article/119/0002968499?sid=102</v>
      </c>
      <c r="H10053">
        <v>0.27</v>
      </c>
    </row>
    <row r="10054" spans="1:8" x14ac:dyDescent="0.3">
      <c r="A10054" t="s">
        <v>24670</v>
      </c>
      <c r="B10054" t="s">
        <v>26951</v>
      </c>
      <c r="C10054" t="s">
        <v>25072</v>
      </c>
      <c r="D10054" t="s">
        <v>25071</v>
      </c>
      <c r="E10054" s="2" t="s">
        <v>572</v>
      </c>
      <c r="F10054" t="s">
        <v>8887</v>
      </c>
      <c r="G10054" t="str">
        <f>HYPERLINK("https://news.einfomax.co.kr/news/articleView.html?idxno=4288936")</f>
        <v>https://news.einfomax.co.kr/news/articleView.html?idxno=4288936</v>
      </c>
      <c r="H10054">
        <v>0.70099999999999996</v>
      </c>
    </row>
    <row r="10055" spans="1:8" x14ac:dyDescent="0.3">
      <c r="A10055" t="s">
        <v>24670</v>
      </c>
      <c r="B10055" t="s">
        <v>26951</v>
      </c>
      <c r="C10055" t="s">
        <v>25074</v>
      </c>
      <c r="D10055" t="s">
        <v>25073</v>
      </c>
      <c r="E10055" s="2" t="s">
        <v>609</v>
      </c>
      <c r="F10055" t="s">
        <v>15651</v>
      </c>
      <c r="G10055" t="str">
        <f>HYPERLINK("https://www.newspim.com/news/view/20250611000880")</f>
        <v>https://www.newspim.com/news/view/20250611000880</v>
      </c>
      <c r="H10055">
        <v>0.47499999999999998</v>
      </c>
    </row>
    <row r="10056" spans="1:8" x14ac:dyDescent="0.3">
      <c r="A10056" t="s">
        <v>24670</v>
      </c>
      <c r="B10056" t="s">
        <v>26951</v>
      </c>
      <c r="C10056" t="s">
        <v>25076</v>
      </c>
      <c r="D10056" t="s">
        <v>25075</v>
      </c>
      <c r="E10056" s="2" t="s">
        <v>609</v>
      </c>
      <c r="F10056" t="s">
        <v>467</v>
      </c>
      <c r="G10056" t="str">
        <f>HYPERLINK("https://www.pennmike.com/news/articleView.html?idxno=91433")</f>
        <v>https://www.pennmike.com/news/articleView.html?idxno=91433</v>
      </c>
      <c r="H10056">
        <v>0.40899999999999997</v>
      </c>
    </row>
    <row r="10057" spans="1:8" x14ac:dyDescent="0.3">
      <c r="A10057" t="s">
        <v>24670</v>
      </c>
      <c r="B10057" t="s">
        <v>26951</v>
      </c>
      <c r="C10057" t="s">
        <v>25078</v>
      </c>
      <c r="D10057" t="s">
        <v>25077</v>
      </c>
      <c r="E10057" s="2" t="s">
        <v>609</v>
      </c>
      <c r="F10057" t="s">
        <v>1606</v>
      </c>
      <c r="G10057" t="str">
        <f>HYPERLINK("http://www.ilemonde.com/news/articleView.html?idxno=17857")</f>
        <v>http://www.ilemonde.com/news/articleView.html?idxno=17857</v>
      </c>
      <c r="H10057">
        <v>0.502</v>
      </c>
    </row>
    <row r="10058" spans="1:8" x14ac:dyDescent="0.3">
      <c r="A10058" t="s">
        <v>24670</v>
      </c>
      <c r="B10058" t="s">
        <v>26951</v>
      </c>
      <c r="C10058" t="s">
        <v>25080</v>
      </c>
      <c r="D10058" t="s">
        <v>25079</v>
      </c>
      <c r="E10058" s="2" t="s">
        <v>609</v>
      </c>
      <c r="F10058" t="s">
        <v>6435</v>
      </c>
      <c r="G10058" t="str">
        <f>HYPERLINK("https://n.news.naver.com/mnews/article/057/0001851155?sid=004")</f>
        <v>https://n.news.naver.com/mnews/article/057/0001851155?sid=004</v>
      </c>
      <c r="H10058">
        <v>0.34100000000000003</v>
      </c>
    </row>
    <row r="10059" spans="1:8" x14ac:dyDescent="0.3">
      <c r="A10059" t="s">
        <v>24670</v>
      </c>
      <c r="B10059" t="s">
        <v>26951</v>
      </c>
      <c r="C10059" t="s">
        <v>25081</v>
      </c>
      <c r="D10059" t="s">
        <v>25079</v>
      </c>
      <c r="E10059" s="2" t="s">
        <v>609</v>
      </c>
      <c r="F10059" t="s">
        <v>2498</v>
      </c>
      <c r="G10059" t="str">
        <f>HYPERLINK("https://n.news.naver.com/mnews/article/057/0001851155?sid=004")</f>
        <v>https://n.news.naver.com/mnews/article/057/0001851155?sid=004</v>
      </c>
      <c r="H10059">
        <v>0.34200000000000003</v>
      </c>
    </row>
    <row r="10060" spans="1:8" x14ac:dyDescent="0.3">
      <c r="A10060" t="s">
        <v>24670</v>
      </c>
      <c r="B10060" t="s">
        <v>26951</v>
      </c>
      <c r="C10060" t="s">
        <v>25084</v>
      </c>
      <c r="D10060" t="s">
        <v>25083</v>
      </c>
      <c r="E10060" s="2" t="s">
        <v>609</v>
      </c>
      <c r="F10060" t="s">
        <v>25082</v>
      </c>
      <c r="G10060" t="str">
        <f>HYPERLINK("http://jmagazine.joins.com/monthly/view/329716")</f>
        <v>http://jmagazine.joins.com/monthly/view/329716</v>
      </c>
      <c r="H10060">
        <v>0.64700000000000002</v>
      </c>
    </row>
    <row r="10061" spans="1:8" x14ac:dyDescent="0.3">
      <c r="A10061" t="s">
        <v>24670</v>
      </c>
      <c r="B10061" t="s">
        <v>26951</v>
      </c>
      <c r="C10061" t="s">
        <v>25086</v>
      </c>
      <c r="D10061" t="s">
        <v>25085</v>
      </c>
      <c r="E10061" s="2" t="s">
        <v>609</v>
      </c>
      <c r="F10061" t="s">
        <v>23936</v>
      </c>
      <c r="G10061" t="str">
        <f>HYPERLINK("https://news.einfomax.co.kr/news/articleView.html?idxno=4362789")</f>
        <v>https://news.einfomax.co.kr/news/articleView.html?idxno=4362789</v>
      </c>
      <c r="H10061">
        <v>0.67500000000000004</v>
      </c>
    </row>
    <row r="10062" spans="1:8" x14ac:dyDescent="0.3">
      <c r="A10062" t="s">
        <v>24670</v>
      </c>
      <c r="B10062" t="s">
        <v>26951</v>
      </c>
      <c r="C10062" t="s">
        <v>25088</v>
      </c>
      <c r="D10062" t="s">
        <v>25087</v>
      </c>
      <c r="E10062" s="2" t="s">
        <v>609</v>
      </c>
      <c r="F10062" t="s">
        <v>25066</v>
      </c>
      <c r="G10062" t="str">
        <f>HYPERLINK("http://www.naeil.com/news_view/?id_art=459911")</f>
        <v>http://www.naeil.com/news_view/?id_art=459911</v>
      </c>
      <c r="H10062">
        <v>0.56100000000000005</v>
      </c>
    </row>
    <row r="10063" spans="1:8" x14ac:dyDescent="0.3">
      <c r="A10063" t="s">
        <v>24670</v>
      </c>
      <c r="B10063" t="s">
        <v>26951</v>
      </c>
      <c r="C10063" t="s">
        <v>25090</v>
      </c>
      <c r="D10063" t="s">
        <v>25089</v>
      </c>
      <c r="E10063" s="2" t="s">
        <v>609</v>
      </c>
      <c r="F10063" t="s">
        <v>411</v>
      </c>
      <c r="G10063" t="str">
        <f>HYPERLINK("http://www.newspim.com/news/view/20210622000817")</f>
        <v>http://www.newspim.com/news/view/20210622000817</v>
      </c>
      <c r="H10063">
        <v>0.247</v>
      </c>
    </row>
    <row r="10064" spans="1:8" x14ac:dyDescent="0.3">
      <c r="A10064" t="s">
        <v>24670</v>
      </c>
      <c r="B10064" t="s">
        <v>26951</v>
      </c>
      <c r="C10064" t="s">
        <v>25092</v>
      </c>
      <c r="D10064" t="s">
        <v>25091</v>
      </c>
      <c r="E10064" s="2" t="s">
        <v>609</v>
      </c>
      <c r="F10064" t="s">
        <v>96</v>
      </c>
      <c r="G10064" t="str">
        <f>HYPERLINK("https://www.apnews.kr/news/articleView.html?idxno=3036114")</f>
        <v>https://www.apnews.kr/news/articleView.html?idxno=3036114</v>
      </c>
      <c r="H10064">
        <v>0.54400000000000004</v>
      </c>
    </row>
    <row r="10065" spans="1:8" x14ac:dyDescent="0.3">
      <c r="A10065" t="s">
        <v>24670</v>
      </c>
      <c r="B10065" t="s">
        <v>26951</v>
      </c>
      <c r="C10065" t="s">
        <v>25094</v>
      </c>
      <c r="D10065" t="s">
        <v>25093</v>
      </c>
      <c r="E10065" s="2" t="s">
        <v>653</v>
      </c>
      <c r="F10065" t="s">
        <v>25020</v>
      </c>
      <c r="G10065" t="str">
        <f>HYPERLINK("https://www.newspim.com/news/view/20250701001040")</f>
        <v>https://www.newspim.com/news/view/20250701001040</v>
      </c>
      <c r="H10065">
        <v>0.38700000000000001</v>
      </c>
    </row>
    <row r="10066" spans="1:8" x14ac:dyDescent="0.3">
      <c r="A10066" t="s">
        <v>24670</v>
      </c>
      <c r="B10066" t="s">
        <v>26951</v>
      </c>
      <c r="C10066" t="s">
        <v>25097</v>
      </c>
      <c r="D10066" t="s">
        <v>25096</v>
      </c>
      <c r="E10066" s="2" t="s">
        <v>653</v>
      </c>
      <c r="F10066" t="s">
        <v>25095</v>
      </c>
      <c r="G10066" t="str">
        <f>HYPERLINK("https://n.news.naver.com/mnews/article/014/0005359572?sid=101")</f>
        <v>https://n.news.naver.com/mnews/article/014/0005359572?sid=101</v>
      </c>
      <c r="H10066">
        <v>0.25</v>
      </c>
    </row>
    <row r="10067" spans="1:8" x14ac:dyDescent="0.3">
      <c r="A10067" t="s">
        <v>24670</v>
      </c>
      <c r="B10067" t="s">
        <v>26951</v>
      </c>
      <c r="C10067" t="s">
        <v>25100</v>
      </c>
      <c r="D10067" t="s">
        <v>25099</v>
      </c>
      <c r="E10067" s="2" t="s">
        <v>653</v>
      </c>
      <c r="F10067" t="s">
        <v>25098</v>
      </c>
      <c r="G10067" t="str">
        <f>HYPERLINK("https://n.news.naver.com/mnews/article/002/0002224282?sid=100")</f>
        <v>https://n.news.naver.com/mnews/article/002/0002224282?sid=100</v>
      </c>
      <c r="H10067">
        <v>0.375</v>
      </c>
    </row>
    <row r="10068" spans="1:8" x14ac:dyDescent="0.3">
      <c r="A10068" t="s">
        <v>24670</v>
      </c>
      <c r="B10068" t="s">
        <v>26951</v>
      </c>
      <c r="C10068" t="s">
        <v>25103</v>
      </c>
      <c r="D10068" t="s">
        <v>25102</v>
      </c>
      <c r="E10068" s="2" t="s">
        <v>653</v>
      </c>
      <c r="F10068" t="s">
        <v>25101</v>
      </c>
      <c r="G10068" t="str">
        <f>HYPERLINK("https://www.danbinews.com/news/articleView.html?idxno=31012")</f>
        <v>https://www.danbinews.com/news/articleView.html?idxno=31012</v>
      </c>
      <c r="H10068">
        <v>0.60899999999999999</v>
      </c>
    </row>
    <row r="10069" spans="1:8" x14ac:dyDescent="0.3">
      <c r="A10069" t="s">
        <v>24670</v>
      </c>
      <c r="B10069" t="s">
        <v>26951</v>
      </c>
      <c r="C10069" t="s">
        <v>25106</v>
      </c>
      <c r="D10069" t="s">
        <v>25105</v>
      </c>
      <c r="E10069" s="2" t="s">
        <v>653</v>
      </c>
      <c r="F10069" t="s">
        <v>25104</v>
      </c>
      <c r="G10069" t="str">
        <f>HYPERLINK("https://n.news.naver.com/mnews/article/008/0004318811?sid=101")</f>
        <v>https://n.news.naver.com/mnews/article/008/0004318811?sid=101</v>
      </c>
      <c r="H10069">
        <v>0.34499999999999997</v>
      </c>
    </row>
    <row r="10070" spans="1:8" x14ac:dyDescent="0.3">
      <c r="A10070" t="s">
        <v>24670</v>
      </c>
      <c r="B10070" t="s">
        <v>26951</v>
      </c>
      <c r="C10070" t="s">
        <v>25108</v>
      </c>
      <c r="D10070" t="s">
        <v>25107</v>
      </c>
      <c r="E10070" s="2" t="s">
        <v>653</v>
      </c>
      <c r="F10070" t="s">
        <v>549</v>
      </c>
      <c r="G10070" t="str">
        <f>HYPERLINK("https://news.einfomax.co.kr/news/articleView.html?idxno=4359364")</f>
        <v>https://news.einfomax.co.kr/news/articleView.html?idxno=4359364</v>
      </c>
      <c r="H10070">
        <v>0.97199999999999998</v>
      </c>
    </row>
    <row r="10071" spans="1:8" x14ac:dyDescent="0.3">
      <c r="A10071" t="s">
        <v>24670</v>
      </c>
      <c r="B10071" t="s">
        <v>26951</v>
      </c>
      <c r="C10071" t="s">
        <v>25110</v>
      </c>
      <c r="D10071" t="s">
        <v>25109</v>
      </c>
      <c r="E10071" s="2" t="s">
        <v>653</v>
      </c>
      <c r="F10071" t="s">
        <v>25082</v>
      </c>
      <c r="G10071" t="str">
        <f>HYPERLINK("http://www.hansbiz.co.kr/news/articleView.html?idxno=732359")</f>
        <v>http://www.hansbiz.co.kr/news/articleView.html?idxno=732359</v>
      </c>
      <c r="H10071">
        <v>0.57899999999999996</v>
      </c>
    </row>
    <row r="10072" spans="1:8" x14ac:dyDescent="0.3">
      <c r="A10072" t="s">
        <v>24670</v>
      </c>
      <c r="B10072" t="s">
        <v>26951</v>
      </c>
      <c r="C10072" t="s">
        <v>25112</v>
      </c>
      <c r="D10072" t="s">
        <v>25111</v>
      </c>
      <c r="E10072" s="2" t="s">
        <v>653</v>
      </c>
      <c r="F10072" t="s">
        <v>24750</v>
      </c>
      <c r="G10072" t="str">
        <f>HYPERLINK("https://news.einfomax.co.kr/news/articleView.html?idxno=4333654")</f>
        <v>https://news.einfomax.co.kr/news/articleView.html?idxno=4333654</v>
      </c>
      <c r="H10072">
        <v>0.60799999999999998</v>
      </c>
    </row>
    <row r="10073" spans="1:8" x14ac:dyDescent="0.3">
      <c r="A10073" t="s">
        <v>24670</v>
      </c>
      <c r="B10073" t="s">
        <v>26951</v>
      </c>
      <c r="C10073" t="s">
        <v>25116</v>
      </c>
      <c r="D10073" t="s">
        <v>25115</v>
      </c>
      <c r="E10073" s="2" t="s">
        <v>653</v>
      </c>
      <c r="F10073" t="s">
        <v>25114</v>
      </c>
      <c r="G10073" t="str">
        <f>HYPERLINK("http://www.segyebiz.com/newsView/20250701515792?OutUrl=naver")</f>
        <v>http://www.segyebiz.com/newsView/20250701515792?OutUrl=naver</v>
      </c>
      <c r="H10073">
        <v>0.56799999999999995</v>
      </c>
    </row>
    <row r="10074" spans="1:8" x14ac:dyDescent="0.3">
      <c r="A10074" t="s">
        <v>24670</v>
      </c>
      <c r="B10074" t="s">
        <v>26951</v>
      </c>
      <c r="C10074" t="s">
        <v>25118</v>
      </c>
      <c r="D10074" t="s">
        <v>25117</v>
      </c>
      <c r="E10074" s="2" t="s">
        <v>692</v>
      </c>
      <c r="F10074" t="s">
        <v>24731</v>
      </c>
      <c r="G10074" t="str">
        <f>HYPERLINK("https://www.lecturernews.com/news/articleView.html?idxno=179936")</f>
        <v>https://www.lecturernews.com/news/articleView.html?idxno=179936</v>
      </c>
      <c r="H10074">
        <v>0.91300000000000003</v>
      </c>
    </row>
    <row r="10075" spans="1:8" x14ac:dyDescent="0.3">
      <c r="A10075" t="s">
        <v>24670</v>
      </c>
      <c r="B10075" t="s">
        <v>26951</v>
      </c>
      <c r="C10075" t="s">
        <v>25121</v>
      </c>
      <c r="D10075" t="s">
        <v>25120</v>
      </c>
      <c r="E10075" s="2" t="s">
        <v>692</v>
      </c>
      <c r="F10075" t="s">
        <v>25119</v>
      </c>
      <c r="G10075" t="str">
        <f>HYPERLINK("https://www.etoday.co.kr/news/view/2481400")</f>
        <v>https://www.etoday.co.kr/news/view/2481400</v>
      </c>
      <c r="H10075">
        <v>0.6</v>
      </c>
    </row>
    <row r="10076" spans="1:8" x14ac:dyDescent="0.3">
      <c r="A10076" t="s">
        <v>24670</v>
      </c>
      <c r="B10076" t="s">
        <v>26951</v>
      </c>
      <c r="C10076" t="s">
        <v>25124</v>
      </c>
      <c r="D10076" t="s">
        <v>25123</v>
      </c>
      <c r="E10076" s="2" t="s">
        <v>692</v>
      </c>
      <c r="F10076" t="s">
        <v>25122</v>
      </c>
      <c r="G10076" t="str">
        <f>HYPERLINK("https://www.foodneconomy.com/news/articleView.html?idxno=342295")</f>
        <v>https://www.foodneconomy.com/news/articleView.html?idxno=342295</v>
      </c>
      <c r="H10076">
        <v>0.63500000000000001</v>
      </c>
    </row>
    <row r="10077" spans="1:8" x14ac:dyDescent="0.3">
      <c r="A10077" t="s">
        <v>24670</v>
      </c>
      <c r="B10077" t="s">
        <v>26951</v>
      </c>
      <c r="C10077" t="s">
        <v>25126</v>
      </c>
      <c r="D10077" t="s">
        <v>25125</v>
      </c>
      <c r="E10077" s="2" t="s">
        <v>692</v>
      </c>
      <c r="F10077" t="s">
        <v>25020</v>
      </c>
      <c r="G10077" t="str">
        <f>HYPERLINK("https://www.newspim.com/news/view/20250701001040")</f>
        <v>https://www.newspim.com/news/view/20250701001040</v>
      </c>
      <c r="H10077">
        <v>0.222</v>
      </c>
    </row>
    <row r="10078" spans="1:8" x14ac:dyDescent="0.3">
      <c r="A10078" t="s">
        <v>24670</v>
      </c>
      <c r="B10078" t="s">
        <v>26951</v>
      </c>
      <c r="C10078" t="s">
        <v>25129</v>
      </c>
      <c r="D10078" t="s">
        <v>25128</v>
      </c>
      <c r="E10078" s="2" t="s">
        <v>711</v>
      </c>
      <c r="F10078" t="s">
        <v>25127</v>
      </c>
      <c r="G10078" t="str">
        <f>HYPERLINK("http://www.newsworker.co.kr/news/articleView.html?idxno=367662")</f>
        <v>http://www.newsworker.co.kr/news/articleView.html?idxno=367662</v>
      </c>
      <c r="H10078">
        <v>0.497</v>
      </c>
    </row>
    <row r="10079" spans="1:8" x14ac:dyDescent="0.3">
      <c r="A10079" t="s">
        <v>24670</v>
      </c>
      <c r="B10079" t="s">
        <v>26951</v>
      </c>
      <c r="C10079" t="s">
        <v>25131</v>
      </c>
      <c r="D10079" t="s">
        <v>25130</v>
      </c>
      <c r="E10079" s="2" t="s">
        <v>711</v>
      </c>
      <c r="F10079" t="s">
        <v>487</v>
      </c>
      <c r="G10079" t="str">
        <f>HYPERLINK("https://news.einfomax.co.kr/news/articleView.html?idxno=4359180")</f>
        <v>https://news.einfomax.co.kr/news/articleView.html?idxno=4359180</v>
      </c>
      <c r="H10079">
        <v>0.44600000000000001</v>
      </c>
    </row>
    <row r="10080" spans="1:8" x14ac:dyDescent="0.3">
      <c r="A10080" t="s">
        <v>24670</v>
      </c>
      <c r="B10080" t="s">
        <v>26951</v>
      </c>
      <c r="C10080" t="s">
        <v>25133</v>
      </c>
      <c r="D10080" t="s">
        <v>25132</v>
      </c>
      <c r="E10080" s="2" t="s">
        <v>711</v>
      </c>
      <c r="F10080" t="s">
        <v>12924</v>
      </c>
      <c r="G10080" t="str">
        <f>HYPERLINK("http://www.ifs.or.kr/bbs/board.php?bo_table=News&amp;wr_id=54911")</f>
        <v>http://www.ifs.or.kr/bbs/board.php?bo_table=News&amp;wr_id=54911</v>
      </c>
      <c r="H10080">
        <v>0.75700000000000001</v>
      </c>
    </row>
    <row r="10081" spans="1:8" x14ac:dyDescent="0.3">
      <c r="A10081" t="s">
        <v>24670</v>
      </c>
      <c r="B10081" t="s">
        <v>26951</v>
      </c>
      <c r="C10081" t="s">
        <v>25136</v>
      </c>
      <c r="D10081" t="s">
        <v>25135</v>
      </c>
      <c r="E10081" s="2" t="s">
        <v>711</v>
      </c>
      <c r="F10081" t="s">
        <v>25134</v>
      </c>
      <c r="G10081" t="str">
        <f>HYPERLINK("https://www.m-joongang.com/news/articleView.html?idxno=401223")</f>
        <v>https://www.m-joongang.com/news/articleView.html?idxno=401223</v>
      </c>
      <c r="H10081">
        <v>0.76100000000000001</v>
      </c>
    </row>
    <row r="10082" spans="1:8" x14ac:dyDescent="0.3">
      <c r="A10082" t="s">
        <v>24670</v>
      </c>
      <c r="B10082" t="s">
        <v>26951</v>
      </c>
      <c r="C10082" t="s">
        <v>25138</v>
      </c>
      <c r="D10082" t="s">
        <v>25137</v>
      </c>
      <c r="E10082" s="2" t="s">
        <v>711</v>
      </c>
      <c r="F10082" t="s">
        <v>9229</v>
      </c>
      <c r="G10082" t="str">
        <f>HYPERLINK("https://n.news.naver.com/mnews/article/028/0002032021?sid=104")</f>
        <v>https://n.news.naver.com/mnews/article/028/0002032021?sid=104</v>
      </c>
      <c r="H10082">
        <v>0.36699999999999999</v>
      </c>
    </row>
    <row r="10083" spans="1:8" x14ac:dyDescent="0.3">
      <c r="A10083" t="s">
        <v>24670</v>
      </c>
      <c r="B10083" t="s">
        <v>26951</v>
      </c>
      <c r="C10083" t="s">
        <v>10551</v>
      </c>
      <c r="D10083" t="s">
        <v>10550</v>
      </c>
      <c r="E10083" s="2" t="s">
        <v>711</v>
      </c>
      <c r="F10083" t="s">
        <v>89</v>
      </c>
      <c r="G10083" t="str">
        <f>HYPERLINK("https://n.news.naver.com/mnews/article/018/0000097313?sid=101")</f>
        <v>https://n.news.naver.com/mnews/article/018/0000097313?sid=101</v>
      </c>
      <c r="H10083">
        <v>0.36299999999999999</v>
      </c>
    </row>
    <row r="10084" spans="1:8" x14ac:dyDescent="0.3">
      <c r="A10084" t="s">
        <v>24670</v>
      </c>
      <c r="B10084" t="s">
        <v>26951</v>
      </c>
      <c r="C10084" t="s">
        <v>25141</v>
      </c>
      <c r="D10084" t="s">
        <v>25140</v>
      </c>
      <c r="E10084" s="2" t="s">
        <v>711</v>
      </c>
      <c r="F10084" t="s">
        <v>25139</v>
      </c>
      <c r="G10084" t="str">
        <f>HYPERLINK("https://www.newsgn.com/news/articleView.html?idxno=490933")</f>
        <v>https://www.newsgn.com/news/articleView.html?idxno=490933</v>
      </c>
      <c r="H10084">
        <v>0.30499999999999999</v>
      </c>
    </row>
    <row r="10085" spans="1:8" x14ac:dyDescent="0.3">
      <c r="A10085" t="s">
        <v>24670</v>
      </c>
      <c r="B10085" t="s">
        <v>26951</v>
      </c>
      <c r="C10085" t="s">
        <v>25143</v>
      </c>
      <c r="D10085" t="s">
        <v>25142</v>
      </c>
      <c r="E10085" s="2" t="s">
        <v>711</v>
      </c>
      <c r="F10085" t="s">
        <v>2459</v>
      </c>
      <c r="G10085" t="str">
        <f>HYPERLINK("https://n.news.naver.com/mnews/article/008/0005215535?sid=100")</f>
        <v>https://n.news.naver.com/mnews/article/008/0005215535?sid=100</v>
      </c>
      <c r="H10085">
        <v>0.216</v>
      </c>
    </row>
    <row r="10086" spans="1:8" x14ac:dyDescent="0.3">
      <c r="A10086" t="s">
        <v>24670</v>
      </c>
      <c r="B10086" t="s">
        <v>26951</v>
      </c>
      <c r="C10086" t="s">
        <v>25145</v>
      </c>
      <c r="D10086" t="s">
        <v>25144</v>
      </c>
      <c r="E10086" s="2" t="s">
        <v>711</v>
      </c>
      <c r="F10086" t="s">
        <v>6292</v>
      </c>
      <c r="G10086" t="str">
        <f>HYPERLINK("https://n.news.naver.com/mnews/article/052/0002212814?sid=100")</f>
        <v>https://n.news.naver.com/mnews/article/052/0002212814?sid=100</v>
      </c>
      <c r="H10086">
        <v>0.20799999999999999</v>
      </c>
    </row>
    <row r="10087" spans="1:8" x14ac:dyDescent="0.3">
      <c r="A10087" t="s">
        <v>24670</v>
      </c>
      <c r="B10087" t="s">
        <v>26951</v>
      </c>
      <c r="C10087" t="s">
        <v>25147</v>
      </c>
      <c r="D10087" t="s">
        <v>25146</v>
      </c>
      <c r="E10087" s="2" t="s">
        <v>711</v>
      </c>
      <c r="F10087" t="s">
        <v>24707</v>
      </c>
      <c r="G10087" t="str">
        <f>HYPERLINK("https://www.financialpost.co.kr/news/articleView.html?idxno=219620")</f>
        <v>https://www.financialpost.co.kr/news/articleView.html?idxno=219620</v>
      </c>
      <c r="H10087">
        <v>0.72699999999999998</v>
      </c>
    </row>
    <row r="10088" spans="1:8" x14ac:dyDescent="0.3">
      <c r="A10088" t="s">
        <v>24670</v>
      </c>
      <c r="B10088" t="s">
        <v>26951</v>
      </c>
      <c r="C10088" t="s">
        <v>25149</v>
      </c>
      <c r="D10088" t="s">
        <v>25148</v>
      </c>
      <c r="E10088" s="2" t="s">
        <v>725</v>
      </c>
      <c r="F10088" t="s">
        <v>961</v>
      </c>
      <c r="G10088" t="str">
        <f>HYPERLINK("https://www.newspim.com/news/view/20250625000848")</f>
        <v>https://www.newspim.com/news/view/20250625000848</v>
      </c>
      <c r="H10088">
        <v>0.43</v>
      </c>
    </row>
    <row r="10089" spans="1:8" x14ac:dyDescent="0.3">
      <c r="A10089" t="s">
        <v>24670</v>
      </c>
      <c r="B10089" t="s">
        <v>26951</v>
      </c>
      <c r="C10089" t="s">
        <v>25152</v>
      </c>
      <c r="D10089" t="s">
        <v>25151</v>
      </c>
      <c r="E10089" s="2" t="s">
        <v>725</v>
      </c>
      <c r="F10089" t="s">
        <v>25150</v>
      </c>
      <c r="G10089" t="str">
        <f>HYPERLINK("http://www.cnbnews.com/news/article.html?no=428477")</f>
        <v>http://www.cnbnews.com/news/article.html?no=428477</v>
      </c>
      <c r="H10089">
        <v>0.36099999999999999</v>
      </c>
    </row>
    <row r="10090" spans="1:8" x14ac:dyDescent="0.3">
      <c r="A10090" t="s">
        <v>24670</v>
      </c>
      <c r="B10090" t="s">
        <v>26951</v>
      </c>
      <c r="C10090" t="s">
        <v>25154</v>
      </c>
      <c r="D10090" t="s">
        <v>25153</v>
      </c>
      <c r="E10090" s="2" t="s">
        <v>725</v>
      </c>
      <c r="F10090" t="s">
        <v>15471</v>
      </c>
      <c r="G10090" t="str">
        <f>HYPERLINK("https://www.nbnews.kr/news/articleView.html?idxno=66409")</f>
        <v>https://www.nbnews.kr/news/articleView.html?idxno=66409</v>
      </c>
      <c r="H10090">
        <v>0.56899999999999995</v>
      </c>
    </row>
    <row r="10091" spans="1:8" x14ac:dyDescent="0.3">
      <c r="A10091" t="s">
        <v>24670</v>
      </c>
      <c r="B10091" t="s">
        <v>26951</v>
      </c>
      <c r="C10091" t="s">
        <v>25157</v>
      </c>
      <c r="D10091" t="s">
        <v>25156</v>
      </c>
      <c r="E10091" s="2" t="s">
        <v>725</v>
      </c>
      <c r="F10091" t="s">
        <v>25155</v>
      </c>
      <c r="G10091" t="str">
        <f>HYPERLINK("http://www.econovill.com/news/articleView.html?idxno=364416")</f>
        <v>http://www.econovill.com/news/articleView.html?idxno=364416</v>
      </c>
      <c r="H10091">
        <v>0.20100000000000001</v>
      </c>
    </row>
    <row r="10092" spans="1:8" x14ac:dyDescent="0.3">
      <c r="A10092" t="s">
        <v>24670</v>
      </c>
      <c r="B10092" t="s">
        <v>26951</v>
      </c>
      <c r="C10092" t="s">
        <v>25160</v>
      </c>
      <c r="D10092" t="s">
        <v>25159</v>
      </c>
      <c r="E10092" s="2" t="s">
        <v>725</v>
      </c>
      <c r="F10092" t="s">
        <v>25158</v>
      </c>
      <c r="G10092" t="str">
        <f>HYPERLINK("http://www.nongaek.com/news/articleView.html?idxno=89763")</f>
        <v>http://www.nongaek.com/news/articleView.html?idxno=89763</v>
      </c>
      <c r="H10092">
        <v>0.622</v>
      </c>
    </row>
    <row r="10093" spans="1:8" x14ac:dyDescent="0.3">
      <c r="A10093" t="s">
        <v>24670</v>
      </c>
      <c r="B10093" t="s">
        <v>26951</v>
      </c>
      <c r="C10093" t="s">
        <v>25162</v>
      </c>
      <c r="D10093" t="s">
        <v>25161</v>
      </c>
      <c r="E10093" s="2" t="s">
        <v>725</v>
      </c>
      <c r="F10093" t="s">
        <v>18878</v>
      </c>
      <c r="G10093" t="str">
        <f>HYPERLINK("https://n.news.naver.com/mnews/article/056/0011204085?sid=101")</f>
        <v>https://n.news.naver.com/mnews/article/056/0011204085?sid=101</v>
      </c>
      <c r="H10093">
        <v>0.29699999999999999</v>
      </c>
    </row>
    <row r="10094" spans="1:8" x14ac:dyDescent="0.3">
      <c r="A10094" t="s">
        <v>24670</v>
      </c>
      <c r="B10094" t="s">
        <v>26951</v>
      </c>
      <c r="C10094" t="s">
        <v>25165</v>
      </c>
      <c r="D10094" t="s">
        <v>25164</v>
      </c>
      <c r="E10094" s="2" t="s">
        <v>742</v>
      </c>
      <c r="F10094" t="s">
        <v>25163</v>
      </c>
      <c r="G10094" t="str">
        <f>HYPERLINK("https://www.etoday.co.kr/news/view/2447888")</f>
        <v>https://www.etoday.co.kr/news/view/2447888</v>
      </c>
      <c r="H10094">
        <v>0.27400000000000002</v>
      </c>
    </row>
    <row r="10095" spans="1:8" x14ac:dyDescent="0.3">
      <c r="A10095" t="s">
        <v>24670</v>
      </c>
      <c r="B10095" t="s">
        <v>26951</v>
      </c>
      <c r="C10095" t="s">
        <v>25167</v>
      </c>
      <c r="D10095" t="s">
        <v>25166</v>
      </c>
      <c r="E10095" s="2" t="s">
        <v>742</v>
      </c>
      <c r="F10095" t="s">
        <v>24771</v>
      </c>
      <c r="G10095" t="str">
        <f>HYPERLINK("https://www.newspim.com/news/view/20250604001293")</f>
        <v>https://www.newspim.com/news/view/20250604001293</v>
      </c>
      <c r="H10095">
        <v>0.66300000000000003</v>
      </c>
    </row>
    <row r="10096" spans="1:8" x14ac:dyDescent="0.3">
      <c r="A10096" t="s">
        <v>24670</v>
      </c>
      <c r="B10096" t="s">
        <v>26951</v>
      </c>
      <c r="C10096" t="s">
        <v>25169</v>
      </c>
      <c r="D10096" t="s">
        <v>25168</v>
      </c>
      <c r="E10096" s="2" t="s">
        <v>742</v>
      </c>
      <c r="F10096" t="s">
        <v>549</v>
      </c>
      <c r="G10096" t="str">
        <f>HYPERLINK("https://news.einfomax.co.kr/news/articleView.html?idxno=4359071")</f>
        <v>https://news.einfomax.co.kr/news/articleView.html?idxno=4359071</v>
      </c>
      <c r="H10096">
        <v>0.95799999999999996</v>
      </c>
    </row>
    <row r="10097" spans="1:8" x14ac:dyDescent="0.3">
      <c r="A10097" t="s">
        <v>24670</v>
      </c>
      <c r="B10097" t="s">
        <v>26951</v>
      </c>
      <c r="C10097" t="s">
        <v>25171</v>
      </c>
      <c r="D10097" t="s">
        <v>25170</v>
      </c>
      <c r="E10097" s="2" t="s">
        <v>742</v>
      </c>
      <c r="F10097" t="s">
        <v>24771</v>
      </c>
      <c r="G10097" t="str">
        <f>HYPERLINK("http://www.00news.co.kr/news/articleView.html?idxno=95270")</f>
        <v>http://www.00news.co.kr/news/articleView.html?idxno=95270</v>
      </c>
      <c r="H10097">
        <v>0.66100000000000003</v>
      </c>
    </row>
    <row r="10098" spans="1:8" x14ac:dyDescent="0.3">
      <c r="A10098" t="s">
        <v>24670</v>
      </c>
      <c r="B10098" t="s">
        <v>26951</v>
      </c>
      <c r="C10098" t="s">
        <v>25173</v>
      </c>
      <c r="D10098" t="s">
        <v>25172</v>
      </c>
      <c r="E10098" s="2" t="s">
        <v>742</v>
      </c>
      <c r="F10098" t="s">
        <v>549</v>
      </c>
      <c r="G10098" t="str">
        <f>HYPERLINK("https://news.einfomax.co.kr/news/articleView.html?idxno=4359026")</f>
        <v>https://news.einfomax.co.kr/news/articleView.html?idxno=4359026</v>
      </c>
      <c r="H10098">
        <v>0.94199999999999995</v>
      </c>
    </row>
    <row r="10099" spans="1:8" x14ac:dyDescent="0.3">
      <c r="A10099" t="s">
        <v>24670</v>
      </c>
      <c r="B10099" t="s">
        <v>26951</v>
      </c>
      <c r="C10099" t="s">
        <v>25175</v>
      </c>
      <c r="D10099" t="s">
        <v>25174</v>
      </c>
      <c r="E10099" s="2" t="s">
        <v>742</v>
      </c>
      <c r="F10099" t="s">
        <v>2498</v>
      </c>
      <c r="G10099" t="str">
        <f>HYPERLINK("https://www.voakorea.com/a/7817510.html")</f>
        <v>https://www.voakorea.com/a/7817510.html</v>
      </c>
      <c r="H10099">
        <v>0.71599999999999997</v>
      </c>
    </row>
    <row r="10100" spans="1:8" x14ac:dyDescent="0.3">
      <c r="A10100" t="s">
        <v>24670</v>
      </c>
      <c r="B10100" t="s">
        <v>26951</v>
      </c>
      <c r="C10100" t="s">
        <v>25178</v>
      </c>
      <c r="D10100" t="s">
        <v>25177</v>
      </c>
      <c r="E10100" s="2" t="s">
        <v>742</v>
      </c>
      <c r="F10100" t="s">
        <v>25176</v>
      </c>
      <c r="G10100" t="str">
        <f>HYPERLINK("https://n.news.naver.com/mnews/article/079/0004040685?sid=102")</f>
        <v>https://n.news.naver.com/mnews/article/079/0004040685?sid=102</v>
      </c>
      <c r="H10100">
        <v>0.24399999999999999</v>
      </c>
    </row>
    <row r="10101" spans="1:8" x14ac:dyDescent="0.3">
      <c r="A10101" t="s">
        <v>24670</v>
      </c>
      <c r="B10101" t="s">
        <v>26951</v>
      </c>
      <c r="C10101" t="s">
        <v>25181</v>
      </c>
      <c r="D10101" t="s">
        <v>25180</v>
      </c>
      <c r="E10101" s="2" t="s">
        <v>742</v>
      </c>
      <c r="F10101" t="s">
        <v>25179</v>
      </c>
      <c r="G10101" t="str">
        <f>HYPERLINK("https://n.news.naver.com/mnews/article/016/0002486957?sid=104")</f>
        <v>https://n.news.naver.com/mnews/article/016/0002486957?sid=104</v>
      </c>
      <c r="H10101">
        <v>0.27300000000000002</v>
      </c>
    </row>
    <row r="10102" spans="1:8" x14ac:dyDescent="0.3">
      <c r="A10102" t="s">
        <v>24670</v>
      </c>
      <c r="B10102" t="s">
        <v>26951</v>
      </c>
      <c r="C10102" t="s">
        <v>25183</v>
      </c>
      <c r="D10102" t="s">
        <v>25182</v>
      </c>
      <c r="E10102" s="2" t="s">
        <v>742</v>
      </c>
      <c r="F10102" t="s">
        <v>15975</v>
      </c>
      <c r="G10102" t="str">
        <f>HYPERLINK("http://dream.kotra.or.kr/kotranews/cms/news/actionKotraBoardDetail.do?SITE_NO=3&amp;MENU_ID=110&amp;CONTENTS_NO=1&amp;bbsGbn=245&amp;bbsSn=245&amp;pNttSn=231123")</f>
        <v>http://dream.kotra.or.kr/kotranews/cms/news/actionKotraBoardDetail.do?SITE_NO=3&amp;MENU_ID=110&amp;CONTENTS_NO=1&amp;bbsGbn=245&amp;bbsSn=245&amp;pNttSn=231123</v>
      </c>
      <c r="H10102">
        <v>0.373</v>
      </c>
    </row>
    <row r="10103" spans="1:8" x14ac:dyDescent="0.3">
      <c r="A10103" t="s">
        <v>24670</v>
      </c>
      <c r="B10103" t="s">
        <v>26951</v>
      </c>
      <c r="C10103" t="s">
        <v>25185</v>
      </c>
      <c r="D10103" t="s">
        <v>25184</v>
      </c>
      <c r="E10103" s="2" t="s">
        <v>742</v>
      </c>
      <c r="F10103" t="s">
        <v>24701</v>
      </c>
      <c r="G10103" t="str">
        <f>HYPERLINK("https://news.einfomax.co.kr/news/articleView.html?idxno=4359053")</f>
        <v>https://news.einfomax.co.kr/news/articleView.html?idxno=4359053</v>
      </c>
      <c r="H10103">
        <v>0.55300000000000005</v>
      </c>
    </row>
    <row r="10104" spans="1:8" x14ac:dyDescent="0.3">
      <c r="A10104" t="s">
        <v>24670</v>
      </c>
      <c r="B10104" t="s">
        <v>26951</v>
      </c>
      <c r="C10104" t="s">
        <v>25187</v>
      </c>
      <c r="D10104" t="s">
        <v>25186</v>
      </c>
      <c r="E10104" s="2" t="s">
        <v>742</v>
      </c>
      <c r="F10104" t="s">
        <v>5734</v>
      </c>
      <c r="G10104" t="str">
        <f>HYPERLINK("https://news.einfomax.co.kr/news/articleView.html?idxno=4310756")</f>
        <v>https://news.einfomax.co.kr/news/articleView.html?idxno=4310756</v>
      </c>
      <c r="H10104">
        <v>0.39600000000000002</v>
      </c>
    </row>
    <row r="10105" spans="1:8" x14ac:dyDescent="0.3">
      <c r="A10105" t="s">
        <v>24670</v>
      </c>
      <c r="B10105" t="s">
        <v>26951</v>
      </c>
      <c r="C10105" t="s">
        <v>25190</v>
      </c>
      <c r="D10105" t="s">
        <v>25189</v>
      </c>
      <c r="E10105" s="2" t="s">
        <v>799</v>
      </c>
      <c r="F10105" t="s">
        <v>25188</v>
      </c>
      <c r="G10105" t="str">
        <f>HYPERLINK("https://www.newspim.com/news/view/20250604001185")</f>
        <v>https://www.newspim.com/news/view/20250604001185</v>
      </c>
      <c r="H10105">
        <v>0.622</v>
      </c>
    </row>
    <row r="10106" spans="1:8" x14ac:dyDescent="0.3">
      <c r="A10106" t="s">
        <v>24670</v>
      </c>
      <c r="B10106" t="s">
        <v>26951</v>
      </c>
      <c r="C10106" t="s">
        <v>25192</v>
      </c>
      <c r="D10106" t="s">
        <v>25191</v>
      </c>
      <c r="E10106" s="2" t="s">
        <v>799</v>
      </c>
      <c r="F10106" t="s">
        <v>15221</v>
      </c>
      <c r="G10106" t="str">
        <f>HYPERLINK("http://www.00news.co.kr/news/articleView.html?idxno=94810")</f>
        <v>http://www.00news.co.kr/news/articleView.html?idxno=94810</v>
      </c>
      <c r="H10106">
        <v>0.63100000000000001</v>
      </c>
    </row>
    <row r="10107" spans="1:8" x14ac:dyDescent="0.3">
      <c r="A10107" t="s">
        <v>24670</v>
      </c>
      <c r="B10107" t="s">
        <v>26951</v>
      </c>
      <c r="C10107" t="s">
        <v>25194</v>
      </c>
      <c r="D10107" t="s">
        <v>25193</v>
      </c>
      <c r="E10107" s="2" t="s">
        <v>799</v>
      </c>
      <c r="F10107" t="s">
        <v>24771</v>
      </c>
      <c r="G10107" t="str">
        <f>HYPERLINK("https://www.ekn.kr/web/view.php?key=20250620028428632")</f>
        <v>https://www.ekn.kr/web/view.php?key=20250620028428632</v>
      </c>
      <c r="H10107">
        <v>0.53400000000000003</v>
      </c>
    </row>
    <row r="10108" spans="1:8" x14ac:dyDescent="0.3">
      <c r="A10108" t="s">
        <v>24670</v>
      </c>
      <c r="B10108" t="s">
        <v>26951</v>
      </c>
      <c r="C10108" t="s">
        <v>25197</v>
      </c>
      <c r="D10108" t="s">
        <v>25196</v>
      </c>
      <c r="E10108" s="2" t="s">
        <v>799</v>
      </c>
      <c r="F10108" t="s">
        <v>25195</v>
      </c>
      <c r="G10108" t="str">
        <f>HYPERLINK("https://www.newsway.co.kr/news/view?ud=2025070117291562284")</f>
        <v>https://www.newsway.co.kr/news/view?ud=2025070117291562284</v>
      </c>
      <c r="H10108">
        <v>0.32600000000000001</v>
      </c>
    </row>
    <row r="10109" spans="1:8" x14ac:dyDescent="0.3">
      <c r="A10109" t="s">
        <v>24670</v>
      </c>
      <c r="B10109" t="s">
        <v>26951</v>
      </c>
      <c r="C10109" t="s">
        <v>25200</v>
      </c>
      <c r="D10109" t="s">
        <v>25199</v>
      </c>
      <c r="E10109" s="2" t="s">
        <v>799</v>
      </c>
      <c r="F10109" t="s">
        <v>25198</v>
      </c>
      <c r="G10109" t="str">
        <f>HYPERLINK("http://www.newspim.com/common/redirect.jsp?newsId=20111215000118")</f>
        <v>http://www.newspim.com/common/redirect.jsp?newsId=20111215000118</v>
      </c>
      <c r="H10109">
        <v>0.31900000000000001</v>
      </c>
    </row>
    <row r="10110" spans="1:8" x14ac:dyDescent="0.3">
      <c r="A10110" t="s">
        <v>24670</v>
      </c>
      <c r="B10110" t="s">
        <v>26951</v>
      </c>
      <c r="C10110" t="s">
        <v>6360</v>
      </c>
      <c r="D10110" t="s">
        <v>6359</v>
      </c>
      <c r="E10110" s="2" t="s">
        <v>799</v>
      </c>
      <c r="F10110" t="s">
        <v>89</v>
      </c>
      <c r="G10110" t="str">
        <f>HYPERLINK("http://www.newsian.co.kr/news/articleView.html?idxno=70447")</f>
        <v>http://www.newsian.co.kr/news/articleView.html?idxno=70447</v>
      </c>
      <c r="H10110">
        <v>0.65800000000000003</v>
      </c>
    </row>
    <row r="10111" spans="1:8" x14ac:dyDescent="0.3">
      <c r="A10111" t="s">
        <v>24670</v>
      </c>
      <c r="B10111" t="s">
        <v>26951</v>
      </c>
      <c r="C10111" t="s">
        <v>25203</v>
      </c>
      <c r="D10111" t="s">
        <v>25202</v>
      </c>
      <c r="E10111" s="2" t="s">
        <v>799</v>
      </c>
      <c r="F10111" t="s">
        <v>25201</v>
      </c>
      <c r="G10111" t="str">
        <f>HYPERLINK("https://www.cnbnews.com/news/article.html?no=728445")</f>
        <v>https://www.cnbnews.com/news/article.html?no=728445</v>
      </c>
      <c r="H10111">
        <v>0.88900000000000001</v>
      </c>
    </row>
    <row r="10112" spans="1:8" x14ac:dyDescent="0.3">
      <c r="A10112" t="s">
        <v>24670</v>
      </c>
      <c r="B10112" t="s">
        <v>26951</v>
      </c>
      <c r="C10112" t="s">
        <v>25205</v>
      </c>
      <c r="D10112" t="s">
        <v>25204</v>
      </c>
      <c r="E10112" s="2" t="s">
        <v>799</v>
      </c>
      <c r="F10112" t="s">
        <v>24707</v>
      </c>
      <c r="G10112" t="str">
        <f>HYPERLINK("https://n.news.naver.com/mnews/article/018/0002423762?sid=101")</f>
        <v>https://n.news.naver.com/mnews/article/018/0002423762?sid=101</v>
      </c>
      <c r="H10112">
        <v>0.42299999999999999</v>
      </c>
    </row>
    <row r="10113" spans="1:8" x14ac:dyDescent="0.3">
      <c r="A10113" t="s">
        <v>24670</v>
      </c>
      <c r="B10113" t="s">
        <v>26951</v>
      </c>
      <c r="C10113" t="s">
        <v>25208</v>
      </c>
      <c r="D10113" t="s">
        <v>25207</v>
      </c>
      <c r="E10113" s="2" t="s">
        <v>840</v>
      </c>
      <c r="F10113" t="s">
        <v>25206</v>
      </c>
      <c r="G10113" t="str">
        <f>HYPERLINK("https://radio.ytn.co.kr/program/?f=2&amp;id=95614&amp;s_mcd=0214&amp;s_hcd=01")</f>
        <v>https://radio.ytn.co.kr/program/?f=2&amp;id=95614&amp;s_mcd=0214&amp;s_hcd=01</v>
      </c>
      <c r="H10113">
        <v>0.21299999999999999</v>
      </c>
    </row>
    <row r="10114" spans="1:8" x14ac:dyDescent="0.3">
      <c r="A10114" t="s">
        <v>24670</v>
      </c>
      <c r="B10114" t="s">
        <v>26951</v>
      </c>
      <c r="C10114" t="s">
        <v>25210</v>
      </c>
      <c r="D10114" t="s">
        <v>25209</v>
      </c>
      <c r="E10114" s="2" t="s">
        <v>840</v>
      </c>
      <c r="F10114" t="s">
        <v>25113</v>
      </c>
      <c r="G10114" t="str">
        <f>HYPERLINK("https://news.einfomax.co.kr/news/articleView.html?idxno=4347410")</f>
        <v>https://news.einfomax.co.kr/news/articleView.html?idxno=4347410</v>
      </c>
      <c r="H10114">
        <v>0.58799999999999997</v>
      </c>
    </row>
    <row r="10115" spans="1:8" x14ac:dyDescent="0.3">
      <c r="A10115" t="s">
        <v>24670</v>
      </c>
      <c r="B10115" t="s">
        <v>26951</v>
      </c>
      <c r="C10115" t="s">
        <v>25212</v>
      </c>
      <c r="D10115" t="s">
        <v>25211</v>
      </c>
      <c r="E10115" s="2" t="s">
        <v>840</v>
      </c>
      <c r="F10115" t="s">
        <v>24771</v>
      </c>
      <c r="G10115" t="str">
        <f>HYPERLINK("https://www.naeil.com/news/read/547461?ref=naver")</f>
        <v>https://www.naeil.com/news/read/547461?ref=naver</v>
      </c>
      <c r="H10115">
        <v>0.67200000000000004</v>
      </c>
    </row>
    <row r="10116" spans="1:8" x14ac:dyDescent="0.3">
      <c r="A10116" t="s">
        <v>24670</v>
      </c>
      <c r="B10116" t="s">
        <v>26951</v>
      </c>
      <c r="C10116" t="s">
        <v>25214</v>
      </c>
      <c r="D10116" t="s">
        <v>25213</v>
      </c>
      <c r="E10116" s="2" t="s">
        <v>840</v>
      </c>
      <c r="F10116" t="s">
        <v>1432</v>
      </c>
      <c r="G10116" t="str">
        <f>HYPERLINK("https://www.lecturernews.com/news/articleView.html?idxno=130908")</f>
        <v>https://www.lecturernews.com/news/articleView.html?idxno=130908</v>
      </c>
      <c r="H10116">
        <v>0.42899999999999999</v>
      </c>
    </row>
    <row r="10117" spans="1:8" x14ac:dyDescent="0.3">
      <c r="A10117" t="s">
        <v>24670</v>
      </c>
      <c r="B10117" t="s">
        <v>26951</v>
      </c>
      <c r="C10117" t="s">
        <v>25217</v>
      </c>
      <c r="D10117" t="s">
        <v>25216</v>
      </c>
      <c r="E10117" s="2" t="s">
        <v>840</v>
      </c>
      <c r="F10117" t="s">
        <v>25215</v>
      </c>
      <c r="G10117" t="str">
        <f>HYPERLINK("http://www.opinionnews.co.kr/news/articleView.html?idxno=118371")</f>
        <v>http://www.opinionnews.co.kr/news/articleView.html?idxno=118371</v>
      </c>
      <c r="H10117">
        <v>0.75700000000000001</v>
      </c>
    </row>
    <row r="10118" spans="1:8" x14ac:dyDescent="0.3">
      <c r="A10118" t="s">
        <v>24670</v>
      </c>
      <c r="B10118" t="s">
        <v>26951</v>
      </c>
      <c r="C10118" t="s">
        <v>25220</v>
      </c>
      <c r="D10118" t="s">
        <v>25219</v>
      </c>
      <c r="E10118" s="2" t="s">
        <v>840</v>
      </c>
      <c r="F10118" t="s">
        <v>25218</v>
      </c>
      <c r="G10118" t="str">
        <f>HYPERLINK("https://news.einfomax.co.kr/news/articleView.html?idxno=4358921")</f>
        <v>https://news.einfomax.co.kr/news/articleView.html?idxno=4358921</v>
      </c>
      <c r="H10118">
        <v>0.39700000000000002</v>
      </c>
    </row>
    <row r="10119" spans="1:8" x14ac:dyDescent="0.3">
      <c r="A10119" t="s">
        <v>24670</v>
      </c>
      <c r="B10119" t="s">
        <v>26951</v>
      </c>
      <c r="C10119" t="s">
        <v>25222</v>
      </c>
      <c r="D10119" t="s">
        <v>25221</v>
      </c>
      <c r="E10119" s="2" t="s">
        <v>840</v>
      </c>
      <c r="F10119" t="s">
        <v>15975</v>
      </c>
      <c r="G10119" t="str">
        <f>HYPERLINK("https://www.greened.kr/news/articleView.html?idxno=328194")</f>
        <v>https://www.greened.kr/news/articleView.html?idxno=328194</v>
      </c>
      <c r="H10119">
        <v>0.505</v>
      </c>
    </row>
    <row r="10120" spans="1:8" x14ac:dyDescent="0.3">
      <c r="A10120" t="s">
        <v>24670</v>
      </c>
      <c r="B10120" t="s">
        <v>26951</v>
      </c>
      <c r="C10120" t="s">
        <v>25224</v>
      </c>
      <c r="D10120" t="s">
        <v>25223</v>
      </c>
      <c r="E10120" s="2" t="s">
        <v>840</v>
      </c>
      <c r="F10120" t="s">
        <v>24695</v>
      </c>
      <c r="G10120" t="str">
        <f>HYPERLINK("http://www.ggilbo.com/news/articleView.html?idxno=726219")</f>
        <v>http://www.ggilbo.com/news/articleView.html?idxno=726219</v>
      </c>
      <c r="H10120">
        <v>0.73799999999999999</v>
      </c>
    </row>
    <row r="10121" spans="1:8" x14ac:dyDescent="0.3">
      <c r="A10121" t="s">
        <v>24670</v>
      </c>
      <c r="B10121" t="s">
        <v>26951</v>
      </c>
      <c r="C10121" t="s">
        <v>25227</v>
      </c>
      <c r="D10121" t="s">
        <v>25226</v>
      </c>
      <c r="E10121" s="2" t="s">
        <v>840</v>
      </c>
      <c r="F10121" t="s">
        <v>25225</v>
      </c>
      <c r="G10121" t="str">
        <f>HYPERLINK("https://www.greened.kr/news/articleView.html?idxno=327584")</f>
        <v>https://www.greened.kr/news/articleView.html?idxno=327584</v>
      </c>
      <c r="H10121">
        <v>0.218</v>
      </c>
    </row>
    <row r="10122" spans="1:8" x14ac:dyDescent="0.3">
      <c r="A10122" t="s">
        <v>24670</v>
      </c>
      <c r="B10122" t="s">
        <v>26951</v>
      </c>
      <c r="C10122" t="s">
        <v>25229</v>
      </c>
      <c r="D10122" t="s">
        <v>25228</v>
      </c>
      <c r="E10122" s="2" t="s">
        <v>860</v>
      </c>
      <c r="F10122" t="s">
        <v>857</v>
      </c>
      <c r="G10122" t="str">
        <f>HYPERLINK("https://www.apnews.kr/news/articleView.html?idxno=3031657")</f>
        <v>https://www.apnews.kr/news/articleView.html?idxno=3031657</v>
      </c>
      <c r="H10122">
        <v>0.192</v>
      </c>
    </row>
    <row r="10123" spans="1:8" x14ac:dyDescent="0.3">
      <c r="A10123" t="s">
        <v>24670</v>
      </c>
      <c r="B10123" t="s">
        <v>26951</v>
      </c>
      <c r="C10123" t="s">
        <v>25232</v>
      </c>
      <c r="D10123" t="s">
        <v>25231</v>
      </c>
      <c r="E10123" s="2" t="s">
        <v>860</v>
      </c>
      <c r="F10123" t="s">
        <v>25230</v>
      </c>
      <c r="G10123" t="str">
        <f>HYPERLINK("https://www.fortunekorea.co.kr/news/articleView.html?idxno=48694")</f>
        <v>https://www.fortunekorea.co.kr/news/articleView.html?idxno=48694</v>
      </c>
      <c r="H10123">
        <v>0.39600000000000002</v>
      </c>
    </row>
    <row r="10124" spans="1:8" x14ac:dyDescent="0.3">
      <c r="A10124" t="s">
        <v>24670</v>
      </c>
      <c r="B10124" t="s">
        <v>26951</v>
      </c>
      <c r="C10124" t="s">
        <v>25234</v>
      </c>
      <c r="D10124" t="s">
        <v>25233</v>
      </c>
      <c r="E10124" s="2" t="s">
        <v>860</v>
      </c>
      <c r="F10124" t="s">
        <v>240</v>
      </c>
      <c r="G10124" t="str">
        <f>HYPERLINK("http://www.opinionnews.co.kr/news/articleView.html?idxno=118371")</f>
        <v>http://www.opinionnews.co.kr/news/articleView.html?idxno=118371</v>
      </c>
      <c r="H10124">
        <v>0.83</v>
      </c>
    </row>
    <row r="10125" spans="1:8" x14ac:dyDescent="0.3">
      <c r="A10125" t="s">
        <v>24670</v>
      </c>
      <c r="B10125" t="s">
        <v>26951</v>
      </c>
      <c r="C10125" t="s">
        <v>25236</v>
      </c>
      <c r="D10125" t="s">
        <v>25235</v>
      </c>
      <c r="E10125" s="2" t="s">
        <v>860</v>
      </c>
      <c r="F10125" t="s">
        <v>549</v>
      </c>
      <c r="G10125" t="str">
        <f>HYPERLINK("http://www.opinionnews.co.kr/news/articleView.html?idxno=119021")</f>
        <v>http://www.opinionnews.co.kr/news/articleView.html?idxno=119021</v>
      </c>
      <c r="H10125">
        <v>0.66100000000000003</v>
      </c>
    </row>
    <row r="10126" spans="1:8" x14ac:dyDescent="0.3">
      <c r="A10126" t="s">
        <v>24670</v>
      </c>
      <c r="B10126" t="s">
        <v>26951</v>
      </c>
      <c r="C10126" t="s">
        <v>25238</v>
      </c>
      <c r="D10126" t="s">
        <v>25237</v>
      </c>
      <c r="E10126" s="2" t="s">
        <v>860</v>
      </c>
      <c r="F10126" t="s">
        <v>24771</v>
      </c>
      <c r="G10126" t="str">
        <f>HYPERLINK("https://n.news.naver.com/mnews/article/016/0002479367?sid=101")</f>
        <v>https://n.news.naver.com/mnews/article/016/0002479367?sid=101</v>
      </c>
      <c r="H10126">
        <v>0.26500000000000001</v>
      </c>
    </row>
    <row r="10127" spans="1:8" x14ac:dyDescent="0.3">
      <c r="A10127" t="s">
        <v>24670</v>
      </c>
      <c r="B10127" t="s">
        <v>26951</v>
      </c>
      <c r="C10127" t="s">
        <v>25240</v>
      </c>
      <c r="D10127" t="s">
        <v>25239</v>
      </c>
      <c r="E10127" s="2" t="s">
        <v>860</v>
      </c>
      <c r="F10127" t="s">
        <v>9668</v>
      </c>
      <c r="G10127" t="str">
        <f>HYPERLINK("http://www.econotelling.com/news/articleView.html?idxno=13320")</f>
        <v>http://www.econotelling.com/news/articleView.html?idxno=13320</v>
      </c>
      <c r="H10127">
        <v>0.57999999999999996</v>
      </c>
    </row>
    <row r="10128" spans="1:8" x14ac:dyDescent="0.3">
      <c r="A10128" t="s">
        <v>24670</v>
      </c>
      <c r="B10128" t="s">
        <v>26951</v>
      </c>
      <c r="C10128" t="s">
        <v>25242</v>
      </c>
      <c r="D10128" t="s">
        <v>25241</v>
      </c>
      <c r="E10128" s="2" t="s">
        <v>860</v>
      </c>
      <c r="F10128" t="s">
        <v>1432</v>
      </c>
      <c r="G10128" t="str">
        <f>HYPERLINK("https://www.econovill.com/news/articleView.html?idxno=617052")</f>
        <v>https://www.econovill.com/news/articleView.html?idxno=617052</v>
      </c>
      <c r="H10128">
        <v>0.57499999999999996</v>
      </c>
    </row>
    <row r="10129" spans="1:8" x14ac:dyDescent="0.3">
      <c r="A10129" t="s">
        <v>24670</v>
      </c>
      <c r="B10129" t="s">
        <v>26951</v>
      </c>
      <c r="C10129" t="s">
        <v>25244</v>
      </c>
      <c r="D10129" t="s">
        <v>25243</v>
      </c>
      <c r="E10129" s="2" t="s">
        <v>860</v>
      </c>
      <c r="F10129" t="s">
        <v>25012</v>
      </c>
      <c r="G10129" t="str">
        <f>HYPERLINK("https://www.livesnews.com/news/article.html?no=52034")</f>
        <v>https://www.livesnews.com/news/article.html?no=52034</v>
      </c>
      <c r="H10129">
        <v>0.61199999999999999</v>
      </c>
    </row>
    <row r="10130" spans="1:8" x14ac:dyDescent="0.3">
      <c r="A10130" t="s">
        <v>24670</v>
      </c>
      <c r="B10130" t="s">
        <v>26951</v>
      </c>
      <c r="C10130" t="s">
        <v>25246</v>
      </c>
      <c r="D10130" t="s">
        <v>25245</v>
      </c>
      <c r="E10130" s="2" t="s">
        <v>860</v>
      </c>
      <c r="F10130" t="s">
        <v>15975</v>
      </c>
      <c r="G10130" t="str">
        <f>HYPERLINK("https://www.laborplus.co.kr/news/articleView.html?idxno=35849")</f>
        <v>https://www.laborplus.co.kr/news/articleView.html?idxno=35849</v>
      </c>
      <c r="H10130">
        <v>0.58899999999999997</v>
      </c>
    </row>
    <row r="10131" spans="1:8" x14ac:dyDescent="0.3">
      <c r="A10131" t="s">
        <v>24670</v>
      </c>
      <c r="B10131" t="s">
        <v>26951</v>
      </c>
      <c r="C10131" t="s">
        <v>25249</v>
      </c>
      <c r="D10131" t="s">
        <v>25248</v>
      </c>
      <c r="E10131" s="2" t="s">
        <v>903</v>
      </c>
      <c r="F10131" t="s">
        <v>25247</v>
      </c>
      <c r="G10131" t="str">
        <f>HYPERLINK("https://ditoday.com/ai-%ec%8b%9c%eb%8c%80-seo-%eb%8d%94-%ec%a4%91%ec%9a%94%ed%95%b4%ec%a7%91%eb%8b%88%eb%8b%a4-%ec%a1%b0%ea%b2%bd%ec%83%81-nnt-%eb%8c%80%ed%91%9c/")</f>
        <v>https://ditoday.com/ai-%ec%8b%9c%eb%8c%80-seo-%eb%8d%94-%ec%a4%91%ec%9a%94%ed%95%b4%ec%a7%91%eb%8b%88%eb%8b%a4-%ec%a1%b0%ea%b2%bd%ec%83%81-nnt-%eb%8c%80%ed%91%9c/</v>
      </c>
      <c r="H10131">
        <v>0.47799999999999998</v>
      </c>
    </row>
    <row r="10132" spans="1:8" x14ac:dyDescent="0.3">
      <c r="A10132" t="s">
        <v>24670</v>
      </c>
      <c r="B10132" t="s">
        <v>26951</v>
      </c>
      <c r="C10132" t="s">
        <v>25251</v>
      </c>
      <c r="D10132" t="s">
        <v>25250</v>
      </c>
      <c r="E10132" s="2" t="s">
        <v>903</v>
      </c>
      <c r="F10132" t="s">
        <v>11957</v>
      </c>
      <c r="G10132" t="str">
        <f>HYPERLINK("http://www.opinionnews.co.kr/news/articleView.html?idxno=116080")</f>
        <v>http://www.opinionnews.co.kr/news/articleView.html?idxno=116080</v>
      </c>
      <c r="H10132">
        <v>0.39900000000000002</v>
      </c>
    </row>
    <row r="10133" spans="1:8" x14ac:dyDescent="0.3">
      <c r="A10133" t="s">
        <v>24670</v>
      </c>
      <c r="B10133" t="s">
        <v>26951</v>
      </c>
      <c r="C10133" t="s">
        <v>25254</v>
      </c>
      <c r="D10133" t="s">
        <v>25253</v>
      </c>
      <c r="E10133" s="2" t="s">
        <v>903</v>
      </c>
      <c r="F10133" t="s">
        <v>25252</v>
      </c>
      <c r="G10133" t="str">
        <f>HYPERLINK("http://www.ibulgyo.com/news/articleView.html?idxno=221919")</f>
        <v>http://www.ibulgyo.com/news/articleView.html?idxno=221919</v>
      </c>
      <c r="H10133">
        <v>0.58599999999999997</v>
      </c>
    </row>
    <row r="10134" spans="1:8" x14ac:dyDescent="0.3">
      <c r="A10134" t="s">
        <v>24670</v>
      </c>
      <c r="B10134" t="s">
        <v>26951</v>
      </c>
      <c r="C10134" t="s">
        <v>25256</v>
      </c>
      <c r="D10134" t="s">
        <v>25255</v>
      </c>
      <c r="E10134" s="2" t="s">
        <v>903</v>
      </c>
      <c r="F10134" t="s">
        <v>160</v>
      </c>
      <c r="G10134" t="str">
        <f>HYPERLINK("https://n.news.naver.com/mnews/article/018/0002592073?sid=101")</f>
        <v>https://n.news.naver.com/mnews/article/018/0002592073?sid=101</v>
      </c>
      <c r="H10134">
        <v>0.183</v>
      </c>
    </row>
    <row r="10135" spans="1:8" x14ac:dyDescent="0.3">
      <c r="A10135" t="s">
        <v>24670</v>
      </c>
      <c r="B10135" t="s">
        <v>26951</v>
      </c>
      <c r="C10135" t="s">
        <v>25258</v>
      </c>
      <c r="D10135" t="s">
        <v>25257</v>
      </c>
      <c r="E10135" s="2" t="s">
        <v>903</v>
      </c>
      <c r="F10135" t="s">
        <v>10404</v>
      </c>
      <c r="G10135" t="str">
        <f>HYPERLINK("https://www.incheontoday.com/news/articleView.html?idxno=304630")</f>
        <v>https://www.incheontoday.com/news/articleView.html?idxno=304630</v>
      </c>
      <c r="H10135">
        <v>0.55600000000000005</v>
      </c>
    </row>
    <row r="10136" spans="1:8" x14ac:dyDescent="0.3">
      <c r="A10136" t="s">
        <v>24670</v>
      </c>
      <c r="B10136" t="s">
        <v>26951</v>
      </c>
      <c r="C10136" t="s">
        <v>25261</v>
      </c>
      <c r="D10136" t="s">
        <v>25260</v>
      </c>
      <c r="E10136" s="2" t="s">
        <v>903</v>
      </c>
      <c r="F10136" t="s">
        <v>25259</v>
      </c>
      <c r="G10136" t="str">
        <f>HYPERLINK("http://www.newspim.com/news/view/20220720000997")</f>
        <v>http://www.newspim.com/news/view/20220720000997</v>
      </c>
      <c r="H10136">
        <v>0.49</v>
      </c>
    </row>
    <row r="10137" spans="1:8" x14ac:dyDescent="0.3">
      <c r="A10137" t="s">
        <v>24670</v>
      </c>
      <c r="B10137" t="s">
        <v>26951</v>
      </c>
      <c r="C10137" t="s">
        <v>25264</v>
      </c>
      <c r="D10137" t="s">
        <v>25263</v>
      </c>
      <c r="E10137" s="2" t="s">
        <v>903</v>
      </c>
      <c r="F10137" t="s">
        <v>25262</v>
      </c>
      <c r="G10137" t="str">
        <f>HYPERLINK("http://www.koreatimes.com/article/1493139")</f>
        <v>http://www.koreatimes.com/article/1493139</v>
      </c>
      <c r="H10137">
        <v>0.433</v>
      </c>
    </row>
    <row r="10138" spans="1:8" x14ac:dyDescent="0.3">
      <c r="A10138" t="s">
        <v>25265</v>
      </c>
      <c r="B10138" t="s">
        <v>26951</v>
      </c>
      <c r="C10138" t="s">
        <v>25267</v>
      </c>
      <c r="D10138" t="s">
        <v>25266</v>
      </c>
      <c r="E10138" s="2" t="s">
        <v>418</v>
      </c>
      <c r="F10138" t="s">
        <v>1252</v>
      </c>
      <c r="G10138" t="str">
        <f>HYPERLINK("http://www.kihoilbo.co.kr/news/articleView.html?idxno=860910")</f>
        <v>http://www.kihoilbo.co.kr/news/articleView.html?idxno=860910</v>
      </c>
      <c r="H10138">
        <v>0.47399999999999998</v>
      </c>
    </row>
    <row r="10139" spans="1:8" x14ac:dyDescent="0.3">
      <c r="A10139" t="s">
        <v>25265</v>
      </c>
      <c r="B10139" t="s">
        <v>26951</v>
      </c>
      <c r="C10139" t="s">
        <v>25269</v>
      </c>
      <c r="D10139" t="s">
        <v>25268</v>
      </c>
      <c r="E10139" s="2" t="s">
        <v>653</v>
      </c>
      <c r="F10139" t="s">
        <v>4318</v>
      </c>
      <c r="G10139" t="str">
        <f>HYPERLINK("https://n.news.naver.com/mnews/article/088/0000951913?sid=102")</f>
        <v>https://n.news.naver.com/mnews/article/088/0000951913?sid=102</v>
      </c>
      <c r="H10139">
        <v>0.25</v>
      </c>
    </row>
    <row r="10140" spans="1:8" x14ac:dyDescent="0.3">
      <c r="A10140" t="s">
        <v>25265</v>
      </c>
      <c r="B10140" t="s">
        <v>26951</v>
      </c>
      <c r="C10140" t="s">
        <v>25272</v>
      </c>
      <c r="D10140" t="s">
        <v>25271</v>
      </c>
      <c r="E10140" s="2" t="s">
        <v>692</v>
      </c>
      <c r="F10140" t="s">
        <v>25270</v>
      </c>
      <c r="G10140" t="str">
        <f>HYPERLINK("https://n.news.naver.com/mnews/article/032/0003090821?sid=104")</f>
        <v>https://n.news.naver.com/mnews/article/032/0003090821?sid=104</v>
      </c>
      <c r="H10140">
        <v>0.22700000000000001</v>
      </c>
    </row>
    <row r="10141" spans="1:8" x14ac:dyDescent="0.3">
      <c r="A10141" t="s">
        <v>25265</v>
      </c>
      <c r="B10141" t="s">
        <v>26951</v>
      </c>
      <c r="C10141" t="s">
        <v>25274</v>
      </c>
      <c r="D10141" t="s">
        <v>25273</v>
      </c>
      <c r="E10141" s="2" t="s">
        <v>799</v>
      </c>
      <c r="F10141" t="s">
        <v>785</v>
      </c>
      <c r="G10141" t="str">
        <f>HYPERLINK("https://www.apnews.kr/news/articleView.html?idxno=3029335")</f>
        <v>https://www.apnews.kr/news/articleView.html?idxno=3029335</v>
      </c>
      <c r="H10141">
        <v>7.5999999999999998E-2</v>
      </c>
    </row>
    <row r="10142" spans="1:8" x14ac:dyDescent="0.3">
      <c r="A10142" t="s">
        <v>25265</v>
      </c>
      <c r="B10142" t="s">
        <v>26951</v>
      </c>
      <c r="C10142" t="s">
        <v>25276</v>
      </c>
      <c r="D10142" t="s">
        <v>25275</v>
      </c>
      <c r="E10142" s="2" t="s">
        <v>840</v>
      </c>
      <c r="F10142" t="s">
        <v>5203</v>
      </c>
      <c r="G10142" t="str">
        <f>HYPERLINK("https://www.jemin.com/news/articleView.html?idxno=813092")</f>
        <v>https://www.jemin.com/news/articleView.html?idxno=813092</v>
      </c>
      <c r="H10142">
        <v>0.40300000000000002</v>
      </c>
    </row>
    <row r="10143" spans="1:8" x14ac:dyDescent="0.3">
      <c r="A10143" t="s">
        <v>25265</v>
      </c>
      <c r="B10143" t="s">
        <v>26951</v>
      </c>
      <c r="C10143" t="s">
        <v>25278</v>
      </c>
      <c r="D10143" t="s">
        <v>25277</v>
      </c>
      <c r="E10143" s="2" t="s">
        <v>903</v>
      </c>
      <c r="F10143" t="s">
        <v>785</v>
      </c>
      <c r="G10143" t="str">
        <f>HYPERLINK("https://www.apnews.kr/news/articleView.html?idxno=3029335")</f>
        <v>https://www.apnews.kr/news/articleView.html?idxno=3029335</v>
      </c>
      <c r="H10143">
        <v>8.5000000000000006E-2</v>
      </c>
    </row>
    <row r="10144" spans="1:8" x14ac:dyDescent="0.3">
      <c r="A10144" t="s">
        <v>25265</v>
      </c>
      <c r="B10144" t="s">
        <v>26951</v>
      </c>
      <c r="C10144" t="s">
        <v>25280</v>
      </c>
      <c r="D10144" t="s">
        <v>25279</v>
      </c>
      <c r="E10144" s="2" t="s">
        <v>903</v>
      </c>
      <c r="F10144" t="s">
        <v>12744</v>
      </c>
      <c r="G10144" t="str">
        <f>HYPERLINK("https://n.news.naver.com/mnews/article/057/0001892608?sid=102")</f>
        <v>https://n.news.naver.com/mnews/article/057/0001892608?sid=102</v>
      </c>
      <c r="H10144">
        <v>0.16800000000000001</v>
      </c>
    </row>
    <row r="10145" spans="1:8" x14ac:dyDescent="0.3">
      <c r="A10145" t="s">
        <v>25265</v>
      </c>
      <c r="B10145" t="s">
        <v>26951</v>
      </c>
      <c r="C10145" t="s">
        <v>25282</v>
      </c>
      <c r="D10145" t="s">
        <v>25281</v>
      </c>
      <c r="E10145" s="2" t="s">
        <v>74</v>
      </c>
      <c r="F10145" t="s">
        <v>96</v>
      </c>
      <c r="G10145" t="str">
        <f>HYPERLINK("https://www.inthenews.co.kr/news/article.html?no=73513")</f>
        <v>https://www.inthenews.co.kr/news/article.html?no=73513</v>
      </c>
      <c r="H10145">
        <v>0.42199999999999999</v>
      </c>
    </row>
    <row r="10146" spans="1:8" x14ac:dyDescent="0.3">
      <c r="A10146" t="s">
        <v>25265</v>
      </c>
      <c r="B10146" t="s">
        <v>26951</v>
      </c>
      <c r="C10146" t="s">
        <v>25284</v>
      </c>
      <c r="D10146" t="s">
        <v>25283</v>
      </c>
      <c r="E10146" s="2" t="s">
        <v>74</v>
      </c>
      <c r="F10146" t="s">
        <v>96</v>
      </c>
      <c r="G10146" t="str">
        <f>HYPERLINK("https://www.greened.kr/news/articleView.html?idxno=325925")</f>
        <v>https://www.greened.kr/news/articleView.html?idxno=325925</v>
      </c>
      <c r="H10146">
        <v>0.34200000000000003</v>
      </c>
    </row>
    <row r="10147" spans="1:8" x14ac:dyDescent="0.3">
      <c r="A10147" t="s">
        <v>25265</v>
      </c>
      <c r="B10147" t="s">
        <v>26951</v>
      </c>
      <c r="C10147" t="s">
        <v>25287</v>
      </c>
      <c r="D10147" t="s">
        <v>25286</v>
      </c>
      <c r="E10147" s="2" t="s">
        <v>172</v>
      </c>
      <c r="F10147" t="s">
        <v>25285</v>
      </c>
      <c r="G10147" t="str">
        <f>HYPERLINK("http://www.kyosu.net/news/articleView.html?idxno=44645")</f>
        <v>http://www.kyosu.net/news/articleView.html?idxno=44645</v>
      </c>
      <c r="H10147">
        <v>0.51900000000000002</v>
      </c>
    </row>
    <row r="10148" spans="1:8" x14ac:dyDescent="0.3">
      <c r="A10148" t="s">
        <v>25265</v>
      </c>
      <c r="B10148" t="s">
        <v>26951</v>
      </c>
      <c r="C10148" t="s">
        <v>25289</v>
      </c>
      <c r="D10148" t="s">
        <v>25288</v>
      </c>
      <c r="E10148" s="2" t="s">
        <v>172</v>
      </c>
      <c r="F10148" t="s">
        <v>7787</v>
      </c>
      <c r="G10148" t="str">
        <f>HYPERLINK("https://n.news.naver.com/mnews/article/016/0002491169?sid=102")</f>
        <v>https://n.news.naver.com/mnews/article/016/0002491169?sid=102</v>
      </c>
      <c r="H10148">
        <v>0.32400000000000001</v>
      </c>
    </row>
    <row r="10149" spans="1:8" x14ac:dyDescent="0.3">
      <c r="A10149" t="s">
        <v>25265</v>
      </c>
      <c r="B10149" t="s">
        <v>26951</v>
      </c>
      <c r="C10149" t="s">
        <v>25292</v>
      </c>
      <c r="D10149" t="s">
        <v>25291</v>
      </c>
      <c r="E10149" s="2" t="s">
        <v>230</v>
      </c>
      <c r="F10149" t="s">
        <v>25290</v>
      </c>
      <c r="G10149" t="str">
        <f>HYPERLINK("http://www.hansbiz.co.kr/news/articleView.html?idxno=682303")</f>
        <v>http://www.hansbiz.co.kr/news/articleView.html?idxno=682303</v>
      </c>
      <c r="H10149">
        <v>0.44700000000000001</v>
      </c>
    </row>
    <row r="10150" spans="1:8" x14ac:dyDescent="0.3">
      <c r="A10150" t="s">
        <v>25293</v>
      </c>
      <c r="B10150" t="s">
        <v>26951</v>
      </c>
      <c r="C10150" t="s">
        <v>25295</v>
      </c>
      <c r="D10150" t="s">
        <v>25294</v>
      </c>
      <c r="E10150" s="2" t="s">
        <v>133</v>
      </c>
      <c r="F10150" t="s">
        <v>1267</v>
      </c>
      <c r="G10150" t="str">
        <f>HYPERLINK("https://www.kgnews.co.kr/news/article.html?no=851794")</f>
        <v>https://www.kgnews.co.kr/news/article.html?no=851794</v>
      </c>
      <c r="H10150">
        <v>0.41899999999999998</v>
      </c>
    </row>
    <row r="10151" spans="1:8" x14ac:dyDescent="0.3">
      <c r="A10151" t="s">
        <v>25293</v>
      </c>
      <c r="B10151" t="s">
        <v>26951</v>
      </c>
      <c r="C10151" t="s">
        <v>25298</v>
      </c>
      <c r="D10151" t="s">
        <v>25297</v>
      </c>
      <c r="E10151" s="2" t="s">
        <v>172</v>
      </c>
      <c r="F10151" t="s">
        <v>25296</v>
      </c>
      <c r="G10151" t="str">
        <f>HYPERLINK("http://www.kyeongin.com/news/articleView.html?idxno=517947")</f>
        <v>http://www.kyeongin.com/news/articleView.html?idxno=517947</v>
      </c>
      <c r="H10151">
        <v>0.28899999999999998</v>
      </c>
    </row>
    <row r="10152" spans="1:8" x14ac:dyDescent="0.3">
      <c r="A10152" t="s">
        <v>25293</v>
      </c>
      <c r="B10152" t="s">
        <v>26951</v>
      </c>
      <c r="C10152" t="s">
        <v>25301</v>
      </c>
      <c r="D10152" t="s">
        <v>25300</v>
      </c>
      <c r="E10152" s="2" t="s">
        <v>230</v>
      </c>
      <c r="F10152" t="s">
        <v>25299</v>
      </c>
      <c r="G10152" t="str">
        <f>HYPERLINK("https://www.bizwork.co.kr/news/articleView.html?idxno=94600")</f>
        <v>https://www.bizwork.co.kr/news/articleView.html?idxno=94600</v>
      </c>
      <c r="H10152">
        <v>0.33400000000000002</v>
      </c>
    </row>
    <row r="10153" spans="1:8" x14ac:dyDescent="0.3">
      <c r="A10153" t="s">
        <v>25293</v>
      </c>
      <c r="B10153" t="s">
        <v>26951</v>
      </c>
      <c r="C10153" t="s">
        <v>25304</v>
      </c>
      <c r="D10153" t="s">
        <v>25303</v>
      </c>
      <c r="E10153" s="2" t="s">
        <v>313</v>
      </c>
      <c r="F10153" t="s">
        <v>25302</v>
      </c>
      <c r="G10153" t="str">
        <f>HYPERLINK("https://www.greened.kr/news/articleView.html?idxno=324902")</f>
        <v>https://www.greened.kr/news/articleView.html?idxno=324902</v>
      </c>
      <c r="H10153">
        <v>0.29499999999999998</v>
      </c>
    </row>
    <row r="10154" spans="1:8" x14ac:dyDescent="0.3">
      <c r="A10154" t="s">
        <v>25293</v>
      </c>
      <c r="B10154" t="s">
        <v>26951</v>
      </c>
      <c r="C10154" t="s">
        <v>25306</v>
      </c>
      <c r="D10154" t="s">
        <v>25305</v>
      </c>
      <c r="E10154" s="2" t="s">
        <v>356</v>
      </c>
      <c r="F10154" t="s">
        <v>23765</v>
      </c>
      <c r="G10154" t="str">
        <f>HYPERLINK("https://www.kgnews.co.kr/news/article.html?no=850231")</f>
        <v>https://www.kgnews.co.kr/news/article.html?no=850231</v>
      </c>
      <c r="H10154">
        <v>0.75800000000000001</v>
      </c>
    </row>
    <row r="10155" spans="1:8" x14ac:dyDescent="0.3">
      <c r="A10155" t="s">
        <v>25293</v>
      </c>
      <c r="B10155" t="s">
        <v>26951</v>
      </c>
      <c r="C10155" t="s">
        <v>25309</v>
      </c>
      <c r="D10155" t="s">
        <v>25308</v>
      </c>
      <c r="E10155" s="2" t="s">
        <v>692</v>
      </c>
      <c r="F10155" t="s">
        <v>25307</v>
      </c>
      <c r="G10155" t="str">
        <f>HYPERLINK("http://ch.yes24.com/Article/View/52430")</f>
        <v>http://ch.yes24.com/Article/View/52430</v>
      </c>
      <c r="H10155">
        <v>0.67900000000000005</v>
      </c>
    </row>
    <row r="10156" spans="1:8" x14ac:dyDescent="0.3">
      <c r="A10156" t="s">
        <v>25293</v>
      </c>
      <c r="B10156" t="s">
        <v>26951</v>
      </c>
      <c r="C10156" t="s">
        <v>25312</v>
      </c>
      <c r="D10156" t="s">
        <v>25311</v>
      </c>
      <c r="E10156" s="2" t="s">
        <v>711</v>
      </c>
      <c r="F10156" t="s">
        <v>25310</v>
      </c>
      <c r="G10156" t="str">
        <f>HYPERLINK("https://www.kgnews.co.kr/news/article.html?no=847099")</f>
        <v>https://www.kgnews.co.kr/news/article.html?no=847099</v>
      </c>
      <c r="H10156">
        <v>0.93400000000000005</v>
      </c>
    </row>
    <row r="10157" spans="1:8" x14ac:dyDescent="0.3">
      <c r="A10157" t="s">
        <v>25293</v>
      </c>
      <c r="B10157" t="s">
        <v>26951</v>
      </c>
      <c r="C10157" t="s">
        <v>25315</v>
      </c>
      <c r="D10157" t="s">
        <v>25314</v>
      </c>
      <c r="E10157" s="2" t="s">
        <v>840</v>
      </c>
      <c r="F10157" t="s">
        <v>25313</v>
      </c>
      <c r="G10157" t="str">
        <f>HYPERLINK("https://www.kgnews.co.kr/news/article.html?no=848027")</f>
        <v>https://www.kgnews.co.kr/news/article.html?no=848027</v>
      </c>
      <c r="H10157">
        <v>0.59099999999999997</v>
      </c>
    </row>
    <row r="10158" spans="1:8" x14ac:dyDescent="0.3">
      <c r="A10158" t="s">
        <v>25293</v>
      </c>
      <c r="B10158" t="s">
        <v>26951</v>
      </c>
      <c r="C10158" t="s">
        <v>25318</v>
      </c>
      <c r="D10158" t="s">
        <v>25317</v>
      </c>
      <c r="E10158" s="2" t="s">
        <v>860</v>
      </c>
      <c r="F10158" t="s">
        <v>25316</v>
      </c>
      <c r="G10158" t="str">
        <f>HYPERLINK("http://jmagazine.joins.com/monthly/view/318010")</f>
        <v>http://jmagazine.joins.com/monthly/view/318010</v>
      </c>
      <c r="H10158">
        <v>0.56299999999999994</v>
      </c>
    </row>
    <row r="10159" spans="1:8" x14ac:dyDescent="0.3">
      <c r="A10159" t="s">
        <v>25293</v>
      </c>
      <c r="B10159" t="s">
        <v>26951</v>
      </c>
      <c r="C10159" t="s">
        <v>25320</v>
      </c>
      <c r="D10159" t="s">
        <v>25319</v>
      </c>
      <c r="E10159" s="2" t="s">
        <v>860</v>
      </c>
      <c r="F10159" t="s">
        <v>23765</v>
      </c>
      <c r="G10159" t="str">
        <f>HYPERLINK("https://www.kgnews.co.kr/news/article.html?no=847461")</f>
        <v>https://www.kgnews.co.kr/news/article.html?no=847461</v>
      </c>
      <c r="H10159">
        <v>0.77</v>
      </c>
    </row>
    <row r="10160" spans="1:8" x14ac:dyDescent="0.3">
      <c r="A10160" t="s">
        <v>25293</v>
      </c>
      <c r="B10160" t="s">
        <v>26951</v>
      </c>
      <c r="C10160" t="s">
        <v>25323</v>
      </c>
      <c r="D10160" t="s">
        <v>25322</v>
      </c>
      <c r="E10160" s="2" t="s">
        <v>903</v>
      </c>
      <c r="F10160" t="s">
        <v>25321</v>
      </c>
      <c r="G10160" t="str">
        <f>HYPERLINK("https://www.kgnews.co.kr/news/article.html?no=845435")</f>
        <v>https://www.kgnews.co.kr/news/article.html?no=845435</v>
      </c>
      <c r="H10160">
        <v>0.26300000000000001</v>
      </c>
    </row>
    <row r="10161" spans="1:8" x14ac:dyDescent="0.3">
      <c r="A10161" t="s">
        <v>25324</v>
      </c>
      <c r="B10161" t="s">
        <v>26951</v>
      </c>
      <c r="C10161" t="s">
        <v>25327</v>
      </c>
      <c r="D10161" t="s">
        <v>25326</v>
      </c>
      <c r="E10161" s="2" t="s">
        <v>7</v>
      </c>
      <c r="F10161" t="s">
        <v>25325</v>
      </c>
      <c r="G10161" t="str">
        <f>HYPERLINK("https://www.apnews.kr/news/articleView.html?idxno=3033507")</f>
        <v>https://www.apnews.kr/news/articleView.html?idxno=3033507</v>
      </c>
      <c r="H10161">
        <v>0.441</v>
      </c>
    </row>
    <row r="10162" spans="1:8" x14ac:dyDescent="0.3">
      <c r="A10162" t="s">
        <v>25324</v>
      </c>
      <c r="B10162" t="s">
        <v>26951</v>
      </c>
      <c r="C10162" t="s">
        <v>25329</v>
      </c>
      <c r="D10162" t="s">
        <v>25328</v>
      </c>
      <c r="E10162" s="2" t="s">
        <v>66</v>
      </c>
      <c r="F10162" t="s">
        <v>25325</v>
      </c>
      <c r="G10162" t="str">
        <f>HYPERLINK("http://www.ikpnews.net/news/articleView.html?idxno=35181")</f>
        <v>http://www.ikpnews.net/news/articleView.html?idxno=35181</v>
      </c>
      <c r="H10162">
        <v>0.60399999999999998</v>
      </c>
    </row>
    <row r="10163" spans="1:8" x14ac:dyDescent="0.3">
      <c r="A10163" t="s">
        <v>25324</v>
      </c>
      <c r="B10163" t="s">
        <v>26951</v>
      </c>
      <c r="C10163" t="s">
        <v>25332</v>
      </c>
      <c r="D10163" t="s">
        <v>25331</v>
      </c>
      <c r="E10163" s="2" t="s">
        <v>133</v>
      </c>
      <c r="F10163" t="s">
        <v>25330</v>
      </c>
      <c r="G10163" t="str">
        <f>HYPERLINK("http://www.greened.kr/news/articleView.html?idxno=101561")</f>
        <v>http://www.greened.kr/news/articleView.html?idxno=101561</v>
      </c>
      <c r="H10163">
        <v>0.49099999999999999</v>
      </c>
    </row>
    <row r="10164" spans="1:8" x14ac:dyDescent="0.3">
      <c r="A10164" t="s">
        <v>25324</v>
      </c>
      <c r="B10164" t="s">
        <v>26951</v>
      </c>
      <c r="C10164" t="s">
        <v>25335</v>
      </c>
      <c r="D10164" t="s">
        <v>25334</v>
      </c>
      <c r="E10164" s="2" t="s">
        <v>172</v>
      </c>
      <c r="F10164" t="s">
        <v>25333</v>
      </c>
      <c r="G10164" t="str">
        <f>HYPERLINK("http://www.chukkyung.co.kr/news/articleView.html?idxno=65011")</f>
        <v>http://www.chukkyung.co.kr/news/articleView.html?idxno=65011</v>
      </c>
      <c r="H10164">
        <v>0.34399999999999997</v>
      </c>
    </row>
    <row r="10165" spans="1:8" x14ac:dyDescent="0.3">
      <c r="A10165" t="s">
        <v>25324</v>
      </c>
      <c r="B10165" t="s">
        <v>26951</v>
      </c>
      <c r="C10165" t="s">
        <v>25337</v>
      </c>
      <c r="D10165" t="s">
        <v>25336</v>
      </c>
      <c r="E10165" s="2" t="s">
        <v>172</v>
      </c>
      <c r="F10165" t="s">
        <v>21772</v>
      </c>
      <c r="G10165" t="str">
        <f>HYPERLINK("https://n.news.naver.com/mnews/article/662/0000023968?sid=102")</f>
        <v>https://n.news.naver.com/mnews/article/662/0000023968?sid=102</v>
      </c>
      <c r="H10165">
        <v>0.311</v>
      </c>
    </row>
    <row r="10166" spans="1:8" x14ac:dyDescent="0.3">
      <c r="A10166" t="s">
        <v>25324</v>
      </c>
      <c r="B10166" t="s">
        <v>26951</v>
      </c>
      <c r="C10166" t="s">
        <v>25339</v>
      </c>
      <c r="D10166" t="s">
        <v>25338</v>
      </c>
      <c r="E10166" s="2" t="s">
        <v>196</v>
      </c>
      <c r="F10166" t="s">
        <v>25325</v>
      </c>
      <c r="G10166" t="str">
        <f>HYPERLINK("https://www.kgnews.co.kr/news/article.html?no=647654")</f>
        <v>https://www.kgnews.co.kr/news/article.html?no=647654</v>
      </c>
      <c r="H10166">
        <v>0.53</v>
      </c>
    </row>
    <row r="10167" spans="1:8" x14ac:dyDescent="0.3">
      <c r="A10167" t="s">
        <v>25324</v>
      </c>
      <c r="B10167" t="s">
        <v>26951</v>
      </c>
      <c r="C10167" t="s">
        <v>25342</v>
      </c>
      <c r="D10167" t="s">
        <v>25341</v>
      </c>
      <c r="E10167" s="2" t="s">
        <v>196</v>
      </c>
      <c r="F10167" t="s">
        <v>25340</v>
      </c>
      <c r="G10167" t="str">
        <f>HYPERLINK("https://www.esquirekorea.co.kr/article/1883423")</f>
        <v>https://www.esquirekorea.co.kr/article/1883423</v>
      </c>
      <c r="H10167">
        <v>0.47</v>
      </c>
    </row>
    <row r="10168" spans="1:8" x14ac:dyDescent="0.3">
      <c r="A10168" t="s">
        <v>25324</v>
      </c>
      <c r="B10168" t="s">
        <v>26951</v>
      </c>
      <c r="C10168" t="s">
        <v>25344</v>
      </c>
      <c r="D10168" t="s">
        <v>25343</v>
      </c>
      <c r="E10168" s="2" t="s">
        <v>280</v>
      </c>
      <c r="F10168" t="s">
        <v>25325</v>
      </c>
      <c r="G10168" t="str">
        <f>HYPERLINK("http://www.agrinet.co.kr/news/articleView.html?idxno=175968")</f>
        <v>http://www.agrinet.co.kr/news/articleView.html?idxno=175968</v>
      </c>
      <c r="H10168">
        <v>0.65600000000000003</v>
      </c>
    </row>
    <row r="10169" spans="1:8" x14ac:dyDescent="0.3">
      <c r="A10169" t="s">
        <v>25324</v>
      </c>
      <c r="B10169" t="s">
        <v>26951</v>
      </c>
      <c r="C10169" t="s">
        <v>25346</v>
      </c>
      <c r="D10169" t="s">
        <v>25345</v>
      </c>
      <c r="E10169" s="2" t="s">
        <v>356</v>
      </c>
      <c r="F10169" t="s">
        <v>25325</v>
      </c>
      <c r="G10169" t="str">
        <f>HYPERLINK("http://www.jbsori.com/news/articleView.html?idxno=15832")</f>
        <v>http://www.jbsori.com/news/articleView.html?idxno=15832</v>
      </c>
      <c r="H10169">
        <v>0.35099999999999998</v>
      </c>
    </row>
    <row r="10170" spans="1:8" x14ac:dyDescent="0.3">
      <c r="A10170" t="s">
        <v>25324</v>
      </c>
      <c r="B10170" t="s">
        <v>26951</v>
      </c>
      <c r="C10170" t="s">
        <v>25349</v>
      </c>
      <c r="D10170" t="s">
        <v>25348</v>
      </c>
      <c r="E10170" s="2" t="s">
        <v>356</v>
      </c>
      <c r="F10170" t="s">
        <v>25347</v>
      </c>
      <c r="G10170" t="str">
        <f>HYPERLINK("https://n.news.naver.com/mnews/article/022/0004048002?sid=101")</f>
        <v>https://n.news.naver.com/mnews/article/022/0004048002?sid=101</v>
      </c>
      <c r="H10170">
        <v>0.21299999999999999</v>
      </c>
    </row>
    <row r="10171" spans="1:8" x14ac:dyDescent="0.3">
      <c r="A10171" t="s">
        <v>25324</v>
      </c>
      <c r="B10171" t="s">
        <v>26951</v>
      </c>
      <c r="C10171" t="s">
        <v>25352</v>
      </c>
      <c r="D10171" t="s">
        <v>25351</v>
      </c>
      <c r="E10171" s="2" t="s">
        <v>452</v>
      </c>
      <c r="F10171" t="s">
        <v>25350</v>
      </c>
      <c r="G10171" t="str">
        <f>HYPERLINK("http://www.ilemonde.com/news/articleView.html?idxno=10452")</f>
        <v>http://www.ilemonde.com/news/articleView.html?idxno=10452</v>
      </c>
      <c r="H10171">
        <v>0.33300000000000002</v>
      </c>
    </row>
    <row r="10172" spans="1:8" x14ac:dyDescent="0.3">
      <c r="A10172" t="s">
        <v>25324</v>
      </c>
      <c r="B10172" t="s">
        <v>26951</v>
      </c>
      <c r="C10172" t="s">
        <v>25355</v>
      </c>
      <c r="D10172" t="s">
        <v>25354</v>
      </c>
      <c r="E10172" s="2" t="s">
        <v>502</v>
      </c>
      <c r="F10172" t="s">
        <v>25353</v>
      </c>
      <c r="G10172" t="str">
        <f>HYPERLINK("http://www.ggilbo.com/news/articleView.html?idxno=798904")</f>
        <v>http://www.ggilbo.com/news/articleView.html?idxno=798904</v>
      </c>
      <c r="H10172">
        <v>0.78300000000000003</v>
      </c>
    </row>
    <row r="10173" spans="1:8" x14ac:dyDescent="0.3">
      <c r="A10173" t="s">
        <v>25324</v>
      </c>
      <c r="B10173" t="s">
        <v>26951</v>
      </c>
      <c r="C10173" t="s">
        <v>25358</v>
      </c>
      <c r="D10173" t="s">
        <v>25357</v>
      </c>
      <c r="E10173" s="2" t="s">
        <v>502</v>
      </c>
      <c r="F10173" t="s">
        <v>25356</v>
      </c>
      <c r="G10173" t="str">
        <f>HYPERLINK("https://n.news.naver.com/mnews/article/006/0000107851?sid=102")</f>
        <v>https://n.news.naver.com/mnews/article/006/0000107851?sid=102</v>
      </c>
      <c r="H10173">
        <v>4.5999999999999999E-2</v>
      </c>
    </row>
    <row r="10174" spans="1:8" x14ac:dyDescent="0.3">
      <c r="A10174" t="s">
        <v>25324</v>
      </c>
      <c r="B10174" t="s">
        <v>26951</v>
      </c>
      <c r="C10174" t="s">
        <v>25360</v>
      </c>
      <c r="D10174" t="s">
        <v>25359</v>
      </c>
      <c r="E10174" s="2" t="s">
        <v>517</v>
      </c>
      <c r="F10174" t="s">
        <v>2498</v>
      </c>
      <c r="G10174" t="str">
        <f>HYPERLINK("https://www.christiantoday.co.kr/news/363672")</f>
        <v>https://www.christiantoday.co.kr/news/363672</v>
      </c>
      <c r="H10174">
        <v>0.54900000000000004</v>
      </c>
    </row>
    <row r="10175" spans="1:8" x14ac:dyDescent="0.3">
      <c r="A10175" t="s">
        <v>25324</v>
      </c>
      <c r="B10175" t="s">
        <v>26951</v>
      </c>
      <c r="C10175" t="s">
        <v>25363</v>
      </c>
      <c r="D10175" t="s">
        <v>25362</v>
      </c>
      <c r="E10175" s="2" t="s">
        <v>538</v>
      </c>
      <c r="F10175" t="s">
        <v>25361</v>
      </c>
      <c r="G10175" t="str">
        <f>HYPERLINK("http://www.jnilbo.com/read.php3?aid=1534741651557230390")</f>
        <v>http://www.jnilbo.com/read.php3?aid=1534741651557230390</v>
      </c>
      <c r="H10175">
        <v>0.33500000000000002</v>
      </c>
    </row>
    <row r="10176" spans="1:8" x14ac:dyDescent="0.3">
      <c r="A10176" t="s">
        <v>25324</v>
      </c>
      <c r="B10176" t="s">
        <v>26951</v>
      </c>
      <c r="C10176" t="s">
        <v>25367</v>
      </c>
      <c r="D10176" t="s">
        <v>25366</v>
      </c>
      <c r="E10176" s="2" t="s">
        <v>572</v>
      </c>
      <c r="F10176" t="s">
        <v>25365</v>
      </c>
      <c r="G10176" t="str">
        <f>HYPERLINK("http://news.kotra.or.kr/user/extra/kotranews/bbs/linkView/jsp/Page.do?dataIdx=187277")</f>
        <v>http://news.kotra.or.kr/user/extra/kotranews/bbs/linkView/jsp/Page.do?dataIdx=187277</v>
      </c>
      <c r="H10176">
        <v>0.22700000000000001</v>
      </c>
    </row>
    <row r="10177" spans="1:8" x14ac:dyDescent="0.3">
      <c r="A10177" t="s">
        <v>25324</v>
      </c>
      <c r="B10177" t="s">
        <v>26951</v>
      </c>
      <c r="C10177" t="s">
        <v>25370</v>
      </c>
      <c r="D10177" t="s">
        <v>25369</v>
      </c>
      <c r="E10177" s="2" t="s">
        <v>692</v>
      </c>
      <c r="F10177" t="s">
        <v>25368</v>
      </c>
      <c r="G10177" t="str">
        <f>HYPERLINK("http://www.biztribune.co.kr/news/articleView.html?idxno=329603")</f>
        <v>http://www.biztribune.co.kr/news/articleView.html?idxno=329603</v>
      </c>
      <c r="H10177">
        <v>0.45900000000000002</v>
      </c>
    </row>
    <row r="10178" spans="1:8" x14ac:dyDescent="0.3">
      <c r="A10178" t="s">
        <v>25324</v>
      </c>
      <c r="B10178" t="s">
        <v>26951</v>
      </c>
      <c r="C10178" t="s">
        <v>25373</v>
      </c>
      <c r="D10178" t="s">
        <v>25372</v>
      </c>
      <c r="E10178" s="2" t="s">
        <v>692</v>
      </c>
      <c r="F10178" t="s">
        <v>25371</v>
      </c>
      <c r="G10178" t="str">
        <f>HYPERLINK("http://www.breaknews.com/833524")</f>
        <v>http://www.breaknews.com/833524</v>
      </c>
      <c r="H10178">
        <v>0.53100000000000003</v>
      </c>
    </row>
    <row r="10179" spans="1:8" x14ac:dyDescent="0.3">
      <c r="A10179" t="s">
        <v>25324</v>
      </c>
      <c r="B10179" t="s">
        <v>26951</v>
      </c>
      <c r="C10179" t="s">
        <v>25376</v>
      </c>
      <c r="D10179" t="s">
        <v>25375</v>
      </c>
      <c r="E10179" s="2" t="s">
        <v>711</v>
      </c>
      <c r="F10179" t="s">
        <v>25374</v>
      </c>
      <c r="G10179" t="str">
        <f>HYPERLINK("http://www.dtnews24.com/news/articleView.html?idxno=781392")</f>
        <v>http://www.dtnews24.com/news/articleView.html?idxno=781392</v>
      </c>
      <c r="H10179">
        <v>0.60899999999999999</v>
      </c>
    </row>
    <row r="10180" spans="1:8" x14ac:dyDescent="0.3">
      <c r="A10180" t="s">
        <v>25324</v>
      </c>
      <c r="B10180" t="s">
        <v>26951</v>
      </c>
      <c r="C10180" t="s">
        <v>25379</v>
      </c>
      <c r="D10180" t="s">
        <v>25378</v>
      </c>
      <c r="E10180" s="2" t="s">
        <v>860</v>
      </c>
      <c r="F10180" t="s">
        <v>25377</v>
      </c>
      <c r="G10180" t="str">
        <f>HYPERLINK("http://www.aflnews.co.kr/news/articleView.html?idxno=235486")</f>
        <v>http://www.aflnews.co.kr/news/articleView.html?idxno=235486</v>
      </c>
      <c r="H10180">
        <v>0.45700000000000002</v>
      </c>
    </row>
    <row r="10181" spans="1:8" x14ac:dyDescent="0.3">
      <c r="A10181" t="s">
        <v>25324</v>
      </c>
      <c r="B10181" t="s">
        <v>26951</v>
      </c>
      <c r="C10181" t="s">
        <v>25382</v>
      </c>
      <c r="D10181" t="s">
        <v>25381</v>
      </c>
      <c r="E10181" s="2" t="s">
        <v>903</v>
      </c>
      <c r="F10181" t="s">
        <v>25380</v>
      </c>
      <c r="G10181" t="str">
        <f>HYPERLINK("https://n.news.naver.com/mnews/article/005/0001464200?sid=100")</f>
        <v>https://n.news.naver.com/mnews/article/005/0001464200?sid=100</v>
      </c>
      <c r="H10181">
        <v>0.14899999999999999</v>
      </c>
    </row>
    <row r="10182" spans="1:8" x14ac:dyDescent="0.3">
      <c r="A10182" t="s">
        <v>25383</v>
      </c>
      <c r="B10182" t="s">
        <v>26951</v>
      </c>
      <c r="C10182" t="s">
        <v>25386</v>
      </c>
      <c r="D10182" t="s">
        <v>25385</v>
      </c>
      <c r="E10182" s="2" t="s">
        <v>7</v>
      </c>
      <c r="F10182" t="s">
        <v>25384</v>
      </c>
      <c r="G10182" t="str">
        <f>HYPERLINK("http://www.dentalnews.or.kr/news/article.html?no=40314")</f>
        <v>http://www.dentalnews.or.kr/news/article.html?no=40314</v>
      </c>
      <c r="H10182">
        <v>0.71299999999999997</v>
      </c>
    </row>
    <row r="10183" spans="1:8" x14ac:dyDescent="0.3">
      <c r="A10183" t="s">
        <v>25383</v>
      </c>
      <c r="B10183" t="s">
        <v>26951</v>
      </c>
      <c r="C10183" t="s">
        <v>25388</v>
      </c>
      <c r="D10183" t="s">
        <v>25387</v>
      </c>
      <c r="E10183" s="2" t="s">
        <v>133</v>
      </c>
      <c r="F10183" t="s">
        <v>20841</v>
      </c>
      <c r="G10183" t="str">
        <f>HYPERLINK("http://www.kbmaeil.com/news/articleView.html?idxno=819217")</f>
        <v>http://www.kbmaeil.com/news/articleView.html?idxno=819217</v>
      </c>
      <c r="H10183">
        <v>0.189</v>
      </c>
    </row>
    <row r="10184" spans="1:8" x14ac:dyDescent="0.3">
      <c r="A10184" t="s">
        <v>25383</v>
      </c>
      <c r="B10184" t="s">
        <v>26951</v>
      </c>
      <c r="C10184" t="s">
        <v>25391</v>
      </c>
      <c r="D10184" t="s">
        <v>25390</v>
      </c>
      <c r="E10184" s="2" t="s">
        <v>133</v>
      </c>
      <c r="F10184" t="s">
        <v>25389</v>
      </c>
      <c r="G10184" t="str">
        <f>HYPERLINK("https://www.etoday.co.kr/news/view/2415233")</f>
        <v>https://www.etoday.co.kr/news/view/2415233</v>
      </c>
      <c r="H10184">
        <v>0.314</v>
      </c>
    </row>
    <row r="10185" spans="1:8" x14ac:dyDescent="0.3">
      <c r="A10185" t="s">
        <v>25383</v>
      </c>
      <c r="B10185" t="s">
        <v>26951</v>
      </c>
      <c r="C10185" t="s">
        <v>1662</v>
      </c>
      <c r="D10185" t="s">
        <v>1661</v>
      </c>
      <c r="E10185" s="2" t="s">
        <v>196</v>
      </c>
      <c r="F10185" t="s">
        <v>973</v>
      </c>
      <c r="G10185" t="str">
        <f>HYPERLINK("http://www.newsfreezone.co.kr/news/articleView.html?idxno=84259")</f>
        <v>http://www.newsfreezone.co.kr/news/articleView.html?idxno=84259</v>
      </c>
      <c r="H10185">
        <v>0.63600000000000001</v>
      </c>
    </row>
    <row r="10186" spans="1:8" x14ac:dyDescent="0.3">
      <c r="A10186" t="s">
        <v>25383</v>
      </c>
      <c r="B10186" t="s">
        <v>26951</v>
      </c>
      <c r="C10186" t="s">
        <v>25394</v>
      </c>
      <c r="D10186" t="s">
        <v>25393</v>
      </c>
      <c r="E10186" s="2" t="s">
        <v>196</v>
      </c>
      <c r="F10186" t="s">
        <v>25392</v>
      </c>
      <c r="G10186" t="str">
        <f>HYPERLINK("http://www.catholicpress.kr/news/view.php?idx=7900")</f>
        <v>http://www.catholicpress.kr/news/view.php?idx=7900</v>
      </c>
      <c r="H10186">
        <v>0.31900000000000001</v>
      </c>
    </row>
    <row r="10187" spans="1:8" x14ac:dyDescent="0.3">
      <c r="A10187" t="s">
        <v>25383</v>
      </c>
      <c r="B10187" t="s">
        <v>26951</v>
      </c>
      <c r="C10187" t="s">
        <v>25397</v>
      </c>
      <c r="D10187" t="s">
        <v>25396</v>
      </c>
      <c r="E10187" s="2" t="s">
        <v>230</v>
      </c>
      <c r="F10187" t="s">
        <v>25395</v>
      </c>
      <c r="G10187" t="str">
        <f>HYPERLINK("https://www.yeongnam.com/web/view.php?key=20250622028027605")</f>
        <v>https://www.yeongnam.com/web/view.php?key=20250622028027605</v>
      </c>
      <c r="H10187">
        <v>0.28999999999999998</v>
      </c>
    </row>
    <row r="10188" spans="1:8" x14ac:dyDescent="0.3">
      <c r="A10188" t="s">
        <v>25383</v>
      </c>
      <c r="B10188" t="s">
        <v>26951</v>
      </c>
      <c r="C10188" t="s">
        <v>25400</v>
      </c>
      <c r="D10188" t="s">
        <v>25399</v>
      </c>
      <c r="E10188" s="2" t="s">
        <v>280</v>
      </c>
      <c r="F10188" t="s">
        <v>25398</v>
      </c>
      <c r="G10188" t="str">
        <f>HYPERLINK("https://www.yeongnam.com/web/view.php?key=20250619026267285")</f>
        <v>https://www.yeongnam.com/web/view.php?key=20250619026267285</v>
      </c>
      <c r="H10188">
        <v>0.92700000000000005</v>
      </c>
    </row>
    <row r="10189" spans="1:8" x14ac:dyDescent="0.3">
      <c r="A10189" t="s">
        <v>25383</v>
      </c>
      <c r="B10189" t="s">
        <v>26951</v>
      </c>
      <c r="C10189" t="s">
        <v>25402</v>
      </c>
      <c r="D10189" t="s">
        <v>25401</v>
      </c>
      <c r="E10189" s="2" t="s">
        <v>313</v>
      </c>
      <c r="F10189" t="s">
        <v>2046</v>
      </c>
      <c r="G10189" t="str">
        <f>HYPERLINK("https://www.yeongnam.com/web/view.php?key=20250619024126776")</f>
        <v>https://www.yeongnam.com/web/view.php?key=20250619024126776</v>
      </c>
      <c r="H10189">
        <v>0.97099999999999997</v>
      </c>
    </row>
    <row r="10190" spans="1:8" x14ac:dyDescent="0.3">
      <c r="A10190" t="s">
        <v>25383</v>
      </c>
      <c r="B10190" t="s">
        <v>26951</v>
      </c>
      <c r="C10190" t="s">
        <v>25405</v>
      </c>
      <c r="D10190" t="s">
        <v>25404</v>
      </c>
      <c r="E10190" s="2" t="s">
        <v>313</v>
      </c>
      <c r="F10190" t="s">
        <v>25403</v>
      </c>
      <c r="G10190" t="str">
        <f>HYPERLINK("http://www.dailian.co.kr/news/n_view.html?id=132396&amp;sc=naver&amp;kind=menu_code&amp;keys=25")</f>
        <v>http://www.dailian.co.kr/news/n_view.html?id=132396&amp;sc=naver&amp;kind=menu_code&amp;keys=25</v>
      </c>
      <c r="H10190">
        <v>0.32900000000000001</v>
      </c>
    </row>
    <row r="10191" spans="1:8" x14ac:dyDescent="0.3">
      <c r="A10191" t="s">
        <v>25383</v>
      </c>
      <c r="B10191" t="s">
        <v>26951</v>
      </c>
      <c r="C10191" t="s">
        <v>25407</v>
      </c>
      <c r="D10191" t="s">
        <v>25406</v>
      </c>
      <c r="E10191" s="2" t="s">
        <v>356</v>
      </c>
      <c r="F10191" t="s">
        <v>2046</v>
      </c>
      <c r="G10191" t="str">
        <f>HYPERLINK("https://www.yeongnam.com/web/view.php?key=20250613029453872")</f>
        <v>https://www.yeongnam.com/web/view.php?key=20250613029453872</v>
      </c>
      <c r="H10191">
        <v>0.99399999999999999</v>
      </c>
    </row>
    <row r="10192" spans="1:8" x14ac:dyDescent="0.3">
      <c r="A10192" t="s">
        <v>25383</v>
      </c>
      <c r="B10192" t="s">
        <v>26951</v>
      </c>
      <c r="C10192" t="s">
        <v>25409</v>
      </c>
      <c r="D10192" t="s">
        <v>25408</v>
      </c>
      <c r="E10192" s="2" t="s">
        <v>418</v>
      </c>
      <c r="F10192" t="s">
        <v>8549</v>
      </c>
      <c r="G10192" t="str">
        <f>HYPERLINK("http://kor.theasian.asia/archives/159750")</f>
        <v>http://kor.theasian.asia/archives/159750</v>
      </c>
      <c r="H10192">
        <v>0.57899999999999996</v>
      </c>
    </row>
    <row r="10193" spans="1:8" x14ac:dyDescent="0.3">
      <c r="A10193" t="s">
        <v>25383</v>
      </c>
      <c r="B10193" t="s">
        <v>26951</v>
      </c>
      <c r="C10193" t="s">
        <v>25412</v>
      </c>
      <c r="D10193" t="s">
        <v>25411</v>
      </c>
      <c r="E10193" s="2" t="s">
        <v>418</v>
      </c>
      <c r="F10193" t="s">
        <v>25410</v>
      </c>
      <c r="G10193" t="str">
        <f>HYPERLINK("https://www.greened.kr/news/articleView.html?idxno=327149")</f>
        <v>https://www.greened.kr/news/articleView.html?idxno=327149</v>
      </c>
      <c r="H10193">
        <v>0.46200000000000002</v>
      </c>
    </row>
    <row r="10194" spans="1:8" x14ac:dyDescent="0.3">
      <c r="A10194" t="s">
        <v>25383</v>
      </c>
      <c r="B10194" t="s">
        <v>26951</v>
      </c>
      <c r="C10194" t="s">
        <v>25414</v>
      </c>
      <c r="D10194" t="s">
        <v>25413</v>
      </c>
      <c r="E10194" s="2" t="s">
        <v>481</v>
      </c>
      <c r="F10194" t="s">
        <v>2046</v>
      </c>
      <c r="G10194" t="str">
        <f>HYPERLINK("https://www.yeongnam.com/web/view.php?key=20250614021425600")</f>
        <v>https://www.yeongnam.com/web/view.php?key=20250614021425600</v>
      </c>
      <c r="H10194">
        <v>0.92900000000000005</v>
      </c>
    </row>
    <row r="10195" spans="1:8" x14ac:dyDescent="0.3">
      <c r="A10195" t="s">
        <v>25383</v>
      </c>
      <c r="B10195" t="s">
        <v>26951</v>
      </c>
      <c r="C10195" t="s">
        <v>25417</v>
      </c>
      <c r="D10195" t="s">
        <v>25416</v>
      </c>
      <c r="E10195" s="2" t="s">
        <v>502</v>
      </c>
      <c r="F10195" t="s">
        <v>25415</v>
      </c>
      <c r="G10195" t="str">
        <f>HYPERLINK("https://www.yeongnam.com/web/view.php?key=20250618029216634")</f>
        <v>https://www.yeongnam.com/web/view.php?key=20250618029216634</v>
      </c>
      <c r="H10195">
        <v>0.154</v>
      </c>
    </row>
    <row r="10196" spans="1:8" x14ac:dyDescent="0.3">
      <c r="A10196" t="s">
        <v>25383</v>
      </c>
      <c r="B10196" t="s">
        <v>26951</v>
      </c>
      <c r="C10196" t="s">
        <v>25419</v>
      </c>
      <c r="D10196" t="s">
        <v>25418</v>
      </c>
      <c r="E10196" s="2" t="s">
        <v>517</v>
      </c>
      <c r="F10196" t="s">
        <v>2046</v>
      </c>
      <c r="G10196" t="str">
        <f>HYPERLINK("https://www.yeongnam.com/web/view.php?key=20250612022185198")</f>
        <v>https://www.yeongnam.com/web/view.php?key=20250612022185198</v>
      </c>
      <c r="H10196">
        <v>0.95499999999999996</v>
      </c>
    </row>
    <row r="10197" spans="1:8" x14ac:dyDescent="0.3">
      <c r="A10197" t="s">
        <v>25383</v>
      </c>
      <c r="B10197" t="s">
        <v>26951</v>
      </c>
      <c r="C10197" t="s">
        <v>25422</v>
      </c>
      <c r="D10197" t="s">
        <v>25421</v>
      </c>
      <c r="E10197" s="2" t="s">
        <v>538</v>
      </c>
      <c r="F10197" t="s">
        <v>25420</v>
      </c>
      <c r="G10197" t="str">
        <f>HYPERLINK("https://www.dkilbo.com/news/articleView.html?idxno=477875")</f>
        <v>https://www.dkilbo.com/news/articleView.html?idxno=477875</v>
      </c>
      <c r="H10197">
        <v>0.70599999999999996</v>
      </c>
    </row>
    <row r="10198" spans="1:8" x14ac:dyDescent="0.3">
      <c r="A10198" t="s">
        <v>25383</v>
      </c>
      <c r="B10198" t="s">
        <v>26951</v>
      </c>
      <c r="C10198" t="s">
        <v>25424</v>
      </c>
      <c r="D10198" t="s">
        <v>25423</v>
      </c>
      <c r="E10198" s="2" t="s">
        <v>572</v>
      </c>
      <c r="F10198" t="s">
        <v>20635</v>
      </c>
      <c r="G10198" t="str">
        <f>HYPERLINK("https://n.news.naver.com/mnews/article/056/0011981113?sid=102")</f>
        <v>https://n.news.naver.com/mnews/article/056/0011981113?sid=102</v>
      </c>
      <c r="H10198">
        <v>0.309</v>
      </c>
    </row>
    <row r="10199" spans="1:8" x14ac:dyDescent="0.3">
      <c r="A10199" t="s">
        <v>25383</v>
      </c>
      <c r="B10199" t="s">
        <v>26951</v>
      </c>
      <c r="C10199" t="s">
        <v>25427</v>
      </c>
      <c r="D10199" t="s">
        <v>25426</v>
      </c>
      <c r="E10199" s="2" t="s">
        <v>572</v>
      </c>
      <c r="F10199" t="s">
        <v>25425</v>
      </c>
      <c r="G10199" t="str">
        <f>HYPERLINK("https://www.yeongnam.com/web/view.php?key=20250610023474460")</f>
        <v>https://www.yeongnam.com/web/view.php?key=20250610023474460</v>
      </c>
      <c r="H10199">
        <v>0.60599999999999998</v>
      </c>
    </row>
    <row r="10200" spans="1:8" x14ac:dyDescent="0.3">
      <c r="A10200" t="s">
        <v>25383</v>
      </c>
      <c r="B10200" t="s">
        <v>26951</v>
      </c>
      <c r="C10200" t="s">
        <v>25430</v>
      </c>
      <c r="D10200" t="s">
        <v>25429</v>
      </c>
      <c r="E10200" s="2" t="s">
        <v>609</v>
      </c>
      <c r="F10200" t="s">
        <v>25428</v>
      </c>
      <c r="G10200" t="str">
        <f>HYPERLINK("http://www.newsnjoy.or.kr/news/articleView.html?idxno=302117")</f>
        <v>http://www.newsnjoy.or.kr/news/articleView.html?idxno=302117</v>
      </c>
      <c r="H10200">
        <v>0.375</v>
      </c>
    </row>
    <row r="10201" spans="1:8" x14ac:dyDescent="0.3">
      <c r="A10201" t="s">
        <v>25383</v>
      </c>
      <c r="B10201" t="s">
        <v>26951</v>
      </c>
      <c r="C10201" t="s">
        <v>25433</v>
      </c>
      <c r="D10201" t="s">
        <v>25432</v>
      </c>
      <c r="E10201" s="2" t="s">
        <v>692</v>
      </c>
      <c r="F10201" t="s">
        <v>25431</v>
      </c>
      <c r="G10201" t="str">
        <f>HYPERLINK("http://www.kukinews.com/news/article.html?no=745986")</f>
        <v>http://www.kukinews.com/news/article.html?no=745986</v>
      </c>
      <c r="H10201">
        <v>0.33</v>
      </c>
    </row>
    <row r="10202" spans="1:8" x14ac:dyDescent="0.3">
      <c r="A10202" t="s">
        <v>25383</v>
      </c>
      <c r="B10202" t="s">
        <v>26951</v>
      </c>
      <c r="C10202" t="s">
        <v>25436</v>
      </c>
      <c r="D10202" t="s">
        <v>25435</v>
      </c>
      <c r="E10202" s="2" t="s">
        <v>711</v>
      </c>
      <c r="F10202" t="s">
        <v>25434</v>
      </c>
      <c r="G10202" t="str">
        <f>HYPERLINK("https://www.yeongnam.com/web/view.php?key=20250701020090176")</f>
        <v>https://www.yeongnam.com/web/view.php?key=20250701020090176</v>
      </c>
      <c r="H10202">
        <v>0.17</v>
      </c>
    </row>
    <row r="10203" spans="1:8" x14ac:dyDescent="0.3">
      <c r="A10203" t="s">
        <v>25383</v>
      </c>
      <c r="B10203" t="s">
        <v>26951</v>
      </c>
      <c r="C10203" t="s">
        <v>25439</v>
      </c>
      <c r="D10203" t="s">
        <v>25438</v>
      </c>
      <c r="E10203" s="2" t="s">
        <v>711</v>
      </c>
      <c r="F10203" t="s">
        <v>25437</v>
      </c>
      <c r="G10203" t="str">
        <f>HYPERLINK("https://www.yeongnam.com/web/view.php?key=20240519001714257")</f>
        <v>https://www.yeongnam.com/web/view.php?key=20240519001714257</v>
      </c>
      <c r="H10203">
        <v>0.40500000000000003</v>
      </c>
    </row>
    <row r="10204" spans="1:8" x14ac:dyDescent="0.3">
      <c r="A10204" t="s">
        <v>25383</v>
      </c>
      <c r="B10204" t="s">
        <v>26951</v>
      </c>
      <c r="C10204" t="s">
        <v>25441</v>
      </c>
      <c r="D10204" t="s">
        <v>25440</v>
      </c>
      <c r="E10204" s="2" t="s">
        <v>711</v>
      </c>
      <c r="F10204" t="s">
        <v>8549</v>
      </c>
      <c r="G10204" t="str">
        <f>HYPERLINK("http://www.newsmaker.or.kr/news/articleView.html?idxno=122224")</f>
        <v>http://www.newsmaker.or.kr/news/articleView.html?idxno=122224</v>
      </c>
      <c r="H10204">
        <v>0.22500000000000001</v>
      </c>
    </row>
    <row r="10205" spans="1:8" x14ac:dyDescent="0.3">
      <c r="A10205" t="s">
        <v>25383</v>
      </c>
      <c r="B10205" t="s">
        <v>26951</v>
      </c>
      <c r="C10205" t="s">
        <v>25444</v>
      </c>
      <c r="D10205" t="s">
        <v>25443</v>
      </c>
      <c r="E10205" s="2" t="s">
        <v>725</v>
      </c>
      <c r="F10205" t="s">
        <v>25442</v>
      </c>
      <c r="G10205" t="str">
        <f>HYPERLINK("https://www.idaegu.co.kr/news/articleView.html?idxno=512355")</f>
        <v>https://www.idaegu.co.kr/news/articleView.html?idxno=512355</v>
      </c>
      <c r="H10205">
        <v>0.95399999999999996</v>
      </c>
    </row>
    <row r="10206" spans="1:8" x14ac:dyDescent="0.3">
      <c r="A10206" t="s">
        <v>25383</v>
      </c>
      <c r="B10206" t="s">
        <v>26951</v>
      </c>
      <c r="C10206" t="s">
        <v>25446</v>
      </c>
      <c r="D10206" t="s">
        <v>25445</v>
      </c>
      <c r="E10206" s="2" t="s">
        <v>725</v>
      </c>
      <c r="F10206" t="s">
        <v>2046</v>
      </c>
      <c r="G10206" t="str">
        <f>HYPERLINK("https://www.yeongnam.com/web/view.php?key=20250605026273091")</f>
        <v>https://www.yeongnam.com/web/view.php?key=20250605026273091</v>
      </c>
      <c r="H10206">
        <v>0.96</v>
      </c>
    </row>
    <row r="10207" spans="1:8" x14ac:dyDescent="0.3">
      <c r="A10207" t="s">
        <v>25383</v>
      </c>
      <c r="B10207" t="s">
        <v>26951</v>
      </c>
      <c r="C10207" t="s">
        <v>25448</v>
      </c>
      <c r="D10207" t="s">
        <v>25447</v>
      </c>
      <c r="E10207" s="2" t="s">
        <v>725</v>
      </c>
      <c r="F10207" t="s">
        <v>21987</v>
      </c>
      <c r="G10207" t="str">
        <f>HYPERLINK("https://www.idaegu.co.kr/news/articleView.html?idxno=512355")</f>
        <v>https://www.idaegu.co.kr/news/articleView.html?idxno=512355</v>
      </c>
      <c r="H10207">
        <v>0.84399999999999997</v>
      </c>
    </row>
    <row r="10208" spans="1:8" x14ac:dyDescent="0.3">
      <c r="A10208" t="s">
        <v>25383</v>
      </c>
      <c r="B10208" t="s">
        <v>26951</v>
      </c>
      <c r="C10208" t="s">
        <v>25450</v>
      </c>
      <c r="D10208" t="s">
        <v>25449</v>
      </c>
      <c r="E10208" s="2" t="s">
        <v>742</v>
      </c>
      <c r="F10208" t="s">
        <v>11565</v>
      </c>
      <c r="G10208" t="str">
        <f>HYPERLINK("https://www.gosiweek.com/article/1065586910513939")</f>
        <v>https://www.gosiweek.com/article/1065586910513939</v>
      </c>
      <c r="H10208">
        <v>0.85599999999999998</v>
      </c>
    </row>
    <row r="10209" spans="1:8" x14ac:dyDescent="0.3">
      <c r="A10209" t="s">
        <v>25383</v>
      </c>
      <c r="B10209" t="s">
        <v>26951</v>
      </c>
      <c r="C10209" t="s">
        <v>25453</v>
      </c>
      <c r="D10209" t="s">
        <v>25452</v>
      </c>
      <c r="E10209" s="2" t="s">
        <v>742</v>
      </c>
      <c r="F10209" t="s">
        <v>25451</v>
      </c>
      <c r="G10209" t="str">
        <f>HYPERLINK("http://www.iusm.co.kr/news/articleView.html?idxno=892680")</f>
        <v>http://www.iusm.co.kr/news/articleView.html?idxno=892680</v>
      </c>
      <c r="H10209">
        <v>0.307</v>
      </c>
    </row>
    <row r="10210" spans="1:8" x14ac:dyDescent="0.3">
      <c r="A10210" t="s">
        <v>25383</v>
      </c>
      <c r="B10210" t="s">
        <v>26951</v>
      </c>
      <c r="C10210" t="s">
        <v>25456</v>
      </c>
      <c r="D10210" t="s">
        <v>25455</v>
      </c>
      <c r="E10210" s="2" t="s">
        <v>860</v>
      </c>
      <c r="F10210" t="s">
        <v>25454</v>
      </c>
      <c r="G10210" t="str">
        <f>HYPERLINK("https://www.newsmin.co.kr/news/108642/")</f>
        <v>https://www.newsmin.co.kr/news/108642/</v>
      </c>
      <c r="H10210">
        <v>0.878</v>
      </c>
    </row>
    <row r="10211" spans="1:8" x14ac:dyDescent="0.3">
      <c r="A10211" t="s">
        <v>25383</v>
      </c>
      <c r="B10211" t="s">
        <v>26951</v>
      </c>
      <c r="C10211" t="s">
        <v>25458</v>
      </c>
      <c r="D10211" t="s">
        <v>25457</v>
      </c>
      <c r="E10211" s="2" t="s">
        <v>860</v>
      </c>
      <c r="F10211" t="s">
        <v>658</v>
      </c>
      <c r="G10211" t="str">
        <f>HYPERLINK("http://www.dynews.co.kr/news/articleView.html?idxno=661258")</f>
        <v>http://www.dynews.co.kr/news/articleView.html?idxno=661258</v>
      </c>
      <c r="H10211">
        <v>0.33800000000000002</v>
      </c>
    </row>
    <row r="10212" spans="1:8" x14ac:dyDescent="0.3">
      <c r="A10212" t="s">
        <v>25383</v>
      </c>
      <c r="B10212" t="s">
        <v>26951</v>
      </c>
      <c r="C10212" t="s">
        <v>25461</v>
      </c>
      <c r="D10212" t="s">
        <v>25460</v>
      </c>
      <c r="E10212" s="2" t="s">
        <v>903</v>
      </c>
      <c r="F10212" t="s">
        <v>25459</v>
      </c>
      <c r="G10212" t="str">
        <f>HYPERLINK("https://n.news.naver.com/mnews/article/087/0000923202?sid=100")</f>
        <v>https://n.news.naver.com/mnews/article/087/0000923202?sid=100</v>
      </c>
      <c r="H10212">
        <v>0.218</v>
      </c>
    </row>
    <row r="10213" spans="1:8" x14ac:dyDescent="0.3">
      <c r="A10213" t="s">
        <v>25462</v>
      </c>
      <c r="B10213" t="s">
        <v>26951</v>
      </c>
      <c r="C10213" t="s">
        <v>25465</v>
      </c>
      <c r="D10213" t="s">
        <v>25464</v>
      </c>
      <c r="E10213" s="2" t="s">
        <v>7</v>
      </c>
      <c r="F10213" t="s">
        <v>25463</v>
      </c>
      <c r="G10213" t="str">
        <f>HYPERLINK("http://www.cctimes.kr/news/articleView.html?idxno=833451")</f>
        <v>http://www.cctimes.kr/news/articleView.html?idxno=833451</v>
      </c>
      <c r="H10213">
        <v>0.44700000000000001</v>
      </c>
    </row>
    <row r="10214" spans="1:8" x14ac:dyDescent="0.3">
      <c r="A10214" t="s">
        <v>25462</v>
      </c>
      <c r="B10214" t="s">
        <v>26951</v>
      </c>
      <c r="C10214" t="s">
        <v>25468</v>
      </c>
      <c r="D10214" t="s">
        <v>25467</v>
      </c>
      <c r="E10214" s="2" t="s">
        <v>66</v>
      </c>
      <c r="F10214" t="s">
        <v>25466</v>
      </c>
      <c r="G10214" t="str">
        <f>HYPERLINK("http://kor.theasian.asia/archives/152429")</f>
        <v>http://kor.theasian.asia/archives/152429</v>
      </c>
      <c r="H10214">
        <v>0.64300000000000002</v>
      </c>
    </row>
    <row r="10215" spans="1:8" x14ac:dyDescent="0.3">
      <c r="A10215" t="s">
        <v>25462</v>
      </c>
      <c r="B10215" t="s">
        <v>26951</v>
      </c>
      <c r="C10215" t="s">
        <v>25471</v>
      </c>
      <c r="D10215" t="s">
        <v>25470</v>
      </c>
      <c r="E10215" s="2" t="s">
        <v>66</v>
      </c>
      <c r="F10215" t="s">
        <v>25469</v>
      </c>
      <c r="G10215" t="str">
        <f>HYPERLINK("https://n.news.naver.com/mnews/article/308/0000036230?sid=100")</f>
        <v>https://n.news.naver.com/mnews/article/308/0000036230?sid=100</v>
      </c>
      <c r="H10215">
        <v>0.31900000000000001</v>
      </c>
    </row>
    <row r="10216" spans="1:8" x14ac:dyDescent="0.3">
      <c r="A10216" t="s">
        <v>25462</v>
      </c>
      <c r="B10216" t="s">
        <v>26951</v>
      </c>
      <c r="C10216" t="s">
        <v>25474</v>
      </c>
      <c r="D10216" t="s">
        <v>25473</v>
      </c>
      <c r="E10216" s="2" t="s">
        <v>74</v>
      </c>
      <c r="F10216" t="s">
        <v>25472</v>
      </c>
      <c r="G10216" t="str">
        <f>HYPERLINK("https://www.ccreview.co.kr/news/articleView.html?idxno=331870")</f>
        <v>https://www.ccreview.co.kr/news/articleView.html?idxno=331870</v>
      </c>
      <c r="H10216">
        <v>0.438</v>
      </c>
    </row>
    <row r="10217" spans="1:8" x14ac:dyDescent="0.3">
      <c r="A10217" t="s">
        <v>25462</v>
      </c>
      <c r="B10217" t="s">
        <v>26951</v>
      </c>
      <c r="C10217" t="s">
        <v>25477</v>
      </c>
      <c r="D10217" t="s">
        <v>25476</v>
      </c>
      <c r="E10217" s="2" t="s">
        <v>105</v>
      </c>
      <c r="F10217" t="s">
        <v>25475</v>
      </c>
      <c r="G10217" t="str">
        <f>HYPERLINK("https://n.news.naver.com/mnews/article/308/0000036883?sid=100")</f>
        <v>https://n.news.naver.com/mnews/article/308/0000036883?sid=100</v>
      </c>
      <c r="H10217">
        <v>0.35699999999999998</v>
      </c>
    </row>
    <row r="10218" spans="1:8" x14ac:dyDescent="0.3">
      <c r="A10218" t="s">
        <v>25462</v>
      </c>
      <c r="B10218" t="s">
        <v>26951</v>
      </c>
      <c r="C10218" t="s">
        <v>25480</v>
      </c>
      <c r="D10218" t="s">
        <v>25479</v>
      </c>
      <c r="E10218" s="2" t="s">
        <v>172</v>
      </c>
      <c r="F10218" t="s">
        <v>25478</v>
      </c>
      <c r="G10218" t="str">
        <f>HYPERLINK("https://www.dnews.co.kr/uhtml/view.jsp?idxno=202501061633514760128")</f>
        <v>https://www.dnews.co.kr/uhtml/view.jsp?idxno=202501061633514760128</v>
      </c>
      <c r="H10218">
        <v>0.44</v>
      </c>
    </row>
    <row r="10219" spans="1:8" x14ac:dyDescent="0.3">
      <c r="A10219" t="s">
        <v>25462</v>
      </c>
      <c r="B10219" t="s">
        <v>26951</v>
      </c>
      <c r="C10219" t="s">
        <v>25483</v>
      </c>
      <c r="D10219" t="s">
        <v>25482</v>
      </c>
      <c r="E10219" s="2" t="s">
        <v>230</v>
      </c>
      <c r="F10219" t="s">
        <v>25481</v>
      </c>
      <c r="G10219" t="str">
        <f>HYPERLINK("http://www.sisaon.co.kr/news/articleView.html?idxno=148506")</f>
        <v>http://www.sisaon.co.kr/news/articleView.html?idxno=148506</v>
      </c>
      <c r="H10219">
        <v>0.44400000000000001</v>
      </c>
    </row>
    <row r="10220" spans="1:8" x14ac:dyDescent="0.3">
      <c r="A10220" t="s">
        <v>25462</v>
      </c>
      <c r="B10220" t="s">
        <v>26951</v>
      </c>
      <c r="C10220" t="s">
        <v>25485</v>
      </c>
      <c r="D10220" t="s">
        <v>25484</v>
      </c>
      <c r="E10220" s="2" t="s">
        <v>481</v>
      </c>
      <c r="F10220" t="s">
        <v>25469</v>
      </c>
      <c r="G10220" t="str">
        <f>HYPERLINK("https://www.meconomynews.com/news/articleView.html?idxno=114769")</f>
        <v>https://www.meconomynews.com/news/articleView.html?idxno=114769</v>
      </c>
      <c r="H10220">
        <v>0.50700000000000001</v>
      </c>
    </row>
    <row r="10221" spans="1:8" x14ac:dyDescent="0.3">
      <c r="A10221" t="s">
        <v>25462</v>
      </c>
      <c r="B10221" t="s">
        <v>26951</v>
      </c>
      <c r="C10221" t="s">
        <v>25488</v>
      </c>
      <c r="D10221" t="s">
        <v>25487</v>
      </c>
      <c r="E10221" s="2" t="s">
        <v>502</v>
      </c>
      <c r="F10221" t="s">
        <v>25486</v>
      </c>
      <c r="G10221" t="str">
        <f>HYPERLINK("http://ch.yes24.com/Article/View/52450")</f>
        <v>http://ch.yes24.com/Article/View/52450</v>
      </c>
      <c r="H10221">
        <v>0.33100000000000002</v>
      </c>
    </row>
    <row r="10222" spans="1:8" x14ac:dyDescent="0.3">
      <c r="A10222" t="s">
        <v>25462</v>
      </c>
      <c r="B10222" t="s">
        <v>26951</v>
      </c>
      <c r="C10222" t="s">
        <v>25490</v>
      </c>
      <c r="D10222" t="s">
        <v>25489</v>
      </c>
      <c r="E10222" s="2" t="s">
        <v>517</v>
      </c>
      <c r="F10222" t="s">
        <v>2902</v>
      </c>
      <c r="G10222" t="str">
        <f>HYPERLINK("https://n.news.naver.com/mnews/article/127/0000030976?sid=102")</f>
        <v>https://n.news.naver.com/mnews/article/127/0000030976?sid=102</v>
      </c>
      <c r="H10222">
        <v>0.156</v>
      </c>
    </row>
    <row r="10223" spans="1:8" x14ac:dyDescent="0.3">
      <c r="A10223" t="s">
        <v>25462</v>
      </c>
      <c r="B10223" t="s">
        <v>26951</v>
      </c>
      <c r="C10223" t="s">
        <v>25492</v>
      </c>
      <c r="D10223" t="s">
        <v>12660</v>
      </c>
      <c r="E10223" s="2" t="s">
        <v>572</v>
      </c>
      <c r="F10223" t="s">
        <v>25491</v>
      </c>
      <c r="G10223" t="str">
        <f>HYPERLINK("https://n.news.naver.com/mnews/article/308/0000036882?sid=103")</f>
        <v>https://n.news.naver.com/mnews/article/308/0000036882?sid=103</v>
      </c>
      <c r="H10223">
        <v>0.28399999999999997</v>
      </c>
    </row>
    <row r="10224" spans="1:8" x14ac:dyDescent="0.3">
      <c r="A10224" t="s">
        <v>25462</v>
      </c>
      <c r="B10224" t="s">
        <v>26951</v>
      </c>
      <c r="C10224" t="s">
        <v>25495</v>
      </c>
      <c r="D10224" t="s">
        <v>25494</v>
      </c>
      <c r="E10224" s="2" t="s">
        <v>572</v>
      </c>
      <c r="F10224" t="s">
        <v>25493</v>
      </c>
      <c r="G10224" t="str">
        <f>HYPERLINK("https://www.jjan.kr/article/20230111580192")</f>
        <v>https://www.jjan.kr/article/20230111580192</v>
      </c>
      <c r="H10224">
        <v>0.56799999999999995</v>
      </c>
    </row>
    <row r="10225" spans="1:8" x14ac:dyDescent="0.3">
      <c r="A10225" t="s">
        <v>25462</v>
      </c>
      <c r="B10225" t="s">
        <v>26951</v>
      </c>
      <c r="C10225" t="s">
        <v>25497</v>
      </c>
      <c r="D10225" t="s">
        <v>25496</v>
      </c>
      <c r="E10225" s="2" t="s">
        <v>609</v>
      </c>
      <c r="F10225" t="s">
        <v>11002</v>
      </c>
      <c r="G10225" t="str">
        <f>HYPERLINK("https://n.news.naver.com/mnews/article/308/0000036785?sid=102")</f>
        <v>https://n.news.naver.com/mnews/article/308/0000036785?sid=102</v>
      </c>
      <c r="H10225">
        <v>0.13</v>
      </c>
    </row>
    <row r="10226" spans="1:8" x14ac:dyDescent="0.3">
      <c r="A10226" t="s">
        <v>25462</v>
      </c>
      <c r="B10226" t="s">
        <v>26951</v>
      </c>
      <c r="C10226" t="s">
        <v>25500</v>
      </c>
      <c r="D10226" t="s">
        <v>25499</v>
      </c>
      <c r="E10226" s="2" t="s">
        <v>692</v>
      </c>
      <c r="F10226" t="s">
        <v>25498</v>
      </c>
      <c r="G10226" t="str">
        <f>HYPERLINK("https://n.news.naver.com/mnews/article/308/0000036829?sid=100")</f>
        <v>https://n.news.naver.com/mnews/article/308/0000036829?sid=100</v>
      </c>
      <c r="H10226">
        <v>0.40699999999999997</v>
      </c>
    </row>
    <row r="10227" spans="1:8" x14ac:dyDescent="0.3">
      <c r="A10227" t="s">
        <v>25462</v>
      </c>
      <c r="B10227" t="s">
        <v>26951</v>
      </c>
      <c r="C10227" t="s">
        <v>25502</v>
      </c>
      <c r="D10227" t="s">
        <v>25501</v>
      </c>
      <c r="E10227" s="2" t="s">
        <v>711</v>
      </c>
      <c r="F10227" t="s">
        <v>3068</v>
      </c>
      <c r="G10227" t="str">
        <f>HYPERLINK("https://n.news.naver.com/mnews/article/002/0002000018?sid=103")</f>
        <v>https://n.news.naver.com/mnews/article/002/0002000018?sid=103</v>
      </c>
      <c r="H10227">
        <v>0.307</v>
      </c>
    </row>
    <row r="10228" spans="1:8" x14ac:dyDescent="0.3">
      <c r="A10228" t="s">
        <v>25462</v>
      </c>
      <c r="B10228" t="s">
        <v>26951</v>
      </c>
      <c r="C10228" t="s">
        <v>25505</v>
      </c>
      <c r="D10228" t="s">
        <v>25504</v>
      </c>
      <c r="E10228" s="2" t="s">
        <v>711</v>
      </c>
      <c r="F10228" t="s">
        <v>25503</v>
      </c>
      <c r="G10228" t="str">
        <f>HYPERLINK("http://www.siminilbo.co.kr/news/newsview.php?ncode=1065583856077323")</f>
        <v>http://www.siminilbo.co.kr/news/newsview.php?ncode=1065583856077323</v>
      </c>
      <c r="H10228">
        <v>0.13100000000000001</v>
      </c>
    </row>
    <row r="10229" spans="1:8" x14ac:dyDescent="0.3">
      <c r="A10229" t="s">
        <v>25462</v>
      </c>
      <c r="B10229" t="s">
        <v>26951</v>
      </c>
      <c r="C10229" t="s">
        <v>25507</v>
      </c>
      <c r="D10229" t="s">
        <v>25506</v>
      </c>
      <c r="E10229" s="2" t="s">
        <v>742</v>
      </c>
      <c r="F10229" t="s">
        <v>22332</v>
      </c>
      <c r="G10229" t="str">
        <f>HYPERLINK("https://www.sisamagazine.co.kr/news/articleView.html?idxno=502656")</f>
        <v>https://www.sisamagazine.co.kr/news/articleView.html?idxno=502656</v>
      </c>
      <c r="H10229">
        <v>0.55300000000000005</v>
      </c>
    </row>
    <row r="10230" spans="1:8" x14ac:dyDescent="0.3">
      <c r="A10230" t="s">
        <v>25462</v>
      </c>
      <c r="B10230" t="s">
        <v>26951</v>
      </c>
      <c r="C10230" t="s">
        <v>25510</v>
      </c>
      <c r="D10230" t="s">
        <v>25509</v>
      </c>
      <c r="E10230" s="2" t="s">
        <v>799</v>
      </c>
      <c r="F10230" t="s">
        <v>25508</v>
      </c>
      <c r="G10230" t="str">
        <f>HYPERLINK("http://www.ilemonde.com/news/articleView.html?idxno=20798")</f>
        <v>http://www.ilemonde.com/news/articleView.html?idxno=20798</v>
      </c>
      <c r="H10230">
        <v>9.7000000000000003E-2</v>
      </c>
    </row>
    <row r="10231" spans="1:8" x14ac:dyDescent="0.3">
      <c r="A10231" t="s">
        <v>25462</v>
      </c>
      <c r="B10231" t="s">
        <v>26951</v>
      </c>
      <c r="C10231" t="s">
        <v>25513</v>
      </c>
      <c r="D10231" t="s">
        <v>25512</v>
      </c>
      <c r="E10231" s="2" t="s">
        <v>840</v>
      </c>
      <c r="F10231" t="s">
        <v>25511</v>
      </c>
      <c r="G10231" t="str">
        <f>HYPERLINK("https://bravo.etoday.co.kr/view/atc_view.php?varAtcId=13686")</f>
        <v>https://bravo.etoday.co.kr/view/atc_view.php?varAtcId=13686</v>
      </c>
      <c r="H10231">
        <v>0.51600000000000001</v>
      </c>
    </row>
    <row r="10232" spans="1:8" x14ac:dyDescent="0.3">
      <c r="A10232" t="s">
        <v>25462</v>
      </c>
      <c r="B10232" t="s">
        <v>26951</v>
      </c>
      <c r="C10232" t="s">
        <v>25515</v>
      </c>
      <c r="D10232" t="s">
        <v>25514</v>
      </c>
      <c r="E10232" s="2" t="s">
        <v>840</v>
      </c>
      <c r="F10232" t="s">
        <v>10230</v>
      </c>
      <c r="G10232" t="str">
        <f>HYPERLINK("https://n.news.naver.com/mnews/article/052/0002096366?sid=102")</f>
        <v>https://n.news.naver.com/mnews/article/052/0002096366?sid=102</v>
      </c>
      <c r="H10232">
        <v>0.29799999999999999</v>
      </c>
    </row>
    <row r="10233" spans="1:8" x14ac:dyDescent="0.3">
      <c r="A10233" t="s">
        <v>25462</v>
      </c>
      <c r="B10233" t="s">
        <v>26951</v>
      </c>
      <c r="C10233" t="s">
        <v>25517</v>
      </c>
      <c r="D10233" t="s">
        <v>25516</v>
      </c>
      <c r="E10233" s="2" t="s">
        <v>903</v>
      </c>
      <c r="F10233" t="s">
        <v>25466</v>
      </c>
      <c r="G10233" t="str">
        <f>HYPERLINK("http://kor.theasian.asia/archives/152429")</f>
        <v>http://kor.theasian.asia/archives/152429</v>
      </c>
      <c r="H10233">
        <v>0.58799999999999997</v>
      </c>
    </row>
    <row r="10234" spans="1:8" x14ac:dyDescent="0.3">
      <c r="A10234" t="s">
        <v>25518</v>
      </c>
      <c r="B10234" t="s">
        <v>26951</v>
      </c>
      <c r="C10234" t="s">
        <v>25520</v>
      </c>
      <c r="D10234" t="s">
        <v>25519</v>
      </c>
      <c r="E10234" s="2" t="s">
        <v>7</v>
      </c>
      <c r="F10234" t="s">
        <v>11071</v>
      </c>
      <c r="G10234" t="str">
        <f>HYPERLINK("https://n.news.naver.com/mnews/article/052/0002213210?sid=103")</f>
        <v>https://n.news.naver.com/mnews/article/052/0002213210?sid=103</v>
      </c>
      <c r="H10234">
        <v>0.219</v>
      </c>
    </row>
    <row r="10235" spans="1:8" x14ac:dyDescent="0.3">
      <c r="A10235" t="s">
        <v>25518</v>
      </c>
      <c r="B10235" t="s">
        <v>26951</v>
      </c>
      <c r="C10235" t="s">
        <v>25522</v>
      </c>
      <c r="D10235" t="s">
        <v>25521</v>
      </c>
      <c r="E10235" s="2" t="s">
        <v>7</v>
      </c>
      <c r="F10235" t="s">
        <v>5087</v>
      </c>
      <c r="G10235" t="str">
        <f>HYPERLINK("https://n.news.naver.com/mnews/article/016/0002492235?sid=103")</f>
        <v>https://n.news.naver.com/mnews/article/016/0002492235?sid=103</v>
      </c>
      <c r="H10235">
        <v>0.22600000000000001</v>
      </c>
    </row>
    <row r="10236" spans="1:8" x14ac:dyDescent="0.3">
      <c r="A10236" t="s">
        <v>25518</v>
      </c>
      <c r="B10236" t="s">
        <v>26951</v>
      </c>
      <c r="C10236" t="s">
        <v>25524</v>
      </c>
      <c r="D10236" t="s">
        <v>25523</v>
      </c>
      <c r="E10236" s="2" t="s">
        <v>172</v>
      </c>
      <c r="F10236" t="s">
        <v>1136</v>
      </c>
      <c r="G10236" t="str">
        <f>HYPERLINK("https://www.huffingtonpost.kr/news/articleView.html?idxno=229711")</f>
        <v>https://www.huffingtonpost.kr/news/articleView.html?idxno=229711</v>
      </c>
      <c r="H10236">
        <v>0.122</v>
      </c>
    </row>
    <row r="10237" spans="1:8" x14ac:dyDescent="0.3">
      <c r="A10237" t="s">
        <v>25518</v>
      </c>
      <c r="B10237" t="s">
        <v>26951</v>
      </c>
      <c r="C10237" t="s">
        <v>25526</v>
      </c>
      <c r="D10237" t="s">
        <v>25525</v>
      </c>
      <c r="E10237" s="2" t="s">
        <v>267</v>
      </c>
      <c r="F10237" t="s">
        <v>5428</v>
      </c>
      <c r="G10237" t="str">
        <f>HYPERLINK("http://www.hansbiz.co.kr/news/articleView.html?idxno=757944")</f>
        <v>http://www.hansbiz.co.kr/news/articleView.html?idxno=757944</v>
      </c>
      <c r="H10237">
        <v>0.50800000000000001</v>
      </c>
    </row>
    <row r="10238" spans="1:8" x14ac:dyDescent="0.3">
      <c r="A10238" t="s">
        <v>25518</v>
      </c>
      <c r="B10238" t="s">
        <v>26951</v>
      </c>
      <c r="C10238" t="s">
        <v>25528</v>
      </c>
      <c r="D10238" t="s">
        <v>25527</v>
      </c>
      <c r="E10238" s="2" t="s">
        <v>313</v>
      </c>
      <c r="F10238" t="s">
        <v>5428</v>
      </c>
      <c r="G10238" t="str">
        <f>HYPERLINK("http://ilyo.co.kr/?ac=article_view&amp;entry_id=136609")</f>
        <v>http://ilyo.co.kr/?ac=article_view&amp;entry_id=136609</v>
      </c>
      <c r="H10238">
        <v>8.2000000000000003E-2</v>
      </c>
    </row>
    <row r="10239" spans="1:8" x14ac:dyDescent="0.3">
      <c r="A10239" t="s">
        <v>25518</v>
      </c>
      <c r="B10239" t="s">
        <v>26951</v>
      </c>
      <c r="C10239" t="s">
        <v>25530</v>
      </c>
      <c r="D10239" t="s">
        <v>25529</v>
      </c>
      <c r="E10239" s="2" t="s">
        <v>394</v>
      </c>
      <c r="F10239" t="s">
        <v>5203</v>
      </c>
      <c r="G10239" t="str">
        <f>HYPERLINK("https://www.apnews.kr/news/articleView.html?idxno=3035605")</f>
        <v>https://www.apnews.kr/news/articleView.html?idxno=3035605</v>
      </c>
      <c r="H10239">
        <v>0.28699999999999998</v>
      </c>
    </row>
    <row r="10240" spans="1:8" x14ac:dyDescent="0.3">
      <c r="A10240" t="s">
        <v>25518</v>
      </c>
      <c r="B10240" t="s">
        <v>26951</v>
      </c>
      <c r="C10240" t="s">
        <v>25533</v>
      </c>
      <c r="D10240" t="s">
        <v>25532</v>
      </c>
      <c r="E10240" s="2" t="s">
        <v>418</v>
      </c>
      <c r="F10240" t="s">
        <v>25531</v>
      </c>
      <c r="G10240" t="str">
        <f>HYPERLINK("http://ch.yes24.com/Article/View/55613")</f>
        <v>http://ch.yes24.com/Article/View/55613</v>
      </c>
      <c r="H10240">
        <v>0.436</v>
      </c>
    </row>
    <row r="10241" spans="1:8" x14ac:dyDescent="0.3">
      <c r="A10241" t="s">
        <v>25518</v>
      </c>
      <c r="B10241" t="s">
        <v>26951</v>
      </c>
      <c r="C10241" t="s">
        <v>25535</v>
      </c>
      <c r="D10241" t="s">
        <v>25534</v>
      </c>
      <c r="E10241" s="2" t="s">
        <v>538</v>
      </c>
      <c r="F10241" t="s">
        <v>5548</v>
      </c>
      <c r="G10241" t="str">
        <f>HYPERLINK("https://www.newspim.com/news/view/20250612000035")</f>
        <v>https://www.newspim.com/news/view/20250612000035</v>
      </c>
      <c r="H10241">
        <v>0.51600000000000001</v>
      </c>
    </row>
    <row r="10242" spans="1:8" x14ac:dyDescent="0.3">
      <c r="A10242" t="s">
        <v>25518</v>
      </c>
      <c r="B10242" t="s">
        <v>26951</v>
      </c>
      <c r="C10242" t="s">
        <v>25537</v>
      </c>
      <c r="D10242" t="s">
        <v>25536</v>
      </c>
      <c r="E10242" s="2" t="s">
        <v>572</v>
      </c>
      <c r="F10242" t="s">
        <v>21470</v>
      </c>
      <c r="G10242" t="str">
        <f>HYPERLINK("https://n.news.naver.com/mnews/article/018/0006054292?sid=101")</f>
        <v>https://n.news.naver.com/mnews/article/018/0006054292?sid=101</v>
      </c>
      <c r="H10242">
        <v>9.0999999999999998E-2</v>
      </c>
    </row>
    <row r="10243" spans="1:8" x14ac:dyDescent="0.3">
      <c r="A10243" t="s">
        <v>25518</v>
      </c>
      <c r="B10243" t="s">
        <v>26951</v>
      </c>
      <c r="C10243" t="s">
        <v>25539</v>
      </c>
      <c r="D10243" t="s">
        <v>25538</v>
      </c>
      <c r="E10243" s="2" t="s">
        <v>572</v>
      </c>
      <c r="F10243" t="s">
        <v>12226</v>
      </c>
      <c r="G10243" t="str">
        <f>HYPERLINK("https://www.lecturernews.com/news/articleView.html?idxno=174070")</f>
        <v>https://www.lecturernews.com/news/articleView.html?idxno=174070</v>
      </c>
      <c r="H10243">
        <v>0.63900000000000001</v>
      </c>
    </row>
    <row r="10244" spans="1:8" x14ac:dyDescent="0.3">
      <c r="A10244" t="s">
        <v>25518</v>
      </c>
      <c r="B10244" t="s">
        <v>26951</v>
      </c>
      <c r="C10244" t="s">
        <v>25541</v>
      </c>
      <c r="D10244" t="s">
        <v>25540</v>
      </c>
      <c r="E10244" s="2" t="s">
        <v>609</v>
      </c>
      <c r="F10244" t="s">
        <v>5428</v>
      </c>
      <c r="G10244" t="str">
        <f>HYPERLINK("http://www.joygm.com/news/articleView.html?idxno=16689")</f>
        <v>http://www.joygm.com/news/articleView.html?idxno=16689</v>
      </c>
      <c r="H10244">
        <v>0.49399999999999999</v>
      </c>
    </row>
    <row r="10245" spans="1:8" x14ac:dyDescent="0.3">
      <c r="A10245" t="s">
        <v>25518</v>
      </c>
      <c r="B10245" t="s">
        <v>26951</v>
      </c>
      <c r="C10245" t="s">
        <v>25543</v>
      </c>
      <c r="D10245" t="s">
        <v>25542</v>
      </c>
      <c r="E10245" s="2" t="s">
        <v>742</v>
      </c>
      <c r="F10245" t="s">
        <v>785</v>
      </c>
      <c r="G10245" t="str">
        <f>HYPERLINK("https://www.newspim.com/news/view/20250625000229")</f>
        <v>https://www.newspim.com/news/view/20250625000229</v>
      </c>
      <c r="H10245">
        <v>0.27700000000000002</v>
      </c>
    </row>
    <row r="10246" spans="1:8" x14ac:dyDescent="0.3">
      <c r="A10246" t="s">
        <v>25518</v>
      </c>
      <c r="B10246" t="s">
        <v>26951</v>
      </c>
      <c r="C10246" t="s">
        <v>25545</v>
      </c>
      <c r="D10246" t="s">
        <v>25544</v>
      </c>
      <c r="E10246" s="2" t="s">
        <v>840</v>
      </c>
      <c r="F10246" t="s">
        <v>785</v>
      </c>
      <c r="G10246" t="str">
        <f>HYPERLINK("https://n.news.naver.com/mnews/article/018/0006054554?sid=103")</f>
        <v>https://n.news.naver.com/mnews/article/018/0006054554?sid=103</v>
      </c>
      <c r="H10246">
        <v>0.192</v>
      </c>
    </row>
    <row r="10247" spans="1:8" x14ac:dyDescent="0.3">
      <c r="A10247" t="s">
        <v>25518</v>
      </c>
      <c r="B10247" t="s">
        <v>26951</v>
      </c>
      <c r="C10247" t="s">
        <v>25547</v>
      </c>
      <c r="D10247" t="s">
        <v>25546</v>
      </c>
      <c r="E10247" s="2" t="s">
        <v>860</v>
      </c>
      <c r="F10247" t="s">
        <v>10064</v>
      </c>
      <c r="G10247" t="str">
        <f>HYPERLINK("https://www.pennmike.com/news/articleView.html?idxno=103630")</f>
        <v>https://www.pennmike.com/news/articleView.html?idxno=103630</v>
      </c>
      <c r="H10247">
        <v>0.63800000000000001</v>
      </c>
    </row>
    <row r="10248" spans="1:8" x14ac:dyDescent="0.3">
      <c r="A10248" t="s">
        <v>25518</v>
      </c>
      <c r="B10248" t="s">
        <v>26951</v>
      </c>
      <c r="C10248" t="s">
        <v>25549</v>
      </c>
      <c r="D10248" t="s">
        <v>25548</v>
      </c>
      <c r="E10248" s="2" t="s">
        <v>860</v>
      </c>
      <c r="F10248" t="s">
        <v>817</v>
      </c>
      <c r="G10248" t="str">
        <f>HYPERLINK("https://www.jemin.com/news/articleView.html?idxno=807763")</f>
        <v>https://www.jemin.com/news/articleView.html?idxno=807763</v>
      </c>
      <c r="H10248">
        <v>0.63100000000000001</v>
      </c>
    </row>
    <row r="10249" spans="1:8" x14ac:dyDescent="0.3">
      <c r="A10249" t="s">
        <v>25518</v>
      </c>
      <c r="B10249" t="s">
        <v>26951</v>
      </c>
      <c r="C10249" t="s">
        <v>25551</v>
      </c>
      <c r="D10249" t="s">
        <v>25550</v>
      </c>
      <c r="E10249" s="2" t="s">
        <v>903</v>
      </c>
      <c r="F10249" t="s">
        <v>817</v>
      </c>
      <c r="G10249" t="str">
        <f>HYPERLINK("http://www.breaknews.com/1121530")</f>
        <v>http://www.breaknews.com/1121530</v>
      </c>
      <c r="H10249">
        <v>0.374</v>
      </c>
    </row>
    <row r="10250" spans="1:8" x14ac:dyDescent="0.3">
      <c r="A10250" t="s">
        <v>25518</v>
      </c>
      <c r="B10250" t="s">
        <v>26951</v>
      </c>
      <c r="C10250" t="s">
        <v>25552</v>
      </c>
      <c r="D10250" t="s">
        <v>25550</v>
      </c>
      <c r="E10250" s="2" t="s">
        <v>903</v>
      </c>
      <c r="F10250" t="s">
        <v>817</v>
      </c>
      <c r="G10250" t="str">
        <f>HYPERLINK("http://www.breaknews.com/1121530")</f>
        <v>http://www.breaknews.com/1121530</v>
      </c>
      <c r="H10250">
        <v>0.36799999999999999</v>
      </c>
    </row>
    <row r="10251" spans="1:8" x14ac:dyDescent="0.3">
      <c r="A10251" t="s">
        <v>25553</v>
      </c>
      <c r="B10251" t="s">
        <v>26951</v>
      </c>
      <c r="C10251" t="s">
        <v>25556</v>
      </c>
      <c r="D10251" t="s">
        <v>25555</v>
      </c>
      <c r="E10251" s="2" t="s">
        <v>7</v>
      </c>
      <c r="F10251" t="s">
        <v>25554</v>
      </c>
      <c r="G10251" t="str">
        <f>HYPERLINK("http://www.cctimes.kr/news/articleView.html?idxno=853511")</f>
        <v>http://www.cctimes.kr/news/articleView.html?idxno=853511</v>
      </c>
      <c r="H10251">
        <v>0.58399999999999996</v>
      </c>
    </row>
    <row r="10252" spans="1:8" x14ac:dyDescent="0.3">
      <c r="A10252" t="s">
        <v>25553</v>
      </c>
      <c r="B10252" t="s">
        <v>26951</v>
      </c>
      <c r="C10252" t="s">
        <v>25559</v>
      </c>
      <c r="D10252" t="s">
        <v>25558</v>
      </c>
      <c r="E10252" s="2" t="s">
        <v>7</v>
      </c>
      <c r="F10252" t="s">
        <v>25557</v>
      </c>
      <c r="G10252" t="str">
        <f>HYPERLINK("https://www.inews365.com/news/article.html?no=859851")</f>
        <v>https://www.inews365.com/news/article.html?no=859851</v>
      </c>
      <c r="H10252">
        <v>0.47599999999999998</v>
      </c>
    </row>
    <row r="10253" spans="1:8" x14ac:dyDescent="0.3">
      <c r="A10253" t="s">
        <v>25553</v>
      </c>
      <c r="B10253" t="s">
        <v>26951</v>
      </c>
      <c r="C10253" t="s">
        <v>25561</v>
      </c>
      <c r="D10253" t="s">
        <v>25560</v>
      </c>
      <c r="E10253" s="2" t="s">
        <v>7</v>
      </c>
      <c r="F10253" t="s">
        <v>14630</v>
      </c>
      <c r="G10253" t="str">
        <f>HYPERLINK("https://www.newscj.com/news/articleView.html?idxno=3276551")</f>
        <v>https://www.newscj.com/news/articleView.html?idxno=3276551</v>
      </c>
      <c r="H10253">
        <v>0.123</v>
      </c>
    </row>
    <row r="10254" spans="1:8" x14ac:dyDescent="0.3">
      <c r="A10254" t="s">
        <v>25553</v>
      </c>
      <c r="B10254" t="s">
        <v>26951</v>
      </c>
      <c r="C10254" t="s">
        <v>25564</v>
      </c>
      <c r="D10254" t="s">
        <v>25563</v>
      </c>
      <c r="E10254" s="2" t="s">
        <v>394</v>
      </c>
      <c r="F10254" t="s">
        <v>25562</v>
      </c>
      <c r="G10254" t="str">
        <f>HYPERLINK("https://www.inews365.com/news/article.html?no=871253")</f>
        <v>https://www.inews365.com/news/article.html?no=871253</v>
      </c>
      <c r="H10254">
        <v>0.496</v>
      </c>
    </row>
    <row r="10255" spans="1:8" x14ac:dyDescent="0.3">
      <c r="A10255" t="s">
        <v>25553</v>
      </c>
      <c r="B10255" t="s">
        <v>26951</v>
      </c>
      <c r="C10255" t="s">
        <v>25566</v>
      </c>
      <c r="D10255" t="s">
        <v>25565</v>
      </c>
      <c r="E10255" s="2" t="s">
        <v>418</v>
      </c>
      <c r="F10255" t="s">
        <v>14630</v>
      </c>
      <c r="G10255" t="str">
        <f>HYPERLINK("http://www.inews365.com/news/article.html?no=871045")</f>
        <v>http://www.inews365.com/news/article.html?no=871045</v>
      </c>
      <c r="H10255">
        <v>0.29099999999999998</v>
      </c>
    </row>
    <row r="10256" spans="1:8" x14ac:dyDescent="0.3">
      <c r="A10256" t="s">
        <v>25567</v>
      </c>
      <c r="B10256" t="s">
        <v>26951</v>
      </c>
      <c r="C10256" t="s">
        <v>25569</v>
      </c>
      <c r="D10256" t="s">
        <v>25568</v>
      </c>
      <c r="E10256" s="2" t="s">
        <v>7</v>
      </c>
      <c r="F10256" t="s">
        <v>857</v>
      </c>
      <c r="G10256" t="str">
        <f>HYPERLINK("https://www.joongdo.co.kr/web/view.php?key=20240902010000481")</f>
        <v>https://www.joongdo.co.kr/web/view.php?key=20240902010000481</v>
      </c>
      <c r="H10256">
        <v>0.182</v>
      </c>
    </row>
    <row r="10257" spans="1:8" x14ac:dyDescent="0.3">
      <c r="A10257" t="s">
        <v>25567</v>
      </c>
      <c r="B10257" t="s">
        <v>26951</v>
      </c>
      <c r="C10257" t="s">
        <v>25571</v>
      </c>
      <c r="D10257" t="s">
        <v>25570</v>
      </c>
      <c r="E10257" s="2" t="s">
        <v>66</v>
      </c>
      <c r="F10257" t="s">
        <v>776</v>
      </c>
      <c r="G10257" t="str">
        <f>HYPERLINK("http://www.daejonilbo.com/news/newsitem.asp?pk_no=1211866")</f>
        <v>http://www.daejonilbo.com/news/newsitem.asp?pk_no=1211866</v>
      </c>
      <c r="H10257">
        <v>0.47499999999999998</v>
      </c>
    </row>
    <row r="10258" spans="1:8" x14ac:dyDescent="0.3">
      <c r="A10258" t="s">
        <v>25567</v>
      </c>
      <c r="B10258" t="s">
        <v>26951</v>
      </c>
      <c r="C10258" t="s">
        <v>25573</v>
      </c>
      <c r="D10258" t="s">
        <v>25572</v>
      </c>
      <c r="E10258" s="2" t="s">
        <v>105</v>
      </c>
      <c r="F10258" t="s">
        <v>857</v>
      </c>
      <c r="G10258" t="str">
        <f>HYPERLINK("http://www.chungnamilbo.co.kr/news/articleView.html?idxno=833605")</f>
        <v>http://www.chungnamilbo.co.kr/news/articleView.html?idxno=833605</v>
      </c>
      <c r="H10258">
        <v>0.19700000000000001</v>
      </c>
    </row>
    <row r="10259" spans="1:8" x14ac:dyDescent="0.3">
      <c r="A10259" t="s">
        <v>25567</v>
      </c>
      <c r="B10259" t="s">
        <v>26951</v>
      </c>
      <c r="C10259" t="s">
        <v>25576</v>
      </c>
      <c r="D10259" t="s">
        <v>25575</v>
      </c>
      <c r="E10259" s="2" t="s">
        <v>230</v>
      </c>
      <c r="F10259" t="s">
        <v>25574</v>
      </c>
      <c r="G10259" t="str">
        <f>HYPERLINK("https://www.catholictimes.org/article/20250623500080")</f>
        <v>https://www.catholictimes.org/article/20250623500080</v>
      </c>
      <c r="H10259">
        <v>0.503</v>
      </c>
    </row>
    <row r="10260" spans="1:8" x14ac:dyDescent="0.3">
      <c r="A10260" t="s">
        <v>25567</v>
      </c>
      <c r="B10260" t="s">
        <v>26951</v>
      </c>
      <c r="C10260" t="s">
        <v>25578</v>
      </c>
      <c r="D10260" t="s">
        <v>25577</v>
      </c>
      <c r="E10260" s="2" t="s">
        <v>267</v>
      </c>
      <c r="F10260" t="s">
        <v>2799</v>
      </c>
      <c r="G10260" t="str">
        <f>HYPERLINK("https://www.ksilbo.co.kr/news/articleView.html?idxno=1030688")</f>
        <v>https://www.ksilbo.co.kr/news/articleView.html?idxno=1030688</v>
      </c>
      <c r="H10260">
        <v>0.43099999999999999</v>
      </c>
    </row>
    <row r="10261" spans="1:8" x14ac:dyDescent="0.3">
      <c r="A10261" t="s">
        <v>25567</v>
      </c>
      <c r="B10261" t="s">
        <v>26951</v>
      </c>
      <c r="C10261" t="s">
        <v>25581</v>
      </c>
      <c r="D10261" t="s">
        <v>25580</v>
      </c>
      <c r="E10261" s="2" t="s">
        <v>267</v>
      </c>
      <c r="F10261" t="s">
        <v>25579</v>
      </c>
      <c r="G10261" t="str">
        <f>HYPERLINK("http://www.fntoday.co.kr/news/articleView.html?idxno=354765")</f>
        <v>http://www.fntoday.co.kr/news/articleView.html?idxno=354765</v>
      </c>
      <c r="H10261">
        <v>0.59399999999999997</v>
      </c>
    </row>
    <row r="10262" spans="1:8" x14ac:dyDescent="0.3">
      <c r="A10262" t="s">
        <v>25567</v>
      </c>
      <c r="B10262" t="s">
        <v>26951</v>
      </c>
      <c r="C10262" t="s">
        <v>25584</v>
      </c>
      <c r="D10262" t="s">
        <v>25583</v>
      </c>
      <c r="E10262" s="2" t="s">
        <v>280</v>
      </c>
      <c r="F10262" t="s">
        <v>25582</v>
      </c>
      <c r="G10262" t="str">
        <f>HYPERLINK("http://www.daejonilbo.com/news/newsitem.asp?pk_no=1467701")</f>
        <v>http://www.daejonilbo.com/news/newsitem.asp?pk_no=1467701</v>
      </c>
      <c r="H10262">
        <v>0.152</v>
      </c>
    </row>
    <row r="10263" spans="1:8" x14ac:dyDescent="0.3">
      <c r="A10263" t="s">
        <v>25567</v>
      </c>
      <c r="B10263" t="s">
        <v>26951</v>
      </c>
      <c r="C10263" t="s">
        <v>25586</v>
      </c>
      <c r="D10263" t="s">
        <v>25585</v>
      </c>
      <c r="E10263" s="2" t="s">
        <v>418</v>
      </c>
      <c r="F10263" t="s">
        <v>857</v>
      </c>
      <c r="G10263" t="str">
        <f>HYPERLINK("https://www.apnews.kr/news/articleView.html?idxno=3023482")</f>
        <v>https://www.apnews.kr/news/articleView.html?idxno=3023482</v>
      </c>
      <c r="H10263">
        <v>0.22</v>
      </c>
    </row>
    <row r="10264" spans="1:8" x14ac:dyDescent="0.3">
      <c r="A10264" t="s">
        <v>25567</v>
      </c>
      <c r="B10264" t="s">
        <v>26951</v>
      </c>
      <c r="C10264" t="s">
        <v>25588</v>
      </c>
      <c r="D10264" t="s">
        <v>25587</v>
      </c>
      <c r="E10264" s="2" t="s">
        <v>452</v>
      </c>
      <c r="F10264" t="s">
        <v>2171</v>
      </c>
      <c r="G10264" t="str">
        <f>HYPERLINK("https://n.news.naver.com/mnews/article/656/0000136569?sid=110")</f>
        <v>https://n.news.naver.com/mnews/article/656/0000136569?sid=110</v>
      </c>
      <c r="H10264">
        <v>8.8999999999999996E-2</v>
      </c>
    </row>
    <row r="10265" spans="1:8" x14ac:dyDescent="0.3">
      <c r="A10265" t="s">
        <v>25567</v>
      </c>
      <c r="B10265" t="s">
        <v>26951</v>
      </c>
      <c r="C10265" t="s">
        <v>25590</v>
      </c>
      <c r="D10265" t="s">
        <v>25589</v>
      </c>
      <c r="E10265" s="2" t="s">
        <v>481</v>
      </c>
      <c r="F10265" t="s">
        <v>2799</v>
      </c>
      <c r="G10265" t="str">
        <f>HYPERLINK("https://www.ksilbo.co.kr/news/articleView.html?idxno=1030688")</f>
        <v>https://www.ksilbo.co.kr/news/articleView.html?idxno=1030688</v>
      </c>
      <c r="H10265">
        <v>0.39900000000000002</v>
      </c>
    </row>
    <row r="10266" spans="1:8" x14ac:dyDescent="0.3">
      <c r="A10266" t="s">
        <v>25567</v>
      </c>
      <c r="B10266" t="s">
        <v>26951</v>
      </c>
      <c r="C10266" t="s">
        <v>25592</v>
      </c>
      <c r="D10266" t="s">
        <v>17548</v>
      </c>
      <c r="E10266" s="2" t="s">
        <v>517</v>
      </c>
      <c r="F10266" t="s">
        <v>25591</v>
      </c>
      <c r="G10266" t="str">
        <f>HYPERLINK("http://www.chungnamilbo.co.kr/news/articleView.html?idxno=836636")</f>
        <v>http://www.chungnamilbo.co.kr/news/articleView.html?idxno=836636</v>
      </c>
      <c r="H10266">
        <v>0.312</v>
      </c>
    </row>
    <row r="10267" spans="1:8" x14ac:dyDescent="0.3">
      <c r="A10267" t="s">
        <v>25567</v>
      </c>
      <c r="B10267" t="s">
        <v>26951</v>
      </c>
      <c r="C10267" t="s">
        <v>25594</v>
      </c>
      <c r="D10267" t="s">
        <v>25593</v>
      </c>
      <c r="E10267" s="2" t="s">
        <v>538</v>
      </c>
      <c r="F10267" t="s">
        <v>6212</v>
      </c>
      <c r="G10267" t="str">
        <f>HYPERLINK("https://n.news.naver.com/mnews/article/656/0000136009?sid=102")</f>
        <v>https://n.news.naver.com/mnews/article/656/0000136009?sid=102</v>
      </c>
      <c r="H10267">
        <v>0.26400000000000001</v>
      </c>
    </row>
    <row r="10268" spans="1:8" x14ac:dyDescent="0.3">
      <c r="A10268" t="s">
        <v>25567</v>
      </c>
      <c r="B10268" t="s">
        <v>26951</v>
      </c>
      <c r="C10268" t="s">
        <v>25596</v>
      </c>
      <c r="D10268" t="s">
        <v>25595</v>
      </c>
      <c r="E10268" s="2" t="s">
        <v>799</v>
      </c>
      <c r="F10268" t="s">
        <v>23869</v>
      </c>
      <c r="G10268" t="str">
        <f>HYPERLINK("http://www.dtnews24.com/news/articleView.html?idxno=791877")</f>
        <v>http://www.dtnews24.com/news/articleView.html?idxno=791877</v>
      </c>
      <c r="H10268">
        <v>0.56200000000000006</v>
      </c>
    </row>
    <row r="10269" spans="1:8" x14ac:dyDescent="0.3">
      <c r="A10269" t="s">
        <v>25567</v>
      </c>
      <c r="B10269" t="s">
        <v>26951</v>
      </c>
      <c r="C10269" t="s">
        <v>25598</v>
      </c>
      <c r="D10269" t="s">
        <v>25597</v>
      </c>
      <c r="E10269" s="2" t="s">
        <v>799</v>
      </c>
      <c r="F10269" t="s">
        <v>857</v>
      </c>
      <c r="G10269" t="str">
        <f>HYPERLINK("https://www.joongdo.co.kr/web/view.php?key=20240529010008835")</f>
        <v>https://www.joongdo.co.kr/web/view.php?key=20240529010008835</v>
      </c>
      <c r="H10269">
        <v>0.185</v>
      </c>
    </row>
    <row r="10270" spans="1:8" x14ac:dyDescent="0.3">
      <c r="A10270" t="s">
        <v>25567</v>
      </c>
      <c r="B10270" t="s">
        <v>26951</v>
      </c>
      <c r="C10270" t="s">
        <v>25600</v>
      </c>
      <c r="D10270" t="s">
        <v>25599</v>
      </c>
      <c r="E10270" s="2" t="s">
        <v>840</v>
      </c>
      <c r="F10270" t="s">
        <v>1277</v>
      </c>
      <c r="G10270" t="str">
        <f>HYPERLINK("https://www.ggilbo.com/news/articleView.html?idxno=1092187")</f>
        <v>https://www.ggilbo.com/news/articleView.html?idxno=1092187</v>
      </c>
      <c r="H10270">
        <v>0.67100000000000004</v>
      </c>
    </row>
    <row r="10271" spans="1:8" x14ac:dyDescent="0.3">
      <c r="A10271" t="s">
        <v>25567</v>
      </c>
      <c r="B10271" t="s">
        <v>26951</v>
      </c>
      <c r="C10271" t="s">
        <v>25602</v>
      </c>
      <c r="D10271" t="s">
        <v>25601</v>
      </c>
      <c r="E10271" s="2" t="s">
        <v>840</v>
      </c>
      <c r="F10271" t="s">
        <v>857</v>
      </c>
      <c r="G10271" t="str">
        <f>HYPERLINK("https://www.apnews.kr/news/articleView.html?idxno=3023482")</f>
        <v>https://www.apnews.kr/news/articleView.html?idxno=3023482</v>
      </c>
      <c r="H10271">
        <v>0.24299999999999999</v>
      </c>
    </row>
    <row r="10272" spans="1:8" x14ac:dyDescent="0.3">
      <c r="A10272" t="s">
        <v>25567</v>
      </c>
      <c r="B10272" t="s">
        <v>26951</v>
      </c>
      <c r="C10272" t="s">
        <v>25604</v>
      </c>
      <c r="D10272" t="s">
        <v>25603</v>
      </c>
      <c r="E10272" s="2" t="s">
        <v>860</v>
      </c>
      <c r="F10272" t="s">
        <v>4210</v>
      </c>
      <c r="G10272" t="str">
        <f>HYPERLINK("http://www.newstnt.com/news/articleView.html?idxno=494715")</f>
        <v>http://www.newstnt.com/news/articleView.html?idxno=494715</v>
      </c>
      <c r="H10272">
        <v>0.70399999999999996</v>
      </c>
    </row>
    <row r="10273" spans="1:8" x14ac:dyDescent="0.3">
      <c r="A10273" t="s">
        <v>25567</v>
      </c>
      <c r="B10273" t="s">
        <v>26951</v>
      </c>
      <c r="C10273" t="s">
        <v>25606</v>
      </c>
      <c r="D10273" t="s">
        <v>25605</v>
      </c>
      <c r="E10273" s="2" t="s">
        <v>860</v>
      </c>
      <c r="F10273" t="s">
        <v>857</v>
      </c>
      <c r="G10273" t="str">
        <f>HYPERLINK("https://www.vogue.co.kr/2020/07/02/%ec%84%9c%ec%9a%b8%ec%9d%98-%ec%9d%b8%ea%b8%b0-%ec%a0%a4%eb%9d%bc%ed%85%8c%eb%a6%ac%ec%95%84-%eb%a7%b5/?utm_source=naver&amp;utm_medium=partnership")</f>
        <v>https://www.vogue.co.kr/2020/07/02/%ec%84%9c%ec%9a%b8%ec%9d%98-%ec%9d%b8%ea%b8%b0-%ec%a0%a4%eb%9d%bc%ed%85%8c%eb%a6%ac%ec%95%84-%eb%a7%b5/?utm_source=naver&amp;utm_medium=partnership</v>
      </c>
      <c r="H10273">
        <v>0.27</v>
      </c>
    </row>
    <row r="10274" spans="1:8" x14ac:dyDescent="0.3">
      <c r="A10274" t="s">
        <v>25607</v>
      </c>
      <c r="B10274" t="s">
        <v>26951</v>
      </c>
      <c r="C10274" t="s">
        <v>25609</v>
      </c>
      <c r="D10274" t="s">
        <v>25608</v>
      </c>
      <c r="E10274" s="2" t="s">
        <v>7</v>
      </c>
      <c r="F10274" t="s">
        <v>715</v>
      </c>
      <c r="G10274" t="str">
        <f>HYPERLINK("http://www.kihoilbo.co.kr/news/articleView.html?idxno=1149912")</f>
        <v>http://www.kihoilbo.co.kr/news/articleView.html?idxno=1149912</v>
      </c>
      <c r="H10274">
        <v>0.68600000000000005</v>
      </c>
    </row>
    <row r="10275" spans="1:8" x14ac:dyDescent="0.3">
      <c r="A10275" t="s">
        <v>25607</v>
      </c>
      <c r="B10275" t="s">
        <v>26951</v>
      </c>
      <c r="C10275" t="s">
        <v>25611</v>
      </c>
      <c r="D10275" t="s">
        <v>25610</v>
      </c>
      <c r="E10275" s="2" t="s">
        <v>74</v>
      </c>
      <c r="F10275" t="s">
        <v>20470</v>
      </c>
      <c r="G10275" t="str">
        <f>HYPERLINK("http://www.kihoilbo.co.kr/news/articleView.html?idxno=1149646")</f>
        <v>http://www.kihoilbo.co.kr/news/articleView.html?idxno=1149646</v>
      </c>
      <c r="H10275">
        <v>0.91600000000000004</v>
      </c>
    </row>
    <row r="10276" spans="1:8" x14ac:dyDescent="0.3">
      <c r="A10276" t="s">
        <v>25607</v>
      </c>
      <c r="B10276" t="s">
        <v>26951</v>
      </c>
      <c r="C10276" t="s">
        <v>25613</v>
      </c>
      <c r="D10276" t="s">
        <v>25612</v>
      </c>
      <c r="E10276" s="2" t="s">
        <v>133</v>
      </c>
      <c r="F10276" t="s">
        <v>715</v>
      </c>
      <c r="G10276" t="str">
        <f>HYPERLINK("http://www.kihoilbo.co.kr/news/articleView.html?idxno=1149505")</f>
        <v>http://www.kihoilbo.co.kr/news/articleView.html?idxno=1149505</v>
      </c>
      <c r="H10276">
        <v>0.63700000000000001</v>
      </c>
    </row>
    <row r="10277" spans="1:8" x14ac:dyDescent="0.3">
      <c r="A10277" t="s">
        <v>25607</v>
      </c>
      <c r="B10277" t="s">
        <v>26951</v>
      </c>
      <c r="C10277" t="s">
        <v>25616</v>
      </c>
      <c r="D10277" t="s">
        <v>25615</v>
      </c>
      <c r="E10277" s="2" t="s">
        <v>452</v>
      </c>
      <c r="F10277" t="s">
        <v>25614</v>
      </c>
      <c r="G10277" t="str">
        <f>HYPERLINK("http://www.kihoilbo.co.kr/news/articleView.html?idxno=1147795")</f>
        <v>http://www.kihoilbo.co.kr/news/articleView.html?idxno=1147795</v>
      </c>
      <c r="H10277">
        <v>0.98799999999999999</v>
      </c>
    </row>
    <row r="10278" spans="1:8" x14ac:dyDescent="0.3">
      <c r="A10278" t="s">
        <v>25607</v>
      </c>
      <c r="B10278" t="s">
        <v>26951</v>
      </c>
      <c r="C10278" t="s">
        <v>25618</v>
      </c>
      <c r="D10278" t="s">
        <v>25617</v>
      </c>
      <c r="E10278" s="2" t="s">
        <v>452</v>
      </c>
      <c r="F10278" t="s">
        <v>715</v>
      </c>
      <c r="G10278" t="str">
        <f>HYPERLINK("http://www.kihoilbo.co.kr/news/articleView.html?idxno=970457")</f>
        <v>http://www.kihoilbo.co.kr/news/articleView.html?idxno=970457</v>
      </c>
      <c r="H10278">
        <v>0.33200000000000002</v>
      </c>
    </row>
    <row r="10279" spans="1:8" x14ac:dyDescent="0.3">
      <c r="A10279" t="s">
        <v>25607</v>
      </c>
      <c r="B10279" t="s">
        <v>26951</v>
      </c>
      <c r="C10279" t="s">
        <v>25621</v>
      </c>
      <c r="D10279" t="s">
        <v>25620</v>
      </c>
      <c r="E10279" s="2" t="s">
        <v>653</v>
      </c>
      <c r="F10279" t="s">
        <v>25619</v>
      </c>
      <c r="G10279" t="str">
        <f>HYPERLINK("http://www.kihoilbo.co.kr/news/articleView.html?idxno=1146880")</f>
        <v>http://www.kihoilbo.co.kr/news/articleView.html?idxno=1146880</v>
      </c>
      <c r="H10279">
        <v>0.96699999999999997</v>
      </c>
    </row>
    <row r="10280" spans="1:8" x14ac:dyDescent="0.3">
      <c r="A10280" t="s">
        <v>25607</v>
      </c>
      <c r="B10280" t="s">
        <v>26951</v>
      </c>
      <c r="C10280" t="s">
        <v>25624</v>
      </c>
      <c r="D10280" t="s">
        <v>25623</v>
      </c>
      <c r="E10280" s="2" t="s">
        <v>653</v>
      </c>
      <c r="F10280" t="s">
        <v>25622</v>
      </c>
      <c r="G10280" t="str">
        <f>HYPERLINK("http://www.kihoilbo.co.kr/news/articleView.html?idxno=1146898")</f>
        <v>http://www.kihoilbo.co.kr/news/articleView.html?idxno=1146898</v>
      </c>
      <c r="H10280">
        <v>0.50600000000000001</v>
      </c>
    </row>
    <row r="10281" spans="1:8" x14ac:dyDescent="0.3">
      <c r="A10281" t="s">
        <v>25607</v>
      </c>
      <c r="B10281" t="s">
        <v>26951</v>
      </c>
      <c r="C10281" t="s">
        <v>25626</v>
      </c>
      <c r="D10281" t="s">
        <v>25625</v>
      </c>
      <c r="E10281" s="2" t="s">
        <v>840</v>
      </c>
      <c r="F10281" t="s">
        <v>715</v>
      </c>
      <c r="G10281" t="str">
        <f>HYPERLINK("http://www.kihoilbo.co.kr/news/articleView.html?idxno=1146325")</f>
        <v>http://www.kihoilbo.co.kr/news/articleView.html?idxno=1146325</v>
      </c>
      <c r="H10281">
        <v>0.67700000000000005</v>
      </c>
    </row>
    <row r="10282" spans="1:8" x14ac:dyDescent="0.3">
      <c r="A10282" t="s">
        <v>25607</v>
      </c>
      <c r="B10282" t="s">
        <v>26951</v>
      </c>
      <c r="C10282" t="s">
        <v>25628</v>
      </c>
      <c r="D10282" t="s">
        <v>25627</v>
      </c>
      <c r="E10282" s="2" t="s">
        <v>840</v>
      </c>
      <c r="F10282" t="s">
        <v>715</v>
      </c>
      <c r="G10282" t="str">
        <f>HYPERLINK("http://www.kihoilbo.co.kr/news/articleView.html?idxno=1146321")</f>
        <v>http://www.kihoilbo.co.kr/news/articleView.html?idxno=1146321</v>
      </c>
      <c r="H10282">
        <v>0.85899999999999999</v>
      </c>
    </row>
    <row r="10283" spans="1:8" x14ac:dyDescent="0.3">
      <c r="A10283" t="s">
        <v>25629</v>
      </c>
      <c r="B10283" t="s">
        <v>26951</v>
      </c>
      <c r="C10283" t="s">
        <v>25632</v>
      </c>
      <c r="D10283" t="s">
        <v>25631</v>
      </c>
      <c r="E10283" s="2" t="s">
        <v>502</v>
      </c>
      <c r="F10283" t="s">
        <v>25630</v>
      </c>
      <c r="G10283" t="str">
        <f>HYPERLINK("http://www.newspenguin.com/news/articleView.html?idxno=4604")</f>
        <v>http://www.newspenguin.com/news/articleView.html?idxno=4604</v>
      </c>
      <c r="H10283">
        <v>0.67500000000000004</v>
      </c>
    </row>
    <row r="10284" spans="1:8" x14ac:dyDescent="0.3">
      <c r="A10284" t="s">
        <v>25633</v>
      </c>
      <c r="B10284" t="s">
        <v>26951</v>
      </c>
      <c r="C10284" t="s">
        <v>25635</v>
      </c>
      <c r="D10284" t="s">
        <v>25634</v>
      </c>
      <c r="E10284" s="2" t="s">
        <v>7</v>
      </c>
      <c r="F10284" t="s">
        <v>14646</v>
      </c>
      <c r="G10284" t="str">
        <f>HYPERLINK("https://n.news.naver.com/mnews/article/006/0000112690?sid=110")</f>
        <v>https://n.news.naver.com/mnews/article/006/0000112690?sid=110</v>
      </c>
      <c r="H10284">
        <v>0.153</v>
      </c>
    </row>
    <row r="10285" spans="1:8" x14ac:dyDescent="0.3">
      <c r="A10285" t="s">
        <v>25633</v>
      </c>
      <c r="B10285" t="s">
        <v>26951</v>
      </c>
      <c r="C10285" t="s">
        <v>25637</v>
      </c>
      <c r="D10285" t="s">
        <v>25636</v>
      </c>
      <c r="E10285" s="2" t="s">
        <v>172</v>
      </c>
      <c r="F10285" t="s">
        <v>4115</v>
      </c>
      <c r="G10285" t="str">
        <f>HYPERLINK("https://www.vogue.co.kr/2023/04/14/%ec%b1%97gpt%eb%9d%bc%eb%8a%94-%eb%b1%80%ed%8c%8c%ec%9d%b4%ec%96%b4%ec%99%80%ec%9d%98-%ec%9d%b8%ed%84%b0%eb%b7%b0/?utm_source=naver&amp;utm_medium=partnership")</f>
        <v>https://www.vogue.co.kr/2023/04/14/%ec%b1%97gpt%eb%9d%bc%eb%8a%94-%eb%b1%80%ed%8c%8c%ec%9d%b4%ec%96%b4%ec%99%80%ec%9d%98-%ec%9d%b8%ed%84%b0%eb%b7%b0/?utm_source=naver&amp;utm_medium=partnership</v>
      </c>
      <c r="H10285">
        <v>0.628</v>
      </c>
    </row>
    <row r="10286" spans="1:8" x14ac:dyDescent="0.3">
      <c r="A10286" t="s">
        <v>25633</v>
      </c>
      <c r="B10286" t="s">
        <v>26951</v>
      </c>
      <c r="C10286" t="s">
        <v>25639</v>
      </c>
      <c r="D10286" t="s">
        <v>25638</v>
      </c>
      <c r="E10286" s="2" t="s">
        <v>572</v>
      </c>
      <c r="F10286" t="s">
        <v>808</v>
      </c>
      <c r="G10286" t="str">
        <f>HYPERLINK("https://n.news.naver.com/mnews/article/079/0003980022?sid=102")</f>
        <v>https://n.news.naver.com/mnews/article/079/0003980022?sid=102</v>
      </c>
      <c r="H10286">
        <v>0.28399999999999997</v>
      </c>
    </row>
    <row r="10287" spans="1:8" x14ac:dyDescent="0.3">
      <c r="A10287" t="s">
        <v>25633</v>
      </c>
      <c r="B10287" t="s">
        <v>26951</v>
      </c>
      <c r="C10287" t="s">
        <v>25641</v>
      </c>
      <c r="D10287" t="s">
        <v>25640</v>
      </c>
      <c r="E10287" s="2" t="s">
        <v>609</v>
      </c>
      <c r="F10287" t="s">
        <v>5843</v>
      </c>
      <c r="G10287" t="str">
        <f>HYPERLINK("https://n.news.naver.com/mnews/article/006/0000122260?sid=102")</f>
        <v>https://n.news.naver.com/mnews/article/006/0000122260?sid=102</v>
      </c>
      <c r="H10287">
        <v>0.23400000000000001</v>
      </c>
    </row>
    <row r="10288" spans="1:8" x14ac:dyDescent="0.3">
      <c r="A10288" t="s">
        <v>25633</v>
      </c>
      <c r="B10288" t="s">
        <v>26951</v>
      </c>
      <c r="C10288" t="s">
        <v>25644</v>
      </c>
      <c r="D10288" t="s">
        <v>25643</v>
      </c>
      <c r="E10288" s="2" t="s">
        <v>653</v>
      </c>
      <c r="F10288" t="s">
        <v>25642</v>
      </c>
      <c r="G10288" t="str">
        <f>HYPERLINK("https://www.ekn.kr/web/view.php?key=20250417025277974")</f>
        <v>https://www.ekn.kr/web/view.php?key=20250417025277974</v>
      </c>
      <c r="H10288">
        <v>0.36</v>
      </c>
    </row>
    <row r="10289" spans="1:8" x14ac:dyDescent="0.3">
      <c r="A10289" t="s">
        <v>25633</v>
      </c>
      <c r="B10289" t="s">
        <v>26951</v>
      </c>
      <c r="C10289" t="s">
        <v>25646</v>
      </c>
      <c r="D10289" t="s">
        <v>25645</v>
      </c>
      <c r="E10289" s="2" t="s">
        <v>725</v>
      </c>
      <c r="F10289" t="s">
        <v>4632</v>
      </c>
      <c r="G10289" t="str">
        <f>HYPERLINK("https://daily.hankooki.com/news/articleView.html?idxno=1225822")</f>
        <v>https://daily.hankooki.com/news/articleView.html?idxno=1225822</v>
      </c>
      <c r="H10289">
        <v>0.61699999999999999</v>
      </c>
    </row>
    <row r="10290" spans="1:8" x14ac:dyDescent="0.3">
      <c r="A10290" t="s">
        <v>25633</v>
      </c>
      <c r="B10290" t="s">
        <v>26951</v>
      </c>
      <c r="C10290" t="s">
        <v>25649</v>
      </c>
      <c r="D10290" t="s">
        <v>25648</v>
      </c>
      <c r="E10290" s="2" t="s">
        <v>799</v>
      </c>
      <c r="F10290" t="s">
        <v>25647</v>
      </c>
      <c r="G10290" t="str">
        <f>HYPERLINK("https://www.gosiweek.com/article/1065582010453665")</f>
        <v>https://www.gosiweek.com/article/1065582010453665</v>
      </c>
      <c r="H10290">
        <v>0.246</v>
      </c>
    </row>
    <row r="10291" spans="1:8" x14ac:dyDescent="0.3">
      <c r="A10291" t="s">
        <v>25633</v>
      </c>
      <c r="B10291" t="s">
        <v>26951</v>
      </c>
      <c r="C10291" t="s">
        <v>25651</v>
      </c>
      <c r="D10291" t="s">
        <v>25650</v>
      </c>
      <c r="E10291" s="2" t="s">
        <v>860</v>
      </c>
      <c r="F10291" t="s">
        <v>808</v>
      </c>
      <c r="G10291" t="str">
        <f>HYPERLINK("http://apnews.kr/View.aspx?No=912409")</f>
        <v>http://apnews.kr/View.aspx?No=912409</v>
      </c>
      <c r="H10291">
        <v>0.64400000000000002</v>
      </c>
    </row>
    <row r="10292" spans="1:8" x14ac:dyDescent="0.3">
      <c r="A10292" t="s">
        <v>25633</v>
      </c>
      <c r="B10292" t="s">
        <v>26951</v>
      </c>
      <c r="C10292" t="s">
        <v>25653</v>
      </c>
      <c r="D10292" t="s">
        <v>25652</v>
      </c>
      <c r="E10292" s="2" t="s">
        <v>860</v>
      </c>
      <c r="F10292" t="s">
        <v>5442</v>
      </c>
      <c r="G10292" t="str">
        <f>HYPERLINK("http://www.biztribune.co.kr/news/articleView.html?idxno=335959")</f>
        <v>http://www.biztribune.co.kr/news/articleView.html?idxno=335959</v>
      </c>
      <c r="H10292">
        <v>0.15</v>
      </c>
    </row>
    <row r="10293" spans="1:8" x14ac:dyDescent="0.3">
      <c r="A10293" t="s">
        <v>25633</v>
      </c>
      <c r="B10293" t="s">
        <v>26951</v>
      </c>
      <c r="C10293" t="s">
        <v>25655</v>
      </c>
      <c r="D10293" t="s">
        <v>25654</v>
      </c>
      <c r="E10293" s="2" t="s">
        <v>903</v>
      </c>
      <c r="F10293" t="s">
        <v>732</v>
      </c>
      <c r="G10293" t="str">
        <f>HYPERLINK("https://n.news.naver.com/mnews/article/006/0000130228?sid=154")</f>
        <v>https://n.news.naver.com/mnews/article/006/0000130228?sid=154</v>
      </c>
      <c r="H10293">
        <v>0.253</v>
      </c>
    </row>
    <row r="10294" spans="1:8" x14ac:dyDescent="0.3">
      <c r="A10294" t="s">
        <v>25656</v>
      </c>
      <c r="B10294" t="s">
        <v>26951</v>
      </c>
      <c r="C10294" t="s">
        <v>25659</v>
      </c>
      <c r="D10294" t="s">
        <v>25658</v>
      </c>
      <c r="E10294" s="2" t="s">
        <v>267</v>
      </c>
      <c r="F10294" t="s">
        <v>25657</v>
      </c>
      <c r="G10294" t="str">
        <f>HYPERLINK("https://n.news.naver.com/mnews/article/032/0003296104?sid=102")</f>
        <v>https://n.news.naver.com/mnews/article/032/0003296104?sid=102</v>
      </c>
      <c r="H10294">
        <v>0.38800000000000001</v>
      </c>
    </row>
    <row r="10295" spans="1:8" x14ac:dyDescent="0.3">
      <c r="A10295" t="s">
        <v>25660</v>
      </c>
      <c r="B10295" t="s">
        <v>26951</v>
      </c>
      <c r="C10295" t="s">
        <v>25663</v>
      </c>
      <c r="D10295" t="s">
        <v>25662</v>
      </c>
      <c r="E10295" s="2" t="s">
        <v>133</v>
      </c>
      <c r="F10295" t="s">
        <v>25661</v>
      </c>
      <c r="G10295" t="str">
        <f>HYPERLINK("https://www.apnews.kr/news/articleView.html?idxno=3018548")</f>
        <v>https://www.apnews.kr/news/articleView.html?idxno=3018548</v>
      </c>
      <c r="H10295">
        <v>0.376</v>
      </c>
    </row>
    <row r="10296" spans="1:8" x14ac:dyDescent="0.3">
      <c r="A10296" t="s">
        <v>25660</v>
      </c>
      <c r="B10296" t="s">
        <v>26951</v>
      </c>
      <c r="C10296" t="s">
        <v>25666</v>
      </c>
      <c r="D10296" t="s">
        <v>25665</v>
      </c>
      <c r="E10296" s="2" t="s">
        <v>196</v>
      </c>
      <c r="F10296" t="s">
        <v>25664</v>
      </c>
      <c r="G10296" t="str">
        <f>HYPERLINK("https://www.kyeongin.com/article/1739194")</f>
        <v>https://www.kyeongin.com/article/1739194</v>
      </c>
      <c r="H10296">
        <v>0.59899999999999998</v>
      </c>
    </row>
    <row r="10297" spans="1:8" x14ac:dyDescent="0.3">
      <c r="A10297" t="s">
        <v>25660</v>
      </c>
      <c r="B10297" t="s">
        <v>26951</v>
      </c>
      <c r="C10297" t="s">
        <v>25668</v>
      </c>
      <c r="D10297" t="s">
        <v>25667</v>
      </c>
      <c r="E10297" s="2" t="s">
        <v>230</v>
      </c>
      <c r="F10297" t="s">
        <v>715</v>
      </c>
      <c r="G10297" t="str">
        <f>HYPERLINK("https://n.news.naver.com/mnews/article/008/0005215792?sid=102")</f>
        <v>https://n.news.naver.com/mnews/article/008/0005215792?sid=102</v>
      </c>
      <c r="H10297">
        <v>0.20799999999999999</v>
      </c>
    </row>
    <row r="10298" spans="1:8" x14ac:dyDescent="0.3">
      <c r="A10298" t="s">
        <v>25660</v>
      </c>
      <c r="B10298" t="s">
        <v>26951</v>
      </c>
      <c r="C10298" t="s">
        <v>25670</v>
      </c>
      <c r="D10298" t="s">
        <v>25669</v>
      </c>
      <c r="E10298" s="2" t="s">
        <v>280</v>
      </c>
      <c r="F10298" t="s">
        <v>22704</v>
      </c>
      <c r="G10298" t="str">
        <f>HYPERLINK("http://www.joongboo.com/news/articleView.html?idxno=363465123")</f>
        <v>http://www.joongboo.com/news/articleView.html?idxno=363465123</v>
      </c>
      <c r="H10298">
        <v>0.40799999999999997</v>
      </c>
    </row>
    <row r="10299" spans="1:8" x14ac:dyDescent="0.3">
      <c r="A10299" t="s">
        <v>25660</v>
      </c>
      <c r="B10299" t="s">
        <v>26951</v>
      </c>
      <c r="C10299" t="s">
        <v>25672</v>
      </c>
      <c r="D10299" t="s">
        <v>25671</v>
      </c>
      <c r="E10299" s="2" t="s">
        <v>356</v>
      </c>
      <c r="F10299" t="s">
        <v>2046</v>
      </c>
      <c r="G10299" t="str">
        <f>HYPERLINK("https://www.kyeongin.com/article/1743204")</f>
        <v>https://www.kyeongin.com/article/1743204</v>
      </c>
      <c r="H10299">
        <v>0.98599999999999999</v>
      </c>
    </row>
    <row r="10300" spans="1:8" x14ac:dyDescent="0.3">
      <c r="A10300" t="s">
        <v>25660</v>
      </c>
      <c r="B10300" t="s">
        <v>26951</v>
      </c>
      <c r="C10300" t="s">
        <v>25674</v>
      </c>
      <c r="D10300" t="s">
        <v>25673</v>
      </c>
      <c r="E10300" s="2" t="s">
        <v>356</v>
      </c>
      <c r="F10300" t="s">
        <v>2046</v>
      </c>
      <c r="G10300" t="str">
        <f>HYPERLINK("https://www.kyeongin.com/article/1741716")</f>
        <v>https://www.kyeongin.com/article/1741716</v>
      </c>
      <c r="H10300">
        <v>0.99</v>
      </c>
    </row>
    <row r="10301" spans="1:8" x14ac:dyDescent="0.3">
      <c r="A10301" t="s">
        <v>25660</v>
      </c>
      <c r="B10301" t="s">
        <v>26951</v>
      </c>
      <c r="C10301" t="s">
        <v>25676</v>
      </c>
      <c r="D10301" t="s">
        <v>25675</v>
      </c>
      <c r="E10301" s="2" t="s">
        <v>356</v>
      </c>
      <c r="F10301" t="s">
        <v>22707</v>
      </c>
      <c r="G10301" t="str">
        <f>HYPERLINK("https://www.kyeongin.com/article/1743157")</f>
        <v>https://www.kyeongin.com/article/1743157</v>
      </c>
      <c r="H10301">
        <v>0.93</v>
      </c>
    </row>
    <row r="10302" spans="1:8" x14ac:dyDescent="0.3">
      <c r="A10302" t="s">
        <v>25660</v>
      </c>
      <c r="B10302" t="s">
        <v>26951</v>
      </c>
      <c r="C10302" t="s">
        <v>25679</v>
      </c>
      <c r="D10302" t="s">
        <v>25678</v>
      </c>
      <c r="E10302" s="2" t="s">
        <v>394</v>
      </c>
      <c r="F10302" t="s">
        <v>25677</v>
      </c>
      <c r="G10302" t="str">
        <f>HYPERLINK("https://n.news.naver.com/mnews/article/014/0005371345?sid=100")</f>
        <v>https://n.news.naver.com/mnews/article/014/0005371345?sid=100</v>
      </c>
      <c r="H10302">
        <v>0.20899999999999999</v>
      </c>
    </row>
    <row r="10303" spans="1:8" x14ac:dyDescent="0.3">
      <c r="A10303" t="s">
        <v>25660</v>
      </c>
      <c r="B10303" t="s">
        <v>26951</v>
      </c>
      <c r="C10303" t="s">
        <v>25682</v>
      </c>
      <c r="D10303" t="s">
        <v>25681</v>
      </c>
      <c r="E10303" s="2" t="s">
        <v>609</v>
      </c>
      <c r="F10303" t="s">
        <v>25680</v>
      </c>
      <c r="G10303" t="str">
        <f>HYPERLINK("https://www.apnews.kr/news/articleView.html?idxno=3010070")</f>
        <v>https://www.apnews.kr/news/articleView.html?idxno=3010070</v>
      </c>
      <c r="H10303">
        <v>0.45700000000000002</v>
      </c>
    </row>
    <row r="10304" spans="1:8" x14ac:dyDescent="0.3">
      <c r="A10304" t="s">
        <v>25660</v>
      </c>
      <c r="B10304" t="s">
        <v>26951</v>
      </c>
      <c r="C10304" t="s">
        <v>25685</v>
      </c>
      <c r="D10304" t="s">
        <v>25684</v>
      </c>
      <c r="E10304" s="2" t="s">
        <v>609</v>
      </c>
      <c r="F10304" t="s">
        <v>25683</v>
      </c>
      <c r="G10304" t="str">
        <f>HYPERLINK("http://www.kyeongin.com/main/view.php?key=20240527010002584")</f>
        <v>http://www.kyeongin.com/main/view.php?key=20240527010002584</v>
      </c>
      <c r="H10304">
        <v>0.53100000000000003</v>
      </c>
    </row>
    <row r="10305" spans="1:8" x14ac:dyDescent="0.3">
      <c r="A10305" t="s">
        <v>25660</v>
      </c>
      <c r="B10305" t="s">
        <v>26951</v>
      </c>
      <c r="C10305" t="s">
        <v>25687</v>
      </c>
      <c r="D10305" t="s">
        <v>25686</v>
      </c>
      <c r="E10305" s="2" t="s">
        <v>653</v>
      </c>
      <c r="F10305" t="s">
        <v>715</v>
      </c>
      <c r="G10305" t="str">
        <f>HYPERLINK("https://www.kyeongin.com/article/1742252")</f>
        <v>https://www.kyeongin.com/article/1742252</v>
      </c>
      <c r="H10305">
        <v>0.77300000000000002</v>
      </c>
    </row>
    <row r="10306" spans="1:8" x14ac:dyDescent="0.3">
      <c r="A10306" t="s">
        <v>25660</v>
      </c>
      <c r="B10306" t="s">
        <v>26951</v>
      </c>
      <c r="C10306" t="s">
        <v>25690</v>
      </c>
      <c r="D10306" t="s">
        <v>25689</v>
      </c>
      <c r="E10306" s="2" t="s">
        <v>692</v>
      </c>
      <c r="F10306" t="s">
        <v>25688</v>
      </c>
      <c r="G10306" t="str">
        <f>HYPERLINK("https://www.kyeongin.com/article/1742188")</f>
        <v>https://www.kyeongin.com/article/1742188</v>
      </c>
      <c r="H10306">
        <v>0.40200000000000002</v>
      </c>
    </row>
    <row r="10307" spans="1:8" x14ac:dyDescent="0.3">
      <c r="A10307" t="s">
        <v>25660</v>
      </c>
      <c r="B10307" t="s">
        <v>26951</v>
      </c>
      <c r="C10307" t="s">
        <v>25693</v>
      </c>
      <c r="D10307" t="s">
        <v>25692</v>
      </c>
      <c r="E10307" s="2" t="s">
        <v>692</v>
      </c>
      <c r="F10307" t="s">
        <v>25691</v>
      </c>
      <c r="G10307" t="str">
        <f>HYPERLINK("http://www.kyeongin.com/main/view.php?key=20220710010001509")</f>
        <v>http://www.kyeongin.com/main/view.php?key=20220710010001509</v>
      </c>
      <c r="H10307">
        <v>0.53400000000000003</v>
      </c>
    </row>
    <row r="10308" spans="1:8" x14ac:dyDescent="0.3">
      <c r="A10308" t="s">
        <v>25660</v>
      </c>
      <c r="B10308" t="s">
        <v>26951</v>
      </c>
      <c r="C10308" t="s">
        <v>25695</v>
      </c>
      <c r="D10308" t="s">
        <v>25694</v>
      </c>
      <c r="E10308" s="2" t="s">
        <v>711</v>
      </c>
      <c r="F10308" t="s">
        <v>715</v>
      </c>
      <c r="G10308" t="str">
        <f>HYPERLINK("https://www.kyeongin.com/article/1742108")</f>
        <v>https://www.kyeongin.com/article/1742108</v>
      </c>
      <c r="H10308">
        <v>0.63500000000000001</v>
      </c>
    </row>
    <row r="10309" spans="1:8" x14ac:dyDescent="0.3">
      <c r="A10309" t="s">
        <v>25660</v>
      </c>
      <c r="B10309" t="s">
        <v>26951</v>
      </c>
      <c r="C10309" t="s">
        <v>25697</v>
      </c>
      <c r="D10309" t="s">
        <v>25696</v>
      </c>
      <c r="E10309" s="2" t="s">
        <v>711</v>
      </c>
      <c r="F10309" t="s">
        <v>13130</v>
      </c>
      <c r="G10309" t="str">
        <f>HYPERLINK("https://www.kyeongin.com/article/1740998")</f>
        <v>https://www.kyeongin.com/article/1740998</v>
      </c>
      <c r="H10309">
        <v>0.95399999999999996</v>
      </c>
    </row>
    <row r="10310" spans="1:8" x14ac:dyDescent="0.3">
      <c r="A10310" t="s">
        <v>25660</v>
      </c>
      <c r="B10310" t="s">
        <v>26951</v>
      </c>
      <c r="C10310" t="s">
        <v>25700</v>
      </c>
      <c r="D10310" t="s">
        <v>25699</v>
      </c>
      <c r="E10310" s="2" t="s">
        <v>903</v>
      </c>
      <c r="F10310" t="s">
        <v>25698</v>
      </c>
      <c r="G10310" t="str">
        <f>HYPERLINK("http://www.ktsketch.co.kr/news/articleView.html?idxno=6738")</f>
        <v>http://www.ktsketch.co.kr/news/articleView.html?idxno=6738</v>
      </c>
      <c r="H10310">
        <v>0.38400000000000001</v>
      </c>
    </row>
    <row r="10311" spans="1:8" x14ac:dyDescent="0.3">
      <c r="A10311" t="s">
        <v>25701</v>
      </c>
      <c r="B10311" t="s">
        <v>26951</v>
      </c>
      <c r="C10311" t="s">
        <v>25703</v>
      </c>
      <c r="D10311" t="s">
        <v>25702</v>
      </c>
      <c r="E10311" s="2" t="s">
        <v>7</v>
      </c>
      <c r="F10311" t="s">
        <v>16340</v>
      </c>
      <c r="G10311" t="str">
        <f>HYPERLINK("http://www.idomin.com/news/articleView.html?idxno=744678")</f>
        <v>http://www.idomin.com/news/articleView.html?idxno=744678</v>
      </c>
      <c r="H10311">
        <v>0.155</v>
      </c>
    </row>
    <row r="10312" spans="1:8" x14ac:dyDescent="0.3">
      <c r="A10312" t="s">
        <v>25701</v>
      </c>
      <c r="B10312" t="s">
        <v>26951</v>
      </c>
      <c r="C10312" t="s">
        <v>25706</v>
      </c>
      <c r="D10312" t="s">
        <v>25705</v>
      </c>
      <c r="E10312" s="2" t="s">
        <v>105</v>
      </c>
      <c r="F10312" t="s">
        <v>25704</v>
      </c>
      <c r="G10312" t="str">
        <f>HYPERLINK("http://www.kmatimes.com/news/articleView.html?idxno=54295")</f>
        <v>http://www.kmatimes.com/news/articleView.html?idxno=54295</v>
      </c>
      <c r="H10312">
        <v>0.129</v>
      </c>
    </row>
    <row r="10313" spans="1:8" x14ac:dyDescent="0.3">
      <c r="A10313" t="s">
        <v>25701</v>
      </c>
      <c r="B10313" t="s">
        <v>26951</v>
      </c>
      <c r="C10313" t="s">
        <v>25709</v>
      </c>
      <c r="D10313" t="s">
        <v>25708</v>
      </c>
      <c r="E10313" s="2" t="s">
        <v>105</v>
      </c>
      <c r="F10313" t="s">
        <v>25707</v>
      </c>
      <c r="G10313" t="str">
        <f>HYPERLINK("http://www.enewstoday.co.kr/news/articleView.html?idxno=473765")</f>
        <v>http://www.enewstoday.co.kr/news/articleView.html?idxno=473765</v>
      </c>
      <c r="H10313">
        <v>0.34200000000000003</v>
      </c>
    </row>
    <row r="10314" spans="1:8" x14ac:dyDescent="0.3">
      <c r="A10314" t="s">
        <v>25701</v>
      </c>
      <c r="B10314" t="s">
        <v>26951</v>
      </c>
      <c r="C10314" t="s">
        <v>25711</v>
      </c>
      <c r="D10314" t="s">
        <v>25710</v>
      </c>
      <c r="E10314" s="2" t="s">
        <v>394</v>
      </c>
      <c r="F10314" t="s">
        <v>3663</v>
      </c>
      <c r="G10314" t="str">
        <f>HYPERLINK("http://www.newsmp.com/news/articleView.html?idxno=244497")</f>
        <v>http://www.newsmp.com/news/articleView.html?idxno=244497</v>
      </c>
      <c r="H10314">
        <v>0.49399999999999999</v>
      </c>
    </row>
    <row r="10315" spans="1:8" x14ac:dyDescent="0.3">
      <c r="A10315" t="s">
        <v>25701</v>
      </c>
      <c r="B10315" t="s">
        <v>26951</v>
      </c>
      <c r="C10315" t="s">
        <v>25713</v>
      </c>
      <c r="D10315" t="s">
        <v>25712</v>
      </c>
      <c r="E10315" s="2" t="s">
        <v>517</v>
      </c>
      <c r="F10315" t="s">
        <v>2855</v>
      </c>
      <c r="G10315" t="str">
        <f>HYPERLINK("https://n.news.naver.com/mnews/article/032/0003046136?sid=103")</f>
        <v>https://n.news.naver.com/mnews/article/032/0003046136?sid=103</v>
      </c>
      <c r="H10315">
        <v>0.38200000000000001</v>
      </c>
    </row>
    <row r="10316" spans="1:8" x14ac:dyDescent="0.3">
      <c r="A10316" t="s">
        <v>25701</v>
      </c>
      <c r="B10316" t="s">
        <v>26951</v>
      </c>
      <c r="C10316" t="s">
        <v>25715</v>
      </c>
      <c r="D10316" t="s">
        <v>25714</v>
      </c>
      <c r="E10316" s="2" t="s">
        <v>517</v>
      </c>
      <c r="F10316" t="s">
        <v>16340</v>
      </c>
      <c r="G10316" t="str">
        <f>HYPERLINK("https://n.news.naver.com/mnews/article/214/0001277518?sid=100")</f>
        <v>https://n.news.naver.com/mnews/article/214/0001277518?sid=100</v>
      </c>
      <c r="H10316">
        <v>0.30299999999999999</v>
      </c>
    </row>
    <row r="10317" spans="1:8" x14ac:dyDescent="0.3">
      <c r="A10317" t="s">
        <v>25701</v>
      </c>
      <c r="B10317" t="s">
        <v>26951</v>
      </c>
      <c r="C10317" t="s">
        <v>25717</v>
      </c>
      <c r="D10317" t="s">
        <v>25716</v>
      </c>
      <c r="E10317" s="2" t="s">
        <v>692</v>
      </c>
      <c r="F10317" t="s">
        <v>2046</v>
      </c>
      <c r="G10317" t="str">
        <f>HYPERLINK("https://n.news.naver.com/mnews/article/079/0003748982?sid=102")</f>
        <v>https://n.news.naver.com/mnews/article/079/0003748982?sid=102</v>
      </c>
      <c r="H10317">
        <v>0.37</v>
      </c>
    </row>
    <row r="10318" spans="1:8" x14ac:dyDescent="0.3">
      <c r="A10318" t="s">
        <v>25701</v>
      </c>
      <c r="B10318" t="s">
        <v>26951</v>
      </c>
      <c r="C10318" t="s">
        <v>25719</v>
      </c>
      <c r="D10318" t="s">
        <v>25718</v>
      </c>
      <c r="E10318" s="2" t="s">
        <v>692</v>
      </c>
      <c r="F10318" t="s">
        <v>2046</v>
      </c>
      <c r="G10318" t="str">
        <f>HYPERLINK("https://n.news.naver.com/mnews/article/079/0003748982?sid=102")</f>
        <v>https://n.news.naver.com/mnews/article/079/0003748982?sid=102</v>
      </c>
      <c r="H10318">
        <v>0.371</v>
      </c>
    </row>
    <row r="10319" spans="1:8" x14ac:dyDescent="0.3">
      <c r="A10319" t="s">
        <v>25701</v>
      </c>
      <c r="B10319" t="s">
        <v>26951</v>
      </c>
      <c r="C10319" t="s">
        <v>25721</v>
      </c>
      <c r="D10319" t="s">
        <v>25720</v>
      </c>
      <c r="E10319" s="2" t="s">
        <v>692</v>
      </c>
      <c r="F10319" t="s">
        <v>2046</v>
      </c>
      <c r="G10319" t="str">
        <f>HYPERLINK("https://n.news.naver.com/mnews/article/079/0003748982?sid=102")</f>
        <v>https://n.news.naver.com/mnews/article/079/0003748982?sid=102</v>
      </c>
      <c r="H10319">
        <v>0.36599999999999999</v>
      </c>
    </row>
    <row r="10320" spans="1:8" x14ac:dyDescent="0.3">
      <c r="A10320" t="s">
        <v>25701</v>
      </c>
      <c r="B10320" t="s">
        <v>26951</v>
      </c>
      <c r="C10320" t="s">
        <v>25723</v>
      </c>
      <c r="D10320" t="s">
        <v>25722</v>
      </c>
      <c r="E10320" s="2" t="s">
        <v>692</v>
      </c>
      <c r="F10320" t="s">
        <v>2046</v>
      </c>
      <c r="G10320" t="str">
        <f>HYPERLINK("https://n.news.naver.com/mnews/article/079/0003748982?sid=102")</f>
        <v>https://n.news.naver.com/mnews/article/079/0003748982?sid=102</v>
      </c>
      <c r="H10320">
        <v>0.36699999999999999</v>
      </c>
    </row>
    <row r="10321" spans="1:8" x14ac:dyDescent="0.3">
      <c r="A10321" t="s">
        <v>25701</v>
      </c>
      <c r="B10321" t="s">
        <v>26951</v>
      </c>
      <c r="C10321" t="s">
        <v>25725</v>
      </c>
      <c r="D10321" t="s">
        <v>25724</v>
      </c>
      <c r="E10321" s="2" t="s">
        <v>692</v>
      </c>
      <c r="F10321" t="s">
        <v>2046</v>
      </c>
      <c r="G10321" t="str">
        <f>HYPERLINK("http://www.gnnews.co.kr/news/articleView.html?idxno=231190")</f>
        <v>http://www.gnnews.co.kr/news/articleView.html?idxno=231190</v>
      </c>
      <c r="H10321">
        <v>0.998</v>
      </c>
    </row>
    <row r="10322" spans="1:8" x14ac:dyDescent="0.3">
      <c r="A10322" t="s">
        <v>25701</v>
      </c>
      <c r="B10322" t="s">
        <v>26951</v>
      </c>
      <c r="C10322" t="s">
        <v>25727</v>
      </c>
      <c r="D10322" t="s">
        <v>25726</v>
      </c>
      <c r="E10322" s="2" t="s">
        <v>692</v>
      </c>
      <c r="F10322" t="s">
        <v>2046</v>
      </c>
      <c r="G10322" t="str">
        <f>HYPERLINK("http://www.gnnews.co.kr/news/articleView.html?idxno=234834")</f>
        <v>http://www.gnnews.co.kr/news/articleView.html?idxno=234834</v>
      </c>
      <c r="H10322">
        <v>0.998</v>
      </c>
    </row>
    <row r="10323" spans="1:8" x14ac:dyDescent="0.3">
      <c r="A10323" t="s">
        <v>25701</v>
      </c>
      <c r="B10323" t="s">
        <v>26951</v>
      </c>
      <c r="C10323" t="s">
        <v>25729</v>
      </c>
      <c r="D10323" t="s">
        <v>25728</v>
      </c>
      <c r="E10323" s="2" t="s">
        <v>692</v>
      </c>
      <c r="F10323" t="s">
        <v>2046</v>
      </c>
      <c r="G10323" t="str">
        <f>HYPERLINK("https://n.news.naver.com/mnews/article/079/0003748982?sid=102")</f>
        <v>https://n.news.naver.com/mnews/article/079/0003748982?sid=102</v>
      </c>
      <c r="H10323">
        <v>0.374</v>
      </c>
    </row>
    <row r="10324" spans="1:8" x14ac:dyDescent="0.3">
      <c r="A10324" t="s">
        <v>25701</v>
      </c>
      <c r="B10324" t="s">
        <v>26951</v>
      </c>
      <c r="C10324" t="s">
        <v>25731</v>
      </c>
      <c r="D10324" t="s">
        <v>25730</v>
      </c>
      <c r="E10324" s="2" t="s">
        <v>692</v>
      </c>
      <c r="F10324" t="s">
        <v>2046</v>
      </c>
      <c r="G10324" t="str">
        <f>HYPERLINK("http://www.gnnews.co.kr/news/articleView.html?idxno=242437")</f>
        <v>http://www.gnnews.co.kr/news/articleView.html?idxno=242437</v>
      </c>
      <c r="H10324">
        <v>0.94199999999999995</v>
      </c>
    </row>
    <row r="10325" spans="1:8" x14ac:dyDescent="0.3">
      <c r="A10325" t="s">
        <v>25701</v>
      </c>
      <c r="B10325" t="s">
        <v>26951</v>
      </c>
      <c r="C10325" t="s">
        <v>25733</v>
      </c>
      <c r="D10325" t="s">
        <v>25732</v>
      </c>
      <c r="E10325" s="2" t="s">
        <v>692</v>
      </c>
      <c r="F10325" t="s">
        <v>2046</v>
      </c>
      <c r="G10325" t="str">
        <f>HYPERLINK("http://www.gnnews.co.kr/news/articleView.html?idxno=250516")</f>
        <v>http://www.gnnews.co.kr/news/articleView.html?idxno=250516</v>
      </c>
      <c r="H10325">
        <v>0.997</v>
      </c>
    </row>
    <row r="10326" spans="1:8" x14ac:dyDescent="0.3">
      <c r="A10326" t="s">
        <v>25701</v>
      </c>
      <c r="B10326" t="s">
        <v>26951</v>
      </c>
      <c r="C10326" t="s">
        <v>25735</v>
      </c>
      <c r="D10326" t="s">
        <v>25734</v>
      </c>
      <c r="E10326" s="2" t="s">
        <v>692</v>
      </c>
      <c r="F10326" t="s">
        <v>2046</v>
      </c>
      <c r="G10326" t="str">
        <f>HYPERLINK("http://www.gnnews.co.kr/news/articleView.html?idxno=252476")</f>
        <v>http://www.gnnews.co.kr/news/articleView.html?idxno=252476</v>
      </c>
      <c r="H10326">
        <v>0.86299999999999999</v>
      </c>
    </row>
    <row r="10327" spans="1:8" x14ac:dyDescent="0.3">
      <c r="A10327" t="s">
        <v>25701</v>
      </c>
      <c r="B10327" t="s">
        <v>26951</v>
      </c>
      <c r="C10327" t="s">
        <v>25737</v>
      </c>
      <c r="D10327" t="s">
        <v>25736</v>
      </c>
      <c r="E10327" s="2" t="s">
        <v>692</v>
      </c>
      <c r="F10327" t="s">
        <v>2046</v>
      </c>
      <c r="G10327" t="str">
        <f>HYPERLINK("https://n.news.naver.com/mnews/article/079/0003748982?sid=102")</f>
        <v>https://n.news.naver.com/mnews/article/079/0003748982?sid=102</v>
      </c>
      <c r="H10327">
        <v>0.35599999999999998</v>
      </c>
    </row>
    <row r="10328" spans="1:8" x14ac:dyDescent="0.3">
      <c r="A10328" t="s">
        <v>25701</v>
      </c>
      <c r="B10328" t="s">
        <v>26951</v>
      </c>
      <c r="C10328" t="s">
        <v>25739</v>
      </c>
      <c r="D10328" t="s">
        <v>25738</v>
      </c>
      <c r="E10328" s="2" t="s">
        <v>692</v>
      </c>
      <c r="F10328" t="s">
        <v>2046</v>
      </c>
      <c r="G10328" t="str">
        <f>HYPERLINK("https://n.news.naver.com/mnews/article/079/0003748982?sid=102")</f>
        <v>https://n.news.naver.com/mnews/article/079/0003748982?sid=102</v>
      </c>
      <c r="H10328">
        <v>0.35799999999999998</v>
      </c>
    </row>
    <row r="10329" spans="1:8" x14ac:dyDescent="0.3">
      <c r="A10329" t="s">
        <v>25701</v>
      </c>
      <c r="B10329" t="s">
        <v>26951</v>
      </c>
      <c r="C10329" t="s">
        <v>25741</v>
      </c>
      <c r="D10329" t="s">
        <v>25740</v>
      </c>
      <c r="E10329" s="2" t="s">
        <v>692</v>
      </c>
      <c r="F10329" t="s">
        <v>2046</v>
      </c>
      <c r="G10329" t="str">
        <f>HYPERLINK("https://n.news.naver.com/mnews/article/079/0003748982?sid=102")</f>
        <v>https://n.news.naver.com/mnews/article/079/0003748982?sid=102</v>
      </c>
      <c r="H10329">
        <v>0.36699999999999999</v>
      </c>
    </row>
    <row r="10330" spans="1:8" x14ac:dyDescent="0.3">
      <c r="A10330" t="s">
        <v>25701</v>
      </c>
      <c r="B10330" t="s">
        <v>26951</v>
      </c>
      <c r="C10330" t="s">
        <v>25743</v>
      </c>
      <c r="D10330" t="s">
        <v>25742</v>
      </c>
      <c r="E10330" s="2" t="s">
        <v>692</v>
      </c>
      <c r="F10330" t="s">
        <v>2046</v>
      </c>
      <c r="G10330" t="str">
        <f>HYPERLINK("http://www.gnnews.co.kr/news/articleView.html?idxno=283127")</f>
        <v>http://www.gnnews.co.kr/news/articleView.html?idxno=283127</v>
      </c>
      <c r="H10330">
        <v>0.999</v>
      </c>
    </row>
    <row r="10331" spans="1:8" x14ac:dyDescent="0.3">
      <c r="A10331" t="s">
        <v>25701</v>
      </c>
      <c r="B10331" t="s">
        <v>26951</v>
      </c>
      <c r="C10331" t="s">
        <v>25745</v>
      </c>
      <c r="D10331" t="s">
        <v>25744</v>
      </c>
      <c r="E10331" s="2" t="s">
        <v>692</v>
      </c>
      <c r="F10331" t="s">
        <v>2046</v>
      </c>
      <c r="G10331" t="str">
        <f>HYPERLINK("https://n.news.naver.com/mnews/article/079/0003748982?sid=102")</f>
        <v>https://n.news.naver.com/mnews/article/079/0003748982?sid=102</v>
      </c>
      <c r="H10331">
        <v>0.36699999999999999</v>
      </c>
    </row>
    <row r="10332" spans="1:8" x14ac:dyDescent="0.3">
      <c r="A10332" t="s">
        <v>25701</v>
      </c>
      <c r="B10332" t="s">
        <v>26951</v>
      </c>
      <c r="C10332" t="s">
        <v>25747</v>
      </c>
      <c r="D10332" t="s">
        <v>25746</v>
      </c>
      <c r="E10332" s="2" t="s">
        <v>692</v>
      </c>
      <c r="F10332" t="s">
        <v>2046</v>
      </c>
      <c r="G10332" t="str">
        <f>HYPERLINK("https://n.news.naver.com/mnews/article/079/0003748982?sid=102")</f>
        <v>https://n.news.naver.com/mnews/article/079/0003748982?sid=102</v>
      </c>
      <c r="H10332">
        <v>0.34599999999999997</v>
      </c>
    </row>
    <row r="10333" spans="1:8" x14ac:dyDescent="0.3">
      <c r="A10333" t="s">
        <v>25701</v>
      </c>
      <c r="B10333" t="s">
        <v>26951</v>
      </c>
      <c r="C10333" t="s">
        <v>25749</v>
      </c>
      <c r="D10333" t="s">
        <v>25748</v>
      </c>
      <c r="E10333" s="2" t="s">
        <v>692</v>
      </c>
      <c r="F10333" t="s">
        <v>2046</v>
      </c>
      <c r="G10333" t="str">
        <f>HYPERLINK("https://n.news.naver.com/mnews/article/079/0003748982?sid=102")</f>
        <v>https://n.news.naver.com/mnews/article/079/0003748982?sid=102</v>
      </c>
      <c r="H10333">
        <v>0.35299999999999998</v>
      </c>
    </row>
    <row r="10334" spans="1:8" x14ac:dyDescent="0.3">
      <c r="A10334" t="s">
        <v>25701</v>
      </c>
      <c r="B10334" t="s">
        <v>26951</v>
      </c>
      <c r="C10334" t="s">
        <v>25751</v>
      </c>
      <c r="D10334" t="s">
        <v>25750</v>
      </c>
      <c r="E10334" s="2" t="s">
        <v>692</v>
      </c>
      <c r="F10334" t="s">
        <v>2046</v>
      </c>
      <c r="G10334" t="str">
        <f>HYPERLINK("https://n.news.naver.com/mnews/article/079/0003748982?sid=102")</f>
        <v>https://n.news.naver.com/mnews/article/079/0003748982?sid=102</v>
      </c>
      <c r="H10334">
        <v>0.35299999999999998</v>
      </c>
    </row>
    <row r="10335" spans="1:8" x14ac:dyDescent="0.3">
      <c r="A10335" t="s">
        <v>25701</v>
      </c>
      <c r="B10335" t="s">
        <v>26951</v>
      </c>
      <c r="C10335" t="s">
        <v>25753</v>
      </c>
      <c r="D10335" t="s">
        <v>25752</v>
      </c>
      <c r="E10335" s="2" t="s">
        <v>692</v>
      </c>
      <c r="F10335" t="s">
        <v>2046</v>
      </c>
      <c r="G10335" t="str">
        <f>HYPERLINK("https://n.news.naver.com/mnews/article/079/0003748982?sid=102")</f>
        <v>https://n.news.naver.com/mnews/article/079/0003748982?sid=102</v>
      </c>
      <c r="H10335">
        <v>0.35499999999999998</v>
      </c>
    </row>
    <row r="10336" spans="1:8" x14ac:dyDescent="0.3">
      <c r="A10336" t="s">
        <v>25701</v>
      </c>
      <c r="B10336" t="s">
        <v>26951</v>
      </c>
      <c r="C10336" t="s">
        <v>25755</v>
      </c>
      <c r="D10336" t="s">
        <v>25754</v>
      </c>
      <c r="E10336" s="2" t="s">
        <v>692</v>
      </c>
      <c r="F10336" t="s">
        <v>2046</v>
      </c>
      <c r="G10336" t="str">
        <f>HYPERLINK("http://www.gnnews.co.kr/news/articleView.html?idxno=303764")</f>
        <v>http://www.gnnews.co.kr/news/articleView.html?idxno=303764</v>
      </c>
      <c r="H10336">
        <v>0.998</v>
      </c>
    </row>
    <row r="10337" spans="1:8" x14ac:dyDescent="0.3">
      <c r="A10337" t="s">
        <v>25701</v>
      </c>
      <c r="B10337" t="s">
        <v>26951</v>
      </c>
      <c r="C10337" t="s">
        <v>25757</v>
      </c>
      <c r="D10337" t="s">
        <v>25756</v>
      </c>
      <c r="E10337" s="2" t="s">
        <v>692</v>
      </c>
      <c r="F10337" t="s">
        <v>2046</v>
      </c>
      <c r="G10337" t="str">
        <f>HYPERLINK("http://www.gnnews.co.kr/news/articleView.html?idxno=307356")</f>
        <v>http://www.gnnews.co.kr/news/articleView.html?idxno=307356</v>
      </c>
      <c r="H10337">
        <v>0.999</v>
      </c>
    </row>
    <row r="10338" spans="1:8" x14ac:dyDescent="0.3">
      <c r="A10338" t="s">
        <v>25701</v>
      </c>
      <c r="B10338" t="s">
        <v>26951</v>
      </c>
      <c r="C10338" t="s">
        <v>25759</v>
      </c>
      <c r="D10338" t="s">
        <v>25758</v>
      </c>
      <c r="E10338" s="2" t="s">
        <v>692</v>
      </c>
      <c r="F10338" t="s">
        <v>2046</v>
      </c>
      <c r="G10338" t="str">
        <f>HYPERLINK("https://n.news.naver.com/mnews/article/022/0002377827?sid=103")</f>
        <v>https://n.news.naver.com/mnews/article/022/0002377827?sid=103</v>
      </c>
      <c r="H10338">
        <v>0.35599999999999998</v>
      </c>
    </row>
    <row r="10339" spans="1:8" x14ac:dyDescent="0.3">
      <c r="A10339" t="s">
        <v>25701</v>
      </c>
      <c r="B10339" t="s">
        <v>26951</v>
      </c>
      <c r="C10339" t="s">
        <v>25761</v>
      </c>
      <c r="D10339" t="s">
        <v>25760</v>
      </c>
      <c r="E10339" s="2" t="s">
        <v>692</v>
      </c>
      <c r="F10339" t="s">
        <v>2046</v>
      </c>
      <c r="G10339" t="str">
        <f>HYPERLINK("https://n.news.naver.com/mnews/article/079/0003748982?sid=102")</f>
        <v>https://n.news.naver.com/mnews/article/079/0003748982?sid=102</v>
      </c>
      <c r="H10339">
        <v>0.36099999999999999</v>
      </c>
    </row>
    <row r="10340" spans="1:8" x14ac:dyDescent="0.3">
      <c r="A10340" t="s">
        <v>25701</v>
      </c>
      <c r="B10340" t="s">
        <v>26951</v>
      </c>
      <c r="C10340" t="s">
        <v>25763</v>
      </c>
      <c r="D10340" t="s">
        <v>25762</v>
      </c>
      <c r="E10340" s="2" t="s">
        <v>692</v>
      </c>
      <c r="F10340" t="s">
        <v>2046</v>
      </c>
      <c r="G10340" t="str">
        <f>HYPERLINK("https://n.news.naver.com/mnews/article/079/0003748982?sid=102")</f>
        <v>https://n.news.naver.com/mnews/article/079/0003748982?sid=102</v>
      </c>
      <c r="H10340">
        <v>0.34799999999999998</v>
      </c>
    </row>
    <row r="10341" spans="1:8" x14ac:dyDescent="0.3">
      <c r="A10341" t="s">
        <v>25701</v>
      </c>
      <c r="B10341" t="s">
        <v>26951</v>
      </c>
      <c r="C10341" t="s">
        <v>25765</v>
      </c>
      <c r="D10341" t="s">
        <v>25764</v>
      </c>
      <c r="E10341" s="2" t="s">
        <v>692</v>
      </c>
      <c r="F10341" t="s">
        <v>2046</v>
      </c>
      <c r="G10341" t="str">
        <f>HYPERLINK("http://www.newsgn.com/307434")</f>
        <v>http://www.newsgn.com/307434</v>
      </c>
      <c r="H10341">
        <v>0.59599999999999997</v>
      </c>
    </row>
    <row r="10342" spans="1:8" x14ac:dyDescent="0.3">
      <c r="A10342" t="s">
        <v>25701</v>
      </c>
      <c r="B10342" t="s">
        <v>26951</v>
      </c>
      <c r="C10342" t="s">
        <v>25768</v>
      </c>
      <c r="D10342" t="s">
        <v>25767</v>
      </c>
      <c r="E10342" s="2" t="s">
        <v>692</v>
      </c>
      <c r="F10342" t="s">
        <v>25766</v>
      </c>
      <c r="G10342" t="str">
        <f>HYPERLINK("https://www.dnews.co.kr/uhtml/view.jsp?idxno=202506151105077760913")</f>
        <v>https://www.dnews.co.kr/uhtml/view.jsp?idxno=202506151105077760913</v>
      </c>
      <c r="H10342">
        <v>0.35499999999999998</v>
      </c>
    </row>
    <row r="10343" spans="1:8" x14ac:dyDescent="0.3">
      <c r="A10343" t="s">
        <v>25701</v>
      </c>
      <c r="B10343" t="s">
        <v>26951</v>
      </c>
      <c r="C10343" t="s">
        <v>25770</v>
      </c>
      <c r="D10343" t="s">
        <v>25769</v>
      </c>
      <c r="E10343" s="2" t="s">
        <v>692</v>
      </c>
      <c r="F10343" t="s">
        <v>2046</v>
      </c>
      <c r="G10343" t="str">
        <f>HYPERLINK("http://www.idomin.com/?mod=news&amp;act=articleView&amp;idxno=501042")</f>
        <v>http://www.idomin.com/?mod=news&amp;act=articleView&amp;idxno=501042</v>
      </c>
      <c r="H10343">
        <v>0.71499999999999997</v>
      </c>
    </row>
    <row r="10344" spans="1:8" x14ac:dyDescent="0.3">
      <c r="A10344" t="s">
        <v>25701</v>
      </c>
      <c r="B10344" t="s">
        <v>26951</v>
      </c>
      <c r="C10344" t="s">
        <v>25772</v>
      </c>
      <c r="D10344" t="s">
        <v>25771</v>
      </c>
      <c r="E10344" s="2" t="s">
        <v>711</v>
      </c>
      <c r="F10344" t="s">
        <v>2046</v>
      </c>
      <c r="G10344" t="str">
        <f>HYPERLINK("http://www.gnnews.co.kr/news/articleView.html?idxno=507389")</f>
        <v>http://www.gnnews.co.kr/news/articleView.html?idxno=507389</v>
      </c>
      <c r="H10344">
        <v>0.61</v>
      </c>
    </row>
    <row r="10345" spans="1:8" x14ac:dyDescent="0.3">
      <c r="A10345" t="s">
        <v>25701</v>
      </c>
      <c r="B10345" t="s">
        <v>26951</v>
      </c>
      <c r="C10345" t="s">
        <v>25774</v>
      </c>
      <c r="D10345" t="s">
        <v>25773</v>
      </c>
      <c r="E10345" s="2" t="s">
        <v>711</v>
      </c>
      <c r="F10345" t="s">
        <v>2046</v>
      </c>
      <c r="G10345" t="str">
        <f>HYPERLINK("http://www.gnnews.co.kr/news/articleView.html?idxno=507389")</f>
        <v>http://www.gnnews.co.kr/news/articleView.html?idxno=507389</v>
      </c>
      <c r="H10345">
        <v>0.872</v>
      </c>
    </row>
    <row r="10346" spans="1:8" x14ac:dyDescent="0.3">
      <c r="A10346" t="s">
        <v>25701</v>
      </c>
      <c r="B10346" t="s">
        <v>26951</v>
      </c>
      <c r="C10346" t="s">
        <v>25776</v>
      </c>
      <c r="D10346" t="s">
        <v>25775</v>
      </c>
      <c r="E10346" s="2" t="s">
        <v>742</v>
      </c>
      <c r="F10346" t="s">
        <v>304</v>
      </c>
      <c r="G10346" t="str">
        <f>HYPERLINK("https://www.ntoday.co.kr/news/articleView.html?idxno=106170")</f>
        <v>https://www.ntoday.co.kr/news/articleView.html?idxno=106170</v>
      </c>
      <c r="H10346">
        <v>0.626</v>
      </c>
    </row>
    <row r="10347" spans="1:8" x14ac:dyDescent="0.3">
      <c r="A10347" t="s">
        <v>25701</v>
      </c>
      <c r="B10347" t="s">
        <v>26951</v>
      </c>
      <c r="C10347" t="s">
        <v>25779</v>
      </c>
      <c r="D10347" t="s">
        <v>25778</v>
      </c>
      <c r="E10347" s="2" t="s">
        <v>799</v>
      </c>
      <c r="F10347" t="s">
        <v>25777</v>
      </c>
      <c r="G10347" t="str">
        <f>HYPERLINK("https://weekly.hankooki.com/news/articleView.html?idxno=7114315")</f>
        <v>https://weekly.hankooki.com/news/articleView.html?idxno=7114315</v>
      </c>
      <c r="H10347">
        <v>0.17899999999999999</v>
      </c>
    </row>
    <row r="10348" spans="1:8" x14ac:dyDescent="0.3">
      <c r="A10348" t="s">
        <v>25780</v>
      </c>
      <c r="B10348" t="s">
        <v>26951</v>
      </c>
      <c r="C10348" t="s">
        <v>25782</v>
      </c>
      <c r="D10348" t="s">
        <v>25781</v>
      </c>
      <c r="E10348" s="2" t="s">
        <v>742</v>
      </c>
      <c r="F10348" t="s">
        <v>4598</v>
      </c>
      <c r="G10348" t="str">
        <f>HYPERLINK("http://www.sisafocus.co.kr/news/articleView.html?idxno=342067")</f>
        <v>http://www.sisafocus.co.kr/news/articleView.html?idxno=342067</v>
      </c>
      <c r="H10348">
        <v>0.26700000000000002</v>
      </c>
    </row>
    <row r="10349" spans="1:8" x14ac:dyDescent="0.3">
      <c r="A10349" t="s">
        <v>25780</v>
      </c>
      <c r="B10349" t="s">
        <v>26951</v>
      </c>
      <c r="C10349" t="s">
        <v>25784</v>
      </c>
      <c r="D10349" t="s">
        <v>25783</v>
      </c>
      <c r="E10349" s="2" t="s">
        <v>903</v>
      </c>
      <c r="F10349" t="s">
        <v>22195</v>
      </c>
      <c r="G10349" t="str">
        <f>HYPERLINK("http://ilyo.co.kr/?ac=article_view&amp;entry_id=230810")</f>
        <v>http://ilyo.co.kr/?ac=article_view&amp;entry_id=230810</v>
      </c>
      <c r="H10349">
        <v>0.16600000000000001</v>
      </c>
    </row>
    <row r="10350" spans="1:8" x14ac:dyDescent="0.3">
      <c r="A10350" t="s">
        <v>25780</v>
      </c>
      <c r="B10350" t="s">
        <v>26951</v>
      </c>
      <c r="C10350" t="s">
        <v>25787</v>
      </c>
      <c r="D10350" t="s">
        <v>25786</v>
      </c>
      <c r="E10350" s="2" t="s">
        <v>572</v>
      </c>
      <c r="F10350" t="s">
        <v>25785</v>
      </c>
      <c r="G10350" t="str">
        <f>HYPERLINK("https://www.korea.kr/news/reporterView.do?newsId=148941181&amp;call_from=naver_news")</f>
        <v>https://www.korea.kr/news/reporterView.do?newsId=148941181&amp;call_from=naver_news</v>
      </c>
      <c r="H10350">
        <v>0.376</v>
      </c>
    </row>
    <row r="10351" spans="1:8" x14ac:dyDescent="0.3">
      <c r="A10351" t="s">
        <v>25780</v>
      </c>
      <c r="B10351" t="s">
        <v>26951</v>
      </c>
      <c r="C10351" t="s">
        <v>25789</v>
      </c>
      <c r="D10351" t="s">
        <v>25788</v>
      </c>
      <c r="E10351" s="2" t="s">
        <v>692</v>
      </c>
      <c r="F10351" t="s">
        <v>588</v>
      </c>
      <c r="G10351" t="str">
        <f>HYPERLINK("https://www.newscj.com/news/articleView.html?idxno=3288444")</f>
        <v>https://www.newscj.com/news/articleView.html?idxno=3288444</v>
      </c>
      <c r="H10351">
        <v>0.44600000000000001</v>
      </c>
    </row>
    <row r="10352" spans="1:8" x14ac:dyDescent="0.3">
      <c r="A10352" t="s">
        <v>25780</v>
      </c>
      <c r="B10352" t="s">
        <v>26951</v>
      </c>
      <c r="C10352" t="s">
        <v>25791</v>
      </c>
      <c r="D10352" t="s">
        <v>25790</v>
      </c>
      <c r="E10352" s="2" t="s">
        <v>725</v>
      </c>
      <c r="F10352" t="s">
        <v>22195</v>
      </c>
      <c r="G10352" t="str">
        <f>HYPERLINK("https://www.ablenews.co.kr/news/articleView.html?idxno=221901")</f>
        <v>https://www.ablenews.co.kr/news/articleView.html?idxno=221901</v>
      </c>
      <c r="H10352">
        <v>0.54</v>
      </c>
    </row>
    <row r="10353" spans="1:8" x14ac:dyDescent="0.3">
      <c r="A10353" t="s">
        <v>25780</v>
      </c>
      <c r="B10353" t="s">
        <v>26951</v>
      </c>
      <c r="C10353" t="s">
        <v>25794</v>
      </c>
      <c r="D10353" t="s">
        <v>25793</v>
      </c>
      <c r="E10353" s="2" t="s">
        <v>517</v>
      </c>
      <c r="F10353" t="s">
        <v>25792</v>
      </c>
      <c r="G10353" t="str">
        <f>HYPERLINK("http://www.greened.kr/news/articleView.html?idxno=302226")</f>
        <v>http://www.greened.kr/news/articleView.html?idxno=302226</v>
      </c>
      <c r="H10353">
        <v>0.184</v>
      </c>
    </row>
    <row r="10354" spans="1:8" x14ac:dyDescent="0.3">
      <c r="A10354" t="s">
        <v>25780</v>
      </c>
      <c r="B10354" t="s">
        <v>26951</v>
      </c>
      <c r="C10354" t="s">
        <v>25796</v>
      </c>
      <c r="D10354" t="s">
        <v>25795</v>
      </c>
      <c r="E10354" s="2" t="s">
        <v>538</v>
      </c>
      <c r="F10354" t="s">
        <v>19771</v>
      </c>
      <c r="G10354" t="str">
        <f>HYPERLINK("https://www.asiatoday.co.kr/view.php?key=20250604001513171")</f>
        <v>https://www.asiatoday.co.kr/view.php?key=20250604001513171</v>
      </c>
      <c r="H10354">
        <v>0.124</v>
      </c>
    </row>
    <row r="10355" spans="1:8" x14ac:dyDescent="0.3">
      <c r="A10355" t="s">
        <v>25780</v>
      </c>
      <c r="B10355" t="s">
        <v>26951</v>
      </c>
      <c r="C10355" t="s">
        <v>25799</v>
      </c>
      <c r="D10355" t="s">
        <v>25798</v>
      </c>
      <c r="E10355" s="2" t="s">
        <v>418</v>
      </c>
      <c r="F10355" t="s">
        <v>5406</v>
      </c>
      <c r="G10355" t="str">
        <f>HYPERLINK("http://www.mediafine.co.kr/news/articleView.html?idxno=10299")</f>
        <v>http://www.mediafine.co.kr/news/articleView.html?idxno=10299</v>
      </c>
      <c r="H10355">
        <v>0.33400000000000002</v>
      </c>
    </row>
    <row r="10356" spans="1:8" x14ac:dyDescent="0.3">
      <c r="A10356" t="s">
        <v>25780</v>
      </c>
      <c r="B10356" t="s">
        <v>26951</v>
      </c>
      <c r="C10356" t="s">
        <v>25802</v>
      </c>
      <c r="D10356" t="s">
        <v>25801</v>
      </c>
      <c r="E10356" s="2" t="s">
        <v>267</v>
      </c>
      <c r="F10356" t="s">
        <v>25800</v>
      </c>
      <c r="G10356" t="str">
        <f>HYPERLINK("https://n.news.naver.com/mnews/article/016/0002488378?sid=103")</f>
        <v>https://n.news.naver.com/mnews/article/016/0002488378?sid=103</v>
      </c>
      <c r="H10356">
        <v>0.21</v>
      </c>
    </row>
    <row r="10357" spans="1:8" x14ac:dyDescent="0.3">
      <c r="A10357" t="s">
        <v>25780</v>
      </c>
      <c r="B10357" t="s">
        <v>26951</v>
      </c>
      <c r="C10357" t="s">
        <v>25804</v>
      </c>
      <c r="D10357" t="s">
        <v>25803</v>
      </c>
      <c r="E10357" s="2" t="s">
        <v>7</v>
      </c>
      <c r="F10357" t="s">
        <v>12744</v>
      </c>
      <c r="G10357" t="str">
        <f>HYPERLINK("https://n.news.naver.com/mnews/article/057/0001892608?sid=102")</f>
        <v>https://n.news.naver.com/mnews/article/057/0001892608?sid=102</v>
      </c>
      <c r="H10357">
        <v>0.28399999999999997</v>
      </c>
    </row>
    <row r="10358" spans="1:8" x14ac:dyDescent="0.3">
      <c r="A10358" t="s">
        <v>25780</v>
      </c>
      <c r="B10358" t="s">
        <v>26951</v>
      </c>
      <c r="C10358" t="s">
        <v>25807</v>
      </c>
      <c r="D10358" t="s">
        <v>25806</v>
      </c>
      <c r="E10358" s="2" t="s">
        <v>7</v>
      </c>
      <c r="F10358" t="s">
        <v>25805</v>
      </c>
      <c r="G10358" t="str">
        <f>HYPERLINK("http://www.100ssd.co.kr/news/articleView.html?idxno=117411")</f>
        <v>http://www.100ssd.co.kr/news/articleView.html?idxno=117411</v>
      </c>
      <c r="H10358">
        <v>0.58299999999999996</v>
      </c>
    </row>
    <row r="10359" spans="1:8" x14ac:dyDescent="0.3">
      <c r="A10359" t="s">
        <v>25780</v>
      </c>
      <c r="B10359" t="s">
        <v>26951</v>
      </c>
      <c r="C10359" t="s">
        <v>25809</v>
      </c>
      <c r="D10359" t="s">
        <v>25808</v>
      </c>
      <c r="E10359" s="2" t="s">
        <v>105</v>
      </c>
      <c r="F10359" t="s">
        <v>25797</v>
      </c>
      <c r="G10359" t="str">
        <f>HYPERLINK("https://www.asiatoday.co.kr/view.php?key=20250627010014547")</f>
        <v>https://www.asiatoday.co.kr/view.php?key=20250627010014547</v>
      </c>
      <c r="H10359">
        <v>4.8000000000000001E-2</v>
      </c>
    </row>
    <row r="10360" spans="1:8" x14ac:dyDescent="0.3">
      <c r="A10360" t="s">
        <v>25780</v>
      </c>
      <c r="B10360" t="s">
        <v>26951</v>
      </c>
      <c r="C10360" t="s">
        <v>25811</v>
      </c>
      <c r="D10360" t="s">
        <v>25810</v>
      </c>
      <c r="E10360" s="2" t="s">
        <v>133</v>
      </c>
      <c r="F10360" t="s">
        <v>1336</v>
      </c>
      <c r="G10360" t="str">
        <f>HYPERLINK("https://www.ajunews.com/view/20220927075419812")</f>
        <v>https://www.ajunews.com/view/20220927075419812</v>
      </c>
      <c r="H10360">
        <v>0.105</v>
      </c>
    </row>
    <row r="10361" spans="1:8" x14ac:dyDescent="0.3">
      <c r="A10361" t="s">
        <v>25812</v>
      </c>
      <c r="B10361" t="s">
        <v>26951</v>
      </c>
      <c r="C10361" t="s">
        <v>25814</v>
      </c>
      <c r="D10361" t="s">
        <v>25813</v>
      </c>
      <c r="E10361" s="2" t="s">
        <v>7</v>
      </c>
      <c r="F10361" t="s">
        <v>2046</v>
      </c>
      <c r="G10361" t="str">
        <f>HYPERLINK("https://www.idaegu.co.kr/news/articleView.html?idxno=514705")</f>
        <v>https://www.idaegu.co.kr/news/articleView.html?idxno=514705</v>
      </c>
      <c r="H10361">
        <v>0.98199999999999998</v>
      </c>
    </row>
    <row r="10362" spans="1:8" x14ac:dyDescent="0.3">
      <c r="A10362" t="s">
        <v>25812</v>
      </c>
      <c r="B10362" t="s">
        <v>26951</v>
      </c>
      <c r="C10362" t="s">
        <v>25817</v>
      </c>
      <c r="D10362" t="s">
        <v>25816</v>
      </c>
      <c r="E10362" s="2" t="s">
        <v>105</v>
      </c>
      <c r="F10362" t="s">
        <v>25815</v>
      </c>
      <c r="G10362" t="str">
        <f>HYPERLINK("https://www.greened.kr/news/articleView.html?idxno=322854")</f>
        <v>https://www.greened.kr/news/articleView.html?idxno=322854</v>
      </c>
      <c r="H10362">
        <v>0.38600000000000001</v>
      </c>
    </row>
    <row r="10363" spans="1:8" x14ac:dyDescent="0.3">
      <c r="A10363" t="s">
        <v>25812</v>
      </c>
      <c r="B10363" t="s">
        <v>26951</v>
      </c>
      <c r="C10363" t="s">
        <v>25820</v>
      </c>
      <c r="D10363" t="s">
        <v>25819</v>
      </c>
      <c r="E10363" s="2" t="s">
        <v>133</v>
      </c>
      <c r="F10363" t="s">
        <v>25818</v>
      </c>
      <c r="G10363" t="str">
        <f>HYPERLINK("http://www.travie.com/news/articleView.html?idxno=21560")</f>
        <v>http://www.travie.com/news/articleView.html?idxno=21560</v>
      </c>
      <c r="H10363">
        <v>0.42</v>
      </c>
    </row>
    <row r="10364" spans="1:8" x14ac:dyDescent="0.3">
      <c r="A10364" t="s">
        <v>25812</v>
      </c>
      <c r="B10364" t="s">
        <v>26951</v>
      </c>
      <c r="C10364" t="s">
        <v>25822</v>
      </c>
      <c r="D10364" t="s">
        <v>25821</v>
      </c>
      <c r="E10364" s="2" t="s">
        <v>267</v>
      </c>
      <c r="F10364" t="s">
        <v>25818</v>
      </c>
      <c r="G10364" t="str">
        <f>HYPERLINK("https://www.greened.kr/news/articleView.html?idxno=316137")</f>
        <v>https://www.greened.kr/news/articleView.html?idxno=316137</v>
      </c>
      <c r="H10364">
        <v>0.58099999999999996</v>
      </c>
    </row>
    <row r="10365" spans="1:8" x14ac:dyDescent="0.3">
      <c r="A10365" t="s">
        <v>25812</v>
      </c>
      <c r="B10365" t="s">
        <v>26951</v>
      </c>
      <c r="C10365" t="s">
        <v>25824</v>
      </c>
      <c r="D10365" t="s">
        <v>25823</v>
      </c>
      <c r="E10365" s="2" t="s">
        <v>394</v>
      </c>
      <c r="F10365" t="s">
        <v>25818</v>
      </c>
      <c r="G10365" t="str">
        <f>HYPERLINK("http://www.impacton.net/news/articleView.html?idxno=15550")</f>
        <v>http://www.impacton.net/news/articleView.html?idxno=15550</v>
      </c>
      <c r="H10365">
        <v>0.501</v>
      </c>
    </row>
    <row r="10366" spans="1:8" x14ac:dyDescent="0.3">
      <c r="A10366" t="s">
        <v>25812</v>
      </c>
      <c r="B10366" t="s">
        <v>26951</v>
      </c>
      <c r="C10366" t="s">
        <v>25826</v>
      </c>
      <c r="D10366" t="s">
        <v>25825</v>
      </c>
      <c r="E10366" s="2" t="s">
        <v>418</v>
      </c>
      <c r="F10366" t="s">
        <v>2046</v>
      </c>
      <c r="G10366" t="str">
        <f>HYPERLINK("http://www.naeil.com/news_view/?id_art=466149")</f>
        <v>http://www.naeil.com/news_view/?id_art=466149</v>
      </c>
      <c r="H10366">
        <v>0.60199999999999998</v>
      </c>
    </row>
    <row r="10367" spans="1:8" x14ac:dyDescent="0.3">
      <c r="A10367" t="s">
        <v>25812</v>
      </c>
      <c r="B10367" t="s">
        <v>26951</v>
      </c>
      <c r="C10367" t="s">
        <v>25828</v>
      </c>
      <c r="D10367" t="s">
        <v>25827</v>
      </c>
      <c r="E10367" s="2" t="s">
        <v>481</v>
      </c>
      <c r="F10367" t="s">
        <v>2428</v>
      </c>
      <c r="G10367" t="str">
        <f>HYPERLINK("https://www.bizhankook.com/bk/article/29882")</f>
        <v>https://www.bizhankook.com/bk/article/29882</v>
      </c>
      <c r="H10367">
        <v>0.42599999999999999</v>
      </c>
    </row>
    <row r="10368" spans="1:8" x14ac:dyDescent="0.3">
      <c r="A10368" t="s">
        <v>25812</v>
      </c>
      <c r="B10368" t="s">
        <v>26951</v>
      </c>
      <c r="C10368" t="s">
        <v>25830</v>
      </c>
      <c r="D10368" t="s">
        <v>25829</v>
      </c>
      <c r="E10368" s="2" t="s">
        <v>572</v>
      </c>
      <c r="F10368" t="s">
        <v>25818</v>
      </c>
      <c r="G10368" t="str">
        <f>HYPERLINK("https://www.greened.kr/news/articleView.html?idxno=318810")</f>
        <v>https://www.greened.kr/news/articleView.html?idxno=318810</v>
      </c>
      <c r="H10368">
        <v>0.52200000000000002</v>
      </c>
    </row>
    <row r="10369" spans="1:8" x14ac:dyDescent="0.3">
      <c r="A10369" t="s">
        <v>25812</v>
      </c>
      <c r="B10369" t="s">
        <v>26951</v>
      </c>
      <c r="C10369" t="s">
        <v>25833</v>
      </c>
      <c r="D10369" t="s">
        <v>25832</v>
      </c>
      <c r="E10369" s="2" t="s">
        <v>572</v>
      </c>
      <c r="F10369" t="s">
        <v>25831</v>
      </c>
      <c r="G10369" t="str">
        <f>HYPERLINK("https://www.idaegu.co.kr/news/articleView.html?idxno=513007")</f>
        <v>https://www.idaegu.co.kr/news/articleView.html?idxno=513007</v>
      </c>
      <c r="H10369">
        <v>0.76700000000000002</v>
      </c>
    </row>
    <row r="10370" spans="1:8" x14ac:dyDescent="0.3">
      <c r="A10370" t="s">
        <v>25812</v>
      </c>
      <c r="B10370" t="s">
        <v>26951</v>
      </c>
      <c r="C10370" t="s">
        <v>25835</v>
      </c>
      <c r="D10370" t="s">
        <v>25834</v>
      </c>
      <c r="E10370" s="2" t="s">
        <v>609</v>
      </c>
      <c r="F10370" t="s">
        <v>2046</v>
      </c>
      <c r="G10370" t="str">
        <f>HYPERLINK("https://www.idaegu.co.kr/news/articleView.html?idxno=512580")</f>
        <v>https://www.idaegu.co.kr/news/articleView.html?idxno=512580</v>
      </c>
      <c r="H10370">
        <v>0.98899999999999999</v>
      </c>
    </row>
    <row r="10371" spans="1:8" x14ac:dyDescent="0.3">
      <c r="A10371" t="s">
        <v>25812</v>
      </c>
      <c r="B10371" t="s">
        <v>26951</v>
      </c>
      <c r="C10371" t="s">
        <v>25837</v>
      </c>
      <c r="D10371" t="s">
        <v>25836</v>
      </c>
      <c r="E10371" s="2" t="s">
        <v>725</v>
      </c>
      <c r="F10371" t="s">
        <v>2046</v>
      </c>
      <c r="G10371" t="str">
        <f>HYPERLINK("https://www.idaegu.co.kr/news/articleView.html?idxno=512244")</f>
        <v>https://www.idaegu.co.kr/news/articleView.html?idxno=512244</v>
      </c>
      <c r="H10371">
        <v>0.997</v>
      </c>
    </row>
    <row r="10372" spans="1:8" x14ac:dyDescent="0.3">
      <c r="A10372" t="s">
        <v>25812</v>
      </c>
      <c r="B10372" t="s">
        <v>26951</v>
      </c>
      <c r="C10372" t="s">
        <v>25839</v>
      </c>
      <c r="D10372" t="s">
        <v>25838</v>
      </c>
      <c r="E10372" s="2" t="s">
        <v>742</v>
      </c>
      <c r="F10372" t="s">
        <v>2046</v>
      </c>
      <c r="G10372" t="str">
        <f>HYPERLINK("https://www.idaegu.co.kr/news/articleView.html?idxno=512128")</f>
        <v>https://www.idaegu.co.kr/news/articleView.html?idxno=512128</v>
      </c>
      <c r="H10372">
        <v>0.999</v>
      </c>
    </row>
    <row r="10373" spans="1:8" x14ac:dyDescent="0.3">
      <c r="A10373" t="s">
        <v>25812</v>
      </c>
      <c r="B10373" t="s">
        <v>26951</v>
      </c>
      <c r="C10373" t="s">
        <v>25841</v>
      </c>
      <c r="D10373" t="s">
        <v>25840</v>
      </c>
      <c r="E10373" s="2" t="s">
        <v>860</v>
      </c>
      <c r="F10373" t="s">
        <v>13809</v>
      </c>
      <c r="G10373" t="str">
        <f>HYPERLINK("https://n.news.naver.com/mnews/article/032/0002309972?sid=103")</f>
        <v>https://n.news.naver.com/mnews/article/032/0002309972?sid=103</v>
      </c>
      <c r="H10373">
        <v>0.121</v>
      </c>
    </row>
    <row r="10374" spans="1:8" x14ac:dyDescent="0.3">
      <c r="A10374" t="s">
        <v>25842</v>
      </c>
      <c r="B10374" t="s">
        <v>26951</v>
      </c>
      <c r="C10374" t="s">
        <v>25845</v>
      </c>
      <c r="D10374" t="s">
        <v>25844</v>
      </c>
      <c r="E10374" s="2" t="s">
        <v>66</v>
      </c>
      <c r="F10374" t="s">
        <v>25843</v>
      </c>
      <c r="G10374" t="str">
        <f>HYPERLINK("https://www.ilyoseoul.co.kr/news/articleView.html?idxno=501729")</f>
        <v>https://www.ilyoseoul.co.kr/news/articleView.html?idxno=501729</v>
      </c>
      <c r="H10374">
        <v>0.44700000000000001</v>
      </c>
    </row>
    <row r="10375" spans="1:8" x14ac:dyDescent="0.3">
      <c r="A10375" t="s">
        <v>25842</v>
      </c>
      <c r="B10375" t="s">
        <v>26951</v>
      </c>
      <c r="C10375" t="s">
        <v>25847</v>
      </c>
      <c r="D10375" t="s">
        <v>25846</v>
      </c>
      <c r="E10375" s="2" t="s">
        <v>66</v>
      </c>
      <c r="F10375" t="s">
        <v>25843</v>
      </c>
      <c r="G10375" t="str">
        <f>HYPERLINK("https://www.dkilbo.com/news/articleView.html?idxno=502835")</f>
        <v>https://www.dkilbo.com/news/articleView.html?idxno=502835</v>
      </c>
      <c r="H10375">
        <v>0.83399999999999996</v>
      </c>
    </row>
    <row r="10376" spans="1:8" x14ac:dyDescent="0.3">
      <c r="A10376" t="s">
        <v>25842</v>
      </c>
      <c r="B10376" t="s">
        <v>26951</v>
      </c>
      <c r="C10376" t="s">
        <v>25849</v>
      </c>
      <c r="D10376" t="s">
        <v>25848</v>
      </c>
      <c r="E10376" s="2" t="s">
        <v>133</v>
      </c>
      <c r="F10376" t="s">
        <v>25843</v>
      </c>
      <c r="G10376" t="str">
        <f>HYPERLINK("https://www.yeongnam.com/web/view.php?key=20250625026228550")</f>
        <v>https://www.yeongnam.com/web/view.php?key=20250625026228550</v>
      </c>
      <c r="H10376">
        <v>0.745</v>
      </c>
    </row>
    <row r="10377" spans="1:8" x14ac:dyDescent="0.3">
      <c r="A10377" t="s">
        <v>25842</v>
      </c>
      <c r="B10377" t="s">
        <v>26951</v>
      </c>
      <c r="C10377" t="s">
        <v>25852</v>
      </c>
      <c r="D10377" t="s">
        <v>25851</v>
      </c>
      <c r="E10377" s="2" t="s">
        <v>356</v>
      </c>
      <c r="F10377" t="s">
        <v>25850</v>
      </c>
      <c r="G10377" t="str">
        <f>HYPERLINK("https://n.news.naver.com/mnews/article/022/0003485630?sid=102")</f>
        <v>https://n.news.naver.com/mnews/article/022/0003485630?sid=102</v>
      </c>
      <c r="H10377">
        <v>0.26900000000000002</v>
      </c>
    </row>
    <row r="10378" spans="1:8" x14ac:dyDescent="0.3">
      <c r="A10378" t="s">
        <v>25842</v>
      </c>
      <c r="B10378" t="s">
        <v>26951</v>
      </c>
      <c r="C10378" t="s">
        <v>25854</v>
      </c>
      <c r="D10378" t="s">
        <v>25853</v>
      </c>
      <c r="E10378" s="2" t="s">
        <v>394</v>
      </c>
      <c r="F10378" t="s">
        <v>23430</v>
      </c>
      <c r="G10378" t="str">
        <f>HYPERLINK("https://www.idaegu.com/news/articleView.html?idxno=640637")</f>
        <v>https://www.idaegu.com/news/articleView.html?idxno=640637</v>
      </c>
      <c r="H10378">
        <v>0.96799999999999997</v>
      </c>
    </row>
    <row r="10379" spans="1:8" x14ac:dyDescent="0.3">
      <c r="A10379" t="s">
        <v>25842</v>
      </c>
      <c r="B10379" t="s">
        <v>26951</v>
      </c>
      <c r="C10379" t="s">
        <v>25857</v>
      </c>
      <c r="D10379" t="s">
        <v>25856</v>
      </c>
      <c r="E10379" s="2" t="s">
        <v>418</v>
      </c>
      <c r="F10379" t="s">
        <v>25855</v>
      </c>
      <c r="G10379" t="str">
        <f>HYPERLINK("http://www.kihoilbo.co.kr/news/articleView.html?idxno=1148130")</f>
        <v>http://www.kihoilbo.co.kr/news/articleView.html?idxno=1148130</v>
      </c>
      <c r="H10379">
        <v>0.57299999999999995</v>
      </c>
    </row>
    <row r="10380" spans="1:8" x14ac:dyDescent="0.3">
      <c r="A10380" t="s">
        <v>25842</v>
      </c>
      <c r="B10380" t="s">
        <v>26951</v>
      </c>
      <c r="C10380" t="s">
        <v>25860</v>
      </c>
      <c r="D10380" t="s">
        <v>25859</v>
      </c>
      <c r="E10380" s="2" t="s">
        <v>481</v>
      </c>
      <c r="F10380" t="s">
        <v>25858</v>
      </c>
      <c r="G10380" t="str">
        <f>HYPERLINK("https://www.yeongnam.com/web/view.php?key=20250618029216634")</f>
        <v>https://www.yeongnam.com/web/view.php?key=20250618029216634</v>
      </c>
      <c r="H10380">
        <v>0.51500000000000001</v>
      </c>
    </row>
    <row r="10381" spans="1:8" x14ac:dyDescent="0.3">
      <c r="A10381" t="s">
        <v>25842</v>
      </c>
      <c r="B10381" t="s">
        <v>26951</v>
      </c>
      <c r="C10381" t="s">
        <v>25862</v>
      </c>
      <c r="D10381" t="s">
        <v>25861</v>
      </c>
      <c r="E10381" s="2" t="s">
        <v>481</v>
      </c>
      <c r="F10381" t="s">
        <v>7550</v>
      </c>
      <c r="G10381" t="str">
        <f>HYPERLINK("https://www.idaegu.com/news/articleView.html?idxno=640159")</f>
        <v>https://www.idaegu.com/news/articleView.html?idxno=640159</v>
      </c>
      <c r="H10381">
        <v>0.86699999999999999</v>
      </c>
    </row>
    <row r="10382" spans="1:8" x14ac:dyDescent="0.3">
      <c r="A10382" t="s">
        <v>25842</v>
      </c>
      <c r="B10382" t="s">
        <v>26951</v>
      </c>
      <c r="C10382" t="s">
        <v>25864</v>
      </c>
      <c r="D10382" t="s">
        <v>25863</v>
      </c>
      <c r="E10382" s="2" t="s">
        <v>502</v>
      </c>
      <c r="F10382" t="s">
        <v>2046</v>
      </c>
      <c r="G10382" t="str">
        <f>HYPERLINK("https://www.idaegu.com/news/articleView.html?idxno=640132")</f>
        <v>https://www.idaegu.com/news/articleView.html?idxno=640132</v>
      </c>
      <c r="H10382">
        <v>0.996</v>
      </c>
    </row>
    <row r="10383" spans="1:8" x14ac:dyDescent="0.3">
      <c r="A10383" t="s">
        <v>25842</v>
      </c>
      <c r="B10383" t="s">
        <v>26951</v>
      </c>
      <c r="C10383" t="s">
        <v>25866</v>
      </c>
      <c r="D10383" t="s">
        <v>25865</v>
      </c>
      <c r="E10383" s="2" t="s">
        <v>517</v>
      </c>
      <c r="F10383" t="s">
        <v>2046</v>
      </c>
      <c r="G10383" t="str">
        <f>HYPERLINK("https://www.idaegu.com/news/articleView.html?idxno=640099")</f>
        <v>https://www.idaegu.com/news/articleView.html?idxno=640099</v>
      </c>
      <c r="H10383">
        <v>0.99</v>
      </c>
    </row>
    <row r="10384" spans="1:8" x14ac:dyDescent="0.3">
      <c r="A10384" t="s">
        <v>25842</v>
      </c>
      <c r="B10384" t="s">
        <v>26951</v>
      </c>
      <c r="C10384" t="s">
        <v>25868</v>
      </c>
      <c r="D10384" t="s">
        <v>25867</v>
      </c>
      <c r="E10384" s="2" t="s">
        <v>517</v>
      </c>
      <c r="F10384" t="s">
        <v>2035</v>
      </c>
      <c r="G10384" t="str">
        <f>HYPERLINK("https://www.idaegu.com/news/articleView.html?idxno=624531")</f>
        <v>https://www.idaegu.com/news/articleView.html?idxno=624531</v>
      </c>
      <c r="H10384">
        <v>0.71399999999999997</v>
      </c>
    </row>
    <row r="10385" spans="1:8" x14ac:dyDescent="0.3">
      <c r="A10385" t="s">
        <v>25842</v>
      </c>
      <c r="B10385" t="s">
        <v>26951</v>
      </c>
      <c r="C10385" t="s">
        <v>25870</v>
      </c>
      <c r="D10385" t="s">
        <v>25869</v>
      </c>
      <c r="E10385" s="2" t="s">
        <v>538</v>
      </c>
      <c r="F10385" t="s">
        <v>8489</v>
      </c>
      <c r="G10385" t="str">
        <f>HYPERLINK("http://www.youthdaily.co.kr/news/article.html?no=66676")</f>
        <v>http://www.youthdaily.co.kr/news/article.html?no=66676</v>
      </c>
      <c r="H10385">
        <v>0.52100000000000002</v>
      </c>
    </row>
    <row r="10386" spans="1:8" x14ac:dyDescent="0.3">
      <c r="A10386" t="s">
        <v>25842</v>
      </c>
      <c r="B10386" t="s">
        <v>26951</v>
      </c>
      <c r="C10386" t="s">
        <v>25872</v>
      </c>
      <c r="D10386" t="s">
        <v>25871</v>
      </c>
      <c r="E10386" s="2" t="s">
        <v>609</v>
      </c>
      <c r="F10386" t="s">
        <v>2046</v>
      </c>
      <c r="G10386" t="str">
        <f>HYPERLINK("https://www.idaegu.com/news/articleView.html?idxno=639747")</f>
        <v>https://www.idaegu.com/news/articleView.html?idxno=639747</v>
      </c>
      <c r="H10386">
        <v>0.997</v>
      </c>
    </row>
    <row r="10387" spans="1:8" x14ac:dyDescent="0.3">
      <c r="A10387" t="s">
        <v>25842</v>
      </c>
      <c r="B10387" t="s">
        <v>26951</v>
      </c>
      <c r="C10387" t="s">
        <v>25874</v>
      </c>
      <c r="D10387" t="s">
        <v>25873</v>
      </c>
      <c r="E10387" s="2" t="s">
        <v>609</v>
      </c>
      <c r="F10387" t="s">
        <v>25843</v>
      </c>
      <c r="G10387" t="str">
        <f>HYPERLINK("https://news.bbsi.co.kr/news/articleView.html?idxno=4033688")</f>
        <v>https://news.bbsi.co.kr/news/articleView.html?idxno=4033688</v>
      </c>
      <c r="H10387">
        <v>0.83799999999999997</v>
      </c>
    </row>
    <row r="10388" spans="1:8" x14ac:dyDescent="0.3">
      <c r="A10388" t="s">
        <v>25842</v>
      </c>
      <c r="B10388" t="s">
        <v>26951</v>
      </c>
      <c r="C10388" t="s">
        <v>25876</v>
      </c>
      <c r="D10388" t="s">
        <v>25875</v>
      </c>
      <c r="E10388" s="2" t="s">
        <v>653</v>
      </c>
      <c r="F10388" t="s">
        <v>2046</v>
      </c>
      <c r="G10388" t="str">
        <f>HYPERLINK("https://www.idaegu.com/news/articleView.html?idxno=639635")</f>
        <v>https://www.idaegu.com/news/articleView.html?idxno=639635</v>
      </c>
      <c r="H10388">
        <v>0.997</v>
      </c>
    </row>
    <row r="10389" spans="1:8" x14ac:dyDescent="0.3">
      <c r="A10389" t="s">
        <v>25842</v>
      </c>
      <c r="B10389" t="s">
        <v>26951</v>
      </c>
      <c r="C10389" t="s">
        <v>25878</v>
      </c>
      <c r="D10389" t="s">
        <v>25877</v>
      </c>
      <c r="E10389" s="2" t="s">
        <v>692</v>
      </c>
      <c r="F10389" t="s">
        <v>2060</v>
      </c>
      <c r="G10389" t="str">
        <f>HYPERLINK("https://n.news.naver.com/mnews/article/016/0001687960?sid=102")</f>
        <v>https://n.news.naver.com/mnews/article/016/0001687960?sid=102</v>
      </c>
      <c r="H10389">
        <v>0.23699999999999999</v>
      </c>
    </row>
    <row r="10390" spans="1:8" x14ac:dyDescent="0.3">
      <c r="A10390" t="s">
        <v>25842</v>
      </c>
      <c r="B10390" t="s">
        <v>26951</v>
      </c>
      <c r="C10390" t="s">
        <v>25880</v>
      </c>
      <c r="D10390" t="s">
        <v>25879</v>
      </c>
      <c r="E10390" s="2" t="s">
        <v>725</v>
      </c>
      <c r="F10390" t="s">
        <v>2046</v>
      </c>
      <c r="G10390" t="str">
        <f>HYPERLINK("https://www.idaegu.com/news/articleView.html?idxno=639503")</f>
        <v>https://www.idaegu.com/news/articleView.html?idxno=639503</v>
      </c>
      <c r="H10390">
        <v>0.98799999999999999</v>
      </c>
    </row>
    <row r="10391" spans="1:8" x14ac:dyDescent="0.3">
      <c r="A10391" t="s">
        <v>25842</v>
      </c>
      <c r="B10391" t="s">
        <v>26951</v>
      </c>
      <c r="C10391" t="s">
        <v>25883</v>
      </c>
      <c r="D10391" t="s">
        <v>25882</v>
      </c>
      <c r="E10391" s="2" t="s">
        <v>725</v>
      </c>
      <c r="F10391" t="s">
        <v>25881</v>
      </c>
      <c r="G10391" t="str">
        <f>HYPERLINK("http://www.headlinejeju.co.kr/news/articleView.html?idxno=571941")</f>
        <v>http://www.headlinejeju.co.kr/news/articleView.html?idxno=571941</v>
      </c>
      <c r="H10391">
        <v>0.51300000000000001</v>
      </c>
    </row>
    <row r="10392" spans="1:8" x14ac:dyDescent="0.3">
      <c r="A10392" t="s">
        <v>25842</v>
      </c>
      <c r="B10392" t="s">
        <v>26951</v>
      </c>
      <c r="C10392" t="s">
        <v>25885</v>
      </c>
      <c r="D10392" t="s">
        <v>25884</v>
      </c>
      <c r="E10392" s="2" t="s">
        <v>742</v>
      </c>
      <c r="F10392" t="s">
        <v>2046</v>
      </c>
      <c r="G10392" t="str">
        <f>HYPERLINK("https://www.idaegu.com/news/articleView.html?idxno=639466")</f>
        <v>https://www.idaegu.com/news/articleView.html?idxno=639466</v>
      </c>
      <c r="H10392">
        <v>0.97399999999999998</v>
      </c>
    </row>
    <row r="10393" spans="1:8" x14ac:dyDescent="0.3">
      <c r="A10393" t="s">
        <v>25886</v>
      </c>
      <c r="B10393" t="s">
        <v>26951</v>
      </c>
      <c r="C10393" t="s">
        <v>25889</v>
      </c>
      <c r="D10393" t="s">
        <v>25888</v>
      </c>
      <c r="E10393" s="2" t="s">
        <v>66</v>
      </c>
      <c r="F10393" t="s">
        <v>25887</v>
      </c>
      <c r="G10393" t="str">
        <f>HYPERLINK("http://www.inews365.com/news/article.html?no=451239")</f>
        <v>http://www.inews365.com/news/article.html?no=451239</v>
      </c>
      <c r="H10393">
        <v>0.32600000000000001</v>
      </c>
    </row>
    <row r="10394" spans="1:8" x14ac:dyDescent="0.3">
      <c r="A10394" t="s">
        <v>25886</v>
      </c>
      <c r="B10394" t="s">
        <v>26951</v>
      </c>
      <c r="C10394" t="s">
        <v>25892</v>
      </c>
      <c r="D10394" t="s">
        <v>25891</v>
      </c>
      <c r="E10394" s="2" t="s">
        <v>74</v>
      </c>
      <c r="F10394" t="s">
        <v>25890</v>
      </c>
      <c r="G10394" t="str">
        <f>HYPERLINK("http://www.opinionnews.co.kr/news/articleView.html?idxno=115926")</f>
        <v>http://www.opinionnews.co.kr/news/articleView.html?idxno=115926</v>
      </c>
      <c r="H10394">
        <v>0.71799999999999997</v>
      </c>
    </row>
    <row r="10395" spans="1:8" x14ac:dyDescent="0.3">
      <c r="A10395" t="s">
        <v>25886</v>
      </c>
      <c r="B10395" t="s">
        <v>26951</v>
      </c>
      <c r="C10395" t="s">
        <v>25895</v>
      </c>
      <c r="D10395" t="s">
        <v>25894</v>
      </c>
      <c r="E10395" s="2" t="s">
        <v>133</v>
      </c>
      <c r="F10395" t="s">
        <v>25893</v>
      </c>
      <c r="G10395" t="str">
        <f>HYPERLINK("http://www.idomin.com/news/articleView.html?idxno=835635")</f>
        <v>http://www.idomin.com/news/articleView.html?idxno=835635</v>
      </c>
      <c r="H10395">
        <v>0.247</v>
      </c>
    </row>
    <row r="10396" spans="1:8" x14ac:dyDescent="0.3">
      <c r="A10396" t="s">
        <v>25886</v>
      </c>
      <c r="B10396" t="s">
        <v>26951</v>
      </c>
      <c r="C10396" t="s">
        <v>25897</v>
      </c>
      <c r="D10396" t="s">
        <v>25896</v>
      </c>
      <c r="E10396" s="2" t="s">
        <v>267</v>
      </c>
      <c r="F10396" t="s">
        <v>20308</v>
      </c>
      <c r="G10396" t="str">
        <f>HYPERLINK("https://www.cctoday.co.kr/news/articleView.html?idxno=2152324")</f>
        <v>https://www.cctoday.co.kr/news/articleView.html?idxno=2152324</v>
      </c>
      <c r="H10396">
        <v>0.78700000000000003</v>
      </c>
    </row>
    <row r="10397" spans="1:8" x14ac:dyDescent="0.3">
      <c r="A10397" t="s">
        <v>25886</v>
      </c>
      <c r="B10397" t="s">
        <v>26951</v>
      </c>
      <c r="C10397" t="s">
        <v>25899</v>
      </c>
      <c r="D10397" t="s">
        <v>25898</v>
      </c>
      <c r="E10397" s="2" t="s">
        <v>356</v>
      </c>
      <c r="F10397" t="s">
        <v>16340</v>
      </c>
      <c r="G10397" t="str">
        <f>HYPERLINK("https://www.idomin.com/news/articleView.html?idxno=939726")</f>
        <v>https://www.idomin.com/news/articleView.html?idxno=939726</v>
      </c>
      <c r="H10397">
        <v>0.35299999999999998</v>
      </c>
    </row>
    <row r="10398" spans="1:8" x14ac:dyDescent="0.3">
      <c r="A10398" t="s">
        <v>25886</v>
      </c>
      <c r="B10398" t="s">
        <v>26951</v>
      </c>
      <c r="C10398" t="s">
        <v>25902</v>
      </c>
      <c r="D10398" t="s">
        <v>25901</v>
      </c>
      <c r="E10398" s="2" t="s">
        <v>418</v>
      </c>
      <c r="F10398" t="s">
        <v>25900</v>
      </c>
      <c r="G10398" t="str">
        <f>HYPERLINK("https://www.idomin.com/news/articleView.html?idxno=936558")</f>
        <v>https://www.idomin.com/news/articleView.html?idxno=936558</v>
      </c>
      <c r="H10398">
        <v>0.72899999999999998</v>
      </c>
    </row>
    <row r="10399" spans="1:8" x14ac:dyDescent="0.3">
      <c r="A10399" t="s">
        <v>25886</v>
      </c>
      <c r="B10399" t="s">
        <v>26951</v>
      </c>
      <c r="C10399" t="s">
        <v>25905</v>
      </c>
      <c r="D10399" t="s">
        <v>25904</v>
      </c>
      <c r="E10399" s="2" t="s">
        <v>452</v>
      </c>
      <c r="F10399" t="s">
        <v>25903</v>
      </c>
      <c r="G10399" t="str">
        <f>HYPERLINK("https://www.idomin.com/news/articleView.html?idxno=931438")</f>
        <v>https://www.idomin.com/news/articleView.html?idxno=931438</v>
      </c>
      <c r="H10399">
        <v>0.216</v>
      </c>
    </row>
    <row r="10400" spans="1:8" x14ac:dyDescent="0.3">
      <c r="A10400" t="s">
        <v>25886</v>
      </c>
      <c r="B10400" t="s">
        <v>26951</v>
      </c>
      <c r="C10400" t="s">
        <v>25909</v>
      </c>
      <c r="D10400" t="s">
        <v>25908</v>
      </c>
      <c r="E10400" s="2" t="s">
        <v>538</v>
      </c>
      <c r="F10400" t="s">
        <v>25907</v>
      </c>
      <c r="G10400" t="str">
        <f>HYPERLINK("http://www.jbsori.com/news/articleView.html?idxno=15671")</f>
        <v>http://www.jbsori.com/news/articleView.html?idxno=15671</v>
      </c>
      <c r="H10400">
        <v>0.497</v>
      </c>
    </row>
    <row r="10401" spans="1:8" x14ac:dyDescent="0.3">
      <c r="A10401" t="s">
        <v>25886</v>
      </c>
      <c r="B10401" t="s">
        <v>26951</v>
      </c>
      <c r="C10401" t="s">
        <v>25912</v>
      </c>
      <c r="D10401" t="s">
        <v>25911</v>
      </c>
      <c r="E10401" s="2" t="s">
        <v>572</v>
      </c>
      <c r="F10401" t="s">
        <v>25910</v>
      </c>
      <c r="G10401" t="str">
        <f>HYPERLINK("http://www.opinionnews.co.kr/news/articleView.html?idxno=79576")</f>
        <v>http://www.opinionnews.co.kr/news/articleView.html?idxno=79576</v>
      </c>
      <c r="H10401">
        <v>0.66700000000000004</v>
      </c>
    </row>
    <row r="10402" spans="1:8" x14ac:dyDescent="0.3">
      <c r="A10402" t="s">
        <v>25886</v>
      </c>
      <c r="B10402" t="s">
        <v>26951</v>
      </c>
      <c r="C10402" t="s">
        <v>25914</v>
      </c>
      <c r="D10402" t="s">
        <v>25913</v>
      </c>
      <c r="E10402" s="2" t="s">
        <v>653</v>
      </c>
      <c r="F10402" t="s">
        <v>3767</v>
      </c>
      <c r="G10402" t="str">
        <f>HYPERLINK("https://www.pinpointnews.co.kr/news/articleView.html?idxno=355616")</f>
        <v>https://www.pinpointnews.co.kr/news/articleView.html?idxno=355616</v>
      </c>
      <c r="H10402">
        <v>0.21099999999999999</v>
      </c>
    </row>
    <row r="10403" spans="1:8" x14ac:dyDescent="0.3">
      <c r="A10403" t="s">
        <v>25886</v>
      </c>
      <c r="B10403" t="s">
        <v>26951</v>
      </c>
      <c r="C10403" t="s">
        <v>25916</v>
      </c>
      <c r="D10403" t="s">
        <v>25915</v>
      </c>
      <c r="E10403" s="2" t="s">
        <v>692</v>
      </c>
      <c r="F10403" t="s">
        <v>16340</v>
      </c>
      <c r="G10403" t="str">
        <f>HYPERLINK("http://www.domin.co.kr/news/articleView.html?idxno=1224666")</f>
        <v>http://www.domin.co.kr/news/articleView.html?idxno=1224666</v>
      </c>
      <c r="H10403">
        <v>0.68</v>
      </c>
    </row>
    <row r="10404" spans="1:8" x14ac:dyDescent="0.3">
      <c r="A10404" t="s">
        <v>25886</v>
      </c>
      <c r="B10404" t="s">
        <v>26951</v>
      </c>
      <c r="C10404" t="s">
        <v>720</v>
      </c>
      <c r="D10404" t="s">
        <v>719</v>
      </c>
      <c r="E10404" s="2" t="s">
        <v>711</v>
      </c>
      <c r="F10404" t="s">
        <v>718</v>
      </c>
      <c r="G10404" t="str">
        <f>HYPERLINK("http://www.ilemonde.com/news/articleView.html?idxno=20765")</f>
        <v>http://www.ilemonde.com/news/articleView.html?idxno=20765</v>
      </c>
      <c r="H10404">
        <v>0.49299999999999999</v>
      </c>
    </row>
    <row r="10405" spans="1:8" x14ac:dyDescent="0.3">
      <c r="A10405" t="s">
        <v>25886</v>
      </c>
      <c r="B10405" t="s">
        <v>26951</v>
      </c>
      <c r="C10405" t="s">
        <v>25918</v>
      </c>
      <c r="D10405" t="s">
        <v>25917</v>
      </c>
      <c r="E10405" s="2" t="s">
        <v>725</v>
      </c>
      <c r="F10405" t="s">
        <v>1657</v>
      </c>
      <c r="G10405" t="str">
        <f>HYPERLINK("https://www.idomin.com/news/articleView.html?idxno=936706")</f>
        <v>https://www.idomin.com/news/articleView.html?idxno=936706</v>
      </c>
      <c r="H10405">
        <v>0.748</v>
      </c>
    </row>
    <row r="10406" spans="1:8" x14ac:dyDescent="0.3">
      <c r="A10406" t="s">
        <v>25886</v>
      </c>
      <c r="B10406" t="s">
        <v>26951</v>
      </c>
      <c r="C10406" t="s">
        <v>25921</v>
      </c>
      <c r="D10406" t="s">
        <v>25920</v>
      </c>
      <c r="E10406" s="2" t="s">
        <v>860</v>
      </c>
      <c r="F10406" t="s">
        <v>25919</v>
      </c>
      <c r="G10406" t="str">
        <f>HYPERLINK("https://www.idomin.com/news/articleView.html?idxno=938710")</f>
        <v>https://www.idomin.com/news/articleView.html?idxno=938710</v>
      </c>
      <c r="H10406">
        <v>0.435</v>
      </c>
    </row>
    <row r="10407" spans="1:8" x14ac:dyDescent="0.3">
      <c r="A10407" t="s">
        <v>25886</v>
      </c>
      <c r="B10407" t="s">
        <v>26951</v>
      </c>
      <c r="C10407" t="s">
        <v>25924</v>
      </c>
      <c r="D10407" t="s">
        <v>25923</v>
      </c>
      <c r="E10407" s="2" t="s">
        <v>903</v>
      </c>
      <c r="F10407" t="s">
        <v>25922</v>
      </c>
      <c r="G10407" t="str">
        <f>HYPERLINK("http://www.jbsori.com/news/articleView.html?idxno=11315")</f>
        <v>http://www.jbsori.com/news/articleView.html?idxno=11315</v>
      </c>
      <c r="H10407">
        <v>0.63300000000000001</v>
      </c>
    </row>
    <row r="10408" spans="1:8" x14ac:dyDescent="0.3">
      <c r="A10408" t="s">
        <v>25925</v>
      </c>
      <c r="B10408" t="s">
        <v>26951</v>
      </c>
      <c r="C10408" t="s">
        <v>25928</v>
      </c>
      <c r="D10408" t="s">
        <v>25927</v>
      </c>
      <c r="E10408" s="2" t="s">
        <v>74</v>
      </c>
      <c r="F10408" t="s">
        <v>25926</v>
      </c>
      <c r="G10408" t="str">
        <f>HYPERLINK("http://www.namdonews.com/news/articleView.html?idxno=795967")</f>
        <v>http://www.namdonews.com/news/articleView.html?idxno=795967</v>
      </c>
      <c r="H10408">
        <v>0.39800000000000002</v>
      </c>
    </row>
    <row r="10409" spans="1:8" x14ac:dyDescent="0.3">
      <c r="A10409" t="s">
        <v>25925</v>
      </c>
      <c r="B10409" t="s">
        <v>26951</v>
      </c>
      <c r="C10409" t="s">
        <v>25930</v>
      </c>
      <c r="D10409" t="s">
        <v>25929</v>
      </c>
      <c r="E10409" s="2" t="s">
        <v>172</v>
      </c>
      <c r="F10409" t="s">
        <v>3833</v>
      </c>
      <c r="G10409" t="str">
        <f>HYPERLINK("http://www.namdonews.com/news/articleView.html?idxno=822866")</f>
        <v>http://www.namdonews.com/news/articleView.html?idxno=822866</v>
      </c>
      <c r="H10409">
        <v>0.60599999999999998</v>
      </c>
    </row>
    <row r="10410" spans="1:8" x14ac:dyDescent="0.3">
      <c r="A10410" t="s">
        <v>25925</v>
      </c>
      <c r="B10410" t="s">
        <v>26951</v>
      </c>
      <c r="C10410" t="s">
        <v>25933</v>
      </c>
      <c r="D10410" t="s">
        <v>25932</v>
      </c>
      <c r="E10410" s="2" t="s">
        <v>230</v>
      </c>
      <c r="F10410" t="s">
        <v>25931</v>
      </c>
      <c r="G10410" t="str">
        <f>HYPERLINK("http://www.gjdream.com/news/articleView.html?idxno=649924")</f>
        <v>http://www.gjdream.com/news/articleView.html?idxno=649924</v>
      </c>
      <c r="H10410">
        <v>0.68899999999999995</v>
      </c>
    </row>
    <row r="10411" spans="1:8" x14ac:dyDescent="0.3">
      <c r="A10411" t="s">
        <v>25925</v>
      </c>
      <c r="B10411" t="s">
        <v>26951</v>
      </c>
      <c r="C10411" t="s">
        <v>25936</v>
      </c>
      <c r="D10411" t="s">
        <v>25935</v>
      </c>
      <c r="E10411" s="2" t="s">
        <v>356</v>
      </c>
      <c r="F10411" t="s">
        <v>25934</v>
      </c>
      <c r="G10411" t="str">
        <f>HYPERLINK("http://www.namdonews.com/news/articleView.html?idxno=476647")</f>
        <v>http://www.namdonews.com/news/articleView.html?idxno=476647</v>
      </c>
      <c r="H10411">
        <v>0.97899999999999998</v>
      </c>
    </row>
    <row r="10412" spans="1:8" x14ac:dyDescent="0.3">
      <c r="A10412" t="s">
        <v>25925</v>
      </c>
      <c r="B10412" t="s">
        <v>26951</v>
      </c>
      <c r="C10412" t="s">
        <v>25938</v>
      </c>
      <c r="D10412" t="s">
        <v>25937</v>
      </c>
      <c r="E10412" s="2" t="s">
        <v>356</v>
      </c>
      <c r="F10412" t="s">
        <v>2046</v>
      </c>
      <c r="G10412" t="str">
        <f>HYPERLINK("http://www.namdonews.com/news/articleView.html?idxno=822734")</f>
        <v>http://www.namdonews.com/news/articleView.html?idxno=822734</v>
      </c>
      <c r="H10412">
        <v>0.999</v>
      </c>
    </row>
    <row r="10413" spans="1:8" x14ac:dyDescent="0.3">
      <c r="A10413" t="s">
        <v>25925</v>
      </c>
      <c r="B10413" t="s">
        <v>26951</v>
      </c>
      <c r="C10413" t="s">
        <v>25940</v>
      </c>
      <c r="D10413" t="s">
        <v>25939</v>
      </c>
      <c r="E10413" s="2" t="s">
        <v>394</v>
      </c>
      <c r="F10413" t="s">
        <v>19194</v>
      </c>
      <c r="G10413" t="str">
        <f>HYPERLINK("http://www.namdonews.com/news/articleView.html?idxno=823912")</f>
        <v>http://www.namdonews.com/news/articleView.html?idxno=823912</v>
      </c>
      <c r="H10413">
        <v>0.56799999999999995</v>
      </c>
    </row>
    <row r="10414" spans="1:8" x14ac:dyDescent="0.3">
      <c r="A10414" t="s">
        <v>25925</v>
      </c>
      <c r="B10414" t="s">
        <v>26951</v>
      </c>
      <c r="C10414" t="s">
        <v>25942</v>
      </c>
      <c r="D10414" t="s">
        <v>25941</v>
      </c>
      <c r="E10414" s="2" t="s">
        <v>394</v>
      </c>
      <c r="F10414" t="s">
        <v>4387</v>
      </c>
      <c r="G10414" t="str">
        <f>HYPERLINK("https://n.news.naver.com/mnews/article/079/0002817276?sid=102")</f>
        <v>https://n.news.naver.com/mnews/article/079/0002817276?sid=102</v>
      </c>
      <c r="H10414">
        <v>0.14199999999999999</v>
      </c>
    </row>
    <row r="10415" spans="1:8" x14ac:dyDescent="0.3">
      <c r="A10415" t="s">
        <v>25925</v>
      </c>
      <c r="B10415" t="s">
        <v>26951</v>
      </c>
      <c r="C10415" t="s">
        <v>25944</v>
      </c>
      <c r="D10415" t="s">
        <v>25943</v>
      </c>
      <c r="E10415" s="2" t="s">
        <v>711</v>
      </c>
      <c r="F10415" t="s">
        <v>2046</v>
      </c>
      <c r="G10415" t="str">
        <f>HYPERLINK("http://www.namdonews.com/news/articleView.html?idxno=821328")</f>
        <v>http://www.namdonews.com/news/articleView.html?idxno=821328</v>
      </c>
      <c r="H10415">
        <v>0.999</v>
      </c>
    </row>
    <row r="10416" spans="1:8" x14ac:dyDescent="0.3">
      <c r="A10416" t="s">
        <v>25945</v>
      </c>
      <c r="B10416" t="s">
        <v>26951</v>
      </c>
      <c r="C10416" t="s">
        <v>25948</v>
      </c>
      <c r="D10416" t="s">
        <v>25947</v>
      </c>
      <c r="E10416" s="2" t="s">
        <v>7</v>
      </c>
      <c r="F10416" t="s">
        <v>25946</v>
      </c>
      <c r="G10416" t="str">
        <f>HYPERLINK("https://www.gameple.co.kr/news/articleView.html?idxno=210598")</f>
        <v>https://www.gameple.co.kr/news/articleView.html?idxno=210598</v>
      </c>
      <c r="H10416">
        <v>0.19600000000000001</v>
      </c>
    </row>
    <row r="10417" spans="1:8" x14ac:dyDescent="0.3">
      <c r="A10417" t="s">
        <v>25945</v>
      </c>
      <c r="B10417" t="s">
        <v>26951</v>
      </c>
      <c r="C10417" t="s">
        <v>25951</v>
      </c>
      <c r="D10417" t="s">
        <v>25950</v>
      </c>
      <c r="E10417" s="2" t="s">
        <v>7</v>
      </c>
      <c r="F10417" t="s">
        <v>25949</v>
      </c>
      <c r="G10417" t="str">
        <f>HYPERLINK("http://www.netongs.com/news/articleView.html?idxno=326143")</f>
        <v>http://www.netongs.com/news/articleView.html?idxno=326143</v>
      </c>
      <c r="H10417">
        <v>0.45800000000000002</v>
      </c>
    </row>
    <row r="10418" spans="1:8" x14ac:dyDescent="0.3">
      <c r="A10418" t="s">
        <v>25945</v>
      </c>
      <c r="B10418" t="s">
        <v>26951</v>
      </c>
      <c r="C10418" t="s">
        <v>25953</v>
      </c>
      <c r="D10418" t="s">
        <v>25952</v>
      </c>
      <c r="E10418" s="2" t="s">
        <v>66</v>
      </c>
      <c r="F10418" t="s">
        <v>7465</v>
      </c>
      <c r="G10418" t="str">
        <f>HYPERLINK("https://n.news.naver.com/mnews/article/028/0002753462?sid=102")</f>
        <v>https://n.news.naver.com/mnews/article/028/0002753462?sid=102</v>
      </c>
      <c r="H10418">
        <v>0.16600000000000001</v>
      </c>
    </row>
    <row r="10419" spans="1:8" x14ac:dyDescent="0.3">
      <c r="A10419" t="s">
        <v>25945</v>
      </c>
      <c r="B10419" t="s">
        <v>26951</v>
      </c>
      <c r="C10419" t="s">
        <v>25956</v>
      </c>
      <c r="D10419" t="s">
        <v>25955</v>
      </c>
      <c r="E10419" s="2" t="s">
        <v>74</v>
      </c>
      <c r="F10419" t="s">
        <v>25954</v>
      </c>
      <c r="G10419" t="str">
        <f>HYPERLINK("https://www.kmaeil.com/news/articleView.html?idxno=511247")</f>
        <v>https://www.kmaeil.com/news/articleView.html?idxno=511247</v>
      </c>
      <c r="H10419">
        <v>0.249</v>
      </c>
    </row>
    <row r="10420" spans="1:8" x14ac:dyDescent="0.3">
      <c r="A10420" t="s">
        <v>25945</v>
      </c>
      <c r="B10420" t="s">
        <v>26951</v>
      </c>
      <c r="C10420" t="s">
        <v>25959</v>
      </c>
      <c r="D10420" t="s">
        <v>25958</v>
      </c>
      <c r="E10420" s="2" t="s">
        <v>74</v>
      </c>
      <c r="F10420" t="s">
        <v>25957</v>
      </c>
      <c r="G10420" t="str">
        <f>HYPERLINK("https://n.news.naver.com/mnews/article/002/0002395446?sid=102")</f>
        <v>https://n.news.naver.com/mnews/article/002/0002395446?sid=102</v>
      </c>
      <c r="H10420">
        <v>0.31</v>
      </c>
    </row>
    <row r="10421" spans="1:8" x14ac:dyDescent="0.3">
      <c r="A10421" t="s">
        <v>25945</v>
      </c>
      <c r="B10421" t="s">
        <v>26951</v>
      </c>
      <c r="C10421" t="s">
        <v>25961</v>
      </c>
      <c r="D10421" t="s">
        <v>25960</v>
      </c>
      <c r="E10421" s="2" t="s">
        <v>105</v>
      </c>
      <c r="F10421" t="s">
        <v>1606</v>
      </c>
      <c r="G10421" t="str">
        <f>HYPERLINK("https://www.obsnews.co.kr/news/articleView.html?idxno=1461372")</f>
        <v>https://www.obsnews.co.kr/news/articleView.html?idxno=1461372</v>
      </c>
      <c r="H10421">
        <v>0.18099999999999999</v>
      </c>
    </row>
    <row r="10422" spans="1:8" x14ac:dyDescent="0.3">
      <c r="A10422" t="s">
        <v>25945</v>
      </c>
      <c r="B10422" t="s">
        <v>26951</v>
      </c>
      <c r="C10422" t="s">
        <v>25964</v>
      </c>
      <c r="D10422" t="s">
        <v>25963</v>
      </c>
      <c r="E10422" s="2" t="s">
        <v>105</v>
      </c>
      <c r="F10422" t="s">
        <v>25962</v>
      </c>
      <c r="G10422" t="str">
        <f>HYPERLINK("http://ch.yes24.com/Article/View/36537")</f>
        <v>http://ch.yes24.com/Article/View/36537</v>
      </c>
      <c r="H10422">
        <v>0.438</v>
      </c>
    </row>
    <row r="10423" spans="1:8" x14ac:dyDescent="0.3">
      <c r="A10423" t="s">
        <v>25945</v>
      </c>
      <c r="B10423" t="s">
        <v>26951</v>
      </c>
      <c r="C10423" t="s">
        <v>25967</v>
      </c>
      <c r="D10423" t="s">
        <v>25966</v>
      </c>
      <c r="E10423" s="2" t="s">
        <v>133</v>
      </c>
      <c r="F10423" t="s">
        <v>25965</v>
      </c>
      <c r="G10423" t="str">
        <f>HYPERLINK("https://n.news.naver.com/mnews/article/018/0006054627?sid=102")</f>
        <v>https://n.news.naver.com/mnews/article/018/0006054627?sid=102</v>
      </c>
      <c r="H10423">
        <v>0.255</v>
      </c>
    </row>
    <row r="10424" spans="1:8" x14ac:dyDescent="0.3">
      <c r="A10424" t="s">
        <v>25945</v>
      </c>
      <c r="B10424" t="s">
        <v>26951</v>
      </c>
      <c r="C10424" t="s">
        <v>25970</v>
      </c>
      <c r="D10424" t="s">
        <v>25969</v>
      </c>
      <c r="E10424" s="2" t="s">
        <v>133</v>
      </c>
      <c r="F10424" t="s">
        <v>25968</v>
      </c>
      <c r="G10424" t="str">
        <f>HYPERLINK("http://www.obsnews.co.kr/news/articleView.html?idxno=940322")</f>
        <v>http://www.obsnews.co.kr/news/articleView.html?idxno=940322</v>
      </c>
      <c r="H10424">
        <v>0.34200000000000003</v>
      </c>
    </row>
    <row r="10425" spans="1:8" x14ac:dyDescent="0.3">
      <c r="A10425" t="s">
        <v>25945</v>
      </c>
      <c r="B10425" t="s">
        <v>26951</v>
      </c>
      <c r="C10425" t="s">
        <v>25973</v>
      </c>
      <c r="D10425" t="s">
        <v>25972</v>
      </c>
      <c r="E10425" s="2" t="s">
        <v>196</v>
      </c>
      <c r="F10425" t="s">
        <v>25971</v>
      </c>
      <c r="G10425" t="str">
        <f>HYPERLINK("https://www.epnc.co.kr/news/articleView.html?idxno=318529")</f>
        <v>https://www.epnc.co.kr/news/articleView.html?idxno=318529</v>
      </c>
      <c r="H10425">
        <v>0.33100000000000002</v>
      </c>
    </row>
    <row r="10426" spans="1:8" x14ac:dyDescent="0.3">
      <c r="A10426" t="s">
        <v>25945</v>
      </c>
      <c r="B10426" t="s">
        <v>26951</v>
      </c>
      <c r="C10426" t="s">
        <v>25976</v>
      </c>
      <c r="D10426" t="s">
        <v>25975</v>
      </c>
      <c r="E10426" s="2" t="s">
        <v>230</v>
      </c>
      <c r="F10426" t="s">
        <v>25974</v>
      </c>
      <c r="G10426" t="str">
        <f>HYPERLINK("http://withinnews.co.kr/news/view.html?section=1&amp;category=139&amp;item=&amp;no=15719")</f>
        <v>http://withinnews.co.kr/news/view.html?section=1&amp;category=139&amp;item=&amp;no=15719</v>
      </c>
      <c r="H10426">
        <v>0.65</v>
      </c>
    </row>
    <row r="10427" spans="1:8" x14ac:dyDescent="0.3">
      <c r="A10427" t="s">
        <v>25945</v>
      </c>
      <c r="B10427" t="s">
        <v>26951</v>
      </c>
      <c r="C10427" t="s">
        <v>25979</v>
      </c>
      <c r="D10427" t="s">
        <v>25978</v>
      </c>
      <c r="E10427" s="2" t="s">
        <v>230</v>
      </c>
      <c r="F10427" t="s">
        <v>25977</v>
      </c>
      <c r="G10427" t="str">
        <f>HYPERLINK("https://n.news.naver.com/mnews/article/018/0006054627?sid=102")</f>
        <v>https://n.news.naver.com/mnews/article/018/0006054627?sid=102</v>
      </c>
      <c r="H10427">
        <v>8.5999999999999993E-2</v>
      </c>
    </row>
    <row r="10428" spans="1:8" x14ac:dyDescent="0.3">
      <c r="A10428" t="s">
        <v>25945</v>
      </c>
      <c r="B10428" t="s">
        <v>26951</v>
      </c>
      <c r="C10428" t="s">
        <v>25982</v>
      </c>
      <c r="D10428" t="s">
        <v>25981</v>
      </c>
      <c r="E10428" s="2" t="s">
        <v>280</v>
      </c>
      <c r="F10428" t="s">
        <v>25980</v>
      </c>
      <c r="G10428" t="str">
        <f>HYPERLINK("http://www.ilovepc.co.kr/news/articleView.html?idxno=46192")</f>
        <v>http://www.ilovepc.co.kr/news/articleView.html?idxno=46192</v>
      </c>
      <c r="H10428">
        <v>0.434</v>
      </c>
    </row>
    <row r="10429" spans="1:8" x14ac:dyDescent="0.3">
      <c r="A10429" t="s">
        <v>25945</v>
      </c>
      <c r="B10429" t="s">
        <v>26951</v>
      </c>
      <c r="C10429" t="s">
        <v>25985</v>
      </c>
      <c r="D10429" t="s">
        <v>25984</v>
      </c>
      <c r="E10429" s="2" t="s">
        <v>313</v>
      </c>
      <c r="F10429" t="s">
        <v>25983</v>
      </c>
      <c r="G10429" t="str">
        <f>HYPERLINK("https://www.kbmaeil.com/article/20250525500327")</f>
        <v>https://www.kbmaeil.com/article/20250525500327</v>
      </c>
      <c r="H10429">
        <v>0.16900000000000001</v>
      </c>
    </row>
    <row r="10430" spans="1:8" x14ac:dyDescent="0.3">
      <c r="A10430" t="s">
        <v>25945</v>
      </c>
      <c r="B10430" t="s">
        <v>26951</v>
      </c>
      <c r="C10430" t="s">
        <v>25988</v>
      </c>
      <c r="D10430" t="s">
        <v>25987</v>
      </c>
      <c r="E10430" s="2" t="s">
        <v>394</v>
      </c>
      <c r="F10430" t="s">
        <v>25986</v>
      </c>
      <c r="G10430" t="str">
        <f>HYPERLINK("http://gamefocus.co.kr/detail.php?number=121356")</f>
        <v>http://gamefocus.co.kr/detail.php?number=121356</v>
      </c>
      <c r="H10430">
        <v>0.36599999999999999</v>
      </c>
    </row>
    <row r="10431" spans="1:8" x14ac:dyDescent="0.3">
      <c r="A10431" t="s">
        <v>25945</v>
      </c>
      <c r="B10431" t="s">
        <v>26951</v>
      </c>
      <c r="C10431" t="s">
        <v>25991</v>
      </c>
      <c r="D10431" t="s">
        <v>25990</v>
      </c>
      <c r="E10431" s="2" t="s">
        <v>394</v>
      </c>
      <c r="F10431" t="s">
        <v>25989</v>
      </c>
      <c r="G10431" t="str">
        <f>HYPERLINK("https://www.ggilbo.com/news/articleView.html?idxno=1061851")</f>
        <v>https://www.ggilbo.com/news/articleView.html?idxno=1061851</v>
      </c>
      <c r="H10431">
        <v>0.32500000000000001</v>
      </c>
    </row>
    <row r="10432" spans="1:8" x14ac:dyDescent="0.3">
      <c r="A10432" t="s">
        <v>25945</v>
      </c>
      <c r="B10432" t="s">
        <v>26951</v>
      </c>
      <c r="C10432" t="s">
        <v>25994</v>
      </c>
      <c r="D10432" t="s">
        <v>25993</v>
      </c>
      <c r="E10432" s="2" t="s">
        <v>418</v>
      </c>
      <c r="F10432" t="s">
        <v>25992</v>
      </c>
      <c r="G10432" t="str">
        <f>HYPERLINK("http://www.mkhealth.co.kr/news/articleView.html?idxno=73858")</f>
        <v>http://www.mkhealth.co.kr/news/articleView.html?idxno=73858</v>
      </c>
      <c r="H10432">
        <v>0.27300000000000002</v>
      </c>
    </row>
    <row r="10433" spans="1:8" x14ac:dyDescent="0.3">
      <c r="A10433" t="s">
        <v>25945</v>
      </c>
      <c r="B10433" t="s">
        <v>26951</v>
      </c>
      <c r="C10433" t="s">
        <v>25996</v>
      </c>
      <c r="D10433" t="s">
        <v>25995</v>
      </c>
      <c r="E10433" s="2" t="s">
        <v>418</v>
      </c>
      <c r="F10433" t="s">
        <v>10152</v>
      </c>
      <c r="G10433" t="str">
        <f>HYPERLINK("http://www.incheonilbo.com/news/articleView.html?idxno=1196595")</f>
        <v>http://www.incheonilbo.com/news/articleView.html?idxno=1196595</v>
      </c>
      <c r="H10433">
        <v>0.34699999999999998</v>
      </c>
    </row>
    <row r="10434" spans="1:8" x14ac:dyDescent="0.3">
      <c r="A10434" t="s">
        <v>25945</v>
      </c>
      <c r="B10434" t="s">
        <v>26951</v>
      </c>
      <c r="C10434" t="s">
        <v>25998</v>
      </c>
      <c r="D10434" t="s">
        <v>25997</v>
      </c>
      <c r="E10434" s="2" t="s">
        <v>452</v>
      </c>
      <c r="F10434" t="s">
        <v>25992</v>
      </c>
      <c r="G10434" t="str">
        <f>HYPERLINK("https://www.kmaeil.com/news/articleView.html?idxno=511247")</f>
        <v>https://www.kmaeil.com/news/articleView.html?idxno=511247</v>
      </c>
      <c r="H10434">
        <v>0.26</v>
      </c>
    </row>
    <row r="10435" spans="1:8" x14ac:dyDescent="0.3">
      <c r="A10435" t="s">
        <v>25945</v>
      </c>
      <c r="B10435" t="s">
        <v>26951</v>
      </c>
      <c r="C10435" t="s">
        <v>26001</v>
      </c>
      <c r="D10435" t="s">
        <v>26000</v>
      </c>
      <c r="E10435" s="2" t="s">
        <v>452</v>
      </c>
      <c r="F10435" t="s">
        <v>25999</v>
      </c>
      <c r="G10435" t="str">
        <f>HYPERLINK("https://n.news.naver.com/mnews/article/028/0002753916?sid=102")</f>
        <v>https://n.news.naver.com/mnews/article/028/0002753916?sid=102</v>
      </c>
      <c r="H10435">
        <v>0.13600000000000001</v>
      </c>
    </row>
    <row r="10436" spans="1:8" x14ac:dyDescent="0.3">
      <c r="A10436" t="s">
        <v>25945</v>
      </c>
      <c r="B10436" t="s">
        <v>26951</v>
      </c>
      <c r="C10436" t="s">
        <v>26004</v>
      </c>
      <c r="D10436" t="s">
        <v>26003</v>
      </c>
      <c r="E10436" s="2" t="s">
        <v>481</v>
      </c>
      <c r="F10436" t="s">
        <v>26002</v>
      </c>
      <c r="G10436" t="str">
        <f>HYPERLINK("https://www.widedaily.com/news/articleView.html?idxno=81937")</f>
        <v>https://www.widedaily.com/news/articleView.html?idxno=81937</v>
      </c>
      <c r="H10436">
        <v>0.16500000000000001</v>
      </c>
    </row>
    <row r="10437" spans="1:8" x14ac:dyDescent="0.3">
      <c r="A10437" t="s">
        <v>25945</v>
      </c>
      <c r="B10437" t="s">
        <v>26951</v>
      </c>
      <c r="C10437" t="s">
        <v>26006</v>
      </c>
      <c r="D10437" t="s">
        <v>26005</v>
      </c>
      <c r="E10437" s="2" t="s">
        <v>481</v>
      </c>
      <c r="F10437" t="s">
        <v>21622</v>
      </c>
      <c r="G10437" t="str">
        <f>HYPERLINK("https://www.beminor.com/news/articleView.html?idxno=27705")</f>
        <v>https://www.beminor.com/news/articleView.html?idxno=27705</v>
      </c>
      <c r="H10437">
        <v>8.3000000000000004E-2</v>
      </c>
    </row>
    <row r="10438" spans="1:8" x14ac:dyDescent="0.3">
      <c r="A10438" t="s">
        <v>25945</v>
      </c>
      <c r="B10438" t="s">
        <v>26951</v>
      </c>
      <c r="C10438" t="s">
        <v>26009</v>
      </c>
      <c r="D10438" t="s">
        <v>26008</v>
      </c>
      <c r="E10438" s="2" t="s">
        <v>502</v>
      </c>
      <c r="F10438" t="s">
        <v>26007</v>
      </c>
      <c r="G10438" t="str">
        <f>HYPERLINK("http://www.businesskorea.co.kr/news/articleView.html?idxno=31679")</f>
        <v>http://www.businesskorea.co.kr/news/articleView.html?idxno=31679</v>
      </c>
      <c r="H10438">
        <v>0.57699999999999996</v>
      </c>
    </row>
    <row r="10439" spans="1:8" x14ac:dyDescent="0.3">
      <c r="A10439" t="s">
        <v>25945</v>
      </c>
      <c r="B10439" t="s">
        <v>26951</v>
      </c>
      <c r="C10439" t="s">
        <v>26011</v>
      </c>
      <c r="D10439" t="s">
        <v>26010</v>
      </c>
      <c r="E10439" s="2" t="s">
        <v>502</v>
      </c>
      <c r="F10439" t="s">
        <v>10230</v>
      </c>
      <c r="G10439" t="str">
        <f>HYPERLINK("http://www.ilemonde.com/news/articleView.html?idxno=13674")</f>
        <v>http://www.ilemonde.com/news/articleView.html?idxno=13674</v>
      </c>
      <c r="H10439">
        <v>0.57499999999999996</v>
      </c>
    </row>
    <row r="10440" spans="1:8" x14ac:dyDescent="0.3">
      <c r="A10440" t="s">
        <v>25945</v>
      </c>
      <c r="B10440" t="s">
        <v>26951</v>
      </c>
      <c r="C10440" t="s">
        <v>26014</v>
      </c>
      <c r="D10440" t="s">
        <v>26013</v>
      </c>
      <c r="E10440" s="2" t="s">
        <v>502</v>
      </c>
      <c r="F10440" t="s">
        <v>26012</v>
      </c>
      <c r="G10440" t="str">
        <f>HYPERLINK("http://www.irobotnews.com/news/articleView.html?idxno=34586")</f>
        <v>http://www.irobotnews.com/news/articleView.html?idxno=34586</v>
      </c>
      <c r="H10440">
        <v>0.33100000000000002</v>
      </c>
    </row>
    <row r="10441" spans="1:8" x14ac:dyDescent="0.3">
      <c r="A10441" t="s">
        <v>25945</v>
      </c>
      <c r="B10441" t="s">
        <v>26951</v>
      </c>
      <c r="C10441" t="s">
        <v>26016</v>
      </c>
      <c r="D10441" t="s">
        <v>26015</v>
      </c>
      <c r="E10441" s="2" t="s">
        <v>517</v>
      </c>
      <c r="F10441" t="s">
        <v>7538</v>
      </c>
      <c r="G10441" t="str">
        <f>HYPERLINK("https://www.kukinews.com/article/view/kuk202507010113")</f>
        <v>https://www.kukinews.com/article/view/kuk202507010113</v>
      </c>
      <c r="H10441">
        <v>0.38600000000000001</v>
      </c>
    </row>
    <row r="10442" spans="1:8" x14ac:dyDescent="0.3">
      <c r="A10442" t="s">
        <v>25945</v>
      </c>
      <c r="B10442" t="s">
        <v>26951</v>
      </c>
      <c r="C10442" t="s">
        <v>26018</v>
      </c>
      <c r="D10442" t="s">
        <v>26017</v>
      </c>
      <c r="E10442" s="2" t="s">
        <v>517</v>
      </c>
      <c r="F10442" t="s">
        <v>25992</v>
      </c>
      <c r="G10442" t="str">
        <f>HYPERLINK("https://www.kmaeil.com/news/articleView.html?idxno=511247")</f>
        <v>https://www.kmaeil.com/news/articleView.html?idxno=511247</v>
      </c>
      <c r="H10442">
        <v>0.23</v>
      </c>
    </row>
    <row r="10443" spans="1:8" x14ac:dyDescent="0.3">
      <c r="A10443" t="s">
        <v>25945</v>
      </c>
      <c r="B10443" t="s">
        <v>26951</v>
      </c>
      <c r="C10443" t="s">
        <v>26021</v>
      </c>
      <c r="D10443" t="s">
        <v>26020</v>
      </c>
      <c r="E10443" s="2" t="s">
        <v>517</v>
      </c>
      <c r="F10443" t="s">
        <v>26019</v>
      </c>
      <c r="G10443" t="str">
        <f>HYPERLINK("http://www.hapt.co.kr/news/articleView.html?idxno=164925")</f>
        <v>http://www.hapt.co.kr/news/articleView.html?idxno=164925</v>
      </c>
      <c r="H10443">
        <v>0.46200000000000002</v>
      </c>
    </row>
    <row r="10444" spans="1:8" x14ac:dyDescent="0.3">
      <c r="A10444" t="s">
        <v>25945</v>
      </c>
      <c r="B10444" t="s">
        <v>26951</v>
      </c>
      <c r="C10444" t="s">
        <v>26024</v>
      </c>
      <c r="D10444" t="s">
        <v>26023</v>
      </c>
      <c r="E10444" s="2" t="s">
        <v>538</v>
      </c>
      <c r="F10444" t="s">
        <v>26022</v>
      </c>
      <c r="G10444" t="str">
        <f>HYPERLINK("http://www.itworld.co.kr/news/196919")</f>
        <v>http://www.itworld.co.kr/news/196919</v>
      </c>
      <c r="H10444">
        <v>0.34399999999999997</v>
      </c>
    </row>
    <row r="10445" spans="1:8" x14ac:dyDescent="0.3">
      <c r="A10445" t="s">
        <v>25945</v>
      </c>
      <c r="B10445" t="s">
        <v>26951</v>
      </c>
      <c r="C10445" t="s">
        <v>26026</v>
      </c>
      <c r="D10445" t="s">
        <v>26025</v>
      </c>
      <c r="E10445" s="2" t="s">
        <v>538</v>
      </c>
      <c r="F10445" t="s">
        <v>26007</v>
      </c>
      <c r="G10445" t="str">
        <f>HYPERLINK("http://www.businesskorea.co.kr/news/articleView.html?idxno=31679")</f>
        <v>http://www.businesskorea.co.kr/news/articleView.html?idxno=31679</v>
      </c>
      <c r="H10445">
        <v>0.51800000000000002</v>
      </c>
    </row>
    <row r="10446" spans="1:8" x14ac:dyDescent="0.3">
      <c r="A10446" t="s">
        <v>25945</v>
      </c>
      <c r="B10446" t="s">
        <v>26951</v>
      </c>
      <c r="C10446" t="s">
        <v>26028</v>
      </c>
      <c r="D10446" t="s">
        <v>26027</v>
      </c>
      <c r="E10446" s="2" t="s">
        <v>538</v>
      </c>
      <c r="F10446" t="s">
        <v>21916</v>
      </c>
      <c r="G10446" t="str">
        <f>HYPERLINK("http://www.kihoilbo.co.kr/news/articleView.html?idxno=1147623")</f>
        <v>http://www.kihoilbo.co.kr/news/articleView.html?idxno=1147623</v>
      </c>
      <c r="H10446">
        <v>0.90600000000000003</v>
      </c>
    </row>
    <row r="10447" spans="1:8" x14ac:dyDescent="0.3">
      <c r="A10447" t="s">
        <v>25945</v>
      </c>
      <c r="B10447" t="s">
        <v>26951</v>
      </c>
      <c r="C10447" t="s">
        <v>26031</v>
      </c>
      <c r="D10447" t="s">
        <v>26030</v>
      </c>
      <c r="E10447" s="2" t="s">
        <v>572</v>
      </c>
      <c r="F10447" t="s">
        <v>26029</v>
      </c>
      <c r="G10447" t="str">
        <f>HYPERLINK("https://n.news.naver.com/mnews/article/056/0011981113?sid=102")</f>
        <v>https://n.news.naver.com/mnews/article/056/0011981113?sid=102</v>
      </c>
      <c r="H10447">
        <v>0.27600000000000002</v>
      </c>
    </row>
    <row r="10448" spans="1:8" x14ac:dyDescent="0.3">
      <c r="A10448" t="s">
        <v>25945</v>
      </c>
      <c r="B10448" t="s">
        <v>26951</v>
      </c>
      <c r="C10448" t="s">
        <v>26034</v>
      </c>
      <c r="D10448" t="s">
        <v>26033</v>
      </c>
      <c r="E10448" s="2" t="s">
        <v>609</v>
      </c>
      <c r="F10448" t="s">
        <v>26032</v>
      </c>
      <c r="G10448" t="str">
        <f>HYPERLINK("https://ppss.kr/archives/177380")</f>
        <v>https://ppss.kr/archives/177380</v>
      </c>
      <c r="H10448">
        <v>0.503</v>
      </c>
    </row>
    <row r="10449" spans="1:8" x14ac:dyDescent="0.3">
      <c r="A10449" t="s">
        <v>25945</v>
      </c>
      <c r="B10449" t="s">
        <v>26951</v>
      </c>
      <c r="C10449" t="s">
        <v>26037</v>
      </c>
      <c r="D10449" t="s">
        <v>26036</v>
      </c>
      <c r="E10449" s="2" t="s">
        <v>609</v>
      </c>
      <c r="F10449" t="s">
        <v>26035</v>
      </c>
      <c r="G10449" t="str">
        <f>HYPERLINK("http://www.obsnews.co.kr/news/articleView.html?idxno=1359841")</f>
        <v>http://www.obsnews.co.kr/news/articleView.html?idxno=1359841</v>
      </c>
      <c r="H10449">
        <v>0.436</v>
      </c>
    </row>
    <row r="10450" spans="1:8" x14ac:dyDescent="0.3">
      <c r="A10450" t="s">
        <v>25945</v>
      </c>
      <c r="B10450" t="s">
        <v>26951</v>
      </c>
      <c r="C10450" t="s">
        <v>26040</v>
      </c>
      <c r="D10450" t="s">
        <v>26039</v>
      </c>
      <c r="E10450" s="2" t="s">
        <v>653</v>
      </c>
      <c r="F10450" t="s">
        <v>26038</v>
      </c>
      <c r="G10450" t="str">
        <f>HYPERLINK("https://n.news.naver.com/mnews/article/057/0001894310?sid=100")</f>
        <v>https://n.news.naver.com/mnews/article/057/0001894310?sid=100</v>
      </c>
      <c r="H10450">
        <v>0.17799999999999999</v>
      </c>
    </row>
    <row r="10451" spans="1:8" x14ac:dyDescent="0.3">
      <c r="A10451" t="s">
        <v>25945</v>
      </c>
      <c r="B10451" t="s">
        <v>26951</v>
      </c>
      <c r="C10451" t="s">
        <v>26043</v>
      </c>
      <c r="D10451" t="s">
        <v>26042</v>
      </c>
      <c r="E10451" s="2" t="s">
        <v>692</v>
      </c>
      <c r="F10451" t="s">
        <v>26041</v>
      </c>
      <c r="G10451" t="str">
        <f>HYPERLINK("http://www.namdonews.com/news/articleView.html?idxno=807876")</f>
        <v>http://www.namdonews.com/news/articleView.html?idxno=807876</v>
      </c>
      <c r="H10451">
        <v>0.39400000000000002</v>
      </c>
    </row>
    <row r="10452" spans="1:8" x14ac:dyDescent="0.3">
      <c r="A10452" t="s">
        <v>25945</v>
      </c>
      <c r="B10452" t="s">
        <v>26951</v>
      </c>
      <c r="C10452" t="s">
        <v>26046</v>
      </c>
      <c r="D10452" t="s">
        <v>26045</v>
      </c>
      <c r="E10452" s="2" t="s">
        <v>692</v>
      </c>
      <c r="F10452" t="s">
        <v>26044</v>
      </c>
      <c r="G10452" t="str">
        <f>HYPERLINK("https://n.news.naver.com/mnews/article/022/0004040960?sid=102")</f>
        <v>https://n.news.naver.com/mnews/article/022/0004040960?sid=102</v>
      </c>
      <c r="H10452">
        <v>0.186</v>
      </c>
    </row>
    <row r="10453" spans="1:8" x14ac:dyDescent="0.3">
      <c r="A10453" t="s">
        <v>25945</v>
      </c>
      <c r="B10453" t="s">
        <v>26951</v>
      </c>
      <c r="C10453" t="s">
        <v>26049</v>
      </c>
      <c r="D10453" t="s">
        <v>26048</v>
      </c>
      <c r="E10453" s="2" t="s">
        <v>711</v>
      </c>
      <c r="F10453" t="s">
        <v>26047</v>
      </c>
      <c r="G10453" t="str">
        <f>HYPERLINK("https://www.kmaeil.com/news/articleView.html?idxno=511247")</f>
        <v>https://www.kmaeil.com/news/articleView.html?idxno=511247</v>
      </c>
      <c r="H10453">
        <v>0.23</v>
      </c>
    </row>
    <row r="10454" spans="1:8" x14ac:dyDescent="0.3">
      <c r="A10454" t="s">
        <v>25945</v>
      </c>
      <c r="B10454" t="s">
        <v>26951</v>
      </c>
      <c r="C10454" t="s">
        <v>26052</v>
      </c>
      <c r="D10454" t="s">
        <v>26051</v>
      </c>
      <c r="E10454" s="2" t="s">
        <v>711</v>
      </c>
      <c r="F10454" t="s">
        <v>26050</v>
      </c>
      <c r="G10454" t="str">
        <f>HYPERLINK("https://n.news.naver.com/mnews/article/243/0000080460?sid=101")</f>
        <v>https://n.news.naver.com/mnews/article/243/0000080460?sid=101</v>
      </c>
      <c r="H10454">
        <v>0.312</v>
      </c>
    </row>
    <row r="10455" spans="1:8" x14ac:dyDescent="0.3">
      <c r="A10455" t="s">
        <v>25945</v>
      </c>
      <c r="B10455" t="s">
        <v>26951</v>
      </c>
      <c r="C10455" t="s">
        <v>26054</v>
      </c>
      <c r="D10455" t="s">
        <v>26053</v>
      </c>
      <c r="E10455" s="2" t="s">
        <v>711</v>
      </c>
      <c r="F10455" t="s">
        <v>4094</v>
      </c>
      <c r="G10455" t="str">
        <f>HYPERLINK("http://www.itworld.co.kr/news/196919")</f>
        <v>http://www.itworld.co.kr/news/196919</v>
      </c>
      <c r="H10455">
        <v>0.378</v>
      </c>
    </row>
    <row r="10456" spans="1:8" x14ac:dyDescent="0.3">
      <c r="A10456" t="s">
        <v>25945</v>
      </c>
      <c r="B10456" t="s">
        <v>26951</v>
      </c>
      <c r="C10456" t="s">
        <v>26057</v>
      </c>
      <c r="D10456" t="s">
        <v>26056</v>
      </c>
      <c r="E10456" s="2" t="s">
        <v>725</v>
      </c>
      <c r="F10456" t="s">
        <v>26055</v>
      </c>
      <c r="G10456" t="str">
        <f>HYPERLINK("https://n.news.naver.com/mnews/article/014/0005369880?sid=103")</f>
        <v>https://n.news.naver.com/mnews/article/014/0005369880?sid=103</v>
      </c>
      <c r="H10456">
        <v>0.26700000000000002</v>
      </c>
    </row>
    <row r="10457" spans="1:8" x14ac:dyDescent="0.3">
      <c r="A10457" t="s">
        <v>25945</v>
      </c>
      <c r="B10457" t="s">
        <v>26951</v>
      </c>
      <c r="C10457" t="s">
        <v>26059</v>
      </c>
      <c r="D10457" t="s">
        <v>26058</v>
      </c>
      <c r="E10457" s="2" t="s">
        <v>725</v>
      </c>
      <c r="F10457" t="s">
        <v>26041</v>
      </c>
      <c r="G10457" t="str">
        <f>HYPERLINK("https://sports.hankooki.com/lpage/life/202107/sp20210705165048136830.htm?s_ref=nv")</f>
        <v>https://sports.hankooki.com/lpage/life/202107/sp20210705165048136830.htm?s_ref=nv</v>
      </c>
      <c r="H10457">
        <v>0.46800000000000003</v>
      </c>
    </row>
    <row r="10458" spans="1:8" x14ac:dyDescent="0.3">
      <c r="A10458" t="s">
        <v>25945</v>
      </c>
      <c r="B10458" t="s">
        <v>26951</v>
      </c>
      <c r="C10458" t="s">
        <v>26061</v>
      </c>
      <c r="D10458" t="s">
        <v>26060</v>
      </c>
      <c r="E10458" s="2" t="s">
        <v>742</v>
      </c>
      <c r="F10458" t="s">
        <v>3679</v>
      </c>
      <c r="G10458" t="str">
        <f>HYPERLINK("https://n.news.naver.com/mnews/article/011/0004493430?sid=154")</f>
        <v>https://n.news.naver.com/mnews/article/011/0004493430?sid=154</v>
      </c>
      <c r="H10458">
        <v>0.26300000000000001</v>
      </c>
    </row>
    <row r="10459" spans="1:8" x14ac:dyDescent="0.3">
      <c r="A10459" t="s">
        <v>25945</v>
      </c>
      <c r="B10459" t="s">
        <v>26951</v>
      </c>
      <c r="C10459" t="s">
        <v>26064</v>
      </c>
      <c r="D10459" t="s">
        <v>26063</v>
      </c>
      <c r="E10459" s="2" t="s">
        <v>799</v>
      </c>
      <c r="F10459" t="s">
        <v>26062</v>
      </c>
      <c r="G10459" t="str">
        <f>HYPERLINK("https://www.kmaeil.com/news/articleView.html?idxno=511247")</f>
        <v>https://www.kmaeil.com/news/articleView.html?idxno=511247</v>
      </c>
      <c r="H10459">
        <v>0.27600000000000002</v>
      </c>
    </row>
    <row r="10460" spans="1:8" x14ac:dyDescent="0.3">
      <c r="A10460" t="s">
        <v>25945</v>
      </c>
      <c r="B10460" t="s">
        <v>26951</v>
      </c>
      <c r="C10460" t="s">
        <v>26067</v>
      </c>
      <c r="D10460" t="s">
        <v>26066</v>
      </c>
      <c r="E10460" s="2" t="s">
        <v>799</v>
      </c>
      <c r="F10460" t="s">
        <v>26065</v>
      </c>
      <c r="G10460" t="str">
        <f>HYPERLINK("https://www.cnet.co.kr/view/?no=20240621230603")</f>
        <v>https://www.cnet.co.kr/view/?no=20240621230603</v>
      </c>
      <c r="H10460">
        <v>0.34</v>
      </c>
    </row>
    <row r="10461" spans="1:8" x14ac:dyDescent="0.3">
      <c r="A10461" t="s">
        <v>25945</v>
      </c>
      <c r="B10461" t="s">
        <v>26951</v>
      </c>
      <c r="C10461" t="s">
        <v>26070</v>
      </c>
      <c r="D10461" t="s">
        <v>26069</v>
      </c>
      <c r="E10461" s="2" t="s">
        <v>840</v>
      </c>
      <c r="F10461" t="s">
        <v>26068</v>
      </c>
      <c r="G10461" t="str">
        <f>HYPERLINK("http://weekly.cnbnews.com/news/article.html?no=115692")</f>
        <v>http://weekly.cnbnews.com/news/article.html?no=115692</v>
      </c>
      <c r="H10461">
        <v>0.15</v>
      </c>
    </row>
    <row r="10462" spans="1:8" x14ac:dyDescent="0.3">
      <c r="A10462" t="s">
        <v>26071</v>
      </c>
      <c r="B10462" t="s">
        <v>26951</v>
      </c>
      <c r="C10462" t="s">
        <v>26074</v>
      </c>
      <c r="D10462" t="s">
        <v>26073</v>
      </c>
      <c r="E10462" s="2" t="s">
        <v>74</v>
      </c>
      <c r="F10462" t="s">
        <v>26072</v>
      </c>
      <c r="G10462" t="str">
        <f>HYPERLINK("http://www.hidomin.com/news/articleView.html?idxno=332000")</f>
        <v>http://www.hidomin.com/news/articleView.html?idxno=332000</v>
      </c>
      <c r="H10462">
        <v>0.27800000000000002</v>
      </c>
    </row>
    <row r="10463" spans="1:8" x14ac:dyDescent="0.3">
      <c r="A10463" t="s">
        <v>26071</v>
      </c>
      <c r="B10463" t="s">
        <v>26951</v>
      </c>
      <c r="C10463" t="s">
        <v>26076</v>
      </c>
      <c r="D10463" t="s">
        <v>26075</v>
      </c>
      <c r="E10463" s="2" t="s">
        <v>74</v>
      </c>
      <c r="F10463" t="s">
        <v>2046</v>
      </c>
      <c r="G10463" t="str">
        <f>HYPERLINK("https://www.kyongbuk.co.kr/news/articleView.html?idxno=4045052")</f>
        <v>https://www.kyongbuk.co.kr/news/articleView.html?idxno=4045052</v>
      </c>
      <c r="H10463">
        <v>0.998</v>
      </c>
    </row>
    <row r="10464" spans="1:8" x14ac:dyDescent="0.3">
      <c r="A10464" t="s">
        <v>26071</v>
      </c>
      <c r="B10464" t="s">
        <v>26951</v>
      </c>
      <c r="C10464" t="s">
        <v>26078</v>
      </c>
      <c r="D10464" t="s">
        <v>26077</v>
      </c>
      <c r="E10464" s="2" t="s">
        <v>74</v>
      </c>
      <c r="F10464" t="s">
        <v>2046</v>
      </c>
      <c r="G10464" t="str">
        <f>HYPERLINK("https://www.kyongbuk.co.kr/news/articleView.html?idxno=4045472")</f>
        <v>https://www.kyongbuk.co.kr/news/articleView.html?idxno=4045472</v>
      </c>
      <c r="H10464">
        <v>0.97899999999999998</v>
      </c>
    </row>
    <row r="10465" spans="1:8" x14ac:dyDescent="0.3">
      <c r="A10465" t="s">
        <v>26071</v>
      </c>
      <c r="B10465" t="s">
        <v>26951</v>
      </c>
      <c r="C10465" t="s">
        <v>26080</v>
      </c>
      <c r="D10465" t="s">
        <v>26079</v>
      </c>
      <c r="E10465" s="2" t="s">
        <v>74</v>
      </c>
      <c r="F10465" t="s">
        <v>2046</v>
      </c>
      <c r="G10465" t="str">
        <f>HYPERLINK("https://www.kyongbuk.co.kr/news/articleView.html?idxno=4045246")</f>
        <v>https://www.kyongbuk.co.kr/news/articleView.html?idxno=4045246</v>
      </c>
      <c r="H10465">
        <v>0.98399999999999999</v>
      </c>
    </row>
    <row r="10466" spans="1:8" x14ac:dyDescent="0.3">
      <c r="A10466" t="s">
        <v>26071</v>
      </c>
      <c r="B10466" t="s">
        <v>26951</v>
      </c>
      <c r="C10466" t="s">
        <v>26082</v>
      </c>
      <c r="D10466" t="s">
        <v>26081</v>
      </c>
      <c r="E10466" s="2" t="s">
        <v>74</v>
      </c>
      <c r="F10466" t="s">
        <v>2046</v>
      </c>
      <c r="G10466" t="str">
        <f>HYPERLINK("https://www.kyongbuk.co.kr/news/articleView.html?idxno=4045125")</f>
        <v>https://www.kyongbuk.co.kr/news/articleView.html?idxno=4045125</v>
      </c>
      <c r="H10466">
        <v>0.98699999999999999</v>
      </c>
    </row>
    <row r="10467" spans="1:8" x14ac:dyDescent="0.3">
      <c r="A10467" t="s">
        <v>26071</v>
      </c>
      <c r="B10467" t="s">
        <v>26951</v>
      </c>
      <c r="C10467" t="s">
        <v>26085</v>
      </c>
      <c r="D10467" t="s">
        <v>26084</v>
      </c>
      <c r="E10467" s="2" t="s">
        <v>105</v>
      </c>
      <c r="F10467" t="s">
        <v>26083</v>
      </c>
      <c r="G10467" t="str">
        <f>HYPERLINK("http://www.getnews.co.kr/news/articleView.html?idxno=566687")</f>
        <v>http://www.getnews.co.kr/news/articleView.html?idxno=566687</v>
      </c>
      <c r="H10467">
        <v>0.46600000000000003</v>
      </c>
    </row>
    <row r="10468" spans="1:8" x14ac:dyDescent="0.3">
      <c r="A10468" t="s">
        <v>26071</v>
      </c>
      <c r="B10468" t="s">
        <v>26951</v>
      </c>
      <c r="C10468" t="s">
        <v>26088</v>
      </c>
      <c r="D10468" t="s">
        <v>26087</v>
      </c>
      <c r="E10468" s="2" t="s">
        <v>105</v>
      </c>
      <c r="F10468" t="s">
        <v>26086</v>
      </c>
      <c r="G10468" t="str">
        <f>HYPERLINK("http://news.lghellovision.net/news/articleView.html?idxno=511287")</f>
        <v>http://news.lghellovision.net/news/articleView.html?idxno=511287</v>
      </c>
      <c r="H10468">
        <v>0.58199999999999996</v>
      </c>
    </row>
    <row r="10469" spans="1:8" x14ac:dyDescent="0.3">
      <c r="A10469" t="s">
        <v>26071</v>
      </c>
      <c r="B10469" t="s">
        <v>26951</v>
      </c>
      <c r="C10469" t="s">
        <v>26090</v>
      </c>
      <c r="D10469" t="s">
        <v>26089</v>
      </c>
      <c r="E10469" s="2" t="s">
        <v>133</v>
      </c>
      <c r="F10469" t="s">
        <v>2046</v>
      </c>
      <c r="G10469" t="str">
        <f>HYPERLINK("https://www.kyongbuk.co.kr/news/articleView.html?idxno=4045334")</f>
        <v>https://www.kyongbuk.co.kr/news/articleView.html?idxno=4045334</v>
      </c>
      <c r="H10469">
        <v>0.97699999999999998</v>
      </c>
    </row>
    <row r="10470" spans="1:8" x14ac:dyDescent="0.3">
      <c r="A10470" t="s">
        <v>26071</v>
      </c>
      <c r="B10470" t="s">
        <v>26951</v>
      </c>
      <c r="C10470" t="s">
        <v>26091</v>
      </c>
      <c r="D10470" t="s">
        <v>26079</v>
      </c>
      <c r="E10470" s="2" t="s">
        <v>133</v>
      </c>
      <c r="F10470" t="s">
        <v>2046</v>
      </c>
      <c r="G10470" t="str">
        <f>HYPERLINK("https://www.kyongbuk.co.kr/news/articleView.html?idxno=4045246")</f>
        <v>https://www.kyongbuk.co.kr/news/articleView.html?idxno=4045246</v>
      </c>
      <c r="H10470">
        <v>0.98399999999999999</v>
      </c>
    </row>
    <row r="10471" spans="1:8" x14ac:dyDescent="0.3">
      <c r="A10471" t="s">
        <v>26071</v>
      </c>
      <c r="B10471" t="s">
        <v>26951</v>
      </c>
      <c r="C10471" t="s">
        <v>26093</v>
      </c>
      <c r="D10471" t="s">
        <v>26092</v>
      </c>
      <c r="E10471" s="2" t="s">
        <v>133</v>
      </c>
      <c r="F10471" t="s">
        <v>24525</v>
      </c>
      <c r="G10471" t="str">
        <f>HYPERLINK("https://n.news.naver.com/mnews/article/002/0002005512?sid=100")</f>
        <v>https://n.news.naver.com/mnews/article/002/0002005512?sid=100</v>
      </c>
      <c r="H10471">
        <v>0.66700000000000004</v>
      </c>
    </row>
    <row r="10472" spans="1:8" x14ac:dyDescent="0.3">
      <c r="A10472" t="s">
        <v>26071</v>
      </c>
      <c r="B10472" t="s">
        <v>26951</v>
      </c>
      <c r="C10472" t="s">
        <v>26096</v>
      </c>
      <c r="D10472" t="s">
        <v>26095</v>
      </c>
      <c r="E10472" s="2" t="s">
        <v>280</v>
      </c>
      <c r="F10472" t="s">
        <v>26094</v>
      </c>
      <c r="G10472" t="str">
        <f>HYPERLINK("https://www.yeongnam.com/web/view.php?key=20240705010000873")</f>
        <v>https://www.yeongnam.com/web/view.php?key=20240705010000873</v>
      </c>
      <c r="H10472">
        <v>9.0999999999999998E-2</v>
      </c>
    </row>
    <row r="10473" spans="1:8" x14ac:dyDescent="0.3">
      <c r="A10473" t="s">
        <v>26071</v>
      </c>
      <c r="B10473" t="s">
        <v>26951</v>
      </c>
      <c r="C10473" t="s">
        <v>26098</v>
      </c>
      <c r="D10473" t="s">
        <v>26097</v>
      </c>
      <c r="E10473" s="2" t="s">
        <v>356</v>
      </c>
      <c r="F10473" t="s">
        <v>2046</v>
      </c>
      <c r="G10473" t="str">
        <f>HYPERLINK("https://www.kyongbuk.co.kr/news/articleView.html?idxno=4044486")</f>
        <v>https://www.kyongbuk.co.kr/news/articleView.html?idxno=4044486</v>
      </c>
      <c r="H10473">
        <v>0.99299999999999999</v>
      </c>
    </row>
    <row r="10474" spans="1:8" x14ac:dyDescent="0.3">
      <c r="A10474" t="s">
        <v>26071</v>
      </c>
      <c r="B10474" t="s">
        <v>26951</v>
      </c>
      <c r="C10474" t="s">
        <v>26100</v>
      </c>
      <c r="D10474" t="s">
        <v>26099</v>
      </c>
      <c r="E10474" s="2" t="s">
        <v>356</v>
      </c>
      <c r="F10474" t="s">
        <v>2046</v>
      </c>
      <c r="G10474" t="str">
        <f>HYPERLINK("https://www.kyongbuk.co.kr/news/articleView.html?idxno=4043203")</f>
        <v>https://www.kyongbuk.co.kr/news/articleView.html?idxno=4043203</v>
      </c>
      <c r="H10474">
        <v>0.996</v>
      </c>
    </row>
    <row r="10475" spans="1:8" x14ac:dyDescent="0.3">
      <c r="A10475" t="s">
        <v>26071</v>
      </c>
      <c r="B10475" t="s">
        <v>26951</v>
      </c>
      <c r="C10475" t="s">
        <v>26102</v>
      </c>
      <c r="D10475" t="s">
        <v>26101</v>
      </c>
      <c r="E10475" s="2" t="s">
        <v>356</v>
      </c>
      <c r="F10475" t="s">
        <v>2046</v>
      </c>
      <c r="G10475" t="str">
        <f>HYPERLINK("https://www.yeongnam.com/web/view.php?key=20220720010002628")</f>
        <v>https://www.yeongnam.com/web/view.php?key=20220720010002628</v>
      </c>
      <c r="H10475">
        <v>0.66900000000000004</v>
      </c>
    </row>
    <row r="10476" spans="1:8" x14ac:dyDescent="0.3">
      <c r="A10476" t="s">
        <v>26071</v>
      </c>
      <c r="B10476" t="s">
        <v>26951</v>
      </c>
      <c r="C10476" t="s">
        <v>26104</v>
      </c>
      <c r="D10476" t="s">
        <v>26103</v>
      </c>
      <c r="E10476" s="2" t="s">
        <v>356</v>
      </c>
      <c r="F10476" t="s">
        <v>2046</v>
      </c>
      <c r="G10476" t="str">
        <f>HYPERLINK("https://www.kyongbuk.co.kr/news/articleView.html?idxno=4044621")</f>
        <v>https://www.kyongbuk.co.kr/news/articleView.html?idxno=4044621</v>
      </c>
      <c r="H10476">
        <v>0.98699999999999999</v>
      </c>
    </row>
    <row r="10477" spans="1:8" x14ac:dyDescent="0.3">
      <c r="A10477" t="s">
        <v>26071</v>
      </c>
      <c r="B10477" t="s">
        <v>26951</v>
      </c>
      <c r="C10477" t="s">
        <v>26106</v>
      </c>
      <c r="D10477" t="s">
        <v>26105</v>
      </c>
      <c r="E10477" s="2" t="s">
        <v>418</v>
      </c>
      <c r="F10477" t="s">
        <v>2046</v>
      </c>
      <c r="G10477" t="str">
        <f>HYPERLINK("https://www.kyongbuk.co.kr/news/articleView.html?idxno=4044364")</f>
        <v>https://www.kyongbuk.co.kr/news/articleView.html?idxno=4044364</v>
      </c>
      <c r="H10477">
        <v>0.98799999999999999</v>
      </c>
    </row>
    <row r="10478" spans="1:8" x14ac:dyDescent="0.3">
      <c r="A10478" t="s">
        <v>26071</v>
      </c>
      <c r="B10478" t="s">
        <v>26951</v>
      </c>
      <c r="C10478" t="s">
        <v>26108</v>
      </c>
      <c r="D10478" t="s">
        <v>26107</v>
      </c>
      <c r="E10478" s="2" t="s">
        <v>452</v>
      </c>
      <c r="F10478" t="s">
        <v>18889</v>
      </c>
      <c r="G10478" t="str">
        <f>HYPERLINK("http://www.namdonews.com/news/articleView.html?idxno=815732")</f>
        <v>http://www.namdonews.com/news/articleView.html?idxno=815732</v>
      </c>
      <c r="H10478">
        <v>0.30199999999999999</v>
      </c>
    </row>
    <row r="10479" spans="1:8" x14ac:dyDescent="0.3">
      <c r="A10479" t="s">
        <v>26071</v>
      </c>
      <c r="B10479" t="s">
        <v>26951</v>
      </c>
      <c r="C10479" t="s">
        <v>26111</v>
      </c>
      <c r="D10479" t="s">
        <v>26110</v>
      </c>
      <c r="E10479" s="2" t="s">
        <v>452</v>
      </c>
      <c r="F10479" t="s">
        <v>26109</v>
      </c>
      <c r="G10479" t="str">
        <f>HYPERLINK("https://www.kyongbuk.co.kr/news/articleView.html?idxno=4044499")</f>
        <v>https://www.kyongbuk.co.kr/news/articleView.html?idxno=4044499</v>
      </c>
      <c r="H10479">
        <v>7.8E-2</v>
      </c>
    </row>
    <row r="10480" spans="1:8" x14ac:dyDescent="0.3">
      <c r="A10480" t="s">
        <v>26071</v>
      </c>
      <c r="B10480" t="s">
        <v>26951</v>
      </c>
      <c r="C10480" t="s">
        <v>26114</v>
      </c>
      <c r="D10480" t="s">
        <v>26113</v>
      </c>
      <c r="E10480" s="2" t="s">
        <v>481</v>
      </c>
      <c r="F10480" t="s">
        <v>26112</v>
      </c>
      <c r="G10480" t="str">
        <f>HYPERLINK("https://www.dkilbo.com/news/articleView.html?idxno=455127")</f>
        <v>https://www.dkilbo.com/news/articleView.html?idxno=455127</v>
      </c>
      <c r="H10480">
        <v>0.36799999999999999</v>
      </c>
    </row>
    <row r="10481" spans="1:8" x14ac:dyDescent="0.3">
      <c r="A10481" t="s">
        <v>26071</v>
      </c>
      <c r="B10481" t="s">
        <v>26951</v>
      </c>
      <c r="C10481" t="s">
        <v>26116</v>
      </c>
      <c r="D10481" t="s">
        <v>26115</v>
      </c>
      <c r="E10481" s="2" t="s">
        <v>502</v>
      </c>
      <c r="F10481" t="s">
        <v>2046</v>
      </c>
      <c r="G10481" t="str">
        <f>HYPERLINK("https://www.kyongbuk.co.kr/news/articleView.html?idxno=4044169")</f>
        <v>https://www.kyongbuk.co.kr/news/articleView.html?idxno=4044169</v>
      </c>
      <c r="H10481">
        <v>0.98099999999999998</v>
      </c>
    </row>
    <row r="10482" spans="1:8" x14ac:dyDescent="0.3">
      <c r="A10482" t="s">
        <v>26071</v>
      </c>
      <c r="B10482" t="s">
        <v>26951</v>
      </c>
      <c r="C10482" t="s">
        <v>26118</v>
      </c>
      <c r="D10482" t="s">
        <v>26117</v>
      </c>
      <c r="E10482" s="2" t="s">
        <v>538</v>
      </c>
      <c r="F10482" t="s">
        <v>2046</v>
      </c>
      <c r="G10482" t="str">
        <f>HYPERLINK("https://www.kyongbuk.co.kr/news/articleView.html?idxno=4043879")</f>
        <v>https://www.kyongbuk.co.kr/news/articleView.html?idxno=4043879</v>
      </c>
      <c r="H10482">
        <v>0.98199999999999998</v>
      </c>
    </row>
    <row r="10483" spans="1:8" x14ac:dyDescent="0.3">
      <c r="A10483" t="s">
        <v>26071</v>
      </c>
      <c r="B10483" t="s">
        <v>26951</v>
      </c>
      <c r="C10483" t="s">
        <v>26120</v>
      </c>
      <c r="D10483" t="s">
        <v>26119</v>
      </c>
      <c r="E10483" s="2" t="s">
        <v>538</v>
      </c>
      <c r="F10483" t="s">
        <v>2046</v>
      </c>
      <c r="G10483" t="str">
        <f>HYPERLINK("http://www.hidomin.com/news/articleView.html?idxno=583380")</f>
        <v>http://www.hidomin.com/news/articleView.html?idxno=583380</v>
      </c>
      <c r="H10483">
        <v>0.79100000000000004</v>
      </c>
    </row>
    <row r="10484" spans="1:8" x14ac:dyDescent="0.3">
      <c r="A10484" t="s">
        <v>26071</v>
      </c>
      <c r="B10484" t="s">
        <v>26951</v>
      </c>
      <c r="C10484" t="s">
        <v>26123</v>
      </c>
      <c r="D10484" t="s">
        <v>26122</v>
      </c>
      <c r="E10484" s="2" t="s">
        <v>609</v>
      </c>
      <c r="F10484" t="s">
        <v>26121</v>
      </c>
      <c r="G10484" t="str">
        <f>HYPERLINK("http://www.seoulwire.com/news/articleView.html?idxno=653916")</f>
        <v>http://www.seoulwire.com/news/articleView.html?idxno=653916</v>
      </c>
      <c r="H10484">
        <v>0.92</v>
      </c>
    </row>
    <row r="10485" spans="1:8" x14ac:dyDescent="0.3">
      <c r="A10485" t="s">
        <v>26071</v>
      </c>
      <c r="B10485" t="s">
        <v>26951</v>
      </c>
      <c r="C10485" t="s">
        <v>26125</v>
      </c>
      <c r="D10485" t="s">
        <v>26124</v>
      </c>
      <c r="E10485" s="2" t="s">
        <v>653</v>
      </c>
      <c r="F10485" t="s">
        <v>2046</v>
      </c>
      <c r="G10485" t="str">
        <f>HYPERLINK("https://www.kyongbuk.co.kr/news/articleView.html?idxno=4043709")</f>
        <v>https://www.kyongbuk.co.kr/news/articleView.html?idxno=4043709</v>
      </c>
      <c r="H10485">
        <v>0.998</v>
      </c>
    </row>
    <row r="10486" spans="1:8" x14ac:dyDescent="0.3">
      <c r="A10486" t="s">
        <v>26071</v>
      </c>
      <c r="B10486" t="s">
        <v>26951</v>
      </c>
      <c r="C10486" t="s">
        <v>26127</v>
      </c>
      <c r="D10486" t="s">
        <v>26126</v>
      </c>
      <c r="E10486" s="2" t="s">
        <v>742</v>
      </c>
      <c r="F10486" t="s">
        <v>2046</v>
      </c>
      <c r="G10486" t="str">
        <f>HYPERLINK("https://www.kyongbuk.co.kr/news/articleView.html?idxno=4043433")</f>
        <v>https://www.kyongbuk.co.kr/news/articleView.html?idxno=4043433</v>
      </c>
      <c r="H10486">
        <v>0.98299999999999998</v>
      </c>
    </row>
    <row r="10487" spans="1:8" x14ac:dyDescent="0.3">
      <c r="A10487" t="s">
        <v>26071</v>
      </c>
      <c r="B10487" t="s">
        <v>26951</v>
      </c>
      <c r="C10487" t="s">
        <v>26129</v>
      </c>
      <c r="D10487" t="s">
        <v>26128</v>
      </c>
      <c r="E10487" s="2" t="s">
        <v>799</v>
      </c>
      <c r="F10487" t="s">
        <v>2046</v>
      </c>
      <c r="G10487" t="str">
        <f>HYPERLINK("https://www.viva100.com/article/20250604500394")</f>
        <v>https://www.viva100.com/article/20250604500394</v>
      </c>
      <c r="H10487">
        <v>0.63800000000000001</v>
      </c>
    </row>
    <row r="10488" spans="1:8" x14ac:dyDescent="0.3">
      <c r="A10488" t="s">
        <v>26071</v>
      </c>
      <c r="B10488" t="s">
        <v>26951</v>
      </c>
      <c r="C10488" t="s">
        <v>26131</v>
      </c>
      <c r="D10488" t="s">
        <v>26130</v>
      </c>
      <c r="E10488" s="2" t="s">
        <v>799</v>
      </c>
      <c r="F10488" t="s">
        <v>2046</v>
      </c>
      <c r="G10488" t="str">
        <f>HYPERLINK("https://www.kyongbuk.co.kr/news/articleView.html?idxno=4043373")</f>
        <v>https://www.kyongbuk.co.kr/news/articleView.html?idxno=4043373</v>
      </c>
      <c r="H10488">
        <v>0.995</v>
      </c>
    </row>
    <row r="10489" spans="1:8" x14ac:dyDescent="0.3">
      <c r="A10489" t="s">
        <v>26071</v>
      </c>
      <c r="B10489" t="s">
        <v>26951</v>
      </c>
      <c r="C10489" t="s">
        <v>26133</v>
      </c>
      <c r="D10489" t="s">
        <v>26132</v>
      </c>
      <c r="E10489" s="2" t="s">
        <v>799</v>
      </c>
      <c r="F10489" t="s">
        <v>2046</v>
      </c>
      <c r="G10489" t="str">
        <f>HYPERLINK("https://www.yeongnam.com/web/view.php?key=20250701024209970")</f>
        <v>https://www.yeongnam.com/web/view.php?key=20250701024209970</v>
      </c>
      <c r="H10489">
        <v>0.371</v>
      </c>
    </row>
    <row r="10490" spans="1:8" x14ac:dyDescent="0.3">
      <c r="A10490" t="s">
        <v>26071</v>
      </c>
      <c r="B10490" t="s">
        <v>26951</v>
      </c>
      <c r="C10490" t="s">
        <v>26135</v>
      </c>
      <c r="D10490" t="s">
        <v>26134</v>
      </c>
      <c r="E10490" s="2" t="s">
        <v>799</v>
      </c>
      <c r="F10490" t="s">
        <v>2046</v>
      </c>
      <c r="G10490" t="str">
        <f>HYPERLINK("https://www.kyongbuk.co.kr/news/articleView.html?idxno=4043296")</f>
        <v>https://www.kyongbuk.co.kr/news/articleView.html?idxno=4043296</v>
      </c>
      <c r="H10490">
        <v>0.99199999999999999</v>
      </c>
    </row>
    <row r="10491" spans="1:8" x14ac:dyDescent="0.3">
      <c r="A10491" t="s">
        <v>26071</v>
      </c>
      <c r="B10491" t="s">
        <v>26951</v>
      </c>
      <c r="C10491" t="s">
        <v>26137</v>
      </c>
      <c r="D10491" t="s">
        <v>26136</v>
      </c>
      <c r="E10491" s="2" t="s">
        <v>799</v>
      </c>
      <c r="F10491" t="s">
        <v>2046</v>
      </c>
      <c r="G10491" t="str">
        <f>HYPERLINK("https://www.kyongbuk.co.kr/news/articleView.html?idxno=4043054")</f>
        <v>https://www.kyongbuk.co.kr/news/articleView.html?idxno=4043054</v>
      </c>
      <c r="H10491">
        <v>0.93799999999999994</v>
      </c>
    </row>
    <row r="10492" spans="1:8" x14ac:dyDescent="0.3">
      <c r="A10492" t="s">
        <v>26138</v>
      </c>
      <c r="B10492" t="s">
        <v>26951</v>
      </c>
      <c r="C10492" t="s">
        <v>26140</v>
      </c>
      <c r="D10492" t="s">
        <v>26139</v>
      </c>
      <c r="E10492" s="2" t="s">
        <v>7</v>
      </c>
      <c r="F10492" t="s">
        <v>21768</v>
      </c>
      <c r="G10492" t="str">
        <f>HYPERLINK("http://www.idomin.com/news/articleView.html?idxno=756021")</f>
        <v>http://www.idomin.com/news/articleView.html?idxno=756021</v>
      </c>
      <c r="H10492">
        <v>0.42699999999999999</v>
      </c>
    </row>
    <row r="10493" spans="1:8" x14ac:dyDescent="0.3">
      <c r="A10493" t="s">
        <v>26138</v>
      </c>
      <c r="B10493" t="s">
        <v>26951</v>
      </c>
      <c r="C10493" t="s">
        <v>26142</v>
      </c>
      <c r="D10493" t="s">
        <v>26141</v>
      </c>
      <c r="E10493" s="2" t="s">
        <v>356</v>
      </c>
      <c r="F10493" t="s">
        <v>24667</v>
      </c>
      <c r="G10493" t="str">
        <f>HYPERLINK("http://www.idomin.com/news/articleView.html?idxno=734495")</f>
        <v>http://www.idomin.com/news/articleView.html?idxno=734495</v>
      </c>
      <c r="H10493">
        <v>0.34200000000000003</v>
      </c>
    </row>
    <row r="10494" spans="1:8" x14ac:dyDescent="0.3">
      <c r="A10494" t="s">
        <v>26138</v>
      </c>
      <c r="B10494" t="s">
        <v>26951</v>
      </c>
      <c r="C10494" t="s">
        <v>26144</v>
      </c>
      <c r="D10494" t="s">
        <v>26143</v>
      </c>
      <c r="E10494" s="2" t="s">
        <v>356</v>
      </c>
      <c r="F10494" t="s">
        <v>2046</v>
      </c>
      <c r="G10494" t="str">
        <f>HYPERLINK("http://www.knnews.co.kr/news/articleView.php?idxno=1462758")</f>
        <v>http://www.knnews.co.kr/news/articleView.php?idxno=1462758</v>
      </c>
      <c r="H10494">
        <v>0.99199999999999999</v>
      </c>
    </row>
    <row r="10495" spans="1:8" x14ac:dyDescent="0.3">
      <c r="A10495" t="s">
        <v>26138</v>
      </c>
      <c r="B10495" t="s">
        <v>26951</v>
      </c>
      <c r="C10495" t="s">
        <v>26147</v>
      </c>
      <c r="D10495" t="s">
        <v>26146</v>
      </c>
      <c r="E10495" s="2" t="s">
        <v>394</v>
      </c>
      <c r="F10495" t="s">
        <v>26145</v>
      </c>
      <c r="G10495" t="str">
        <f>HYPERLINK("http://www.knnews.co.kr/news/articleView.php?idxno=1405600")</f>
        <v>http://www.knnews.co.kr/news/articleView.php?idxno=1405600</v>
      </c>
      <c r="H10495">
        <v>0.17100000000000001</v>
      </c>
    </row>
    <row r="10496" spans="1:8" x14ac:dyDescent="0.3">
      <c r="A10496" t="s">
        <v>26138</v>
      </c>
      <c r="B10496" t="s">
        <v>26951</v>
      </c>
      <c r="C10496" t="s">
        <v>20399</v>
      </c>
      <c r="D10496" t="s">
        <v>20398</v>
      </c>
      <c r="E10496" s="2" t="s">
        <v>538</v>
      </c>
      <c r="F10496" t="s">
        <v>18946</v>
      </c>
      <c r="G10496" t="str">
        <f>HYPERLINK("http://www.kyeonggi.com/news/articleView.html?idxno=709222")</f>
        <v>http://www.kyeonggi.com/news/articleView.html?idxno=709222</v>
      </c>
      <c r="H10496">
        <v>0.16300000000000001</v>
      </c>
    </row>
    <row r="10497" spans="1:8" x14ac:dyDescent="0.3">
      <c r="A10497" t="s">
        <v>26138</v>
      </c>
      <c r="B10497" t="s">
        <v>26951</v>
      </c>
      <c r="C10497" t="s">
        <v>26150</v>
      </c>
      <c r="D10497" t="s">
        <v>26149</v>
      </c>
      <c r="E10497" s="2" t="s">
        <v>799</v>
      </c>
      <c r="F10497" t="s">
        <v>26148</v>
      </c>
      <c r="G10497" t="str">
        <f>HYPERLINK("http://www.brainmedia.co.kr/BrainTraining/24850")</f>
        <v>http://www.brainmedia.co.kr/BrainTraining/24850</v>
      </c>
      <c r="H10497">
        <v>0.62</v>
      </c>
    </row>
    <row r="10498" spans="1:8" x14ac:dyDescent="0.3">
      <c r="A10498" t="s">
        <v>26151</v>
      </c>
      <c r="B10498" t="s">
        <v>26951</v>
      </c>
      <c r="C10498" t="s">
        <v>26153</v>
      </c>
      <c r="D10498" t="s">
        <v>26152</v>
      </c>
      <c r="E10498" s="2" t="s">
        <v>267</v>
      </c>
      <c r="F10498" t="s">
        <v>175</v>
      </c>
      <c r="G10498" t="str">
        <f>HYPERLINK("https://n.news.naver.com/mnews/article/056/0011980635?sid=102")</f>
        <v>https://n.news.naver.com/mnews/article/056/0011980635?sid=102</v>
      </c>
      <c r="H10498">
        <v>0.29299999999999998</v>
      </c>
    </row>
    <row r="10499" spans="1:8" x14ac:dyDescent="0.3">
      <c r="A10499" t="s">
        <v>26151</v>
      </c>
      <c r="B10499" t="s">
        <v>26951</v>
      </c>
      <c r="C10499" t="s">
        <v>26155</v>
      </c>
      <c r="D10499" t="s">
        <v>26154</v>
      </c>
      <c r="E10499" s="2" t="s">
        <v>742</v>
      </c>
      <c r="F10499" t="s">
        <v>4337</v>
      </c>
      <c r="G10499" t="str">
        <f>HYPERLINK("http://www.dailysportshankook.co.kr/news/articleView.html?idxno=217843")</f>
        <v>http://www.dailysportshankook.co.kr/news/articleView.html?idxno=217843</v>
      </c>
      <c r="H10499">
        <v>0.57899999999999996</v>
      </c>
    </row>
    <row r="10500" spans="1:8" x14ac:dyDescent="0.3">
      <c r="A10500" t="s">
        <v>26151</v>
      </c>
      <c r="B10500" t="s">
        <v>26951</v>
      </c>
      <c r="C10500" t="s">
        <v>26158</v>
      </c>
      <c r="D10500" t="s">
        <v>26157</v>
      </c>
      <c r="E10500" s="2" t="s">
        <v>860</v>
      </c>
      <c r="F10500" t="s">
        <v>26156</v>
      </c>
      <c r="G10500" t="str">
        <f>HYPERLINK("https://www.golfjournal.co.kr/news/articleView.html?idxno=2736")</f>
        <v>https://www.golfjournal.co.kr/news/articleView.html?idxno=2736</v>
      </c>
      <c r="H10500">
        <v>0.23899999999999999</v>
      </c>
    </row>
    <row r="10501" spans="1:8" x14ac:dyDescent="0.3">
      <c r="A10501" t="s">
        <v>26159</v>
      </c>
      <c r="B10501" t="s">
        <v>26951</v>
      </c>
      <c r="C10501" t="s">
        <v>26162</v>
      </c>
      <c r="D10501" t="s">
        <v>26161</v>
      </c>
      <c r="E10501" s="2" t="s">
        <v>66</v>
      </c>
      <c r="F10501" t="s">
        <v>26160</v>
      </c>
      <c r="G10501" t="str">
        <f>HYPERLINK("http://www.jjan.kr/news/articleView.html?idxno=1136318")</f>
        <v>http://www.jjan.kr/news/articleView.html?idxno=1136318</v>
      </c>
      <c r="H10501">
        <v>0.41499999999999998</v>
      </c>
    </row>
    <row r="10502" spans="1:8" x14ac:dyDescent="0.3">
      <c r="A10502" t="s">
        <v>26159</v>
      </c>
      <c r="B10502" t="s">
        <v>26951</v>
      </c>
      <c r="C10502" t="s">
        <v>26165</v>
      </c>
      <c r="D10502" t="s">
        <v>26164</v>
      </c>
      <c r="E10502" s="2" t="s">
        <v>172</v>
      </c>
      <c r="F10502" t="s">
        <v>26163</v>
      </c>
      <c r="G10502" t="str">
        <f>HYPERLINK("https://www.newscj.com/news/articleView.html?idxno=3171553")</f>
        <v>https://www.newscj.com/news/articleView.html?idxno=3171553</v>
      </c>
      <c r="H10502">
        <v>0.51700000000000002</v>
      </c>
    </row>
    <row r="10503" spans="1:8" x14ac:dyDescent="0.3">
      <c r="A10503" t="s">
        <v>26159</v>
      </c>
      <c r="B10503" t="s">
        <v>26951</v>
      </c>
      <c r="C10503" t="s">
        <v>26167</v>
      </c>
      <c r="D10503" t="s">
        <v>26166</v>
      </c>
      <c r="E10503" s="2" t="s">
        <v>356</v>
      </c>
      <c r="F10503" t="s">
        <v>2046</v>
      </c>
      <c r="G10503" t="str">
        <f>HYPERLINK("https://www.jjan.kr/article/20250608580157")</f>
        <v>https://www.jjan.kr/article/20250608580157</v>
      </c>
      <c r="H10503">
        <v>0.99399999999999999</v>
      </c>
    </row>
    <row r="10504" spans="1:8" x14ac:dyDescent="0.3">
      <c r="A10504" t="s">
        <v>26159</v>
      </c>
      <c r="B10504" t="s">
        <v>26951</v>
      </c>
      <c r="C10504" t="s">
        <v>26169</v>
      </c>
      <c r="D10504" t="s">
        <v>26168</v>
      </c>
      <c r="E10504" s="2" t="s">
        <v>356</v>
      </c>
      <c r="F10504" t="s">
        <v>2046</v>
      </c>
      <c r="G10504" t="str">
        <f>HYPERLINK("https://www.jjan.kr/article/20250615580225")</f>
        <v>https://www.jjan.kr/article/20250615580225</v>
      </c>
      <c r="H10504">
        <v>0.997</v>
      </c>
    </row>
    <row r="10505" spans="1:8" x14ac:dyDescent="0.3">
      <c r="A10505" t="s">
        <v>26159</v>
      </c>
      <c r="B10505" t="s">
        <v>26951</v>
      </c>
      <c r="C10505" t="s">
        <v>26171</v>
      </c>
      <c r="D10505" t="s">
        <v>26170</v>
      </c>
      <c r="E10505" s="2" t="s">
        <v>356</v>
      </c>
      <c r="F10505" t="s">
        <v>2046</v>
      </c>
      <c r="G10505" t="str">
        <f>HYPERLINK("https://www.jjan.kr/article/20250609580355")</f>
        <v>https://www.jjan.kr/article/20250609580355</v>
      </c>
      <c r="H10505">
        <v>0.99399999999999999</v>
      </c>
    </row>
    <row r="10506" spans="1:8" x14ac:dyDescent="0.3">
      <c r="A10506" t="s">
        <v>26159</v>
      </c>
      <c r="B10506" t="s">
        <v>26951</v>
      </c>
      <c r="C10506" t="s">
        <v>26174</v>
      </c>
      <c r="D10506" t="s">
        <v>26173</v>
      </c>
      <c r="E10506" s="2" t="s">
        <v>481</v>
      </c>
      <c r="F10506" t="s">
        <v>26172</v>
      </c>
      <c r="G10506" t="str">
        <f>HYPERLINK("https://www.jjan.kr/article/20250608580212")</f>
        <v>https://www.jjan.kr/article/20250608580212</v>
      </c>
      <c r="H10506">
        <v>0.92100000000000004</v>
      </c>
    </row>
    <row r="10507" spans="1:8" x14ac:dyDescent="0.3">
      <c r="A10507" t="s">
        <v>26159</v>
      </c>
      <c r="B10507" t="s">
        <v>26951</v>
      </c>
      <c r="C10507" t="s">
        <v>26176</v>
      </c>
      <c r="D10507" t="s">
        <v>26175</v>
      </c>
      <c r="E10507" s="2" t="s">
        <v>517</v>
      </c>
      <c r="F10507" t="s">
        <v>23927</v>
      </c>
      <c r="G10507" t="str">
        <f>HYPERLINK("http://www.jjn.co.kr/news/articleView.html?idxno=1008791")</f>
        <v>http://www.jjn.co.kr/news/articleView.html?idxno=1008791</v>
      </c>
      <c r="H10507">
        <v>0.83799999999999997</v>
      </c>
    </row>
    <row r="10508" spans="1:8" x14ac:dyDescent="0.3">
      <c r="A10508" t="s">
        <v>26159</v>
      </c>
      <c r="B10508" t="s">
        <v>26951</v>
      </c>
      <c r="C10508" t="s">
        <v>26179</v>
      </c>
      <c r="D10508" t="s">
        <v>26178</v>
      </c>
      <c r="E10508" s="2" t="s">
        <v>572</v>
      </c>
      <c r="F10508" t="s">
        <v>26177</v>
      </c>
      <c r="G10508" t="str">
        <f>HYPERLINK("https://www.jjan.kr/article/20230829580116")</f>
        <v>https://www.jjan.kr/article/20230829580116</v>
      </c>
      <c r="H10508">
        <v>0.84799999999999998</v>
      </c>
    </row>
    <row r="10509" spans="1:8" x14ac:dyDescent="0.3">
      <c r="A10509" t="s">
        <v>26159</v>
      </c>
      <c r="B10509" t="s">
        <v>26951</v>
      </c>
      <c r="C10509" t="s">
        <v>26182</v>
      </c>
      <c r="D10509" t="s">
        <v>26181</v>
      </c>
      <c r="E10509" s="2" t="s">
        <v>572</v>
      </c>
      <c r="F10509" t="s">
        <v>26180</v>
      </c>
      <c r="G10509" t="str">
        <f>HYPERLINK("https://www.jjan.kr/article/20250610580303")</f>
        <v>https://www.jjan.kr/article/20250610580303</v>
      </c>
      <c r="H10509">
        <v>0.92500000000000004</v>
      </c>
    </row>
    <row r="10510" spans="1:8" x14ac:dyDescent="0.3">
      <c r="A10510" t="s">
        <v>26159</v>
      </c>
      <c r="B10510" t="s">
        <v>26951</v>
      </c>
      <c r="C10510" t="s">
        <v>26184</v>
      </c>
      <c r="D10510" t="s">
        <v>26183</v>
      </c>
      <c r="E10510" s="2" t="s">
        <v>609</v>
      </c>
      <c r="F10510" t="s">
        <v>3829</v>
      </c>
      <c r="G10510" t="str">
        <f>HYPERLINK("http://www.fntoday.co.kr/news/articleView.html?idxno=353704")</f>
        <v>http://www.fntoday.co.kr/news/articleView.html?idxno=353704</v>
      </c>
      <c r="H10510">
        <v>0.751</v>
      </c>
    </row>
    <row r="10511" spans="1:8" x14ac:dyDescent="0.3">
      <c r="A10511" t="s">
        <v>26159</v>
      </c>
      <c r="B10511" t="s">
        <v>26951</v>
      </c>
      <c r="C10511" t="s">
        <v>26187</v>
      </c>
      <c r="D10511" t="s">
        <v>26186</v>
      </c>
      <c r="E10511" s="2" t="s">
        <v>725</v>
      </c>
      <c r="F10511" t="s">
        <v>26185</v>
      </c>
      <c r="G10511" t="str">
        <f>HYPERLINK("https://www.jjan.kr/article/20250521580167")</f>
        <v>https://www.jjan.kr/article/20250521580167</v>
      </c>
      <c r="H10511">
        <v>0.45800000000000002</v>
      </c>
    </row>
    <row r="10512" spans="1:8" x14ac:dyDescent="0.3">
      <c r="A10512" t="s">
        <v>26188</v>
      </c>
      <c r="B10512" t="s">
        <v>26951</v>
      </c>
      <c r="C10512" t="s">
        <v>26190</v>
      </c>
      <c r="D10512" t="s">
        <v>26189</v>
      </c>
      <c r="E10512" s="2" t="s">
        <v>313</v>
      </c>
      <c r="F10512" t="s">
        <v>7967</v>
      </c>
      <c r="G10512" t="str">
        <f>HYPERLINK("http://www.joongdo.co.kr/web/view.php?key=20210822010004241")</f>
        <v>http://www.joongdo.co.kr/web/view.php?key=20210822010004241</v>
      </c>
      <c r="H10512">
        <v>0.47899999999999998</v>
      </c>
    </row>
    <row r="10513" spans="1:8" x14ac:dyDescent="0.3">
      <c r="A10513" t="s">
        <v>26188</v>
      </c>
      <c r="B10513" t="s">
        <v>26951</v>
      </c>
      <c r="C10513" t="s">
        <v>26192</v>
      </c>
      <c r="D10513" t="s">
        <v>26191</v>
      </c>
      <c r="E10513" s="2" t="s">
        <v>313</v>
      </c>
      <c r="F10513" t="s">
        <v>22575</v>
      </c>
      <c r="G10513" t="str">
        <f>HYPERLINK("https://www.joongdo.co.kr/web/view.php?key=20240218010004450")</f>
        <v>https://www.joongdo.co.kr/web/view.php?key=20240218010004450</v>
      </c>
      <c r="H10513">
        <v>0.26</v>
      </c>
    </row>
    <row r="10514" spans="1:8" x14ac:dyDescent="0.3">
      <c r="A10514" t="s">
        <v>26188</v>
      </c>
      <c r="B10514" t="s">
        <v>26951</v>
      </c>
      <c r="C10514" t="s">
        <v>26195</v>
      </c>
      <c r="D10514" t="s">
        <v>26194</v>
      </c>
      <c r="E10514" s="2" t="s">
        <v>356</v>
      </c>
      <c r="F10514" t="s">
        <v>26193</v>
      </c>
      <c r="G10514" t="str">
        <f>HYPERLINK("https://www.joongdo.co.kr/web/view.php?key=20250616010004318")</f>
        <v>https://www.joongdo.co.kr/web/view.php?key=20250616010004318</v>
      </c>
      <c r="H10514">
        <v>0.33500000000000002</v>
      </c>
    </row>
    <row r="10515" spans="1:8" x14ac:dyDescent="0.3">
      <c r="A10515" t="s">
        <v>26188</v>
      </c>
      <c r="B10515" t="s">
        <v>26951</v>
      </c>
      <c r="C10515" t="s">
        <v>26198</v>
      </c>
      <c r="D10515" t="s">
        <v>26197</v>
      </c>
      <c r="E10515" s="2" t="s">
        <v>356</v>
      </c>
      <c r="F10515" t="s">
        <v>26196</v>
      </c>
      <c r="G10515" t="str">
        <f>HYPERLINK("http://www.sisaon.co.kr/news/articleView.html?idxno=157268")</f>
        <v>http://www.sisaon.co.kr/news/articleView.html?idxno=157268</v>
      </c>
      <c r="H10515">
        <v>0.495</v>
      </c>
    </row>
    <row r="10516" spans="1:8" x14ac:dyDescent="0.3">
      <c r="A10516" t="s">
        <v>26188</v>
      </c>
      <c r="B10516" t="s">
        <v>26951</v>
      </c>
      <c r="C10516" t="s">
        <v>26200</v>
      </c>
      <c r="D10516" t="s">
        <v>26199</v>
      </c>
      <c r="E10516" s="2" t="s">
        <v>653</v>
      </c>
      <c r="F10516" t="s">
        <v>7503</v>
      </c>
      <c r="G10516" t="str">
        <f>HYPERLINK("https://www.jbnews.com/news/articleView.html?idxno=1478713")</f>
        <v>https://www.jbnews.com/news/articleView.html?idxno=1478713</v>
      </c>
      <c r="H10516">
        <v>0.90100000000000002</v>
      </c>
    </row>
    <row r="10517" spans="1:8" x14ac:dyDescent="0.3">
      <c r="A10517" t="s">
        <v>26188</v>
      </c>
      <c r="B10517" t="s">
        <v>26951</v>
      </c>
      <c r="C10517" t="s">
        <v>26202</v>
      </c>
      <c r="D10517" t="s">
        <v>26201</v>
      </c>
      <c r="E10517" s="2" t="s">
        <v>692</v>
      </c>
      <c r="F10517" t="s">
        <v>4899</v>
      </c>
      <c r="G10517" t="str">
        <f>HYPERLINK("http://www.joongdo.co.kr/jsp/article/article_view.jsp?pq=201701140827")</f>
        <v>http://www.joongdo.co.kr/jsp/article/article_view.jsp?pq=201701140827</v>
      </c>
      <c r="H10517">
        <v>0.27900000000000003</v>
      </c>
    </row>
    <row r="10518" spans="1:8" x14ac:dyDescent="0.3">
      <c r="A10518" t="s">
        <v>26188</v>
      </c>
      <c r="B10518" t="s">
        <v>26951</v>
      </c>
      <c r="C10518" t="s">
        <v>26205</v>
      </c>
      <c r="D10518" t="s">
        <v>26204</v>
      </c>
      <c r="E10518" s="2" t="s">
        <v>799</v>
      </c>
      <c r="F10518" t="s">
        <v>26203</v>
      </c>
      <c r="G10518" t="str">
        <f>HYPERLINK("http://www.mediapen.com/news/articleView.html?idxno=81316")</f>
        <v>http://www.mediapen.com/news/articleView.html?idxno=81316</v>
      </c>
      <c r="H10518">
        <v>0.66200000000000003</v>
      </c>
    </row>
    <row r="10519" spans="1:8" x14ac:dyDescent="0.3">
      <c r="A10519" t="s">
        <v>26188</v>
      </c>
      <c r="B10519" t="s">
        <v>26951</v>
      </c>
      <c r="C10519" t="s">
        <v>26207</v>
      </c>
      <c r="D10519" t="s">
        <v>26206</v>
      </c>
      <c r="E10519" s="2" t="s">
        <v>860</v>
      </c>
      <c r="F10519" t="s">
        <v>9470</v>
      </c>
      <c r="G10519" t="str">
        <f>HYPERLINK("https://www.apnews.kr/news/articleView.html?idxno=3032921")</f>
        <v>https://www.apnews.kr/news/articleView.html?idxno=3032921</v>
      </c>
      <c r="H10519">
        <v>0.377</v>
      </c>
    </row>
    <row r="10520" spans="1:8" x14ac:dyDescent="0.3">
      <c r="A10520" t="s">
        <v>26188</v>
      </c>
      <c r="B10520" t="s">
        <v>26951</v>
      </c>
      <c r="C10520" t="s">
        <v>26209</v>
      </c>
      <c r="D10520" t="s">
        <v>26208</v>
      </c>
      <c r="E10520" s="2" t="s">
        <v>903</v>
      </c>
      <c r="F10520" t="s">
        <v>2046</v>
      </c>
      <c r="G10520" t="str">
        <f>HYPERLINK("http://www.joongdo.co.kr/web/view.php?key=20211022000021404")</f>
        <v>http://www.joongdo.co.kr/web/view.php?key=20211022000021404</v>
      </c>
      <c r="H10520">
        <v>0.68500000000000005</v>
      </c>
    </row>
    <row r="10521" spans="1:8" x14ac:dyDescent="0.3">
      <c r="A10521" t="s">
        <v>26188</v>
      </c>
      <c r="B10521" t="s">
        <v>26951</v>
      </c>
      <c r="C10521" t="s">
        <v>26211</v>
      </c>
      <c r="D10521" t="s">
        <v>26210</v>
      </c>
      <c r="E10521" s="2" t="s">
        <v>903</v>
      </c>
      <c r="F10521" t="s">
        <v>2046</v>
      </c>
      <c r="G10521" t="str">
        <f>HYPERLINK("http://www.joongdo.co.kr/web/view.php?key=20211001001500494")</f>
        <v>http://www.joongdo.co.kr/web/view.php?key=20211001001500494</v>
      </c>
      <c r="H10521">
        <v>0.871</v>
      </c>
    </row>
    <row r="10522" spans="1:8" x14ac:dyDescent="0.3">
      <c r="A10522" t="s">
        <v>26188</v>
      </c>
      <c r="B10522" t="s">
        <v>26951</v>
      </c>
      <c r="C10522" t="s">
        <v>26213</v>
      </c>
      <c r="D10522" t="s">
        <v>26212</v>
      </c>
      <c r="E10522" s="2" t="s">
        <v>903</v>
      </c>
      <c r="F10522" t="s">
        <v>2046</v>
      </c>
      <c r="G10522" t="str">
        <f>HYPERLINK("http://www.joongdo.co.kr/web/view.php?key=20211029010005973")</f>
        <v>http://www.joongdo.co.kr/web/view.php?key=20211029010005973</v>
      </c>
      <c r="H10522">
        <v>0.41899999999999998</v>
      </c>
    </row>
    <row r="10523" spans="1:8" x14ac:dyDescent="0.3">
      <c r="A10523" t="s">
        <v>26188</v>
      </c>
      <c r="B10523" t="s">
        <v>26951</v>
      </c>
      <c r="C10523" t="s">
        <v>26215</v>
      </c>
      <c r="D10523" t="s">
        <v>26214</v>
      </c>
      <c r="E10523" s="2" t="s">
        <v>903</v>
      </c>
      <c r="F10523" t="s">
        <v>2046</v>
      </c>
      <c r="G10523" t="str">
        <f>HYPERLINK("http://www.joongdo.co.kr/web/view.php?key=20210917010003775")</f>
        <v>http://www.joongdo.co.kr/web/view.php?key=20210917010003775</v>
      </c>
      <c r="H10523">
        <v>0.435</v>
      </c>
    </row>
    <row r="10524" spans="1:8" x14ac:dyDescent="0.3">
      <c r="A10524" t="s">
        <v>26188</v>
      </c>
      <c r="B10524" t="s">
        <v>26951</v>
      </c>
      <c r="C10524" t="s">
        <v>26217</v>
      </c>
      <c r="D10524" t="s">
        <v>26216</v>
      </c>
      <c r="E10524" s="2" t="s">
        <v>903</v>
      </c>
      <c r="F10524" t="s">
        <v>2046</v>
      </c>
      <c r="G10524" t="str">
        <f>HYPERLINK("http://www.travie.com/news/articleView.html?idxno=21757")</f>
        <v>http://www.travie.com/news/articleView.html?idxno=21757</v>
      </c>
      <c r="H10524">
        <v>0.47599999999999998</v>
      </c>
    </row>
    <row r="10525" spans="1:8" x14ac:dyDescent="0.3">
      <c r="A10525" t="s">
        <v>26188</v>
      </c>
      <c r="B10525" t="s">
        <v>26951</v>
      </c>
      <c r="C10525" t="s">
        <v>26219</v>
      </c>
      <c r="D10525" t="s">
        <v>26218</v>
      </c>
      <c r="E10525" s="2" t="s">
        <v>903</v>
      </c>
      <c r="F10525" t="s">
        <v>2046</v>
      </c>
      <c r="G10525" t="str">
        <f>HYPERLINK("http://www.joongdo.co.kr/web/view.php?key=20210827010005731")</f>
        <v>http://www.joongdo.co.kr/web/view.php?key=20210827010005731</v>
      </c>
      <c r="H10525">
        <v>0.54800000000000004</v>
      </c>
    </row>
    <row r="10526" spans="1:8" x14ac:dyDescent="0.3">
      <c r="A10526" t="s">
        <v>26188</v>
      </c>
      <c r="B10526" t="s">
        <v>26951</v>
      </c>
      <c r="C10526" t="s">
        <v>26221</v>
      </c>
      <c r="D10526" t="s">
        <v>26220</v>
      </c>
      <c r="E10526" s="2" t="s">
        <v>903</v>
      </c>
      <c r="F10526" t="s">
        <v>2046</v>
      </c>
      <c r="G10526" t="str">
        <f>HYPERLINK("http://www.joongdo.co.kr/web/view.php?key=20211029010005973")</f>
        <v>http://www.joongdo.co.kr/web/view.php?key=20211029010005973</v>
      </c>
      <c r="H10526">
        <v>0.47199999999999998</v>
      </c>
    </row>
    <row r="10527" spans="1:8" x14ac:dyDescent="0.3">
      <c r="A10527" t="s">
        <v>26188</v>
      </c>
      <c r="B10527" t="s">
        <v>26951</v>
      </c>
      <c r="C10527" t="s">
        <v>26223</v>
      </c>
      <c r="D10527" t="s">
        <v>26222</v>
      </c>
      <c r="E10527" s="2" t="s">
        <v>903</v>
      </c>
      <c r="F10527" t="s">
        <v>2046</v>
      </c>
      <c r="G10527" t="str">
        <f>HYPERLINK("http://www.joongdo.co.kr/web/view.php?key=20210805010001260")</f>
        <v>http://www.joongdo.co.kr/web/view.php?key=20210805010001260</v>
      </c>
      <c r="H10527">
        <v>0.434</v>
      </c>
    </row>
    <row r="10528" spans="1:8" x14ac:dyDescent="0.3">
      <c r="A10528" t="s">
        <v>26224</v>
      </c>
      <c r="B10528" t="s">
        <v>26951</v>
      </c>
      <c r="C10528" t="s">
        <v>26227</v>
      </c>
      <c r="D10528" t="s">
        <v>26226</v>
      </c>
      <c r="E10528" s="2" t="s">
        <v>840</v>
      </c>
      <c r="F10528" t="s">
        <v>26225</v>
      </c>
      <c r="G10528" t="str">
        <f>HYPERLINK("https://n.news.naver.com/mnews/article/016/0002491037?sid=004")</f>
        <v>https://n.news.naver.com/mnews/article/016/0002491037?sid=004</v>
      </c>
      <c r="H10528">
        <v>0.30199999999999999</v>
      </c>
    </row>
    <row r="10529" spans="1:8" x14ac:dyDescent="0.3">
      <c r="A10529" t="s">
        <v>26228</v>
      </c>
      <c r="B10529" t="s">
        <v>26951</v>
      </c>
      <c r="C10529" t="s">
        <v>26230</v>
      </c>
      <c r="D10529" t="s">
        <v>26229</v>
      </c>
      <c r="E10529" s="2" t="s">
        <v>418</v>
      </c>
      <c r="F10529" t="s">
        <v>2046</v>
      </c>
      <c r="G10529" t="str">
        <f>HYPERLINK("https://www.naeil.com/news/read/551225?ref=naver")</f>
        <v>https://www.naeil.com/news/read/551225?ref=naver</v>
      </c>
      <c r="H10529">
        <v>0.98799999999999999</v>
      </c>
    </row>
    <row r="10530" spans="1:8" x14ac:dyDescent="0.3">
      <c r="A10530" t="s">
        <v>26228</v>
      </c>
      <c r="B10530" t="s">
        <v>26951</v>
      </c>
      <c r="C10530" t="s">
        <v>26232</v>
      </c>
      <c r="D10530" t="s">
        <v>26231</v>
      </c>
      <c r="E10530" s="2" t="s">
        <v>517</v>
      </c>
      <c r="F10530" t="s">
        <v>11407</v>
      </c>
      <c r="G10530" t="str">
        <f>HYPERLINK("https://www.naeil.com/news/read/551040?ref=naver")</f>
        <v>https://www.naeil.com/news/read/551040?ref=naver</v>
      </c>
      <c r="H10530">
        <v>0.441</v>
      </c>
    </row>
    <row r="10531" spans="1:8" x14ac:dyDescent="0.3">
      <c r="A10531" t="s">
        <v>26228</v>
      </c>
      <c r="B10531" t="s">
        <v>26951</v>
      </c>
      <c r="C10531" t="s">
        <v>26234</v>
      </c>
      <c r="D10531" t="s">
        <v>26231</v>
      </c>
      <c r="E10531" s="2" t="s">
        <v>517</v>
      </c>
      <c r="F10531" t="s">
        <v>26233</v>
      </c>
      <c r="G10531" t="str">
        <f>HYPERLINK("http://www.kyosu.net/news/articleView.html?idxno=113063")</f>
        <v>http://www.kyosu.net/news/articleView.html?idxno=113063</v>
      </c>
      <c r="H10531">
        <v>0.51700000000000002</v>
      </c>
    </row>
    <row r="10532" spans="1:8" x14ac:dyDescent="0.3">
      <c r="A10532" t="s">
        <v>26228</v>
      </c>
      <c r="B10532" t="s">
        <v>26951</v>
      </c>
      <c r="C10532" t="s">
        <v>26236</v>
      </c>
      <c r="D10532" t="s">
        <v>26235</v>
      </c>
      <c r="E10532" s="2" t="s">
        <v>538</v>
      </c>
      <c r="F10532" t="s">
        <v>3663</v>
      </c>
      <c r="G10532" t="str">
        <f>HYPERLINK("https://www.naeil.com/news/read/550878?ref=naver")</f>
        <v>https://www.naeil.com/news/read/550878?ref=naver</v>
      </c>
      <c r="H10532">
        <v>0.53500000000000003</v>
      </c>
    </row>
    <row r="10533" spans="1:8" x14ac:dyDescent="0.3">
      <c r="A10533" t="s">
        <v>26228</v>
      </c>
      <c r="B10533" t="s">
        <v>26951</v>
      </c>
      <c r="C10533" t="s">
        <v>26239</v>
      </c>
      <c r="D10533" t="s">
        <v>26238</v>
      </c>
      <c r="E10533" s="2" t="s">
        <v>538</v>
      </c>
      <c r="F10533" t="s">
        <v>26237</v>
      </c>
      <c r="G10533" t="str">
        <f>HYPERLINK("https://www.lecturernews.com/news/articleView.html?idxno=160850")</f>
        <v>https://www.lecturernews.com/news/articleView.html?idxno=160850</v>
      </c>
      <c r="H10533">
        <v>0.57699999999999996</v>
      </c>
    </row>
    <row r="10534" spans="1:8" x14ac:dyDescent="0.3">
      <c r="A10534" t="s">
        <v>26228</v>
      </c>
      <c r="B10534" t="s">
        <v>26951</v>
      </c>
      <c r="C10534" t="s">
        <v>26241</v>
      </c>
      <c r="D10534" t="s">
        <v>26240</v>
      </c>
      <c r="E10534" s="2" t="s">
        <v>572</v>
      </c>
      <c r="F10534" t="s">
        <v>12123</v>
      </c>
      <c r="G10534" t="str">
        <f>HYPERLINK("https://n.news.naver.com/mnews/article/119/0002972292?sid=100")</f>
        <v>https://n.news.naver.com/mnews/article/119/0002972292?sid=100</v>
      </c>
      <c r="H10534">
        <v>0.26600000000000001</v>
      </c>
    </row>
    <row r="10535" spans="1:8" x14ac:dyDescent="0.3">
      <c r="A10535" t="s">
        <v>26228</v>
      </c>
      <c r="B10535" t="s">
        <v>26951</v>
      </c>
      <c r="C10535" t="s">
        <v>26244</v>
      </c>
      <c r="D10535" t="s">
        <v>26243</v>
      </c>
      <c r="E10535" s="2" t="s">
        <v>609</v>
      </c>
      <c r="F10535" t="s">
        <v>26242</v>
      </c>
      <c r="G10535" t="str">
        <f>HYPERLINK("https://www.naeil.com/news/read/550491?ref=naver")</f>
        <v>https://www.naeil.com/news/read/550491?ref=naver</v>
      </c>
      <c r="H10535">
        <v>0.621</v>
      </c>
    </row>
    <row r="10536" spans="1:8" x14ac:dyDescent="0.3">
      <c r="A10536" t="s">
        <v>26228</v>
      </c>
      <c r="B10536" t="s">
        <v>26951</v>
      </c>
      <c r="C10536" t="s">
        <v>26247</v>
      </c>
      <c r="D10536" t="s">
        <v>26246</v>
      </c>
      <c r="E10536" s="2" t="s">
        <v>653</v>
      </c>
      <c r="F10536" t="s">
        <v>26245</v>
      </c>
      <c r="G10536" t="str">
        <f>HYPERLINK("http://www.industrynews.co.kr/news/articleView.html?idxno=65315")</f>
        <v>http://www.industrynews.co.kr/news/articleView.html?idxno=65315</v>
      </c>
      <c r="H10536">
        <v>0.87</v>
      </c>
    </row>
    <row r="10537" spans="1:8" x14ac:dyDescent="0.3">
      <c r="A10537" t="s">
        <v>26228</v>
      </c>
      <c r="B10537" t="s">
        <v>26951</v>
      </c>
      <c r="C10537" t="s">
        <v>26250</v>
      </c>
      <c r="D10537" t="s">
        <v>26249</v>
      </c>
      <c r="E10537" s="2" t="s">
        <v>742</v>
      </c>
      <c r="F10537" t="s">
        <v>26248</v>
      </c>
      <c r="G10537" t="str">
        <f>HYPERLINK("https://www.joongdo.co.kr/web/view.php?key=20250323010004640")</f>
        <v>https://www.joongdo.co.kr/web/view.php?key=20250323010004640</v>
      </c>
      <c r="H10537">
        <v>5.1999999999999998E-2</v>
      </c>
    </row>
    <row r="10538" spans="1:8" x14ac:dyDescent="0.3">
      <c r="A10538" t="s">
        <v>26228</v>
      </c>
      <c r="B10538" t="s">
        <v>26951</v>
      </c>
      <c r="C10538" t="s">
        <v>26252</v>
      </c>
      <c r="D10538" t="s">
        <v>26251</v>
      </c>
      <c r="E10538" s="2" t="s">
        <v>799</v>
      </c>
      <c r="F10538" t="s">
        <v>2046</v>
      </c>
      <c r="G10538" t="str">
        <f>HYPERLINK("https://www.naeil.com/news/read/549780?ref=naver")</f>
        <v>https://www.naeil.com/news/read/549780?ref=naver</v>
      </c>
      <c r="H10538">
        <v>0.98</v>
      </c>
    </row>
    <row r="10539" spans="1:8" x14ac:dyDescent="0.3">
      <c r="A10539" t="s">
        <v>26228</v>
      </c>
      <c r="B10539" t="s">
        <v>26951</v>
      </c>
      <c r="C10539" t="s">
        <v>26254</v>
      </c>
      <c r="D10539" t="s">
        <v>26253</v>
      </c>
      <c r="E10539" s="2" t="s">
        <v>860</v>
      </c>
      <c r="F10539" t="s">
        <v>184</v>
      </c>
      <c r="G10539" t="str">
        <f>HYPERLINK("https://www.naeil.com/news/read/550016?ref=naver")</f>
        <v>https://www.naeil.com/news/read/550016?ref=naver</v>
      </c>
      <c r="H10539">
        <v>0.98199999999999998</v>
      </c>
    </row>
    <row r="10540" spans="1:8" x14ac:dyDescent="0.3">
      <c r="A10540" t="s">
        <v>26255</v>
      </c>
      <c r="B10540" t="s">
        <v>26951</v>
      </c>
      <c r="C10540" t="s">
        <v>26258</v>
      </c>
      <c r="D10540" t="s">
        <v>26257</v>
      </c>
      <c r="E10540" s="2" t="s">
        <v>452</v>
      </c>
      <c r="F10540" t="s">
        <v>26256</v>
      </c>
      <c r="G10540" t="str">
        <f>HYPERLINK("https://www.cctoday.co.kr/news/articleView.html?idxno=2214267")</f>
        <v>https://www.cctoday.co.kr/news/articleView.html?idxno=2214267</v>
      </c>
      <c r="H10540">
        <v>0.23499999999999999</v>
      </c>
    </row>
    <row r="10541" spans="1:8" x14ac:dyDescent="0.3">
      <c r="A10541" t="s">
        <v>26255</v>
      </c>
      <c r="B10541" t="s">
        <v>26951</v>
      </c>
      <c r="C10541" t="s">
        <v>26260</v>
      </c>
      <c r="D10541" t="s">
        <v>26259</v>
      </c>
      <c r="E10541" s="2" t="s">
        <v>572</v>
      </c>
      <c r="F10541" t="s">
        <v>4151</v>
      </c>
      <c r="G10541" t="str">
        <f>HYPERLINK("https://www.cctoday.co.kr/news/articleView.html?idxno=2192964")</f>
        <v>https://www.cctoday.co.kr/news/articleView.html?idxno=2192964</v>
      </c>
      <c r="H10541">
        <v>0.73099999999999998</v>
      </c>
    </row>
    <row r="10542" spans="1:8" x14ac:dyDescent="0.3">
      <c r="A10542" t="s">
        <v>26255</v>
      </c>
      <c r="B10542" t="s">
        <v>26951</v>
      </c>
      <c r="C10542" t="s">
        <v>9547</v>
      </c>
      <c r="D10542" t="s">
        <v>9546</v>
      </c>
      <c r="E10542" s="2" t="s">
        <v>572</v>
      </c>
      <c r="F10542" t="s">
        <v>1038</v>
      </c>
      <c r="G10542" t="str">
        <f>HYPERLINK("https://n.news.naver.com/mnews/article/057/0001894500?sid=102")</f>
        <v>https://n.news.naver.com/mnews/article/057/0001894500?sid=102</v>
      </c>
      <c r="H10542">
        <v>0.26300000000000001</v>
      </c>
    </row>
    <row r="10543" spans="1:8" x14ac:dyDescent="0.3">
      <c r="A10543" t="s">
        <v>26255</v>
      </c>
      <c r="B10543" t="s">
        <v>26951</v>
      </c>
      <c r="C10543" t="s">
        <v>26262</v>
      </c>
      <c r="D10543" t="s">
        <v>26261</v>
      </c>
      <c r="E10543" s="2" t="s">
        <v>711</v>
      </c>
      <c r="F10543" t="s">
        <v>16827</v>
      </c>
      <c r="G10543" t="str">
        <f>HYPERLINK("https://sports.hankooki.com/news/articleView.html?idxno=6900065")</f>
        <v>https://sports.hankooki.com/news/articleView.html?idxno=6900065</v>
      </c>
      <c r="H10543">
        <v>0.80800000000000005</v>
      </c>
    </row>
    <row r="10544" spans="1:8" x14ac:dyDescent="0.3">
      <c r="A10544" t="s">
        <v>26255</v>
      </c>
      <c r="B10544" t="s">
        <v>26951</v>
      </c>
      <c r="C10544" t="s">
        <v>26264</v>
      </c>
      <c r="D10544" t="s">
        <v>26263</v>
      </c>
      <c r="E10544" s="2" t="s">
        <v>742</v>
      </c>
      <c r="F10544" t="s">
        <v>19604</v>
      </c>
      <c r="G10544" t="str">
        <f>HYPERLINK("http://www.cctoday.co.kr/news/articleView.html?idxno=2075091")</f>
        <v>http://www.cctoday.co.kr/news/articleView.html?idxno=2075091</v>
      </c>
      <c r="H10544">
        <v>0.39400000000000002</v>
      </c>
    </row>
    <row r="10545" spans="1:8" x14ac:dyDescent="0.3">
      <c r="A10545" t="s">
        <v>26265</v>
      </c>
      <c r="B10545" t="s">
        <v>26951</v>
      </c>
      <c r="C10545" t="s">
        <v>26268</v>
      </c>
      <c r="D10545" t="s">
        <v>26267</v>
      </c>
      <c r="E10545" s="2" t="s">
        <v>7</v>
      </c>
      <c r="F10545" t="s">
        <v>26266</v>
      </c>
      <c r="G10545" t="str">
        <f>HYPERLINK("http://www.jnilbo.com/77585549893")</f>
        <v>http://www.jnilbo.com/77585549893</v>
      </c>
      <c r="H10545">
        <v>0.13200000000000001</v>
      </c>
    </row>
    <row r="10546" spans="1:8" x14ac:dyDescent="0.3">
      <c r="A10546" t="s">
        <v>26265</v>
      </c>
      <c r="B10546" t="s">
        <v>26951</v>
      </c>
      <c r="C10546" t="s">
        <v>26271</v>
      </c>
      <c r="D10546" t="s">
        <v>26270</v>
      </c>
      <c r="E10546" s="2" t="s">
        <v>66</v>
      </c>
      <c r="F10546" t="s">
        <v>26269</v>
      </c>
      <c r="G10546" t="str">
        <f>HYPERLINK("http://www.mdilbo.com/detail/K4YzjP/736379")</f>
        <v>http://www.mdilbo.com/detail/K4YzjP/736379</v>
      </c>
      <c r="H10546">
        <v>3.0000000000000001E-3</v>
      </c>
    </row>
    <row r="10547" spans="1:8" x14ac:dyDescent="0.3">
      <c r="A10547" t="s">
        <v>26265</v>
      </c>
      <c r="B10547" t="s">
        <v>26951</v>
      </c>
      <c r="C10547" t="s">
        <v>26274</v>
      </c>
      <c r="D10547" t="s">
        <v>26273</v>
      </c>
      <c r="E10547" s="2" t="s">
        <v>74</v>
      </c>
      <c r="F10547" t="s">
        <v>26272</v>
      </c>
      <c r="G10547" t="str">
        <f>HYPERLINK("https://n.news.naver.com/mnews/article/127/0000037740?sid=102")</f>
        <v>https://n.news.naver.com/mnews/article/127/0000037740?sid=102</v>
      </c>
      <c r="H10547">
        <v>0.32400000000000001</v>
      </c>
    </row>
    <row r="10548" spans="1:8" x14ac:dyDescent="0.3">
      <c r="A10548" t="s">
        <v>26265</v>
      </c>
      <c r="B10548" t="s">
        <v>26951</v>
      </c>
      <c r="C10548" t="s">
        <v>26277</v>
      </c>
      <c r="D10548" t="s">
        <v>26276</v>
      </c>
      <c r="E10548" s="2" t="s">
        <v>105</v>
      </c>
      <c r="F10548" t="s">
        <v>26275</v>
      </c>
      <c r="G10548" t="str">
        <f>HYPERLINK("https://daily.hankooki.com/news/articleView.html?idxno=1229061")</f>
        <v>https://daily.hankooki.com/news/articleView.html?idxno=1229061</v>
      </c>
      <c r="H10548">
        <v>0.64700000000000002</v>
      </c>
    </row>
    <row r="10549" spans="1:8" x14ac:dyDescent="0.3">
      <c r="A10549" t="s">
        <v>26265</v>
      </c>
      <c r="B10549" t="s">
        <v>26951</v>
      </c>
      <c r="C10549" t="s">
        <v>2886</v>
      </c>
      <c r="D10549" t="s">
        <v>2885</v>
      </c>
      <c r="E10549" s="2" t="s">
        <v>172</v>
      </c>
      <c r="F10549" t="s">
        <v>2884</v>
      </c>
      <c r="G10549" t="str">
        <f>HYPERLINK("http://ch.yes24.com/Article/View/19720")</f>
        <v>http://ch.yes24.com/Article/View/19720</v>
      </c>
      <c r="H10549">
        <v>0.56100000000000005</v>
      </c>
    </row>
    <row r="10550" spans="1:8" x14ac:dyDescent="0.3">
      <c r="A10550" t="s">
        <v>26265</v>
      </c>
      <c r="B10550" t="s">
        <v>26951</v>
      </c>
      <c r="C10550" t="s">
        <v>26279</v>
      </c>
      <c r="D10550" t="s">
        <v>26278</v>
      </c>
      <c r="E10550" s="2" t="s">
        <v>196</v>
      </c>
      <c r="F10550" t="s">
        <v>25906</v>
      </c>
      <c r="G10550" t="str">
        <f>HYPERLINK("http://www.thefirstmedia.net/news/articleView.html?idxno=60307")</f>
        <v>http://www.thefirstmedia.net/news/articleView.html?idxno=60307</v>
      </c>
      <c r="H10550">
        <v>0.36299999999999999</v>
      </c>
    </row>
    <row r="10551" spans="1:8" x14ac:dyDescent="0.3">
      <c r="A10551" t="s">
        <v>26265</v>
      </c>
      <c r="B10551" t="s">
        <v>26951</v>
      </c>
      <c r="C10551" t="s">
        <v>26282</v>
      </c>
      <c r="D10551" t="s">
        <v>26281</v>
      </c>
      <c r="E10551" s="2" t="s">
        <v>313</v>
      </c>
      <c r="F10551" t="s">
        <v>26280</v>
      </c>
      <c r="G10551" t="str">
        <f>HYPERLINK("https://www.allurekorea.com/2021/12/13/%ec%96%b4%eb%96%bb%ea%b2%8c-%ec%a7%80%eb%83%88%ec%96%b4%ec%9a%94-21%eb%aa%85%ec%9d%98-%ec%82%ac%eb%9e%8c%eb%93%a4%ec%9d%98-2021%eb%85%84-%ec%9d%b4%ec%95%bc%ea%b8%b0/?utm_source=naver&amp;utm_medium=partnership")</f>
        <v>https://www.allurekorea.com/2021/12/13/%ec%96%b4%eb%96%bb%ea%b2%8c-%ec%a7%80%eb%83%88%ec%96%b4%ec%9a%94-21%eb%aa%85%ec%9d%98-%ec%82%ac%eb%9e%8c%eb%93%a4%ec%9d%98-2021%eb%85%84-%ec%9d%b4%ec%95%bc%ea%b8%b0/?utm_source=naver&amp;utm_medium=partnership</v>
      </c>
      <c r="H10551">
        <v>0.64600000000000002</v>
      </c>
    </row>
    <row r="10552" spans="1:8" x14ac:dyDescent="0.3">
      <c r="A10552" t="s">
        <v>26265</v>
      </c>
      <c r="B10552" t="s">
        <v>26951</v>
      </c>
      <c r="C10552" t="s">
        <v>26284</v>
      </c>
      <c r="D10552" t="s">
        <v>26283</v>
      </c>
      <c r="E10552" s="2" t="s">
        <v>356</v>
      </c>
      <c r="F10552" t="s">
        <v>2057</v>
      </c>
      <c r="G10552" t="str">
        <f>HYPERLINK("http://www.thefirstmedia.net/news/articleView.html?idxno=174971")</f>
        <v>http://www.thefirstmedia.net/news/articleView.html?idxno=174971</v>
      </c>
      <c r="H10552">
        <v>0.13500000000000001</v>
      </c>
    </row>
    <row r="10553" spans="1:8" x14ac:dyDescent="0.3">
      <c r="A10553" t="s">
        <v>26265</v>
      </c>
      <c r="B10553" t="s">
        <v>26951</v>
      </c>
      <c r="C10553" t="s">
        <v>26286</v>
      </c>
      <c r="D10553" t="s">
        <v>26285</v>
      </c>
      <c r="E10553" s="2" t="s">
        <v>356</v>
      </c>
      <c r="F10553" t="s">
        <v>2057</v>
      </c>
      <c r="G10553" t="str">
        <f>HYPERLINK("http://www.ikpnews.net/news/articleView.html?idxno=66314")</f>
        <v>http://www.ikpnews.net/news/articleView.html?idxno=66314</v>
      </c>
      <c r="H10553">
        <v>0.13200000000000001</v>
      </c>
    </row>
    <row r="10554" spans="1:8" x14ac:dyDescent="0.3">
      <c r="A10554" t="s">
        <v>26265</v>
      </c>
      <c r="B10554" t="s">
        <v>26951</v>
      </c>
      <c r="C10554" t="s">
        <v>26288</v>
      </c>
      <c r="D10554" t="s">
        <v>26287</v>
      </c>
      <c r="E10554" s="2" t="s">
        <v>356</v>
      </c>
      <c r="F10554" t="s">
        <v>2057</v>
      </c>
      <c r="G10554" t="str">
        <f>HYPERLINK("http://fpn119.co.kr/221592")</f>
        <v>http://fpn119.co.kr/221592</v>
      </c>
      <c r="H10554">
        <v>0.108</v>
      </c>
    </row>
    <row r="10555" spans="1:8" x14ac:dyDescent="0.3">
      <c r="A10555" t="s">
        <v>26265</v>
      </c>
      <c r="B10555" t="s">
        <v>26951</v>
      </c>
      <c r="C10555" t="s">
        <v>26290</v>
      </c>
      <c r="D10555" t="s">
        <v>26289</v>
      </c>
      <c r="E10555" s="2" t="s">
        <v>356</v>
      </c>
      <c r="F10555" t="s">
        <v>25926</v>
      </c>
      <c r="G10555" t="str">
        <f>HYPERLINK("http://www.newsfreezone.co.kr/news/articleView.html?idxno=100843")</f>
        <v>http://www.newsfreezone.co.kr/news/articleView.html?idxno=100843</v>
      </c>
      <c r="H10555">
        <v>0.58599999999999997</v>
      </c>
    </row>
    <row r="10556" spans="1:8" x14ac:dyDescent="0.3">
      <c r="A10556" t="s">
        <v>26265</v>
      </c>
      <c r="B10556" t="s">
        <v>26951</v>
      </c>
      <c r="C10556" t="s">
        <v>26293</v>
      </c>
      <c r="D10556" t="s">
        <v>26292</v>
      </c>
      <c r="E10556" s="2" t="s">
        <v>418</v>
      </c>
      <c r="F10556" t="s">
        <v>26291</v>
      </c>
      <c r="G10556" t="str">
        <f>HYPERLINK("http://www.jnilbo.com/77423232918")</f>
        <v>http://www.jnilbo.com/77423232918</v>
      </c>
      <c r="H10556">
        <v>0.06</v>
      </c>
    </row>
    <row r="10557" spans="1:8" x14ac:dyDescent="0.3">
      <c r="A10557" t="s">
        <v>26265</v>
      </c>
      <c r="B10557" t="s">
        <v>26951</v>
      </c>
      <c r="C10557" t="s">
        <v>26295</v>
      </c>
      <c r="D10557" t="s">
        <v>26294</v>
      </c>
      <c r="E10557" s="2" t="s">
        <v>481</v>
      </c>
      <c r="F10557" t="s">
        <v>2057</v>
      </c>
      <c r="G10557" t="str">
        <f>HYPERLINK("https://www.apnews.kr/news/articleView.html?idxno=3025288")</f>
        <v>https://www.apnews.kr/news/articleView.html?idxno=3025288</v>
      </c>
      <c r="H10557">
        <v>0.253</v>
      </c>
    </row>
    <row r="10558" spans="1:8" x14ac:dyDescent="0.3">
      <c r="A10558" t="s">
        <v>26265</v>
      </c>
      <c r="B10558" t="s">
        <v>26951</v>
      </c>
      <c r="C10558" t="s">
        <v>26297</v>
      </c>
      <c r="D10558" t="s">
        <v>26296</v>
      </c>
      <c r="E10558" s="2" t="s">
        <v>481</v>
      </c>
      <c r="F10558" t="s">
        <v>2057</v>
      </c>
      <c r="G10558" t="str">
        <f>HYPERLINK("https://www.inews365.com/news/article.html?no=872711")</f>
        <v>https://www.inews365.com/news/article.html?no=872711</v>
      </c>
      <c r="H10558">
        <v>0.112</v>
      </c>
    </row>
    <row r="10559" spans="1:8" x14ac:dyDescent="0.3">
      <c r="A10559" t="s">
        <v>26265</v>
      </c>
      <c r="B10559" t="s">
        <v>26951</v>
      </c>
      <c r="C10559" t="s">
        <v>26299</v>
      </c>
      <c r="D10559" t="s">
        <v>26298</v>
      </c>
      <c r="E10559" s="2" t="s">
        <v>481</v>
      </c>
      <c r="F10559" t="s">
        <v>2057</v>
      </c>
      <c r="G10559" t="str">
        <f>HYPERLINK("https://www.christiantoday.co.kr/news/347084")</f>
        <v>https://www.christiantoday.co.kr/news/347084</v>
      </c>
      <c r="H10559">
        <v>0.309</v>
      </c>
    </row>
    <row r="10560" spans="1:8" x14ac:dyDescent="0.3">
      <c r="A10560" t="s">
        <v>26265</v>
      </c>
      <c r="B10560" t="s">
        <v>26951</v>
      </c>
      <c r="C10560" t="s">
        <v>26301</v>
      </c>
      <c r="D10560" t="s">
        <v>26300</v>
      </c>
      <c r="E10560" s="2" t="s">
        <v>692</v>
      </c>
      <c r="F10560" t="s">
        <v>2781</v>
      </c>
      <c r="G10560" t="str">
        <f>HYPERLINK("http://www.namdonews.com/news/articleView.html?idxno=546662")</f>
        <v>http://www.namdonews.com/news/articleView.html?idxno=546662</v>
      </c>
      <c r="H10560">
        <v>0.80900000000000005</v>
      </c>
    </row>
    <row r="10561" spans="1:8" x14ac:dyDescent="0.3">
      <c r="A10561" t="s">
        <v>26265</v>
      </c>
      <c r="B10561" t="s">
        <v>26951</v>
      </c>
      <c r="C10561" t="s">
        <v>26304</v>
      </c>
      <c r="D10561" t="s">
        <v>26303</v>
      </c>
      <c r="E10561" s="2" t="s">
        <v>725</v>
      </c>
      <c r="F10561" t="s">
        <v>26302</v>
      </c>
      <c r="G10561" t="str">
        <f>HYPERLINK("http://amenews.kr/news/view.php?idx=62861")</f>
        <v>http://amenews.kr/news/view.php?idx=62861</v>
      </c>
      <c r="H10561">
        <v>0.435</v>
      </c>
    </row>
    <row r="10562" spans="1:8" x14ac:dyDescent="0.3">
      <c r="A10562" t="s">
        <v>26265</v>
      </c>
      <c r="B10562" t="s">
        <v>26951</v>
      </c>
      <c r="C10562" t="s">
        <v>26306</v>
      </c>
      <c r="D10562" t="s">
        <v>26305</v>
      </c>
      <c r="E10562" s="2" t="s">
        <v>742</v>
      </c>
      <c r="F10562" t="s">
        <v>10463</v>
      </c>
      <c r="G10562" t="str">
        <f>HYPERLINK("http://www.sisaon.co.kr/news/articleView.html?idxno=172518")</f>
        <v>http://www.sisaon.co.kr/news/articleView.html?idxno=172518</v>
      </c>
      <c r="H10562">
        <v>0.41699999999999998</v>
      </c>
    </row>
    <row r="10563" spans="1:8" x14ac:dyDescent="0.3">
      <c r="A10563" t="s">
        <v>26265</v>
      </c>
      <c r="B10563" t="s">
        <v>26951</v>
      </c>
      <c r="C10563" t="s">
        <v>26309</v>
      </c>
      <c r="D10563" t="s">
        <v>26308</v>
      </c>
      <c r="E10563" s="2" t="s">
        <v>860</v>
      </c>
      <c r="F10563" t="s">
        <v>26307</v>
      </c>
      <c r="G10563" t="str">
        <f>HYPERLINK("https://n.news.naver.com/mnews/article/469/0000844208?sid=102")</f>
        <v>https://n.news.naver.com/mnews/article/469/0000844208?sid=102</v>
      </c>
      <c r="H10563">
        <v>0.192</v>
      </c>
    </row>
    <row r="10564" spans="1:8" x14ac:dyDescent="0.3">
      <c r="A10564" t="s">
        <v>26265</v>
      </c>
      <c r="B10564" t="s">
        <v>26951</v>
      </c>
      <c r="C10564" t="s">
        <v>26312</v>
      </c>
      <c r="D10564" t="s">
        <v>26311</v>
      </c>
      <c r="E10564" s="2" t="s">
        <v>860</v>
      </c>
      <c r="F10564" t="s">
        <v>26310</v>
      </c>
      <c r="G10564" t="str">
        <f>HYPERLINK("http://www.namdonews.com/news/articleView.html?idxno=816895")</f>
        <v>http://www.namdonews.com/news/articleView.html?idxno=816895</v>
      </c>
      <c r="H10564">
        <v>0.35299999999999998</v>
      </c>
    </row>
    <row r="10565" spans="1:8" x14ac:dyDescent="0.3">
      <c r="A10565" t="s">
        <v>26313</v>
      </c>
      <c r="B10565" t="s">
        <v>26951</v>
      </c>
      <c r="C10565" t="s">
        <v>26315</v>
      </c>
      <c r="D10565" t="s">
        <v>26314</v>
      </c>
      <c r="E10565" s="2" t="s">
        <v>66</v>
      </c>
      <c r="F10565" t="s">
        <v>22728</v>
      </c>
      <c r="G10565" t="str">
        <f>HYPERLINK("http://www.dailysmart.co.kr/news/articleView.html?idxno=109454")</f>
        <v>http://www.dailysmart.co.kr/news/articleView.html?idxno=109454</v>
      </c>
      <c r="H10565">
        <v>0.873</v>
      </c>
    </row>
    <row r="10566" spans="1:8" x14ac:dyDescent="0.3">
      <c r="A10566" t="s">
        <v>26313</v>
      </c>
      <c r="B10566" t="s">
        <v>26951</v>
      </c>
      <c r="C10566" t="s">
        <v>26318</v>
      </c>
      <c r="D10566" t="s">
        <v>26317</v>
      </c>
      <c r="E10566" s="2" t="s">
        <v>172</v>
      </c>
      <c r="F10566" t="s">
        <v>26316</v>
      </c>
      <c r="G10566" t="str">
        <f>HYPERLINK("https://www.viva100.com/article/20250625501504")</f>
        <v>https://www.viva100.com/article/20250625501504</v>
      </c>
      <c r="H10566">
        <v>0.40300000000000002</v>
      </c>
    </row>
    <row r="10567" spans="1:8" x14ac:dyDescent="0.3">
      <c r="A10567" t="s">
        <v>26313</v>
      </c>
      <c r="B10567" t="s">
        <v>26951</v>
      </c>
      <c r="C10567" t="s">
        <v>26320</v>
      </c>
      <c r="D10567" t="s">
        <v>26319</v>
      </c>
      <c r="E10567" s="2" t="s">
        <v>267</v>
      </c>
      <c r="F10567" t="s">
        <v>535</v>
      </c>
      <c r="G10567" t="str">
        <f>HYPERLINK("https://www.viva100.com/main/view.php?key=20240704010001484")</f>
        <v>https://www.viva100.com/main/view.php?key=20240704010001484</v>
      </c>
      <c r="H10567">
        <v>0.36299999999999999</v>
      </c>
    </row>
    <row r="10568" spans="1:8" x14ac:dyDescent="0.3">
      <c r="A10568" t="s">
        <v>26313</v>
      </c>
      <c r="B10568" t="s">
        <v>26951</v>
      </c>
      <c r="C10568" t="s">
        <v>26322</v>
      </c>
      <c r="D10568" t="s">
        <v>26321</v>
      </c>
      <c r="E10568" s="2" t="s">
        <v>313</v>
      </c>
      <c r="F10568" t="s">
        <v>8572</v>
      </c>
      <c r="G10568" t="str">
        <f>HYPERLINK("https://www.viva100.com/article/20250623501523")</f>
        <v>https://www.viva100.com/article/20250623501523</v>
      </c>
      <c r="H10568">
        <v>0.30299999999999999</v>
      </c>
    </row>
    <row r="10569" spans="1:8" x14ac:dyDescent="0.3">
      <c r="A10569" t="s">
        <v>26313</v>
      </c>
      <c r="B10569" t="s">
        <v>26951</v>
      </c>
      <c r="C10569" t="s">
        <v>26324</v>
      </c>
      <c r="D10569" t="s">
        <v>26323</v>
      </c>
      <c r="E10569" s="2" t="s">
        <v>517</v>
      </c>
      <c r="F10569" t="s">
        <v>23955</v>
      </c>
      <c r="G10569" t="str">
        <f>HYPERLINK("https://www.siminilbo.co.kr/news/newsview.php?ncode=1160286931780968")</f>
        <v>https://www.siminilbo.co.kr/news/newsview.php?ncode=1160286931780968</v>
      </c>
      <c r="H10569">
        <v>0.36799999999999999</v>
      </c>
    </row>
    <row r="10570" spans="1:8" x14ac:dyDescent="0.3">
      <c r="A10570" t="s">
        <v>26313</v>
      </c>
      <c r="B10570" t="s">
        <v>26951</v>
      </c>
      <c r="C10570" t="s">
        <v>26327</v>
      </c>
      <c r="D10570" t="s">
        <v>26326</v>
      </c>
      <c r="E10570" s="2" t="s">
        <v>572</v>
      </c>
      <c r="F10570" t="s">
        <v>26325</v>
      </c>
      <c r="G10570" t="str">
        <f>HYPERLINK("https://www.viva100.com/article/20250611500865")</f>
        <v>https://www.viva100.com/article/20250611500865</v>
      </c>
      <c r="H10570">
        <v>0.76200000000000001</v>
      </c>
    </row>
    <row r="10571" spans="1:8" x14ac:dyDescent="0.3">
      <c r="A10571" t="s">
        <v>26313</v>
      </c>
      <c r="B10571" t="s">
        <v>26951</v>
      </c>
      <c r="C10571" t="s">
        <v>26329</v>
      </c>
      <c r="D10571" t="s">
        <v>26328</v>
      </c>
      <c r="E10571" s="2" t="s">
        <v>609</v>
      </c>
      <c r="F10571" t="s">
        <v>1328</v>
      </c>
      <c r="G10571" t="str">
        <f>HYPERLINK("http://www.viva100.com/main/view.php?key=20171012010002392")</f>
        <v>http://www.viva100.com/main/view.php?key=20171012010002392</v>
      </c>
      <c r="H10571">
        <v>0.19400000000000001</v>
      </c>
    </row>
    <row r="10572" spans="1:8" x14ac:dyDescent="0.3">
      <c r="A10572" t="s">
        <v>26313</v>
      </c>
      <c r="B10572" t="s">
        <v>26951</v>
      </c>
      <c r="C10572" t="s">
        <v>26332</v>
      </c>
      <c r="D10572" t="s">
        <v>26331</v>
      </c>
      <c r="E10572" s="2" t="s">
        <v>711</v>
      </c>
      <c r="F10572" t="s">
        <v>26330</v>
      </c>
      <c r="G10572" t="str">
        <f>HYPERLINK("https://news.mtn.co.kr/news-detail/2022092917575167373")</f>
        <v>https://news.mtn.co.kr/news-detail/2022092917575167373</v>
      </c>
      <c r="H10572">
        <v>6.3E-2</v>
      </c>
    </row>
    <row r="10573" spans="1:8" x14ac:dyDescent="0.3">
      <c r="A10573" t="s">
        <v>26313</v>
      </c>
      <c r="B10573" t="s">
        <v>26951</v>
      </c>
      <c r="C10573" t="s">
        <v>26335</v>
      </c>
      <c r="D10573" t="s">
        <v>26334</v>
      </c>
      <c r="E10573" s="2" t="s">
        <v>742</v>
      </c>
      <c r="F10573" t="s">
        <v>26333</v>
      </c>
      <c r="G10573" t="str">
        <f>HYPERLINK("https://www.viva100.com/article/20250326501510")</f>
        <v>https://www.viva100.com/article/20250326501510</v>
      </c>
      <c r="H10573">
        <v>0.876</v>
      </c>
    </row>
    <row r="10574" spans="1:8" x14ac:dyDescent="0.3">
      <c r="A10574" t="s">
        <v>26336</v>
      </c>
      <c r="B10574" t="s">
        <v>26951</v>
      </c>
      <c r="C10574" t="s">
        <v>26338</v>
      </c>
      <c r="D10574" t="s">
        <v>26337</v>
      </c>
      <c r="E10574" s="2" t="s">
        <v>105</v>
      </c>
      <c r="F10574" t="s">
        <v>2420</v>
      </c>
      <c r="G10574" t="str">
        <f>HYPERLINK("https://www.ftimes.kr/news/articleView.html?idxno=31581")</f>
        <v>https://www.ftimes.kr/news/articleView.html?idxno=31581</v>
      </c>
      <c r="H10574">
        <v>0.432</v>
      </c>
    </row>
    <row r="10575" spans="1:8" x14ac:dyDescent="0.3">
      <c r="A10575" t="s">
        <v>26336</v>
      </c>
      <c r="B10575" t="s">
        <v>26951</v>
      </c>
      <c r="C10575" t="s">
        <v>26340</v>
      </c>
      <c r="D10575" t="s">
        <v>26339</v>
      </c>
      <c r="E10575" s="2" t="s">
        <v>860</v>
      </c>
      <c r="F10575" t="s">
        <v>4598</v>
      </c>
      <c r="G10575" t="str">
        <f>HYPERLINK("https://n.news.naver.com/mnews/article/018/0006053729?sid=101")</f>
        <v>https://n.news.naver.com/mnews/article/018/0006053729?sid=101</v>
      </c>
      <c r="H10575">
        <v>0.17</v>
      </c>
    </row>
    <row r="10576" spans="1:8" x14ac:dyDescent="0.3">
      <c r="A10576" t="s">
        <v>26336</v>
      </c>
      <c r="B10576" t="s">
        <v>26951</v>
      </c>
      <c r="C10576" t="s">
        <v>26343</v>
      </c>
      <c r="D10576" t="s">
        <v>26342</v>
      </c>
      <c r="E10576" s="2" t="s">
        <v>860</v>
      </c>
      <c r="F10576" t="s">
        <v>26341</v>
      </c>
      <c r="G10576" t="str">
        <f>HYPERLINK("https://n.news.naver.com/mnews/article/028/0002485354?sid=102")</f>
        <v>https://n.news.naver.com/mnews/article/028/0002485354?sid=102</v>
      </c>
      <c r="H10576">
        <v>0.17299999999999999</v>
      </c>
    </row>
    <row r="10577" spans="1:8" x14ac:dyDescent="0.3">
      <c r="A10577" t="s">
        <v>26344</v>
      </c>
      <c r="B10577" t="s">
        <v>26951</v>
      </c>
      <c r="C10577" t="s">
        <v>26347</v>
      </c>
      <c r="D10577" t="s">
        <v>26346</v>
      </c>
      <c r="E10577" s="2" t="s">
        <v>66</v>
      </c>
      <c r="F10577" t="s">
        <v>26345</v>
      </c>
      <c r="G10577" t="str">
        <f>HYPERLINK("https://www.jjan.kr/article/20241120580249")</f>
        <v>https://www.jjan.kr/article/20241120580249</v>
      </c>
      <c r="H10577">
        <v>0.40300000000000002</v>
      </c>
    </row>
    <row r="10578" spans="1:8" x14ac:dyDescent="0.3">
      <c r="A10578" t="s">
        <v>26344</v>
      </c>
      <c r="B10578" t="s">
        <v>26951</v>
      </c>
      <c r="C10578" t="s">
        <v>26349</v>
      </c>
      <c r="D10578" t="s">
        <v>26348</v>
      </c>
      <c r="E10578" s="2" t="s">
        <v>394</v>
      </c>
      <c r="F10578" t="s">
        <v>23922</v>
      </c>
      <c r="G10578" t="str">
        <f>HYPERLINK("http://www.enewstoday.co.kr/news/articleView.html?idxno=2289778")</f>
        <v>http://www.enewstoday.co.kr/news/articleView.html?idxno=2289778</v>
      </c>
      <c r="H10578">
        <v>0.92600000000000005</v>
      </c>
    </row>
    <row r="10579" spans="1:8" x14ac:dyDescent="0.3">
      <c r="A10579" t="s">
        <v>26344</v>
      </c>
      <c r="B10579" t="s">
        <v>26951</v>
      </c>
      <c r="C10579" t="s">
        <v>26351</v>
      </c>
      <c r="D10579" t="s">
        <v>26350</v>
      </c>
      <c r="E10579" s="2" t="s">
        <v>711</v>
      </c>
      <c r="F10579" t="s">
        <v>2046</v>
      </c>
      <c r="G10579" t="str">
        <f>HYPERLINK("http://www.efnews.co.kr/news/articleView.html?idxno=121286")</f>
        <v>http://www.efnews.co.kr/news/articleView.html?idxno=121286</v>
      </c>
      <c r="H10579">
        <v>0.40400000000000003</v>
      </c>
    </row>
    <row r="10580" spans="1:8" x14ac:dyDescent="0.3">
      <c r="A10580" t="s">
        <v>26344</v>
      </c>
      <c r="B10580" t="s">
        <v>26951</v>
      </c>
      <c r="C10580" t="s">
        <v>26353</v>
      </c>
      <c r="D10580" t="s">
        <v>26352</v>
      </c>
      <c r="E10580" s="2" t="s">
        <v>711</v>
      </c>
      <c r="F10580" t="s">
        <v>2046</v>
      </c>
      <c r="G10580" t="str">
        <f>HYPERLINK("http://sjbnews.com/news/news.php?number=843381")</f>
        <v>http://sjbnews.com/news/news.php?number=843381</v>
      </c>
      <c r="H10580">
        <v>8.2000000000000003E-2</v>
      </c>
    </row>
    <row r="10581" spans="1:8" x14ac:dyDescent="0.3">
      <c r="A10581" t="s">
        <v>26354</v>
      </c>
      <c r="B10581" t="s">
        <v>26951</v>
      </c>
      <c r="C10581" t="s">
        <v>26357</v>
      </c>
      <c r="D10581" t="s">
        <v>26356</v>
      </c>
      <c r="E10581" s="2" t="s">
        <v>7</v>
      </c>
      <c r="F10581" t="s">
        <v>26355</v>
      </c>
      <c r="G10581" t="str">
        <f>HYPERLINK("http://www.dynews.co.kr/news/articleView.html?idxno=804431")</f>
        <v>http://www.dynews.co.kr/news/articleView.html?idxno=804431</v>
      </c>
      <c r="H10581">
        <v>0.68899999999999995</v>
      </c>
    </row>
    <row r="10582" spans="1:8" x14ac:dyDescent="0.3">
      <c r="A10582" t="s">
        <v>26354</v>
      </c>
      <c r="B10582" t="s">
        <v>26951</v>
      </c>
      <c r="C10582" t="s">
        <v>26360</v>
      </c>
      <c r="D10582" t="s">
        <v>26359</v>
      </c>
      <c r="E10582" s="2" t="s">
        <v>230</v>
      </c>
      <c r="F10582" t="s">
        <v>26358</v>
      </c>
      <c r="G10582" t="str">
        <f>HYPERLINK("http://www.dynews.co.kr/news/articleView.html?idxno=775876")</f>
        <v>http://www.dynews.co.kr/news/articleView.html?idxno=775876</v>
      </c>
      <c r="H10582">
        <v>0.17199999999999999</v>
      </c>
    </row>
    <row r="10583" spans="1:8" x14ac:dyDescent="0.3">
      <c r="A10583" t="s">
        <v>26354</v>
      </c>
      <c r="B10583" t="s">
        <v>26951</v>
      </c>
      <c r="C10583" t="s">
        <v>26363</v>
      </c>
      <c r="D10583" t="s">
        <v>26362</v>
      </c>
      <c r="E10583" s="2" t="s">
        <v>517</v>
      </c>
      <c r="F10583" t="s">
        <v>26361</v>
      </c>
      <c r="G10583" t="str">
        <f>HYPERLINK("http://www.biztribune.co.kr/news/articleView.html?idxno=335115")</f>
        <v>http://www.biztribune.co.kr/news/articleView.html?idxno=335115</v>
      </c>
      <c r="H10583">
        <v>0.27600000000000002</v>
      </c>
    </row>
    <row r="10584" spans="1:8" x14ac:dyDescent="0.3">
      <c r="A10584" t="s">
        <v>26364</v>
      </c>
      <c r="B10584" t="s">
        <v>26951</v>
      </c>
      <c r="C10584" t="s">
        <v>26366</v>
      </c>
      <c r="D10584" t="s">
        <v>26365</v>
      </c>
      <c r="E10584" s="2" t="s">
        <v>860</v>
      </c>
      <c r="F10584" t="s">
        <v>18968</v>
      </c>
      <c r="G10584" t="str">
        <f>HYPERLINK("https://www.iusm.co.kr/news/articleView.html?idxno=1051526")</f>
        <v>https://www.iusm.co.kr/news/articleView.html?idxno=1051526</v>
      </c>
      <c r="H10584">
        <v>0.52600000000000002</v>
      </c>
    </row>
    <row r="10585" spans="1:8" x14ac:dyDescent="0.3">
      <c r="A10585" t="s">
        <v>26364</v>
      </c>
      <c r="B10585" t="s">
        <v>26951</v>
      </c>
      <c r="C10585" t="s">
        <v>24524</v>
      </c>
      <c r="D10585" t="s">
        <v>24523</v>
      </c>
      <c r="E10585" s="2" t="s">
        <v>7</v>
      </c>
      <c r="F10585" t="s">
        <v>24522</v>
      </c>
      <c r="G10585" t="str">
        <f>HYPERLINK("http://www.ksilbo.co.kr/news/articleView.html?idxno=718295")</f>
        <v>http://www.ksilbo.co.kr/news/articleView.html?idxno=718295</v>
      </c>
      <c r="H10585">
        <v>0.25900000000000001</v>
      </c>
    </row>
    <row r="10586" spans="1:8" x14ac:dyDescent="0.3">
      <c r="A10586" t="s">
        <v>26367</v>
      </c>
      <c r="B10586" t="s">
        <v>26951</v>
      </c>
      <c r="C10586" t="s">
        <v>26370</v>
      </c>
      <c r="D10586" t="s">
        <v>26369</v>
      </c>
      <c r="E10586" s="2" t="s">
        <v>7</v>
      </c>
      <c r="F10586" t="s">
        <v>26368</v>
      </c>
      <c r="G10586" t="str">
        <f>HYPERLINK("http://hellodd.com/?md=news&amp;mt=view&amp;pid=60586")</f>
        <v>http://hellodd.com/?md=news&amp;mt=view&amp;pid=60586</v>
      </c>
      <c r="H10586">
        <v>0.24099999999999999</v>
      </c>
    </row>
    <row r="10587" spans="1:8" x14ac:dyDescent="0.3">
      <c r="A10587" t="s">
        <v>26371</v>
      </c>
      <c r="B10587" t="s">
        <v>26951</v>
      </c>
      <c r="C10587" t="s">
        <v>26373</v>
      </c>
      <c r="D10587" t="s">
        <v>26372</v>
      </c>
      <c r="E10587" s="2" t="s">
        <v>172</v>
      </c>
      <c r="F10587" t="s">
        <v>25622</v>
      </c>
      <c r="G10587" t="str">
        <f>HYPERLINK("https://ilyo.co.kr/?ac=article_view&amp;entry_id=494792")</f>
        <v>https://ilyo.co.kr/?ac=article_view&amp;entry_id=494792</v>
      </c>
      <c r="H10587">
        <v>5.2999999999999999E-2</v>
      </c>
    </row>
    <row r="10588" spans="1:8" x14ac:dyDescent="0.3">
      <c r="A10588" t="s">
        <v>26371</v>
      </c>
      <c r="B10588" t="s">
        <v>26951</v>
      </c>
      <c r="C10588" t="s">
        <v>26375</v>
      </c>
      <c r="D10588" t="s">
        <v>26374</v>
      </c>
      <c r="E10588" s="2" t="s">
        <v>196</v>
      </c>
      <c r="F10588" t="s">
        <v>4362</v>
      </c>
      <c r="G10588" t="str">
        <f>HYPERLINK("https://ilyo.co.kr/?ac=article_view&amp;entry_id=494813")</f>
        <v>https://ilyo.co.kr/?ac=article_view&amp;entry_id=494813</v>
      </c>
      <c r="H10588">
        <v>3.4000000000000002E-2</v>
      </c>
    </row>
    <row r="10589" spans="1:8" x14ac:dyDescent="0.3">
      <c r="A10589" t="s">
        <v>26371</v>
      </c>
      <c r="B10589" t="s">
        <v>26951</v>
      </c>
      <c r="C10589" t="s">
        <v>26378</v>
      </c>
      <c r="D10589" t="s">
        <v>26377</v>
      </c>
      <c r="E10589" s="2" t="s">
        <v>196</v>
      </c>
      <c r="F10589" t="s">
        <v>26376</v>
      </c>
      <c r="G10589" t="str">
        <f>HYPERLINK("https://n.news.naver.com/mnews/article/014/0005367777?sid=102")</f>
        <v>https://n.news.naver.com/mnews/article/014/0005367777?sid=102</v>
      </c>
      <c r="H10589">
        <v>0.28499999999999998</v>
      </c>
    </row>
    <row r="10590" spans="1:8" x14ac:dyDescent="0.3">
      <c r="A10590" t="s">
        <v>26371</v>
      </c>
      <c r="B10590" t="s">
        <v>26951</v>
      </c>
      <c r="C10590" t="s">
        <v>26381</v>
      </c>
      <c r="D10590" t="s">
        <v>26380</v>
      </c>
      <c r="E10590" s="2" t="s">
        <v>230</v>
      </c>
      <c r="F10590" t="s">
        <v>26379</v>
      </c>
      <c r="G10590" t="str">
        <f>HYPERLINK("https://n.news.naver.com/mnews/article/656/0000137726?sid=100")</f>
        <v>https://n.news.naver.com/mnews/article/656/0000137726?sid=100</v>
      </c>
      <c r="H10590">
        <v>0.27800000000000002</v>
      </c>
    </row>
    <row r="10591" spans="1:8" x14ac:dyDescent="0.3">
      <c r="A10591" t="s">
        <v>26371</v>
      </c>
      <c r="B10591" t="s">
        <v>26951</v>
      </c>
      <c r="C10591" t="s">
        <v>26383</v>
      </c>
      <c r="D10591" t="s">
        <v>26382</v>
      </c>
      <c r="E10591" s="2" t="s">
        <v>356</v>
      </c>
      <c r="F10591" t="s">
        <v>12472</v>
      </c>
      <c r="G10591" t="str">
        <f>HYPERLINK("https://www.foodneconomy.com/news/articleView.html?idxno=314207")</f>
        <v>https://www.foodneconomy.com/news/articleView.html?idxno=314207</v>
      </c>
      <c r="H10591">
        <v>0.44900000000000001</v>
      </c>
    </row>
    <row r="10592" spans="1:8" x14ac:dyDescent="0.3">
      <c r="A10592" t="s">
        <v>26371</v>
      </c>
      <c r="B10592" t="s">
        <v>26951</v>
      </c>
      <c r="C10592" t="s">
        <v>26386</v>
      </c>
      <c r="D10592" t="s">
        <v>26385</v>
      </c>
      <c r="E10592" s="2" t="s">
        <v>538</v>
      </c>
      <c r="F10592" t="s">
        <v>26384</v>
      </c>
      <c r="G10592" t="str">
        <f>HYPERLINK("https://ilyo.co.kr/?ac=article_view&amp;entry_id=494037")</f>
        <v>https://ilyo.co.kr/?ac=article_view&amp;entry_id=494037</v>
      </c>
      <c r="H10592">
        <v>8.4000000000000005E-2</v>
      </c>
    </row>
    <row r="10593" spans="1:8" x14ac:dyDescent="0.3">
      <c r="A10593" t="s">
        <v>26371</v>
      </c>
      <c r="B10593" t="s">
        <v>26951</v>
      </c>
      <c r="C10593" t="s">
        <v>26388</v>
      </c>
      <c r="D10593" t="s">
        <v>26387</v>
      </c>
      <c r="E10593" s="2" t="s">
        <v>572</v>
      </c>
      <c r="F10593" t="s">
        <v>26376</v>
      </c>
      <c r="G10593" t="str">
        <f>HYPERLINK("http://www.breaknews.com/985405")</f>
        <v>http://www.breaknews.com/985405</v>
      </c>
      <c r="H10593">
        <v>0.49199999999999999</v>
      </c>
    </row>
    <row r="10594" spans="1:8" x14ac:dyDescent="0.3">
      <c r="A10594" t="s">
        <v>26371</v>
      </c>
      <c r="B10594" t="s">
        <v>26951</v>
      </c>
      <c r="C10594" t="s">
        <v>26390</v>
      </c>
      <c r="D10594" t="s">
        <v>26389</v>
      </c>
      <c r="E10594" s="2" t="s">
        <v>692</v>
      </c>
      <c r="F10594" t="s">
        <v>2950</v>
      </c>
      <c r="G10594" t="str">
        <f>HYPERLINK("https://ilyo.co.kr/?ac=article_view&amp;entry_id=489627")</f>
        <v>https://ilyo.co.kr/?ac=article_view&amp;entry_id=489627</v>
      </c>
      <c r="H10594">
        <v>1.4999999999999999E-2</v>
      </c>
    </row>
    <row r="10595" spans="1:8" x14ac:dyDescent="0.3">
      <c r="A10595" t="s">
        <v>26371</v>
      </c>
      <c r="B10595" t="s">
        <v>26951</v>
      </c>
      <c r="C10595" t="s">
        <v>26393</v>
      </c>
      <c r="D10595" t="s">
        <v>26392</v>
      </c>
      <c r="E10595" s="2" t="s">
        <v>840</v>
      </c>
      <c r="F10595" t="s">
        <v>26391</v>
      </c>
      <c r="G10595" t="str">
        <f>HYPERLINK("https://www.etoday.co.kr/news/view/2191812")</f>
        <v>https://www.etoday.co.kr/news/view/2191812</v>
      </c>
      <c r="H10595">
        <v>0.51100000000000001</v>
      </c>
    </row>
    <row r="10596" spans="1:8" x14ac:dyDescent="0.3">
      <c r="A10596" t="s">
        <v>26394</v>
      </c>
      <c r="B10596" t="s">
        <v>26951</v>
      </c>
      <c r="C10596" t="s">
        <v>26396</v>
      </c>
      <c r="D10596" t="s">
        <v>26395</v>
      </c>
      <c r="E10596" s="2" t="s">
        <v>7</v>
      </c>
      <c r="F10596" t="s">
        <v>4533</v>
      </c>
      <c r="G10596" t="str">
        <f>HYPERLINK("http://www.newswatch.kr/news/articleView.html?idxno=69774")</f>
        <v>http://www.newswatch.kr/news/articleView.html?idxno=69774</v>
      </c>
      <c r="H10596">
        <v>0.27900000000000003</v>
      </c>
    </row>
    <row r="10597" spans="1:8" x14ac:dyDescent="0.3">
      <c r="A10597" t="s">
        <v>26394</v>
      </c>
      <c r="B10597" t="s">
        <v>26951</v>
      </c>
      <c r="C10597" t="s">
        <v>26399</v>
      </c>
      <c r="D10597" t="s">
        <v>26398</v>
      </c>
      <c r="E10597" s="2" t="s">
        <v>267</v>
      </c>
      <c r="F10597" t="s">
        <v>26397</v>
      </c>
      <c r="G10597" t="str">
        <f>HYPERLINK("http://www.veritas-a.com/news/articleView.html?idxno=556572")</f>
        <v>http://www.veritas-a.com/news/articleView.html?idxno=556572</v>
      </c>
      <c r="H10597">
        <v>0.70399999999999996</v>
      </c>
    </row>
    <row r="10598" spans="1:8" x14ac:dyDescent="0.3">
      <c r="A10598" t="s">
        <v>26394</v>
      </c>
      <c r="B10598" t="s">
        <v>26951</v>
      </c>
      <c r="C10598" t="s">
        <v>26402</v>
      </c>
      <c r="D10598" t="s">
        <v>26401</v>
      </c>
      <c r="E10598" s="2" t="s">
        <v>267</v>
      </c>
      <c r="F10598" t="s">
        <v>26400</v>
      </c>
      <c r="G10598" t="str">
        <f>HYPERLINK("http://www.newsmp.com/news/articleView.html?idxno=233977")</f>
        <v>http://www.newsmp.com/news/articleView.html?idxno=233977</v>
      </c>
      <c r="H10598">
        <v>0.42299999999999999</v>
      </c>
    </row>
    <row r="10599" spans="1:8" x14ac:dyDescent="0.3">
      <c r="A10599" t="s">
        <v>26394</v>
      </c>
      <c r="B10599" t="s">
        <v>26951</v>
      </c>
      <c r="C10599" t="s">
        <v>26405</v>
      </c>
      <c r="D10599" t="s">
        <v>26404</v>
      </c>
      <c r="E10599" s="2" t="s">
        <v>394</v>
      </c>
      <c r="F10599" t="s">
        <v>26403</v>
      </c>
      <c r="G10599" t="str">
        <f>HYPERLINK("https://n.news.naver.com/mnews/article/052/0001204799?sid=102")</f>
        <v>https://n.news.naver.com/mnews/article/052/0001204799?sid=102</v>
      </c>
      <c r="H10599">
        <v>0.30099999999999999</v>
      </c>
    </row>
    <row r="10600" spans="1:8" x14ac:dyDescent="0.3">
      <c r="A10600" t="s">
        <v>26394</v>
      </c>
      <c r="B10600" t="s">
        <v>26951</v>
      </c>
      <c r="C10600" t="s">
        <v>26408</v>
      </c>
      <c r="D10600" t="s">
        <v>26407</v>
      </c>
      <c r="E10600" s="2" t="s">
        <v>418</v>
      </c>
      <c r="F10600" t="s">
        <v>26406</v>
      </c>
      <c r="G10600" t="str">
        <f>HYPERLINK("http://www.ccdailynews.com/news/articleView.html?idxno=727405")</f>
        <v>http://www.ccdailynews.com/news/articleView.html?idxno=727405</v>
      </c>
      <c r="H10600">
        <v>0.378</v>
      </c>
    </row>
    <row r="10601" spans="1:8" x14ac:dyDescent="0.3">
      <c r="A10601" t="s">
        <v>26394</v>
      </c>
      <c r="B10601" t="s">
        <v>26951</v>
      </c>
      <c r="C10601" t="s">
        <v>26411</v>
      </c>
      <c r="D10601" t="s">
        <v>26410</v>
      </c>
      <c r="E10601" s="2" t="s">
        <v>452</v>
      </c>
      <c r="F10601" t="s">
        <v>26409</v>
      </c>
      <c r="G10601" t="str">
        <f>HYPERLINK("http://www.dynews.co.kr/news/articleView.html?idxno=778786")</f>
        <v>http://www.dynews.co.kr/news/articleView.html?idxno=778786</v>
      </c>
      <c r="H10601">
        <v>0.29799999999999999</v>
      </c>
    </row>
    <row r="10602" spans="1:8" x14ac:dyDescent="0.3">
      <c r="A10602" t="s">
        <v>26394</v>
      </c>
      <c r="B10602" t="s">
        <v>26951</v>
      </c>
      <c r="C10602" t="s">
        <v>26413</v>
      </c>
      <c r="D10602" t="s">
        <v>26412</v>
      </c>
      <c r="E10602" s="2" t="s">
        <v>609</v>
      </c>
      <c r="F10602" t="s">
        <v>19369</v>
      </c>
      <c r="G10602" t="str">
        <f>HYPERLINK("https://www.womaneconomy.co.kr/news/articleView.html?idxno=201140")</f>
        <v>https://www.womaneconomy.co.kr/news/articleView.html?idxno=201140</v>
      </c>
      <c r="H10602">
        <v>0.40799999999999997</v>
      </c>
    </row>
    <row r="10603" spans="1:8" x14ac:dyDescent="0.3">
      <c r="A10603" t="s">
        <v>26414</v>
      </c>
      <c r="B10603" t="s">
        <v>26951</v>
      </c>
      <c r="C10603" t="s">
        <v>26417</v>
      </c>
      <c r="D10603" t="s">
        <v>26416</v>
      </c>
      <c r="E10603" s="2" t="s">
        <v>172</v>
      </c>
      <c r="F10603" t="s">
        <v>26415</v>
      </c>
      <c r="G10603" t="str">
        <f>HYPERLINK("http://www.djtimes.co.kr/news/articleView.html?idxno=108371")</f>
        <v>http://www.djtimes.co.kr/news/articleView.html?idxno=108371</v>
      </c>
      <c r="H10603">
        <v>0.89400000000000002</v>
      </c>
    </row>
    <row r="10604" spans="1:8" x14ac:dyDescent="0.3">
      <c r="A10604" t="s">
        <v>26414</v>
      </c>
      <c r="B10604" t="s">
        <v>26951</v>
      </c>
      <c r="C10604" t="s">
        <v>26419</v>
      </c>
      <c r="D10604" t="s">
        <v>26418</v>
      </c>
      <c r="E10604" s="2" t="s">
        <v>196</v>
      </c>
      <c r="F10604" t="s">
        <v>7503</v>
      </c>
      <c r="G10604" t="str">
        <f>HYPERLINK("https://www.ccdailynews.com/news/articleView.html?idxno=2350910")</f>
        <v>https://www.ccdailynews.com/news/articleView.html?idxno=2350910</v>
      </c>
      <c r="H10604">
        <v>0.88400000000000001</v>
      </c>
    </row>
    <row r="10605" spans="1:8" x14ac:dyDescent="0.3">
      <c r="A10605" t="s">
        <v>26420</v>
      </c>
      <c r="B10605" t="s">
        <v>26951</v>
      </c>
      <c r="C10605" t="s">
        <v>26422</v>
      </c>
      <c r="D10605" t="s">
        <v>26421</v>
      </c>
      <c r="E10605" s="2" t="s">
        <v>7</v>
      </c>
      <c r="F10605" t="s">
        <v>14243</v>
      </c>
      <c r="G10605" t="str">
        <f>HYPERLINK("http://www.greened.kr/news/articleView.html?idxno=305091")</f>
        <v>http://www.greened.kr/news/articleView.html?idxno=305091</v>
      </c>
      <c r="H10605">
        <v>0.64</v>
      </c>
    </row>
    <row r="10606" spans="1:8" x14ac:dyDescent="0.3">
      <c r="A10606" t="s">
        <v>26420</v>
      </c>
      <c r="B10606" t="s">
        <v>26951</v>
      </c>
      <c r="C10606" t="s">
        <v>26425</v>
      </c>
      <c r="D10606" t="s">
        <v>26424</v>
      </c>
      <c r="E10606" s="2" t="s">
        <v>66</v>
      </c>
      <c r="F10606" t="s">
        <v>26423</v>
      </c>
      <c r="G10606" t="str">
        <f>HYPERLINK("http://www.dynews.co.kr/news/articleView.html?idxno=431697")</f>
        <v>http://www.dynews.co.kr/news/articleView.html?idxno=431697</v>
      </c>
      <c r="H10606">
        <v>0.36399999999999999</v>
      </c>
    </row>
    <row r="10607" spans="1:8" x14ac:dyDescent="0.3">
      <c r="A10607" t="s">
        <v>26420</v>
      </c>
      <c r="B10607" t="s">
        <v>26951</v>
      </c>
      <c r="C10607" t="s">
        <v>26427</v>
      </c>
      <c r="D10607" t="s">
        <v>26426</v>
      </c>
      <c r="E10607" s="2" t="s">
        <v>66</v>
      </c>
      <c r="F10607" t="s">
        <v>26423</v>
      </c>
      <c r="G10607" t="str">
        <f>HYPERLINK("https://www.kpinews.kr/newsView/1065566420951231")</f>
        <v>https://www.kpinews.kr/newsView/1065566420951231</v>
      </c>
      <c r="H10607">
        <v>0.84699999999999998</v>
      </c>
    </row>
    <row r="10608" spans="1:8" x14ac:dyDescent="0.3">
      <c r="A10608" t="s">
        <v>26420</v>
      </c>
      <c r="B10608" t="s">
        <v>26951</v>
      </c>
      <c r="C10608" t="s">
        <v>26429</v>
      </c>
      <c r="D10608" t="s">
        <v>26428</v>
      </c>
      <c r="E10608" s="2" t="s">
        <v>66</v>
      </c>
      <c r="F10608" t="s">
        <v>26423</v>
      </c>
      <c r="G10608" t="str">
        <f>HYPERLINK("http://www.econonews.co.kr/news/articleView.html?idxno=393863")</f>
        <v>http://www.econonews.co.kr/news/articleView.html?idxno=393863</v>
      </c>
      <c r="H10608">
        <v>0.90100000000000002</v>
      </c>
    </row>
    <row r="10609" spans="1:8" x14ac:dyDescent="0.3">
      <c r="A10609" t="s">
        <v>26420</v>
      </c>
      <c r="B10609" t="s">
        <v>26951</v>
      </c>
      <c r="C10609" t="s">
        <v>26431</v>
      </c>
      <c r="D10609" t="s">
        <v>26430</v>
      </c>
      <c r="E10609" s="2" t="s">
        <v>66</v>
      </c>
      <c r="F10609" t="s">
        <v>26423</v>
      </c>
      <c r="G10609" t="str">
        <f>HYPERLINK("http://www.econonews.co.kr/news/articleView.html?idxno=393905")</f>
        <v>http://www.econonews.co.kr/news/articleView.html?idxno=393905</v>
      </c>
      <c r="H10609">
        <v>0.86099999999999999</v>
      </c>
    </row>
    <row r="10610" spans="1:8" x14ac:dyDescent="0.3">
      <c r="A10610" t="s">
        <v>26420</v>
      </c>
      <c r="B10610" t="s">
        <v>26951</v>
      </c>
      <c r="C10610" t="s">
        <v>26433</v>
      </c>
      <c r="D10610" t="s">
        <v>26432</v>
      </c>
      <c r="E10610" s="2" t="s">
        <v>74</v>
      </c>
      <c r="F10610" t="s">
        <v>26423</v>
      </c>
      <c r="G10610" t="str">
        <f>HYPERLINK("http://www.kdpress.co.kr/news/articleView.html?idxno=138890")</f>
        <v>http://www.kdpress.co.kr/news/articleView.html?idxno=138890</v>
      </c>
      <c r="H10610">
        <v>0.80200000000000005</v>
      </c>
    </row>
    <row r="10611" spans="1:8" x14ac:dyDescent="0.3">
      <c r="A10611" t="s">
        <v>26420</v>
      </c>
      <c r="B10611" t="s">
        <v>26951</v>
      </c>
      <c r="C10611" t="s">
        <v>26435</v>
      </c>
      <c r="D10611" t="s">
        <v>26434</v>
      </c>
      <c r="E10611" s="2" t="s">
        <v>74</v>
      </c>
      <c r="F10611" t="s">
        <v>26423</v>
      </c>
      <c r="G10611" t="str">
        <f>HYPERLINK("http://www.econonews.co.kr/news/articleView.html?idxno=393606")</f>
        <v>http://www.econonews.co.kr/news/articleView.html?idxno=393606</v>
      </c>
      <c r="H10611">
        <v>0.8</v>
      </c>
    </row>
    <row r="10612" spans="1:8" x14ac:dyDescent="0.3">
      <c r="A10612" t="s">
        <v>26420</v>
      </c>
      <c r="B10612" t="s">
        <v>26951</v>
      </c>
      <c r="C10612" t="s">
        <v>26437</v>
      </c>
      <c r="D10612" t="s">
        <v>26436</v>
      </c>
      <c r="E10612" s="2" t="s">
        <v>74</v>
      </c>
      <c r="F10612" t="s">
        <v>26423</v>
      </c>
      <c r="G10612" t="str">
        <f>HYPERLINK("https://www.naeil.com/news/read/552798?ref=naver")</f>
        <v>https://www.naeil.com/news/read/552798?ref=naver</v>
      </c>
      <c r="H10612">
        <v>0.58299999999999996</v>
      </c>
    </row>
    <row r="10613" spans="1:8" x14ac:dyDescent="0.3">
      <c r="A10613" t="s">
        <v>26420</v>
      </c>
      <c r="B10613" t="s">
        <v>26951</v>
      </c>
      <c r="C10613" t="s">
        <v>26439</v>
      </c>
      <c r="D10613" t="s">
        <v>26438</v>
      </c>
      <c r="E10613" s="2" t="s">
        <v>74</v>
      </c>
      <c r="F10613" t="s">
        <v>26423</v>
      </c>
      <c r="G10613" t="str">
        <f>HYPERLINK("https://www.newspim.com/news/view/20250626001216")</f>
        <v>https://www.newspim.com/news/view/20250626001216</v>
      </c>
      <c r="H10613">
        <v>0.752</v>
      </c>
    </row>
    <row r="10614" spans="1:8" x14ac:dyDescent="0.3">
      <c r="A10614" t="s">
        <v>26420</v>
      </c>
      <c r="B10614" t="s">
        <v>26951</v>
      </c>
      <c r="C10614" t="s">
        <v>26441</v>
      </c>
      <c r="D10614" t="s">
        <v>26440</v>
      </c>
      <c r="E10614" s="2" t="s">
        <v>105</v>
      </c>
      <c r="F10614" t="s">
        <v>26423</v>
      </c>
      <c r="G10614" t="str">
        <f>HYPERLINK("http://www.seoulwire.com/news/articleView.html?idxno=657762")</f>
        <v>http://www.seoulwire.com/news/articleView.html?idxno=657762</v>
      </c>
      <c r="H10614">
        <v>0.77800000000000002</v>
      </c>
    </row>
    <row r="10615" spans="1:8" x14ac:dyDescent="0.3">
      <c r="A10615" t="s">
        <v>26420</v>
      </c>
      <c r="B10615" t="s">
        <v>26951</v>
      </c>
      <c r="C10615" t="s">
        <v>26443</v>
      </c>
      <c r="D10615" t="s">
        <v>26442</v>
      </c>
      <c r="E10615" s="2" t="s">
        <v>105</v>
      </c>
      <c r="F10615" t="s">
        <v>26423</v>
      </c>
      <c r="G10615" t="str">
        <f>HYPERLINK("https://www.jeonmae.co.kr/news/articleView.html?idxno=1121506")</f>
        <v>https://www.jeonmae.co.kr/news/articleView.html?idxno=1121506</v>
      </c>
      <c r="H10615">
        <v>0.442</v>
      </c>
    </row>
    <row r="10616" spans="1:8" x14ac:dyDescent="0.3">
      <c r="A10616" t="s">
        <v>26420</v>
      </c>
      <c r="B10616" t="s">
        <v>26951</v>
      </c>
      <c r="C10616" t="s">
        <v>26445</v>
      </c>
      <c r="D10616" t="s">
        <v>26444</v>
      </c>
      <c r="E10616" s="2" t="s">
        <v>133</v>
      </c>
      <c r="F10616" t="s">
        <v>26423</v>
      </c>
      <c r="G10616" t="str">
        <f>HYPERLINK("http://www.econonews.co.kr/news/articleView.html?idxno=393468")</f>
        <v>http://www.econonews.co.kr/news/articleView.html?idxno=393468</v>
      </c>
      <c r="H10616">
        <v>0.81599999999999995</v>
      </c>
    </row>
    <row r="10617" spans="1:8" x14ac:dyDescent="0.3">
      <c r="A10617" t="s">
        <v>26420</v>
      </c>
      <c r="B10617" t="s">
        <v>26951</v>
      </c>
      <c r="C10617" t="s">
        <v>26447</v>
      </c>
      <c r="D10617" t="s">
        <v>26446</v>
      </c>
      <c r="E10617" s="2" t="s">
        <v>133</v>
      </c>
      <c r="F10617" t="s">
        <v>26423</v>
      </c>
      <c r="G10617" t="str">
        <f>HYPERLINK("http://www.enewstoday.co.kr/news/articleView.html?idxno=2295164")</f>
        <v>http://www.enewstoday.co.kr/news/articleView.html?idxno=2295164</v>
      </c>
      <c r="H10617">
        <v>0.82399999999999995</v>
      </c>
    </row>
    <row r="10618" spans="1:8" x14ac:dyDescent="0.3">
      <c r="A10618" t="s">
        <v>26420</v>
      </c>
      <c r="B10618" t="s">
        <v>26951</v>
      </c>
      <c r="C10618" t="s">
        <v>26449</v>
      </c>
      <c r="D10618" t="s">
        <v>26448</v>
      </c>
      <c r="E10618" s="2" t="s">
        <v>133</v>
      </c>
      <c r="F10618" t="s">
        <v>26423</v>
      </c>
      <c r="G10618" t="str">
        <f>HYPERLINK("https://www.startuptoday.co.kr/news/articleView.html?idxno=467932")</f>
        <v>https://www.startuptoday.co.kr/news/articleView.html?idxno=467932</v>
      </c>
      <c r="H10618">
        <v>0.76</v>
      </c>
    </row>
    <row r="10619" spans="1:8" x14ac:dyDescent="0.3">
      <c r="A10619" t="s">
        <v>26420</v>
      </c>
      <c r="B10619" t="s">
        <v>26951</v>
      </c>
      <c r="C10619" t="s">
        <v>26452</v>
      </c>
      <c r="D10619" t="s">
        <v>26451</v>
      </c>
      <c r="E10619" s="2" t="s">
        <v>133</v>
      </c>
      <c r="F10619" t="s">
        <v>26450</v>
      </c>
      <c r="G10619" t="str">
        <f>HYPERLINK("https://www.ekoreanews.co.kr/news/articleView.html?idxno=80783")</f>
        <v>https://www.ekoreanews.co.kr/news/articleView.html?idxno=80783</v>
      </c>
      <c r="H10619">
        <v>0.65600000000000003</v>
      </c>
    </row>
    <row r="10620" spans="1:8" x14ac:dyDescent="0.3">
      <c r="A10620" t="s">
        <v>26420</v>
      </c>
      <c r="B10620" t="s">
        <v>26951</v>
      </c>
      <c r="C10620" t="s">
        <v>26454</v>
      </c>
      <c r="D10620" t="s">
        <v>26453</v>
      </c>
      <c r="E10620" s="2" t="s">
        <v>133</v>
      </c>
      <c r="F10620" t="s">
        <v>26423</v>
      </c>
      <c r="G10620" t="str">
        <f>HYPERLINK("http://www.kihoilbo.co.kr/news/articleView.html?idxno=1149387")</f>
        <v>http://www.kihoilbo.co.kr/news/articleView.html?idxno=1149387</v>
      </c>
      <c r="H10620">
        <v>0.71699999999999997</v>
      </c>
    </row>
    <row r="10621" spans="1:8" x14ac:dyDescent="0.3">
      <c r="A10621" t="s">
        <v>26420</v>
      </c>
      <c r="B10621" t="s">
        <v>26951</v>
      </c>
      <c r="C10621" t="s">
        <v>26456</v>
      </c>
      <c r="D10621" t="s">
        <v>26455</v>
      </c>
      <c r="E10621" s="2" t="s">
        <v>133</v>
      </c>
      <c r="F10621" t="s">
        <v>26423</v>
      </c>
      <c r="G10621" t="str">
        <f>HYPERLINK("https://www.nspna.com/news/?mode=view&amp;newsid=762657")</f>
        <v>https://www.nspna.com/news/?mode=view&amp;newsid=762657</v>
      </c>
      <c r="H10621">
        <v>0.752</v>
      </c>
    </row>
    <row r="10622" spans="1:8" x14ac:dyDescent="0.3">
      <c r="A10622" t="s">
        <v>26420</v>
      </c>
      <c r="B10622" t="s">
        <v>26951</v>
      </c>
      <c r="C10622" t="s">
        <v>26458</v>
      </c>
      <c r="D10622" t="s">
        <v>26457</v>
      </c>
      <c r="E10622" s="2" t="s">
        <v>133</v>
      </c>
      <c r="F10622" t="s">
        <v>26423</v>
      </c>
      <c r="G10622" t="str">
        <f>HYPERLINK("http://www.econonews.co.kr/news/articleView.html?idxno=393340")</f>
        <v>http://www.econonews.co.kr/news/articleView.html?idxno=393340</v>
      </c>
      <c r="H10622">
        <v>0.77600000000000002</v>
      </c>
    </row>
    <row r="10623" spans="1:8" x14ac:dyDescent="0.3">
      <c r="A10623" t="s">
        <v>26420</v>
      </c>
      <c r="B10623" t="s">
        <v>26951</v>
      </c>
      <c r="C10623" t="s">
        <v>26460</v>
      </c>
      <c r="D10623" t="s">
        <v>26459</v>
      </c>
      <c r="E10623" s="2" t="s">
        <v>133</v>
      </c>
      <c r="F10623" t="s">
        <v>26423</v>
      </c>
      <c r="G10623" t="str">
        <f>HYPERLINK("https://www.forbeskorea.co.kr/news/articleView.html?idxno=400220")</f>
        <v>https://www.forbeskorea.co.kr/news/articleView.html?idxno=400220</v>
      </c>
      <c r="H10623">
        <v>0.33400000000000002</v>
      </c>
    </row>
    <row r="10624" spans="1:8" x14ac:dyDescent="0.3">
      <c r="A10624" t="s">
        <v>26420</v>
      </c>
      <c r="B10624" t="s">
        <v>26951</v>
      </c>
      <c r="C10624" t="s">
        <v>26462</v>
      </c>
      <c r="D10624" t="s">
        <v>26461</v>
      </c>
      <c r="E10624" s="2" t="s">
        <v>133</v>
      </c>
      <c r="F10624" t="s">
        <v>26423</v>
      </c>
      <c r="G10624" t="str">
        <f>HYPERLINK("https://www.naeil.com/news/read/552433?ref=naver")</f>
        <v>https://www.naeil.com/news/read/552433?ref=naver</v>
      </c>
      <c r="H10624">
        <v>0.77500000000000002</v>
      </c>
    </row>
    <row r="10625" spans="1:8" x14ac:dyDescent="0.3">
      <c r="A10625" t="s">
        <v>26420</v>
      </c>
      <c r="B10625" t="s">
        <v>26951</v>
      </c>
      <c r="C10625" t="s">
        <v>26464</v>
      </c>
      <c r="D10625" t="s">
        <v>26463</v>
      </c>
      <c r="E10625" s="2" t="s">
        <v>133</v>
      </c>
      <c r="F10625" t="s">
        <v>26423</v>
      </c>
      <c r="G10625" t="str">
        <f>HYPERLINK("https://daily.hankooki.com/news/articleView.html?idxno=1234769")</f>
        <v>https://daily.hankooki.com/news/articleView.html?idxno=1234769</v>
      </c>
      <c r="H10625">
        <v>0.88</v>
      </c>
    </row>
    <row r="10626" spans="1:8" x14ac:dyDescent="0.3">
      <c r="A10626" t="s">
        <v>26420</v>
      </c>
      <c r="B10626" t="s">
        <v>26951</v>
      </c>
      <c r="C10626" t="s">
        <v>26466</v>
      </c>
      <c r="D10626" t="s">
        <v>26465</v>
      </c>
      <c r="E10626" s="2" t="s">
        <v>133</v>
      </c>
      <c r="F10626" t="s">
        <v>26423</v>
      </c>
      <c r="G10626" t="str">
        <f>HYPERLINK("http://www.joongboo.com/news/articleView.html?idxno=363517911")</f>
        <v>http://www.joongboo.com/news/articleView.html?idxno=363517911</v>
      </c>
      <c r="H10626">
        <v>0.53300000000000003</v>
      </c>
    </row>
    <row r="10627" spans="1:8" x14ac:dyDescent="0.3">
      <c r="A10627" t="s">
        <v>26420</v>
      </c>
      <c r="B10627" t="s">
        <v>26951</v>
      </c>
      <c r="C10627" t="s">
        <v>26469</v>
      </c>
      <c r="D10627" t="s">
        <v>26468</v>
      </c>
      <c r="E10627" s="2" t="s">
        <v>172</v>
      </c>
      <c r="F10627" t="s">
        <v>26467</v>
      </c>
      <c r="G10627" t="str">
        <f>HYPERLINK("https://www.youthdaily.co.kr/news/article.html?no=137251")</f>
        <v>https://www.youthdaily.co.kr/news/article.html?no=137251</v>
      </c>
      <c r="H10627">
        <v>0.436</v>
      </c>
    </row>
    <row r="10628" spans="1:8" x14ac:dyDescent="0.3">
      <c r="A10628" t="s">
        <v>26420</v>
      </c>
      <c r="B10628" t="s">
        <v>26951</v>
      </c>
      <c r="C10628" t="s">
        <v>26472</v>
      </c>
      <c r="D10628" t="s">
        <v>26471</v>
      </c>
      <c r="E10628" s="2" t="s">
        <v>196</v>
      </c>
      <c r="F10628" t="s">
        <v>26470</v>
      </c>
      <c r="G10628" t="str">
        <f>HYPERLINK("http://www.seoulwire.com/news/articleView.html?idxno=642089")</f>
        <v>http://www.seoulwire.com/news/articleView.html?idxno=642089</v>
      </c>
      <c r="H10628">
        <v>0.51700000000000002</v>
      </c>
    </row>
    <row r="10629" spans="1:8" x14ac:dyDescent="0.3">
      <c r="A10629" t="s">
        <v>26420</v>
      </c>
      <c r="B10629" t="s">
        <v>26951</v>
      </c>
      <c r="C10629" t="s">
        <v>26474</v>
      </c>
      <c r="D10629" t="s">
        <v>26473</v>
      </c>
      <c r="E10629" s="2" t="s">
        <v>280</v>
      </c>
      <c r="F10629" t="s">
        <v>26423</v>
      </c>
      <c r="G10629" t="str">
        <f>HYPERLINK("http://www.ifm.kr/news/369933")</f>
        <v>http://www.ifm.kr/news/369933</v>
      </c>
      <c r="H10629">
        <v>0.47699999999999998</v>
      </c>
    </row>
    <row r="10630" spans="1:8" x14ac:dyDescent="0.3">
      <c r="A10630" t="s">
        <v>26420</v>
      </c>
      <c r="B10630" t="s">
        <v>26951</v>
      </c>
      <c r="C10630" t="s">
        <v>26476</v>
      </c>
      <c r="D10630" t="s">
        <v>26475</v>
      </c>
      <c r="E10630" s="2" t="s">
        <v>280</v>
      </c>
      <c r="F10630" t="s">
        <v>26423</v>
      </c>
      <c r="G10630" t="str">
        <f>HYPERLINK("http://www.hansbiz.co.kr/news/articleView.html?idxno=757129")</f>
        <v>http://www.hansbiz.co.kr/news/articleView.html?idxno=757129</v>
      </c>
      <c r="H10630">
        <v>0.73599999999999999</v>
      </c>
    </row>
    <row r="10631" spans="1:8" x14ac:dyDescent="0.3">
      <c r="A10631" t="s">
        <v>26420</v>
      </c>
      <c r="B10631" t="s">
        <v>26951</v>
      </c>
      <c r="C10631" t="s">
        <v>26478</v>
      </c>
      <c r="D10631" t="s">
        <v>26477</v>
      </c>
      <c r="E10631" s="2" t="s">
        <v>280</v>
      </c>
      <c r="F10631" t="s">
        <v>26423</v>
      </c>
      <c r="G10631" t="str">
        <f>HYPERLINK("https://www.siminilbo.co.kr/news/newsview.php?ncode=1160282030511564")</f>
        <v>https://www.siminilbo.co.kr/news/newsview.php?ncode=1160282030511564</v>
      </c>
      <c r="H10631">
        <v>0.67300000000000004</v>
      </c>
    </row>
    <row r="10632" spans="1:8" x14ac:dyDescent="0.3">
      <c r="A10632" t="s">
        <v>26420</v>
      </c>
      <c r="B10632" t="s">
        <v>26951</v>
      </c>
      <c r="C10632" t="s">
        <v>26480</v>
      </c>
      <c r="D10632" t="s">
        <v>26479</v>
      </c>
      <c r="E10632" s="2" t="s">
        <v>313</v>
      </c>
      <c r="F10632" t="s">
        <v>26423</v>
      </c>
      <c r="G10632" t="str">
        <f>HYPERLINK("https://n.news.naver.com/mnews/article/014/0005366015?sid=102")</f>
        <v>https://n.news.naver.com/mnews/article/014/0005366015?sid=102</v>
      </c>
      <c r="H10632">
        <v>0.24299999999999999</v>
      </c>
    </row>
    <row r="10633" spans="1:8" x14ac:dyDescent="0.3">
      <c r="A10633" t="s">
        <v>26420</v>
      </c>
      <c r="B10633" t="s">
        <v>26951</v>
      </c>
      <c r="C10633" t="s">
        <v>26482</v>
      </c>
      <c r="D10633" t="s">
        <v>26481</v>
      </c>
      <c r="E10633" s="2" t="s">
        <v>313</v>
      </c>
      <c r="F10633" t="s">
        <v>26423</v>
      </c>
      <c r="G10633" t="str">
        <f>HYPERLINK("https://www.nspna.com/news/?mode=view&amp;newsid=761873")</f>
        <v>https://www.nspna.com/news/?mode=view&amp;newsid=761873</v>
      </c>
      <c r="H10633">
        <v>0.71799999999999997</v>
      </c>
    </row>
    <row r="10634" spans="1:8" x14ac:dyDescent="0.3">
      <c r="A10634" t="s">
        <v>26420</v>
      </c>
      <c r="B10634" t="s">
        <v>26951</v>
      </c>
      <c r="C10634" t="s">
        <v>26484</v>
      </c>
      <c r="D10634" t="s">
        <v>26483</v>
      </c>
      <c r="E10634" s="2" t="s">
        <v>313</v>
      </c>
      <c r="F10634" t="s">
        <v>26423</v>
      </c>
      <c r="G10634" t="str">
        <f>HYPERLINK("http://www.kihoilbo.co.kr/news/articleView.html?idxno=1148696")</f>
        <v>http://www.kihoilbo.co.kr/news/articleView.html?idxno=1148696</v>
      </c>
      <c r="H10634">
        <v>0.76700000000000002</v>
      </c>
    </row>
    <row r="10635" spans="1:8" x14ac:dyDescent="0.3">
      <c r="A10635" t="s">
        <v>26420</v>
      </c>
      <c r="B10635" t="s">
        <v>26951</v>
      </c>
      <c r="C10635" t="s">
        <v>26486</v>
      </c>
      <c r="D10635" t="s">
        <v>26485</v>
      </c>
      <c r="E10635" s="2" t="s">
        <v>313</v>
      </c>
      <c r="F10635" t="s">
        <v>26423</v>
      </c>
      <c r="G10635" t="str">
        <f>HYPERLINK("http://www.namdonews.com/news/articleView.html?idxno=816725")</f>
        <v>http://www.namdonews.com/news/articleView.html?idxno=816725</v>
      </c>
      <c r="H10635">
        <v>0.34300000000000003</v>
      </c>
    </row>
    <row r="10636" spans="1:8" x14ac:dyDescent="0.3">
      <c r="A10636" t="s">
        <v>26420</v>
      </c>
      <c r="B10636" t="s">
        <v>26951</v>
      </c>
      <c r="C10636" t="s">
        <v>26488</v>
      </c>
      <c r="D10636" t="s">
        <v>26487</v>
      </c>
      <c r="E10636" s="2" t="s">
        <v>313</v>
      </c>
      <c r="F10636" t="s">
        <v>26423</v>
      </c>
      <c r="G10636" t="str">
        <f>HYPERLINK("https://www.tournews21.com/news/articleView.html?idxno=106597")</f>
        <v>https://www.tournews21.com/news/articleView.html?idxno=106597</v>
      </c>
      <c r="H10636">
        <v>0.86</v>
      </c>
    </row>
    <row r="10637" spans="1:8" x14ac:dyDescent="0.3">
      <c r="A10637" t="s">
        <v>26420</v>
      </c>
      <c r="B10637" t="s">
        <v>26951</v>
      </c>
      <c r="C10637" t="s">
        <v>26490</v>
      </c>
      <c r="D10637" t="s">
        <v>26489</v>
      </c>
      <c r="E10637" s="2" t="s">
        <v>313</v>
      </c>
      <c r="F10637" t="s">
        <v>26423</v>
      </c>
      <c r="G10637" t="str">
        <f>HYPERLINK("https://www.discoverynews.kr/news/articleView.html?idxno=1066933")</f>
        <v>https://www.discoverynews.kr/news/articleView.html?idxno=1066933</v>
      </c>
      <c r="H10637">
        <v>0.73699999999999999</v>
      </c>
    </row>
    <row r="10638" spans="1:8" x14ac:dyDescent="0.3">
      <c r="A10638" t="s">
        <v>26420</v>
      </c>
      <c r="B10638" t="s">
        <v>26951</v>
      </c>
      <c r="C10638" t="s">
        <v>26492</v>
      </c>
      <c r="D10638" t="s">
        <v>26491</v>
      </c>
      <c r="E10638" s="2" t="s">
        <v>313</v>
      </c>
      <c r="F10638" t="s">
        <v>26423</v>
      </c>
      <c r="G10638" t="str">
        <f>HYPERLINK("https://www.joongboo.com/news/articleView.html?idxno=363695890")</f>
        <v>https://www.joongboo.com/news/articleView.html?idxno=363695890</v>
      </c>
      <c r="H10638">
        <v>0.78200000000000003</v>
      </c>
    </row>
    <row r="10639" spans="1:8" x14ac:dyDescent="0.3">
      <c r="A10639" t="s">
        <v>26420</v>
      </c>
      <c r="B10639" t="s">
        <v>26951</v>
      </c>
      <c r="C10639" t="s">
        <v>26494</v>
      </c>
      <c r="D10639" t="s">
        <v>26493</v>
      </c>
      <c r="E10639" s="2" t="s">
        <v>313</v>
      </c>
      <c r="F10639" t="s">
        <v>26423</v>
      </c>
      <c r="G10639" t="str">
        <f>HYPERLINK("https://www.kyeongin.com/article/1740727")</f>
        <v>https://www.kyeongin.com/article/1740727</v>
      </c>
      <c r="H10639">
        <v>0.307</v>
      </c>
    </row>
    <row r="10640" spans="1:8" x14ac:dyDescent="0.3">
      <c r="A10640" t="s">
        <v>26420</v>
      </c>
      <c r="B10640" t="s">
        <v>26951</v>
      </c>
      <c r="C10640" t="s">
        <v>26496</v>
      </c>
      <c r="D10640" t="s">
        <v>26495</v>
      </c>
      <c r="E10640" s="2" t="s">
        <v>313</v>
      </c>
      <c r="F10640" t="s">
        <v>26423</v>
      </c>
      <c r="G10640" t="str">
        <f>HYPERLINK("https://www.kgnews.co.kr/news/article.html?no=850848")</f>
        <v>https://www.kgnews.co.kr/news/article.html?no=850848</v>
      </c>
      <c r="H10640">
        <v>0.66600000000000004</v>
      </c>
    </row>
    <row r="10641" spans="1:8" x14ac:dyDescent="0.3">
      <c r="A10641" t="s">
        <v>26420</v>
      </c>
      <c r="B10641" t="s">
        <v>26951</v>
      </c>
      <c r="C10641" t="s">
        <v>26498</v>
      </c>
      <c r="D10641" t="s">
        <v>26497</v>
      </c>
      <c r="E10641" s="2" t="s">
        <v>313</v>
      </c>
      <c r="F10641" t="s">
        <v>26423</v>
      </c>
      <c r="G10641" t="str">
        <f>HYPERLINK("https://www.nbntv.co.kr/news/articleView.html?idxno=4003174")</f>
        <v>https://www.nbntv.co.kr/news/articleView.html?idxno=4003174</v>
      </c>
      <c r="H10641">
        <v>0.79600000000000004</v>
      </c>
    </row>
    <row r="10642" spans="1:8" x14ac:dyDescent="0.3">
      <c r="A10642" t="s">
        <v>26420</v>
      </c>
      <c r="B10642" t="s">
        <v>26951</v>
      </c>
      <c r="C10642" t="s">
        <v>26500</v>
      </c>
      <c r="D10642" t="s">
        <v>26499</v>
      </c>
      <c r="E10642" s="2" t="s">
        <v>313</v>
      </c>
      <c r="F10642" t="s">
        <v>26423</v>
      </c>
      <c r="G10642" t="str">
        <f>HYPERLINK("http://www.econonews.co.kr/news/articleView.html?idxno=392738")</f>
        <v>http://www.econonews.co.kr/news/articleView.html?idxno=392738</v>
      </c>
      <c r="H10642">
        <v>0.441</v>
      </c>
    </row>
    <row r="10643" spans="1:8" x14ac:dyDescent="0.3">
      <c r="A10643" t="s">
        <v>26420</v>
      </c>
      <c r="B10643" t="s">
        <v>26951</v>
      </c>
      <c r="C10643" t="s">
        <v>26502</v>
      </c>
      <c r="D10643" t="s">
        <v>26501</v>
      </c>
      <c r="E10643" s="2" t="s">
        <v>313</v>
      </c>
      <c r="F10643" t="s">
        <v>26423</v>
      </c>
      <c r="G10643" t="str">
        <f>HYPERLINK("http://www.paxetv.com/news/articleView.html?idxno=147960")</f>
        <v>http://www.paxetv.com/news/articleView.html?idxno=147960</v>
      </c>
      <c r="H10643">
        <v>0.42099999999999999</v>
      </c>
    </row>
    <row r="10644" spans="1:8" x14ac:dyDescent="0.3">
      <c r="A10644" t="s">
        <v>26420</v>
      </c>
      <c r="B10644" t="s">
        <v>26951</v>
      </c>
      <c r="C10644" t="s">
        <v>26504</v>
      </c>
      <c r="D10644" t="s">
        <v>26503</v>
      </c>
      <c r="E10644" s="2" t="s">
        <v>313</v>
      </c>
      <c r="F10644" t="s">
        <v>26423</v>
      </c>
      <c r="G10644" t="str">
        <f>HYPERLINK("http://www.kihoilbo.co.kr/news/articleView.html?idxno=1148516")</f>
        <v>http://www.kihoilbo.co.kr/news/articleView.html?idxno=1148516</v>
      </c>
      <c r="H10644">
        <v>0.77600000000000002</v>
      </c>
    </row>
    <row r="10645" spans="1:8" x14ac:dyDescent="0.3">
      <c r="A10645" t="s">
        <v>26420</v>
      </c>
      <c r="B10645" t="s">
        <v>26951</v>
      </c>
      <c r="C10645" t="s">
        <v>26506</v>
      </c>
      <c r="D10645" t="s">
        <v>26505</v>
      </c>
      <c r="E10645" s="2" t="s">
        <v>313</v>
      </c>
      <c r="F10645" t="s">
        <v>26423</v>
      </c>
      <c r="G10645" t="str">
        <f>HYPERLINK("https://n.news.naver.com/mnews/article/005/0001024668?sid=101")</f>
        <v>https://n.news.naver.com/mnews/article/005/0001024668?sid=101</v>
      </c>
      <c r="H10645">
        <v>0.217</v>
      </c>
    </row>
    <row r="10646" spans="1:8" x14ac:dyDescent="0.3">
      <c r="A10646" t="s">
        <v>26420</v>
      </c>
      <c r="B10646" t="s">
        <v>26951</v>
      </c>
      <c r="C10646" t="s">
        <v>26508</v>
      </c>
      <c r="D10646" t="s">
        <v>26507</v>
      </c>
      <c r="E10646" s="2" t="s">
        <v>313</v>
      </c>
      <c r="F10646" t="s">
        <v>26423</v>
      </c>
      <c r="G10646" t="str">
        <f>HYPERLINK("http://www.kihoilbo.co.kr/news/articleView.html?idxno=1062714")</f>
        <v>http://www.kihoilbo.co.kr/news/articleView.html?idxno=1062714</v>
      </c>
      <c r="H10646">
        <v>0.58099999999999996</v>
      </c>
    </row>
    <row r="10647" spans="1:8" x14ac:dyDescent="0.3">
      <c r="A10647" t="s">
        <v>26420</v>
      </c>
      <c r="B10647" t="s">
        <v>26951</v>
      </c>
      <c r="C10647" t="s">
        <v>26510</v>
      </c>
      <c r="D10647" t="s">
        <v>26509</v>
      </c>
      <c r="E10647" s="2" t="s">
        <v>313</v>
      </c>
      <c r="F10647" t="s">
        <v>26423</v>
      </c>
      <c r="G10647" t="str">
        <f>HYPERLINK("http://www.suwonilbo.kr/news/articleView.html?idxno=310667")</f>
        <v>http://www.suwonilbo.kr/news/articleView.html?idxno=310667</v>
      </c>
      <c r="H10647">
        <v>0.86799999999999999</v>
      </c>
    </row>
    <row r="10648" spans="1:8" x14ac:dyDescent="0.3">
      <c r="A10648" t="s">
        <v>26420</v>
      </c>
      <c r="B10648" t="s">
        <v>26951</v>
      </c>
      <c r="C10648" t="s">
        <v>26512</v>
      </c>
      <c r="D10648" t="s">
        <v>26511</v>
      </c>
      <c r="E10648" s="2" t="s">
        <v>313</v>
      </c>
      <c r="F10648" t="s">
        <v>26423</v>
      </c>
      <c r="G10648" t="str">
        <f>HYPERLINK("https://www.greened.kr/news/articleView.html?idxno=311278")</f>
        <v>https://www.greened.kr/news/articleView.html?idxno=311278</v>
      </c>
      <c r="H10648">
        <v>0.55200000000000005</v>
      </c>
    </row>
    <row r="10649" spans="1:8" x14ac:dyDescent="0.3">
      <c r="A10649" t="s">
        <v>26420</v>
      </c>
      <c r="B10649" t="s">
        <v>26951</v>
      </c>
      <c r="C10649" t="s">
        <v>26514</v>
      </c>
      <c r="D10649" t="s">
        <v>26513</v>
      </c>
      <c r="E10649" s="2" t="s">
        <v>313</v>
      </c>
      <c r="F10649" t="s">
        <v>26423</v>
      </c>
      <c r="G10649" t="str">
        <f>HYPERLINK("https://www.kgnews.co.kr/news/article.html?no=851264")</f>
        <v>https://www.kgnews.co.kr/news/article.html?no=851264</v>
      </c>
      <c r="H10649">
        <v>0.64700000000000002</v>
      </c>
    </row>
    <row r="10650" spans="1:8" x14ac:dyDescent="0.3">
      <c r="A10650" t="s">
        <v>26420</v>
      </c>
      <c r="B10650" t="s">
        <v>26951</v>
      </c>
      <c r="C10650" t="s">
        <v>26516</v>
      </c>
      <c r="D10650" t="s">
        <v>26515</v>
      </c>
      <c r="E10650" s="2" t="s">
        <v>313</v>
      </c>
      <c r="F10650" t="s">
        <v>26423</v>
      </c>
      <c r="G10650" t="str">
        <f>HYPERLINK("https://www.ngonews.kr/news/articleView.html?idxno=208581")</f>
        <v>https://www.ngonews.kr/news/articleView.html?idxno=208581</v>
      </c>
      <c r="H10650">
        <v>0.95699999999999996</v>
      </c>
    </row>
    <row r="10651" spans="1:8" x14ac:dyDescent="0.3">
      <c r="A10651" t="s">
        <v>26420</v>
      </c>
      <c r="B10651" t="s">
        <v>26951</v>
      </c>
      <c r="C10651" t="s">
        <v>26518</v>
      </c>
      <c r="D10651" t="s">
        <v>26517</v>
      </c>
      <c r="E10651" s="2" t="s">
        <v>313</v>
      </c>
      <c r="F10651" t="s">
        <v>26423</v>
      </c>
      <c r="G10651" t="str">
        <f>HYPERLINK("https://www.gasnews.com/news/articleView.html?idxno=119998")</f>
        <v>https://www.gasnews.com/news/articleView.html?idxno=119998</v>
      </c>
      <c r="H10651">
        <v>0.47799999999999998</v>
      </c>
    </row>
    <row r="10652" spans="1:8" x14ac:dyDescent="0.3">
      <c r="A10652" t="s">
        <v>26420</v>
      </c>
      <c r="B10652" t="s">
        <v>26951</v>
      </c>
      <c r="C10652" t="s">
        <v>26520</v>
      </c>
      <c r="D10652" t="s">
        <v>26519</v>
      </c>
      <c r="E10652" s="2" t="s">
        <v>313</v>
      </c>
      <c r="F10652" t="s">
        <v>26423</v>
      </c>
      <c r="G10652" t="str">
        <f>HYPERLINK("http://www.dynews.co.kr/news/articleView.html?idxno=806892")</f>
        <v>http://www.dynews.co.kr/news/articleView.html?idxno=806892</v>
      </c>
      <c r="H10652">
        <v>0.79200000000000004</v>
      </c>
    </row>
    <row r="10653" spans="1:8" x14ac:dyDescent="0.3">
      <c r="A10653" t="s">
        <v>26420</v>
      </c>
      <c r="B10653" t="s">
        <v>26951</v>
      </c>
      <c r="C10653" t="s">
        <v>26523</v>
      </c>
      <c r="D10653" t="s">
        <v>26522</v>
      </c>
      <c r="E10653" s="2" t="s">
        <v>356</v>
      </c>
      <c r="F10653" t="s">
        <v>26521</v>
      </c>
      <c r="G10653" t="str">
        <f>HYPERLINK("https://www.danbinews.com/news/articleView.html?idxno=30751")</f>
        <v>https://www.danbinews.com/news/articleView.html?idxno=30751</v>
      </c>
      <c r="H10653">
        <v>0.31</v>
      </c>
    </row>
    <row r="10654" spans="1:8" x14ac:dyDescent="0.3">
      <c r="A10654" t="s">
        <v>26420</v>
      </c>
      <c r="B10654" t="s">
        <v>26951</v>
      </c>
      <c r="C10654" t="s">
        <v>26525</v>
      </c>
      <c r="D10654" t="s">
        <v>26524</v>
      </c>
      <c r="E10654" s="2" t="s">
        <v>452</v>
      </c>
      <c r="F10654" t="s">
        <v>26423</v>
      </c>
      <c r="G10654" t="str">
        <f>HYPERLINK("https://www.pointdaily.co.kr/news/articleView.html?idxno=253043")</f>
        <v>https://www.pointdaily.co.kr/news/articleView.html?idxno=253043</v>
      </c>
      <c r="H10654">
        <v>0.72599999999999998</v>
      </c>
    </row>
    <row r="10655" spans="1:8" x14ac:dyDescent="0.3">
      <c r="A10655" t="s">
        <v>26420</v>
      </c>
      <c r="B10655" t="s">
        <v>26951</v>
      </c>
      <c r="C10655" t="s">
        <v>26527</v>
      </c>
      <c r="D10655" t="s">
        <v>26526</v>
      </c>
      <c r="E10655" s="2" t="s">
        <v>452</v>
      </c>
      <c r="F10655" t="s">
        <v>26423</v>
      </c>
      <c r="G10655" t="str">
        <f>HYPERLINK("http://www.hansbiz.co.kr/news/articleView.html?idxno=755147")</f>
        <v>http://www.hansbiz.co.kr/news/articleView.html?idxno=755147</v>
      </c>
      <c r="H10655">
        <v>0.73599999999999999</v>
      </c>
    </row>
    <row r="10656" spans="1:8" x14ac:dyDescent="0.3">
      <c r="A10656" t="s">
        <v>26420</v>
      </c>
      <c r="B10656" t="s">
        <v>26951</v>
      </c>
      <c r="C10656" t="s">
        <v>26529</v>
      </c>
      <c r="D10656" t="s">
        <v>26528</v>
      </c>
      <c r="E10656" s="2" t="s">
        <v>452</v>
      </c>
      <c r="F10656" t="s">
        <v>26423</v>
      </c>
      <c r="G10656" t="str">
        <f>HYPERLINK("http://www.kdfnews.com/news/articleView.html?idxno=158722")</f>
        <v>http://www.kdfnews.com/news/articleView.html?idxno=158722</v>
      </c>
      <c r="H10656">
        <v>0.79100000000000004</v>
      </c>
    </row>
    <row r="10657" spans="1:8" x14ac:dyDescent="0.3">
      <c r="A10657" t="s">
        <v>26420</v>
      </c>
      <c r="B10657" t="s">
        <v>26951</v>
      </c>
      <c r="C10657" t="s">
        <v>26531</v>
      </c>
      <c r="D10657" t="s">
        <v>26530</v>
      </c>
      <c r="E10657" s="2" t="s">
        <v>452</v>
      </c>
      <c r="F10657" t="s">
        <v>26423</v>
      </c>
      <c r="G10657" t="str">
        <f>HYPERLINK("https://www.viva100.com/article/20250615500074")</f>
        <v>https://www.viva100.com/article/20250615500074</v>
      </c>
      <c r="H10657">
        <v>0.755</v>
      </c>
    </row>
    <row r="10658" spans="1:8" x14ac:dyDescent="0.3">
      <c r="A10658" t="s">
        <v>26420</v>
      </c>
      <c r="B10658" t="s">
        <v>26951</v>
      </c>
      <c r="C10658" t="s">
        <v>26533</v>
      </c>
      <c r="D10658" t="s">
        <v>26532</v>
      </c>
      <c r="E10658" s="2" t="s">
        <v>452</v>
      </c>
      <c r="F10658" t="s">
        <v>26423</v>
      </c>
      <c r="G10658" t="str">
        <f>HYPERLINK("http://www.econonews.co.kr/news/articleView.html?idxno=391948")</f>
        <v>http://www.econonews.co.kr/news/articleView.html?idxno=391948</v>
      </c>
      <c r="H10658">
        <v>0.84399999999999997</v>
      </c>
    </row>
    <row r="10659" spans="1:8" x14ac:dyDescent="0.3">
      <c r="A10659" t="s">
        <v>26420</v>
      </c>
      <c r="B10659" t="s">
        <v>26951</v>
      </c>
      <c r="C10659" t="s">
        <v>26535</v>
      </c>
      <c r="D10659" t="s">
        <v>26534</v>
      </c>
      <c r="E10659" s="2" t="s">
        <v>452</v>
      </c>
      <c r="F10659" t="s">
        <v>26423</v>
      </c>
      <c r="G10659" t="str">
        <f>HYPERLINK("https://www.ggilbo.com/news/articleView.html?idxno=1061278")</f>
        <v>https://www.ggilbo.com/news/articleView.html?idxno=1061278</v>
      </c>
      <c r="H10659">
        <v>0.29499999999999998</v>
      </c>
    </row>
    <row r="10660" spans="1:8" x14ac:dyDescent="0.3">
      <c r="A10660" t="s">
        <v>26420</v>
      </c>
      <c r="B10660" t="s">
        <v>26951</v>
      </c>
      <c r="C10660" t="s">
        <v>26537</v>
      </c>
      <c r="D10660" t="s">
        <v>26536</v>
      </c>
      <c r="E10660" s="2" t="s">
        <v>452</v>
      </c>
      <c r="F10660" t="s">
        <v>26423</v>
      </c>
      <c r="G10660" t="str">
        <f>HYPERLINK("http://www.econonews.co.kr/news/articleView.html?idxno=391943")</f>
        <v>http://www.econonews.co.kr/news/articleView.html?idxno=391943</v>
      </c>
      <c r="H10660">
        <v>0.83</v>
      </c>
    </row>
    <row r="10661" spans="1:8" x14ac:dyDescent="0.3">
      <c r="A10661" t="s">
        <v>26420</v>
      </c>
      <c r="B10661" t="s">
        <v>26951</v>
      </c>
      <c r="C10661" t="s">
        <v>26539</v>
      </c>
      <c r="D10661" t="s">
        <v>26538</v>
      </c>
      <c r="E10661" s="2" t="s">
        <v>452</v>
      </c>
      <c r="F10661" t="s">
        <v>26423</v>
      </c>
      <c r="G10661" t="str">
        <f>HYPERLINK("http://www.kihoilbo.co.kr/news/articleView.html?idxno=1136286")</f>
        <v>http://www.kihoilbo.co.kr/news/articleView.html?idxno=1136286</v>
      </c>
      <c r="H10661">
        <v>0.30599999999999999</v>
      </c>
    </row>
    <row r="10662" spans="1:8" x14ac:dyDescent="0.3">
      <c r="A10662" t="s">
        <v>26420</v>
      </c>
      <c r="B10662" t="s">
        <v>26951</v>
      </c>
      <c r="C10662" t="s">
        <v>26541</v>
      </c>
      <c r="D10662" t="s">
        <v>26540</v>
      </c>
      <c r="E10662" s="2" t="s">
        <v>452</v>
      </c>
      <c r="F10662" t="s">
        <v>26423</v>
      </c>
      <c r="G10662" t="str">
        <f>HYPERLINK("http://www.kihoilbo.co.kr/news/articleView.html?idxno=1146647")</f>
        <v>http://www.kihoilbo.co.kr/news/articleView.html?idxno=1146647</v>
      </c>
      <c r="H10662">
        <v>0.69799999999999995</v>
      </c>
    </row>
    <row r="10663" spans="1:8" x14ac:dyDescent="0.3">
      <c r="A10663" t="s">
        <v>26420</v>
      </c>
      <c r="B10663" t="s">
        <v>26951</v>
      </c>
      <c r="C10663" t="s">
        <v>26543</v>
      </c>
      <c r="D10663" t="s">
        <v>26542</v>
      </c>
      <c r="E10663" s="2" t="s">
        <v>452</v>
      </c>
      <c r="F10663" t="s">
        <v>26423</v>
      </c>
      <c r="G10663" t="str">
        <f>HYPERLINK("http://www.kihoilbo.co.kr/news/articleView.html?idxno=1147933")</f>
        <v>http://www.kihoilbo.co.kr/news/articleView.html?idxno=1147933</v>
      </c>
      <c r="H10663">
        <v>0.62</v>
      </c>
    </row>
    <row r="10664" spans="1:8" x14ac:dyDescent="0.3">
      <c r="A10664" t="s">
        <v>26420</v>
      </c>
      <c r="B10664" t="s">
        <v>26951</v>
      </c>
      <c r="C10664" t="s">
        <v>26545</v>
      </c>
      <c r="D10664" t="s">
        <v>26544</v>
      </c>
      <c r="E10664" s="2" t="s">
        <v>452</v>
      </c>
      <c r="F10664" t="s">
        <v>26423</v>
      </c>
      <c r="G10664" t="str">
        <f>HYPERLINK("http://www.cfnews.kr/news.aspx/98361")</f>
        <v>http://www.cfnews.kr/news.aspx/98361</v>
      </c>
      <c r="H10664">
        <v>0.73899999999999999</v>
      </c>
    </row>
    <row r="10665" spans="1:8" x14ac:dyDescent="0.3">
      <c r="A10665" t="s">
        <v>26420</v>
      </c>
      <c r="B10665" t="s">
        <v>26951</v>
      </c>
      <c r="C10665" t="s">
        <v>26547</v>
      </c>
      <c r="D10665" t="s">
        <v>26546</v>
      </c>
      <c r="E10665" s="2" t="s">
        <v>452</v>
      </c>
      <c r="F10665" t="s">
        <v>26423</v>
      </c>
      <c r="G10665" t="str">
        <f>HYPERLINK("https://www.incheonilbo.com/news/articleView.html?idxno=1268986")</f>
        <v>https://www.incheonilbo.com/news/articleView.html?idxno=1268986</v>
      </c>
      <c r="H10665">
        <v>0.51800000000000002</v>
      </c>
    </row>
    <row r="10666" spans="1:8" x14ac:dyDescent="0.3">
      <c r="A10666" t="s">
        <v>26420</v>
      </c>
      <c r="B10666" t="s">
        <v>26951</v>
      </c>
      <c r="C10666" t="s">
        <v>26549</v>
      </c>
      <c r="D10666" t="s">
        <v>26548</v>
      </c>
      <c r="E10666" s="2" t="s">
        <v>452</v>
      </c>
      <c r="F10666" t="s">
        <v>26423</v>
      </c>
      <c r="G10666" t="str">
        <f>HYPERLINK("http://www.newsroad.co.kr/news/articleView.html?idxno=40658")</f>
        <v>http://www.newsroad.co.kr/news/articleView.html?idxno=40658</v>
      </c>
      <c r="H10666">
        <v>0.79900000000000004</v>
      </c>
    </row>
    <row r="10667" spans="1:8" x14ac:dyDescent="0.3">
      <c r="A10667" t="s">
        <v>26420</v>
      </c>
      <c r="B10667" t="s">
        <v>26951</v>
      </c>
      <c r="C10667" t="s">
        <v>26551</v>
      </c>
      <c r="D10667" t="s">
        <v>26550</v>
      </c>
      <c r="E10667" s="2" t="s">
        <v>452</v>
      </c>
      <c r="F10667" t="s">
        <v>26423</v>
      </c>
      <c r="G10667" t="str">
        <f>HYPERLINK("https://www.kmaeil.com/news/articleView.html?idxno=508636")</f>
        <v>https://www.kmaeil.com/news/articleView.html?idxno=508636</v>
      </c>
      <c r="H10667">
        <v>0.75800000000000001</v>
      </c>
    </row>
    <row r="10668" spans="1:8" x14ac:dyDescent="0.3">
      <c r="A10668" t="s">
        <v>26420</v>
      </c>
      <c r="B10668" t="s">
        <v>26951</v>
      </c>
      <c r="C10668" t="s">
        <v>26553</v>
      </c>
      <c r="D10668" t="s">
        <v>26552</v>
      </c>
      <c r="E10668" s="2" t="s">
        <v>452</v>
      </c>
      <c r="F10668" t="s">
        <v>26423</v>
      </c>
      <c r="G10668" t="str">
        <f>HYPERLINK("http://www.kihoilbo.co.kr/?mod=news&amp;act=articleView&amp;idxno=801334")</f>
        <v>http://www.kihoilbo.co.kr/?mod=news&amp;act=articleView&amp;idxno=801334</v>
      </c>
      <c r="H10668">
        <v>0.503</v>
      </c>
    </row>
    <row r="10669" spans="1:8" x14ac:dyDescent="0.3">
      <c r="A10669" t="s">
        <v>26420</v>
      </c>
      <c r="B10669" t="s">
        <v>26951</v>
      </c>
      <c r="C10669" t="s">
        <v>26555</v>
      </c>
      <c r="D10669" t="s">
        <v>26554</v>
      </c>
      <c r="E10669" s="2" t="s">
        <v>609</v>
      </c>
      <c r="F10669" t="s">
        <v>26420</v>
      </c>
      <c r="G10669" t="str">
        <f>HYPERLINK("https://www.viva100.com/article/20250610501583")</f>
        <v>https://www.viva100.com/article/20250610501583</v>
      </c>
      <c r="H10669">
        <v>0.80800000000000005</v>
      </c>
    </row>
    <row r="10670" spans="1:8" x14ac:dyDescent="0.3">
      <c r="A10670" t="s">
        <v>26420</v>
      </c>
      <c r="B10670" t="s">
        <v>26951</v>
      </c>
      <c r="C10670" t="s">
        <v>26557</v>
      </c>
      <c r="D10670" t="s">
        <v>26556</v>
      </c>
      <c r="E10670" s="2" t="s">
        <v>711</v>
      </c>
      <c r="F10670" t="s">
        <v>26423</v>
      </c>
      <c r="G10670" t="str">
        <f>HYPERLINK("https://www.kgnews.co.kr/news/article.html?no=843291")</f>
        <v>https://www.kgnews.co.kr/news/article.html?no=843291</v>
      </c>
      <c r="H10670">
        <v>0.45700000000000002</v>
      </c>
    </row>
    <row r="10671" spans="1:8" x14ac:dyDescent="0.3">
      <c r="A10671" t="s">
        <v>26420</v>
      </c>
      <c r="B10671" t="s">
        <v>26951</v>
      </c>
      <c r="C10671" t="s">
        <v>26559</v>
      </c>
      <c r="D10671" t="s">
        <v>26558</v>
      </c>
      <c r="E10671" s="2" t="s">
        <v>711</v>
      </c>
      <c r="F10671" t="s">
        <v>26423</v>
      </c>
      <c r="G10671" t="str">
        <f>HYPERLINK("https://ilyo.co.kr/?ac=article_view&amp;entry_id=493825")</f>
        <v>https://ilyo.co.kr/?ac=article_view&amp;entry_id=493825</v>
      </c>
      <c r="H10671">
        <v>0.05</v>
      </c>
    </row>
    <row r="10672" spans="1:8" x14ac:dyDescent="0.3">
      <c r="A10672" t="s">
        <v>26420</v>
      </c>
      <c r="B10672" t="s">
        <v>26951</v>
      </c>
      <c r="C10672" t="s">
        <v>26561</v>
      </c>
      <c r="D10672" t="s">
        <v>26560</v>
      </c>
      <c r="E10672" s="2" t="s">
        <v>711</v>
      </c>
      <c r="F10672" t="s">
        <v>26423</v>
      </c>
      <c r="G10672" t="str">
        <f>HYPERLINK("https://www.siminilbo.co.kr/news/newsview.php?ncode=1160289046626961")</f>
        <v>https://www.siminilbo.co.kr/news/newsview.php?ncode=1160289046626961</v>
      </c>
      <c r="H10672">
        <v>0.70799999999999996</v>
      </c>
    </row>
    <row r="10673" spans="1:8" x14ac:dyDescent="0.3">
      <c r="A10673" t="s">
        <v>26420</v>
      </c>
      <c r="B10673" t="s">
        <v>26951</v>
      </c>
      <c r="C10673" t="s">
        <v>26563</v>
      </c>
      <c r="D10673" t="s">
        <v>26562</v>
      </c>
      <c r="E10673" s="2" t="s">
        <v>711</v>
      </c>
      <c r="F10673" t="s">
        <v>26423</v>
      </c>
      <c r="G10673" t="str">
        <f>HYPERLINK("http://www.newsmp.com/news/articleView.html?idxno=247375")</f>
        <v>http://www.newsmp.com/news/articleView.html?idxno=247375</v>
      </c>
      <c r="H10673">
        <v>0.46500000000000002</v>
      </c>
    </row>
    <row r="10674" spans="1:8" x14ac:dyDescent="0.3">
      <c r="A10674" t="s">
        <v>26420</v>
      </c>
      <c r="B10674" t="s">
        <v>26951</v>
      </c>
      <c r="C10674" t="s">
        <v>26565</v>
      </c>
      <c r="D10674" t="s">
        <v>26564</v>
      </c>
      <c r="E10674" s="2" t="s">
        <v>711</v>
      </c>
      <c r="F10674" t="s">
        <v>26423</v>
      </c>
      <c r="G10674" t="str">
        <f>HYPERLINK("http://www.econonews.co.kr/news/articleView.html?idxno=390829")</f>
        <v>http://www.econonews.co.kr/news/articleView.html?idxno=390829</v>
      </c>
      <c r="H10674">
        <v>0.82399999999999995</v>
      </c>
    </row>
    <row r="10675" spans="1:8" x14ac:dyDescent="0.3">
      <c r="A10675" t="s">
        <v>26420</v>
      </c>
      <c r="B10675" t="s">
        <v>26951</v>
      </c>
      <c r="C10675" t="s">
        <v>26567</v>
      </c>
      <c r="D10675" t="s">
        <v>26566</v>
      </c>
      <c r="E10675" s="2" t="s">
        <v>711</v>
      </c>
      <c r="F10675" t="s">
        <v>26423</v>
      </c>
      <c r="G10675" t="str">
        <f>HYPERLINK("http://www.enewstoday.co.kr/news/articleView.html?idxno=2286534")</f>
        <v>http://www.enewstoday.co.kr/news/articleView.html?idxno=2286534</v>
      </c>
      <c r="H10675">
        <v>0.54700000000000004</v>
      </c>
    </row>
    <row r="10676" spans="1:8" x14ac:dyDescent="0.3">
      <c r="A10676" t="s">
        <v>26420</v>
      </c>
      <c r="B10676" t="s">
        <v>26951</v>
      </c>
      <c r="C10676" t="s">
        <v>26569</v>
      </c>
      <c r="D10676" t="s">
        <v>26568</v>
      </c>
      <c r="E10676" s="2" t="s">
        <v>711</v>
      </c>
      <c r="F10676" t="s">
        <v>26423</v>
      </c>
      <c r="G10676" t="str">
        <f>HYPERLINK("http://www.hansbiz.co.kr/news/articleView.html?idxno=753733")</f>
        <v>http://www.hansbiz.co.kr/news/articleView.html?idxno=753733</v>
      </c>
      <c r="H10676">
        <v>0.73899999999999999</v>
      </c>
    </row>
    <row r="10677" spans="1:8" x14ac:dyDescent="0.3">
      <c r="A10677" t="s">
        <v>26420</v>
      </c>
      <c r="B10677" t="s">
        <v>26951</v>
      </c>
      <c r="C10677" t="s">
        <v>26571</v>
      </c>
      <c r="D10677" t="s">
        <v>26570</v>
      </c>
      <c r="E10677" s="2" t="s">
        <v>711</v>
      </c>
      <c r="F10677" t="s">
        <v>26423</v>
      </c>
      <c r="G10677" t="str">
        <f>HYPERLINK("https://www.m-economynews.com/news/article.html?no=56181")</f>
        <v>https://www.m-economynews.com/news/article.html?no=56181</v>
      </c>
      <c r="H10677">
        <v>0.51500000000000001</v>
      </c>
    </row>
    <row r="10678" spans="1:8" x14ac:dyDescent="0.3">
      <c r="A10678" t="s">
        <v>26420</v>
      </c>
      <c r="B10678" t="s">
        <v>26951</v>
      </c>
      <c r="C10678" t="s">
        <v>26573</v>
      </c>
      <c r="D10678" t="s">
        <v>26572</v>
      </c>
      <c r="E10678" s="2" t="s">
        <v>711</v>
      </c>
      <c r="F10678" t="s">
        <v>26423</v>
      </c>
      <c r="G10678" t="str">
        <f>HYPERLINK("http://www.kyeongin.com/main/view.php?key=20170706010001867")</f>
        <v>http://www.kyeongin.com/main/view.php?key=20170706010001867</v>
      </c>
      <c r="H10678">
        <v>0.55200000000000005</v>
      </c>
    </row>
    <row r="10679" spans="1:8" x14ac:dyDescent="0.3">
      <c r="A10679" t="s">
        <v>26420</v>
      </c>
      <c r="B10679" t="s">
        <v>26951</v>
      </c>
      <c r="C10679" t="s">
        <v>26575</v>
      </c>
      <c r="D10679" t="s">
        <v>26574</v>
      </c>
      <c r="E10679" s="2" t="s">
        <v>711</v>
      </c>
      <c r="F10679" t="s">
        <v>26423</v>
      </c>
      <c r="G10679" t="str">
        <f>HYPERLINK("http://www.econonews.co.kr/news/articleView.html?idxno=390760")</f>
        <v>http://www.econonews.co.kr/news/articleView.html?idxno=390760</v>
      </c>
      <c r="H10679">
        <v>0.84</v>
      </c>
    </row>
    <row r="10680" spans="1:8" x14ac:dyDescent="0.3">
      <c r="A10680" t="s">
        <v>26420</v>
      </c>
      <c r="B10680" t="s">
        <v>26951</v>
      </c>
      <c r="C10680" t="s">
        <v>26577</v>
      </c>
      <c r="D10680" t="s">
        <v>26576</v>
      </c>
      <c r="E10680" s="2" t="s">
        <v>711</v>
      </c>
      <c r="F10680" t="s">
        <v>26423</v>
      </c>
      <c r="G10680" t="str">
        <f>HYPERLINK("http://www.thedailypost.kr/news/articleView.html?idxno=78518")</f>
        <v>http://www.thedailypost.kr/news/articleView.html?idxno=78518</v>
      </c>
      <c r="H10680">
        <v>0.39400000000000002</v>
      </c>
    </row>
    <row r="10681" spans="1:8" x14ac:dyDescent="0.3">
      <c r="A10681" t="s">
        <v>26420</v>
      </c>
      <c r="B10681" t="s">
        <v>26951</v>
      </c>
      <c r="C10681" t="s">
        <v>26579</v>
      </c>
      <c r="D10681" t="s">
        <v>26578</v>
      </c>
      <c r="E10681" s="2" t="s">
        <v>711</v>
      </c>
      <c r="F10681" t="s">
        <v>26423</v>
      </c>
      <c r="G10681" t="str">
        <f>HYPERLINK("http://www.hansbiz.co.kr/news/articleView.html?idxno=753594")</f>
        <v>http://www.hansbiz.co.kr/news/articleView.html?idxno=753594</v>
      </c>
      <c r="H10681">
        <v>0.87</v>
      </c>
    </row>
    <row r="10682" spans="1:8" x14ac:dyDescent="0.3">
      <c r="A10682" t="s">
        <v>26420</v>
      </c>
      <c r="B10682" t="s">
        <v>26951</v>
      </c>
      <c r="C10682" t="s">
        <v>26581</v>
      </c>
      <c r="D10682" t="s">
        <v>26580</v>
      </c>
      <c r="E10682" s="2" t="s">
        <v>711</v>
      </c>
      <c r="F10682" t="s">
        <v>26423</v>
      </c>
      <c r="G10682" t="str">
        <f>HYPERLINK("https://www.incheontoday.com/news/articleView.html?idxno=304235")</f>
        <v>https://www.incheontoday.com/news/articleView.html?idxno=304235</v>
      </c>
      <c r="H10682">
        <v>0.40500000000000003</v>
      </c>
    </row>
    <row r="10683" spans="1:8" x14ac:dyDescent="0.3">
      <c r="A10683" t="s">
        <v>26420</v>
      </c>
      <c r="B10683" t="s">
        <v>26951</v>
      </c>
      <c r="C10683" t="s">
        <v>26584</v>
      </c>
      <c r="D10683" t="s">
        <v>26583</v>
      </c>
      <c r="E10683" s="2" t="s">
        <v>711</v>
      </c>
      <c r="F10683" t="s">
        <v>26582</v>
      </c>
      <c r="G10683" t="str">
        <f>HYPERLINK("https://www.siminilbo.co.kr/news/newsview.php?ncode=1160284814681611")</f>
        <v>https://www.siminilbo.co.kr/news/newsview.php?ncode=1160284814681611</v>
      </c>
      <c r="H10683">
        <v>0.44500000000000001</v>
      </c>
    </row>
    <row r="10684" spans="1:8" x14ac:dyDescent="0.3">
      <c r="A10684" t="s">
        <v>26420</v>
      </c>
      <c r="B10684" t="s">
        <v>26951</v>
      </c>
      <c r="C10684" t="s">
        <v>26586</v>
      </c>
      <c r="D10684" t="s">
        <v>26585</v>
      </c>
      <c r="E10684" s="2" t="s">
        <v>725</v>
      </c>
      <c r="F10684" t="s">
        <v>26423</v>
      </c>
      <c r="G10684" t="str">
        <f>HYPERLINK("http://www.hansbiz.co.kr/news/articleView.html?idxno=753578")</f>
        <v>http://www.hansbiz.co.kr/news/articleView.html?idxno=753578</v>
      </c>
      <c r="H10684">
        <v>0.76900000000000002</v>
      </c>
    </row>
    <row r="10685" spans="1:8" x14ac:dyDescent="0.3">
      <c r="A10685" t="s">
        <v>26420</v>
      </c>
      <c r="B10685" t="s">
        <v>26951</v>
      </c>
      <c r="C10685" t="s">
        <v>26588</v>
      </c>
      <c r="D10685" t="s">
        <v>26587</v>
      </c>
      <c r="E10685" s="2" t="s">
        <v>725</v>
      </c>
      <c r="F10685" t="s">
        <v>26423</v>
      </c>
      <c r="G10685" t="str">
        <f>HYPERLINK("http://www.econonews.co.kr/news/articleView.html?idxno=390649")</f>
        <v>http://www.econonews.co.kr/news/articleView.html?idxno=390649</v>
      </c>
      <c r="H10685">
        <v>0.78600000000000003</v>
      </c>
    </row>
    <row r="10686" spans="1:8" x14ac:dyDescent="0.3">
      <c r="A10686" t="s">
        <v>26420</v>
      </c>
      <c r="B10686" t="s">
        <v>26951</v>
      </c>
      <c r="C10686" t="s">
        <v>26590</v>
      </c>
      <c r="D10686" t="s">
        <v>26589</v>
      </c>
      <c r="E10686" s="2" t="s">
        <v>725</v>
      </c>
      <c r="F10686" t="s">
        <v>26423</v>
      </c>
      <c r="G10686" t="str">
        <f>HYPERLINK("http://www.econonews.co.kr/news/articleView.html?idxno=390650")</f>
        <v>http://www.econonews.co.kr/news/articleView.html?idxno=390650</v>
      </c>
      <c r="H10686">
        <v>0.72799999999999998</v>
      </c>
    </row>
    <row r="10687" spans="1:8" x14ac:dyDescent="0.3">
      <c r="A10687" t="s">
        <v>26420</v>
      </c>
      <c r="B10687" t="s">
        <v>26951</v>
      </c>
      <c r="C10687" t="s">
        <v>26592</v>
      </c>
      <c r="D10687" t="s">
        <v>26591</v>
      </c>
      <c r="E10687" s="2" t="s">
        <v>725</v>
      </c>
      <c r="F10687" t="s">
        <v>26423</v>
      </c>
      <c r="G10687" t="str">
        <f>HYPERLINK("http://www.welfarenews.net/news/articleView.html?idxno=112634")</f>
        <v>http://www.welfarenews.net/news/articleView.html?idxno=112634</v>
      </c>
      <c r="H10687">
        <v>0.39700000000000002</v>
      </c>
    </row>
    <row r="10688" spans="1:8" x14ac:dyDescent="0.3">
      <c r="A10688" t="s">
        <v>26420</v>
      </c>
      <c r="B10688" t="s">
        <v>26951</v>
      </c>
      <c r="C10688" t="s">
        <v>26594</v>
      </c>
      <c r="D10688" t="s">
        <v>26593</v>
      </c>
      <c r="E10688" s="2" t="s">
        <v>725</v>
      </c>
      <c r="F10688" t="s">
        <v>26423</v>
      </c>
      <c r="G10688" t="str">
        <f>HYPERLINK("https://www.kmaeil.com/news/articleView.html?idxno=507844")</f>
        <v>https://www.kmaeil.com/news/articleView.html?idxno=507844</v>
      </c>
      <c r="H10688">
        <v>0.69</v>
      </c>
    </row>
    <row r="10689" spans="1:8" x14ac:dyDescent="0.3">
      <c r="A10689" t="s">
        <v>26420</v>
      </c>
      <c r="B10689" t="s">
        <v>26951</v>
      </c>
      <c r="C10689" t="s">
        <v>26596</v>
      </c>
      <c r="D10689" t="s">
        <v>26595</v>
      </c>
      <c r="E10689" s="2" t="s">
        <v>725</v>
      </c>
      <c r="F10689" t="s">
        <v>26423</v>
      </c>
      <c r="G10689" t="str">
        <f>HYPERLINK("https://www.kmaeil.com/news/articleView.html?idxno=507446")</f>
        <v>https://www.kmaeil.com/news/articleView.html?idxno=507446</v>
      </c>
      <c r="H10689">
        <v>0.85399999999999998</v>
      </c>
    </row>
    <row r="10690" spans="1:8" x14ac:dyDescent="0.3">
      <c r="A10690" t="s">
        <v>26420</v>
      </c>
      <c r="B10690" t="s">
        <v>26951</v>
      </c>
      <c r="C10690" t="s">
        <v>26598</v>
      </c>
      <c r="D10690" t="s">
        <v>26597</v>
      </c>
      <c r="E10690" s="2" t="s">
        <v>725</v>
      </c>
      <c r="F10690" t="s">
        <v>26423</v>
      </c>
      <c r="G10690" t="str">
        <f>HYPERLINK("http://www.econonews.co.kr/news/articleView.html?idxno=390638")</f>
        <v>http://www.econonews.co.kr/news/articleView.html?idxno=390638</v>
      </c>
      <c r="H10690">
        <v>0.86599999999999999</v>
      </c>
    </row>
    <row r="10691" spans="1:8" x14ac:dyDescent="0.3">
      <c r="A10691" t="s">
        <v>26420</v>
      </c>
      <c r="B10691" t="s">
        <v>26951</v>
      </c>
      <c r="C10691" t="s">
        <v>26600</v>
      </c>
      <c r="D10691" t="s">
        <v>26599</v>
      </c>
      <c r="E10691" s="2" t="s">
        <v>725</v>
      </c>
      <c r="F10691" t="s">
        <v>26423</v>
      </c>
      <c r="G10691" t="str">
        <f>HYPERLINK("https://www.newscj.com/news/articleView.html?idxno=3278008")</f>
        <v>https://www.newscj.com/news/articleView.html?idxno=3278008</v>
      </c>
      <c r="H10691">
        <v>0.748</v>
      </c>
    </row>
    <row r="10692" spans="1:8" x14ac:dyDescent="0.3">
      <c r="A10692" t="s">
        <v>26420</v>
      </c>
      <c r="B10692" t="s">
        <v>26951</v>
      </c>
      <c r="C10692" t="s">
        <v>26602</v>
      </c>
      <c r="D10692" t="s">
        <v>26601</v>
      </c>
      <c r="E10692" s="2" t="s">
        <v>725</v>
      </c>
      <c r="F10692" t="s">
        <v>26423</v>
      </c>
      <c r="G10692" t="str">
        <f>HYPERLINK("https://weekly.hankooki.com/news/articleView.html?idxno=7114185")</f>
        <v>https://weekly.hankooki.com/news/articleView.html?idxno=7114185</v>
      </c>
      <c r="H10692">
        <v>0.82399999999999995</v>
      </c>
    </row>
    <row r="10693" spans="1:8" x14ac:dyDescent="0.3">
      <c r="A10693" t="s">
        <v>26420</v>
      </c>
      <c r="B10693" t="s">
        <v>26951</v>
      </c>
      <c r="C10693" t="s">
        <v>26604</v>
      </c>
      <c r="D10693" t="s">
        <v>26603</v>
      </c>
      <c r="E10693" s="2" t="s">
        <v>725</v>
      </c>
      <c r="F10693" t="s">
        <v>26423</v>
      </c>
      <c r="G10693" t="str">
        <f>HYPERLINK("http://www.kihoilbo.co.kr/news/articleView.html?idxno=1146724")</f>
        <v>http://www.kihoilbo.co.kr/news/articleView.html?idxno=1146724</v>
      </c>
      <c r="H10693">
        <v>0.72599999999999998</v>
      </c>
    </row>
    <row r="10694" spans="1:8" x14ac:dyDescent="0.3">
      <c r="A10694" t="s">
        <v>26420</v>
      </c>
      <c r="B10694" t="s">
        <v>26951</v>
      </c>
      <c r="C10694" t="s">
        <v>26606</v>
      </c>
      <c r="D10694" t="s">
        <v>26605</v>
      </c>
      <c r="E10694" s="2" t="s">
        <v>725</v>
      </c>
      <c r="F10694" t="s">
        <v>26423</v>
      </c>
      <c r="G10694" t="str">
        <f>HYPERLINK("https://n.news.naver.com/mnews/article/030/0003318987?sid=102")</f>
        <v>https://n.news.naver.com/mnews/article/030/0003318987?sid=102</v>
      </c>
      <c r="H10694">
        <v>0.13900000000000001</v>
      </c>
    </row>
    <row r="10695" spans="1:8" x14ac:dyDescent="0.3">
      <c r="A10695" t="s">
        <v>26420</v>
      </c>
      <c r="B10695" t="s">
        <v>26951</v>
      </c>
      <c r="C10695" t="s">
        <v>26608</v>
      </c>
      <c r="D10695" t="s">
        <v>26607</v>
      </c>
      <c r="E10695" s="2" t="s">
        <v>725</v>
      </c>
      <c r="F10695" t="s">
        <v>26423</v>
      </c>
      <c r="G10695" t="str">
        <f>HYPERLINK("https://www.cctoday.co.kr/news/articleView.html?idxno=2205665")</f>
        <v>https://www.cctoday.co.kr/news/articleView.html?idxno=2205665</v>
      </c>
      <c r="H10695">
        <v>0.57499999999999996</v>
      </c>
    </row>
    <row r="10696" spans="1:8" x14ac:dyDescent="0.3">
      <c r="A10696" t="s">
        <v>26420</v>
      </c>
      <c r="B10696" t="s">
        <v>26951</v>
      </c>
      <c r="C10696" t="s">
        <v>26610</v>
      </c>
      <c r="D10696" t="s">
        <v>26609</v>
      </c>
      <c r="E10696" s="2" t="s">
        <v>725</v>
      </c>
      <c r="F10696" t="s">
        <v>26423</v>
      </c>
      <c r="G10696" t="str">
        <f>HYPERLINK("https://www.inews365.com/news/article.html?no=869530")</f>
        <v>https://www.inews365.com/news/article.html?no=869530</v>
      </c>
      <c r="H10696">
        <v>0.46600000000000003</v>
      </c>
    </row>
    <row r="10697" spans="1:8" x14ac:dyDescent="0.3">
      <c r="A10697" t="s">
        <v>26420</v>
      </c>
      <c r="B10697" t="s">
        <v>26951</v>
      </c>
      <c r="C10697" t="s">
        <v>26612</v>
      </c>
      <c r="D10697" t="s">
        <v>26611</v>
      </c>
      <c r="E10697" s="2" t="s">
        <v>742</v>
      </c>
      <c r="F10697" t="s">
        <v>26420</v>
      </c>
      <c r="G10697" t="str">
        <f>HYPERLINK("http://www.headlinejeju.co.kr/news/articleView.html?idxno=570733")</f>
        <v>http://www.headlinejeju.co.kr/news/articleView.html?idxno=570733</v>
      </c>
      <c r="H10697">
        <v>0.95699999999999996</v>
      </c>
    </row>
    <row r="10698" spans="1:8" x14ac:dyDescent="0.3">
      <c r="A10698" t="s">
        <v>26420</v>
      </c>
      <c r="B10698" t="s">
        <v>26951</v>
      </c>
      <c r="C10698" t="s">
        <v>26614</v>
      </c>
      <c r="D10698" t="s">
        <v>26613</v>
      </c>
      <c r="E10698" s="2" t="s">
        <v>742</v>
      </c>
      <c r="F10698" t="s">
        <v>26420</v>
      </c>
      <c r="G10698" t="str">
        <f>HYPERLINK("http://www.namdonews.com/news/articleView.html?idxno=609537")</f>
        <v>http://www.namdonews.com/news/articleView.html?idxno=609537</v>
      </c>
      <c r="H10698">
        <v>0.51900000000000002</v>
      </c>
    </row>
    <row r="10699" spans="1:8" x14ac:dyDescent="0.3">
      <c r="A10699" t="s">
        <v>26420</v>
      </c>
      <c r="B10699" t="s">
        <v>26951</v>
      </c>
      <c r="C10699" t="s">
        <v>26616</v>
      </c>
      <c r="D10699" t="s">
        <v>26615</v>
      </c>
      <c r="E10699" s="2" t="s">
        <v>860</v>
      </c>
      <c r="F10699" t="s">
        <v>26420</v>
      </c>
      <c r="G10699" t="str">
        <f>HYPERLINK("http://www.kado.net/news/articleView.html?idxno=1104238")</f>
        <v>http://www.kado.net/news/articleView.html?idxno=1104238</v>
      </c>
      <c r="H10699">
        <v>0.56799999999999995</v>
      </c>
    </row>
    <row r="10700" spans="1:8" x14ac:dyDescent="0.3">
      <c r="A10700" t="s">
        <v>26617</v>
      </c>
      <c r="B10700" t="s">
        <v>26951</v>
      </c>
      <c r="C10700" t="s">
        <v>26619</v>
      </c>
      <c r="D10700" t="s">
        <v>26618</v>
      </c>
      <c r="E10700" s="2" t="s">
        <v>172</v>
      </c>
      <c r="F10700" t="s">
        <v>26617</v>
      </c>
      <c r="G10700" t="str">
        <f>HYPERLINK("https://www.mediajeju.com/news/articleView.html?idxno=358895")</f>
        <v>https://www.mediajeju.com/news/articleView.html?idxno=358895</v>
      </c>
      <c r="H10700">
        <v>0.83499999999999996</v>
      </c>
    </row>
    <row r="10701" spans="1:8" x14ac:dyDescent="0.3">
      <c r="A10701" t="s">
        <v>26617</v>
      </c>
      <c r="B10701" t="s">
        <v>26951</v>
      </c>
      <c r="C10701" t="s">
        <v>26621</v>
      </c>
      <c r="D10701" t="s">
        <v>26620</v>
      </c>
      <c r="E10701" s="2" t="s">
        <v>196</v>
      </c>
      <c r="F10701" t="s">
        <v>26617</v>
      </c>
      <c r="G10701" t="str">
        <f>HYPERLINK("http://www.jemin.com/news/articleView.html?idxno=775651")</f>
        <v>http://www.jemin.com/news/articleView.html?idxno=775651</v>
      </c>
      <c r="H10701">
        <v>0.42499999999999999</v>
      </c>
    </row>
    <row r="10702" spans="1:8" x14ac:dyDescent="0.3">
      <c r="A10702" t="s">
        <v>26617</v>
      </c>
      <c r="B10702" t="s">
        <v>26951</v>
      </c>
      <c r="C10702" t="s">
        <v>26623</v>
      </c>
      <c r="D10702" t="s">
        <v>26622</v>
      </c>
      <c r="E10702" s="2" t="s">
        <v>196</v>
      </c>
      <c r="F10702" t="s">
        <v>26617</v>
      </c>
      <c r="G10702" t="str">
        <f>HYPERLINK("https://www.ggilbo.com/news/articleView.html?idxno=1097160")</f>
        <v>https://www.ggilbo.com/news/articleView.html?idxno=1097160</v>
      </c>
      <c r="H10702">
        <v>0.46100000000000002</v>
      </c>
    </row>
    <row r="10703" spans="1:8" x14ac:dyDescent="0.3">
      <c r="A10703" t="s">
        <v>26617</v>
      </c>
      <c r="B10703" t="s">
        <v>26951</v>
      </c>
      <c r="C10703" t="s">
        <v>26625</v>
      </c>
      <c r="D10703" t="s">
        <v>26624</v>
      </c>
      <c r="E10703" s="2" t="s">
        <v>196</v>
      </c>
      <c r="F10703" t="s">
        <v>26617</v>
      </c>
      <c r="G10703" t="str">
        <f>HYPERLINK("http://www.ggilbo.com/news/articleView.html?idxno=907388")</f>
        <v>http://www.ggilbo.com/news/articleView.html?idxno=907388</v>
      </c>
      <c r="H10703">
        <v>0.40200000000000002</v>
      </c>
    </row>
    <row r="10704" spans="1:8" x14ac:dyDescent="0.3">
      <c r="A10704" t="s">
        <v>26617</v>
      </c>
      <c r="B10704" t="s">
        <v>26951</v>
      </c>
      <c r="C10704" t="s">
        <v>26627</v>
      </c>
      <c r="D10704" t="s">
        <v>26626</v>
      </c>
      <c r="E10704" s="2" t="s">
        <v>230</v>
      </c>
      <c r="F10704" t="s">
        <v>26617</v>
      </c>
      <c r="G10704" t="str">
        <f>HYPERLINK("https://jejumbc.com/article/QEoH6jUjkpAP5Sv2295")</f>
        <v>https://jejumbc.com/article/QEoH6jUjkpAP5Sv2295</v>
      </c>
      <c r="H10704">
        <v>0.39400000000000002</v>
      </c>
    </row>
    <row r="10705" spans="1:8" x14ac:dyDescent="0.3">
      <c r="A10705" t="s">
        <v>26617</v>
      </c>
      <c r="B10705" t="s">
        <v>26951</v>
      </c>
      <c r="C10705" t="s">
        <v>26629</v>
      </c>
      <c r="D10705" t="s">
        <v>26628</v>
      </c>
      <c r="E10705" s="2" t="s">
        <v>356</v>
      </c>
      <c r="F10705" t="s">
        <v>2046</v>
      </c>
      <c r="G10705" t="str">
        <f>HYPERLINK("http://www.samdailbo.com/news/articleView.html?idxno=248492")</f>
        <v>http://www.samdailbo.com/news/articleView.html?idxno=248492</v>
      </c>
      <c r="H10705">
        <v>0.48899999999999999</v>
      </c>
    </row>
    <row r="10706" spans="1:8" x14ac:dyDescent="0.3">
      <c r="A10706" t="s">
        <v>26617</v>
      </c>
      <c r="B10706" t="s">
        <v>26951</v>
      </c>
      <c r="C10706" t="s">
        <v>26631</v>
      </c>
      <c r="D10706" t="s">
        <v>26630</v>
      </c>
      <c r="E10706" s="2" t="s">
        <v>452</v>
      </c>
      <c r="F10706" t="s">
        <v>26617</v>
      </c>
      <c r="G10706" t="str">
        <f>HYPERLINK("https://n.news.naver.com/mnews/article/079/0004035288?sid=102")</f>
        <v>https://n.news.naver.com/mnews/article/079/0004035288?sid=102</v>
      </c>
      <c r="H10706">
        <v>0.25800000000000001</v>
      </c>
    </row>
    <row r="10707" spans="1:8" x14ac:dyDescent="0.3">
      <c r="A10707" t="s">
        <v>26617</v>
      </c>
      <c r="B10707" t="s">
        <v>26951</v>
      </c>
      <c r="C10707" t="s">
        <v>26633</v>
      </c>
      <c r="D10707" t="s">
        <v>26632</v>
      </c>
      <c r="E10707" s="2" t="s">
        <v>538</v>
      </c>
      <c r="F10707" t="s">
        <v>26617</v>
      </c>
      <c r="G10707" t="str">
        <f>HYPERLINK("http://www.kihoilbo.co.kr/news/articleView.html?idxno=878268")</f>
        <v>http://www.kihoilbo.co.kr/news/articleView.html?idxno=878268</v>
      </c>
      <c r="H10707">
        <v>0.41</v>
      </c>
    </row>
    <row r="10708" spans="1:8" x14ac:dyDescent="0.3">
      <c r="A10708" t="s">
        <v>26617</v>
      </c>
      <c r="B10708" t="s">
        <v>26951</v>
      </c>
      <c r="C10708" t="s">
        <v>26636</v>
      </c>
      <c r="D10708" t="s">
        <v>26635</v>
      </c>
      <c r="E10708" s="2" t="s">
        <v>609</v>
      </c>
      <c r="F10708" t="s">
        <v>26634</v>
      </c>
      <c r="G10708" t="str">
        <f>HYPERLINK("http://www.jejudomin.co.kr/news/articleView.html?idxno=57103")</f>
        <v>http://www.jejudomin.co.kr/news/articleView.html?idxno=57103</v>
      </c>
      <c r="H10708">
        <v>0.20799999999999999</v>
      </c>
    </row>
    <row r="10709" spans="1:8" x14ac:dyDescent="0.3">
      <c r="A10709" t="s">
        <v>26617</v>
      </c>
      <c r="B10709" t="s">
        <v>26951</v>
      </c>
      <c r="C10709" t="s">
        <v>26638</v>
      </c>
      <c r="D10709" t="s">
        <v>26637</v>
      </c>
      <c r="E10709" s="2" t="s">
        <v>609</v>
      </c>
      <c r="F10709" t="s">
        <v>26617</v>
      </c>
      <c r="G10709" t="str">
        <f>HYPERLINK("http://www.joongboo.com/news/articleView.html?idxno=1323402")</f>
        <v>http://www.joongboo.com/news/articleView.html?idxno=1323402</v>
      </c>
      <c r="H10709">
        <v>0.114</v>
      </c>
    </row>
    <row r="10710" spans="1:8" x14ac:dyDescent="0.3">
      <c r="A10710" t="s">
        <v>26617</v>
      </c>
      <c r="B10710" t="s">
        <v>26951</v>
      </c>
      <c r="C10710" t="s">
        <v>26640</v>
      </c>
      <c r="D10710" t="s">
        <v>26639</v>
      </c>
      <c r="E10710" s="2" t="s">
        <v>653</v>
      </c>
      <c r="F10710" t="s">
        <v>26617</v>
      </c>
      <c r="G10710" t="str">
        <f>HYPERLINK("http://www.domin.co.kr/news/articleView.html?idxno=1517625")</f>
        <v>http://www.domin.co.kr/news/articleView.html?idxno=1517625</v>
      </c>
      <c r="H10710">
        <v>0.41099999999999998</v>
      </c>
    </row>
    <row r="10711" spans="1:8" x14ac:dyDescent="0.3">
      <c r="A10711" t="s">
        <v>26617</v>
      </c>
      <c r="B10711" t="s">
        <v>26951</v>
      </c>
      <c r="C10711" t="s">
        <v>26643</v>
      </c>
      <c r="D10711" t="s">
        <v>26642</v>
      </c>
      <c r="E10711" s="2" t="s">
        <v>742</v>
      </c>
      <c r="F10711" t="s">
        <v>26641</v>
      </c>
      <c r="G10711" t="str">
        <f>HYPERLINK("https://n.news.naver.com/mnews/article/002/0002010625?sid=004")</f>
        <v>https://n.news.naver.com/mnews/article/002/0002010625?sid=004</v>
      </c>
      <c r="H10711">
        <v>0.65100000000000002</v>
      </c>
    </row>
    <row r="10712" spans="1:8" x14ac:dyDescent="0.3">
      <c r="A10712" t="s">
        <v>26617</v>
      </c>
      <c r="B10712" t="s">
        <v>26951</v>
      </c>
      <c r="C10712" t="s">
        <v>26645</v>
      </c>
      <c r="D10712" t="s">
        <v>26644</v>
      </c>
      <c r="E10712" s="2" t="s">
        <v>799</v>
      </c>
      <c r="F10712" t="s">
        <v>26617</v>
      </c>
      <c r="G10712" t="str">
        <f>HYPERLINK("https://www.mediajeju.com/news/articleView.html?idxno=358634")</f>
        <v>https://www.mediajeju.com/news/articleView.html?idxno=358634</v>
      </c>
      <c r="H10712">
        <v>0.64100000000000001</v>
      </c>
    </row>
    <row r="10713" spans="1:8" x14ac:dyDescent="0.3">
      <c r="A10713" t="s">
        <v>26617</v>
      </c>
      <c r="B10713" t="s">
        <v>26951</v>
      </c>
      <c r="C10713" t="s">
        <v>26647</v>
      </c>
      <c r="D10713" t="s">
        <v>26646</v>
      </c>
      <c r="E10713" s="2" t="s">
        <v>840</v>
      </c>
      <c r="F10713" t="s">
        <v>26617</v>
      </c>
      <c r="G10713" t="str">
        <f>HYPERLINK("https://www.jemin.com/news/articleView.html?idxno=808569")</f>
        <v>https://www.jemin.com/news/articleView.html?idxno=808569</v>
      </c>
      <c r="H10713">
        <v>0.71099999999999997</v>
      </c>
    </row>
    <row r="10714" spans="1:8" x14ac:dyDescent="0.3">
      <c r="A10714" t="s">
        <v>26617</v>
      </c>
      <c r="B10714" t="s">
        <v>26951</v>
      </c>
      <c r="C10714" t="s">
        <v>26649</v>
      </c>
      <c r="D10714" t="s">
        <v>26648</v>
      </c>
      <c r="E10714" s="2" t="s">
        <v>840</v>
      </c>
      <c r="F10714" t="s">
        <v>26617</v>
      </c>
      <c r="G10714" t="str">
        <f>HYPERLINK("https://n.news.naver.com/mnews/article/081/0003546141?sid=102")</f>
        <v>https://n.news.naver.com/mnews/article/081/0003546141?sid=102</v>
      </c>
      <c r="H10714">
        <v>0.20899999999999999</v>
      </c>
    </row>
    <row r="10715" spans="1:8" x14ac:dyDescent="0.3">
      <c r="A10715" t="s">
        <v>26650</v>
      </c>
      <c r="B10715" t="s">
        <v>26951</v>
      </c>
      <c r="C10715" t="s">
        <v>26652</v>
      </c>
      <c r="D10715" t="s">
        <v>26651</v>
      </c>
      <c r="E10715" s="2" t="s">
        <v>280</v>
      </c>
      <c r="F10715" t="s">
        <v>8945</v>
      </c>
      <c r="G10715" t="str">
        <f>HYPERLINK("https://news.einfomax.co.kr/news/articleView.html?idxno=4363227")</f>
        <v>https://news.einfomax.co.kr/news/articleView.html?idxno=4363227</v>
      </c>
      <c r="H10715">
        <v>0.218</v>
      </c>
    </row>
    <row r="10716" spans="1:8" x14ac:dyDescent="0.3">
      <c r="A10716" t="s">
        <v>26650</v>
      </c>
      <c r="B10716" t="s">
        <v>26951</v>
      </c>
      <c r="C10716" t="s">
        <v>26655</v>
      </c>
      <c r="D10716" t="s">
        <v>26654</v>
      </c>
      <c r="E10716" s="2" t="s">
        <v>394</v>
      </c>
      <c r="F10716" t="s">
        <v>26653</v>
      </c>
      <c r="G10716" t="str">
        <f>HYPERLINK("https://www.ulsanpress.net/news/articleView.html?idxno=553157")</f>
        <v>https://www.ulsanpress.net/news/articleView.html?idxno=553157</v>
      </c>
      <c r="H10716">
        <v>0.98899999999999999</v>
      </c>
    </row>
    <row r="10717" spans="1:8" x14ac:dyDescent="0.3">
      <c r="A10717" t="s">
        <v>26650</v>
      </c>
      <c r="B10717" t="s">
        <v>26951</v>
      </c>
      <c r="C10717" t="s">
        <v>26657</v>
      </c>
      <c r="D10717" t="s">
        <v>26656</v>
      </c>
      <c r="E10717" s="2" t="s">
        <v>394</v>
      </c>
      <c r="F10717" t="s">
        <v>24535</v>
      </c>
      <c r="G10717" t="str">
        <f>HYPERLINK("https://n.news.naver.com/mnews/article/662/0000067066?sid=102")</f>
        <v>https://n.news.naver.com/mnews/article/662/0000067066?sid=102</v>
      </c>
      <c r="H10717">
        <v>0.17299999999999999</v>
      </c>
    </row>
    <row r="10718" spans="1:8" x14ac:dyDescent="0.3">
      <c r="A10718" t="s">
        <v>26658</v>
      </c>
      <c r="B10718" t="s">
        <v>26951</v>
      </c>
      <c r="C10718" t="s">
        <v>26660</v>
      </c>
      <c r="D10718" t="s">
        <v>26659</v>
      </c>
      <c r="E10718" s="2" t="s">
        <v>313</v>
      </c>
      <c r="F10718" t="s">
        <v>15444</v>
      </c>
      <c r="G10718" t="str">
        <f>HYPERLINK("http://ch.yes24.com/Article/View/52510")</f>
        <v>http://ch.yes24.com/Article/View/52510</v>
      </c>
      <c r="H10718">
        <v>0.61099999999999999</v>
      </c>
    </row>
    <row r="10719" spans="1:8" x14ac:dyDescent="0.3">
      <c r="A10719" t="s">
        <v>26658</v>
      </c>
      <c r="B10719" t="s">
        <v>26951</v>
      </c>
      <c r="C10719" t="s">
        <v>26663</v>
      </c>
      <c r="D10719" t="s">
        <v>26662</v>
      </c>
      <c r="E10719" s="2" t="s">
        <v>502</v>
      </c>
      <c r="F10719" t="s">
        <v>26661</v>
      </c>
      <c r="G10719" t="str">
        <f>HYPERLINK("http://www.headlinejeju.co.kr/news/articleView.html?idxno=482643")</f>
        <v>http://www.headlinejeju.co.kr/news/articleView.html?idxno=482643</v>
      </c>
      <c r="H10719">
        <v>0.23200000000000001</v>
      </c>
    </row>
    <row r="10720" spans="1:8" x14ac:dyDescent="0.3">
      <c r="A10720" t="s">
        <v>26658</v>
      </c>
      <c r="B10720" t="s">
        <v>26951</v>
      </c>
      <c r="C10720" t="s">
        <v>26666</v>
      </c>
      <c r="D10720" t="s">
        <v>26665</v>
      </c>
      <c r="E10720" s="2" t="s">
        <v>692</v>
      </c>
      <c r="F10720" t="s">
        <v>26664</v>
      </c>
      <c r="G10720" t="str">
        <f>HYPERLINK("http://www.econotalking.kr/news/articleView.html?idxno=128117")</f>
        <v>http://www.econotalking.kr/news/articleView.html?idxno=128117</v>
      </c>
      <c r="H10720">
        <v>0.23300000000000001</v>
      </c>
    </row>
    <row r="10721" spans="1:8" x14ac:dyDescent="0.3">
      <c r="A10721" t="s">
        <v>26667</v>
      </c>
      <c r="B10721" t="s">
        <v>26951</v>
      </c>
      <c r="C10721" t="s">
        <v>26670</v>
      </c>
      <c r="D10721" t="s">
        <v>26669</v>
      </c>
      <c r="E10721" s="2" t="s">
        <v>356</v>
      </c>
      <c r="F10721" t="s">
        <v>26668</v>
      </c>
      <c r="G10721" t="str">
        <f>HYPERLINK("https://www.pinpointnews.co.kr/news/articleView.html?idxno=342031")</f>
        <v>https://www.pinpointnews.co.kr/news/articleView.html?idxno=342031</v>
      </c>
      <c r="H10721">
        <v>0.56299999999999994</v>
      </c>
    </row>
    <row r="10722" spans="1:8" x14ac:dyDescent="0.3">
      <c r="A10722" t="s">
        <v>26671</v>
      </c>
      <c r="B10722" t="s">
        <v>26951</v>
      </c>
      <c r="C10722" t="s">
        <v>26674</v>
      </c>
      <c r="D10722" t="s">
        <v>26673</v>
      </c>
      <c r="E10722" s="2" t="s">
        <v>572</v>
      </c>
      <c r="F10722" t="s">
        <v>26672</v>
      </c>
      <c r="G10722" t="str">
        <f>HYPERLINK("http://www.hidomin.com/news/articleView.html?idxno=560570")</f>
        <v>http://www.hidomin.com/news/articleView.html?idxno=560570</v>
      </c>
      <c r="H10722">
        <v>0.65800000000000003</v>
      </c>
    </row>
    <row r="10723" spans="1:8" x14ac:dyDescent="0.3">
      <c r="A10723" t="s">
        <v>26675</v>
      </c>
      <c r="B10723" t="s">
        <v>26951</v>
      </c>
      <c r="C10723" t="s">
        <v>26677</v>
      </c>
      <c r="D10723" t="s">
        <v>26676</v>
      </c>
      <c r="E10723" s="2" t="s">
        <v>481</v>
      </c>
      <c r="F10723" t="s">
        <v>26172</v>
      </c>
      <c r="G10723" t="str">
        <f>HYPERLINK("http://www.jeollailbo.com/news/articleView.html?idxno=767902")</f>
        <v>http://www.jeollailbo.com/news/articleView.html?idxno=767902</v>
      </c>
      <c r="H10723">
        <v>0.92200000000000004</v>
      </c>
    </row>
    <row r="10724" spans="1:8" x14ac:dyDescent="0.3">
      <c r="A10724" t="s">
        <v>26675</v>
      </c>
      <c r="B10724" t="s">
        <v>26951</v>
      </c>
      <c r="C10724" t="s">
        <v>26679</v>
      </c>
      <c r="D10724" t="s">
        <v>26678</v>
      </c>
      <c r="E10724" s="2" t="s">
        <v>517</v>
      </c>
      <c r="F10724" t="s">
        <v>23922</v>
      </c>
      <c r="G10724" t="str">
        <f>HYPERLINK("https://www.nspna.com/news/?mode=view&amp;newsid=759140")</f>
        <v>https://www.nspna.com/news/?mode=view&amp;newsid=759140</v>
      </c>
      <c r="H10724">
        <v>0.70199999999999996</v>
      </c>
    </row>
    <row r="10725" spans="1:8" x14ac:dyDescent="0.3">
      <c r="A10725" t="s">
        <v>26680</v>
      </c>
      <c r="B10725" t="s">
        <v>26951</v>
      </c>
      <c r="C10725" t="s">
        <v>26683</v>
      </c>
      <c r="D10725" t="s">
        <v>26682</v>
      </c>
      <c r="E10725" s="2" t="s">
        <v>74</v>
      </c>
      <c r="F10725" t="s">
        <v>26681</v>
      </c>
      <c r="G10725" t="str">
        <f>HYPERLINK("https://n.news.naver.com/mnews/article/032/0002878799?sid=103")</f>
        <v>https://n.news.naver.com/mnews/article/032/0002878799?sid=103</v>
      </c>
      <c r="H10725">
        <v>0.28100000000000003</v>
      </c>
    </row>
    <row r="10726" spans="1:8" x14ac:dyDescent="0.3">
      <c r="A10726" t="s">
        <v>26680</v>
      </c>
      <c r="B10726" t="s">
        <v>26951</v>
      </c>
      <c r="C10726" t="s">
        <v>26685</v>
      </c>
      <c r="D10726" t="s">
        <v>26684</v>
      </c>
      <c r="E10726" s="2" t="s">
        <v>74</v>
      </c>
      <c r="F10726" t="s">
        <v>26681</v>
      </c>
      <c r="G10726" t="str">
        <f>HYPERLINK("https://www.asiatoday.co.kr/view.php?key=20250627001556301")</f>
        <v>https://www.asiatoday.co.kr/view.php?key=20250627001556301</v>
      </c>
      <c r="H10726">
        <v>0.32900000000000001</v>
      </c>
    </row>
    <row r="10727" spans="1:8" x14ac:dyDescent="0.3">
      <c r="A10727" t="s">
        <v>26680</v>
      </c>
      <c r="B10727" t="s">
        <v>26951</v>
      </c>
      <c r="C10727" t="s">
        <v>26688</v>
      </c>
      <c r="D10727" t="s">
        <v>26687</v>
      </c>
      <c r="E10727" s="2" t="s">
        <v>517</v>
      </c>
      <c r="F10727" t="s">
        <v>26686</v>
      </c>
      <c r="G10727" t="str">
        <f>HYPERLINK("http://www.gndomin.com/news/articleView.html?idxno=434696")</f>
        <v>http://www.gndomin.com/news/articleView.html?idxno=434696</v>
      </c>
      <c r="H10727">
        <v>0.375</v>
      </c>
    </row>
    <row r="10728" spans="1:8" x14ac:dyDescent="0.3">
      <c r="A10728" t="s">
        <v>26680</v>
      </c>
      <c r="B10728" t="s">
        <v>26951</v>
      </c>
      <c r="C10728" t="s">
        <v>26691</v>
      </c>
      <c r="D10728" t="s">
        <v>26690</v>
      </c>
      <c r="E10728" s="2" t="s">
        <v>711</v>
      </c>
      <c r="F10728" t="s">
        <v>26689</v>
      </c>
      <c r="G10728" t="str">
        <f>HYPERLINK("http://www.jejunews.com/news/articleView.html?idxno=2209965")</f>
        <v>http://www.jejunews.com/news/articleView.html?idxno=2209965</v>
      </c>
      <c r="H10728">
        <v>0.70099999999999996</v>
      </c>
    </row>
    <row r="10729" spans="1:8" x14ac:dyDescent="0.3">
      <c r="A10729" t="s">
        <v>26692</v>
      </c>
      <c r="B10729" t="s">
        <v>26951</v>
      </c>
      <c r="C10729" t="s">
        <v>26694</v>
      </c>
      <c r="D10729" t="s">
        <v>26693</v>
      </c>
      <c r="E10729" s="2" t="s">
        <v>7</v>
      </c>
      <c r="F10729" t="s">
        <v>8048</v>
      </c>
      <c r="G10729" t="str">
        <f>HYPERLINK("https://www.kukinews.com/article/view/kuk202506260199")</f>
        <v>https://www.kukinews.com/article/view/kuk202506260199</v>
      </c>
      <c r="H10729">
        <v>0.27800000000000002</v>
      </c>
    </row>
    <row r="10730" spans="1:8" x14ac:dyDescent="0.3">
      <c r="A10730" t="s">
        <v>26692</v>
      </c>
      <c r="B10730" t="s">
        <v>26951</v>
      </c>
      <c r="C10730" t="s">
        <v>26697</v>
      </c>
      <c r="D10730" t="s">
        <v>26696</v>
      </c>
      <c r="E10730" s="2" t="s">
        <v>105</v>
      </c>
      <c r="F10730" t="s">
        <v>26695</v>
      </c>
      <c r="G10730" t="str">
        <f>HYPERLINK("https://www.kukinews.com/article/view/kuk202506260164")</f>
        <v>https://www.kukinews.com/article/view/kuk202506260164</v>
      </c>
      <c r="H10730">
        <v>0.26600000000000001</v>
      </c>
    </row>
    <row r="10731" spans="1:8" x14ac:dyDescent="0.3">
      <c r="A10731" t="s">
        <v>26692</v>
      </c>
      <c r="B10731" t="s">
        <v>26951</v>
      </c>
      <c r="C10731" t="s">
        <v>26699</v>
      </c>
      <c r="D10731" t="s">
        <v>26698</v>
      </c>
      <c r="E10731" s="2" t="s">
        <v>133</v>
      </c>
      <c r="F10731" t="s">
        <v>3970</v>
      </c>
      <c r="G10731" t="str">
        <f>HYPERLINK("https://n.news.naver.com/mnews/article/081/0003552691?sid=102")</f>
        <v>https://n.news.naver.com/mnews/article/081/0003552691?sid=102</v>
      </c>
      <c r="H10731">
        <v>0.22700000000000001</v>
      </c>
    </row>
    <row r="10732" spans="1:8" x14ac:dyDescent="0.3">
      <c r="A10732" t="s">
        <v>26692</v>
      </c>
      <c r="B10732" t="s">
        <v>26951</v>
      </c>
      <c r="C10732" t="s">
        <v>26701</v>
      </c>
      <c r="D10732" t="s">
        <v>26700</v>
      </c>
      <c r="E10732" s="2" t="s">
        <v>133</v>
      </c>
      <c r="F10732" t="s">
        <v>26695</v>
      </c>
      <c r="G10732" t="str">
        <f>HYPERLINK("https://n.news.naver.com/mnews/article/081/0003552691?sid=102")</f>
        <v>https://n.news.naver.com/mnews/article/081/0003552691?sid=102</v>
      </c>
      <c r="H10732">
        <v>0.217</v>
      </c>
    </row>
    <row r="10733" spans="1:8" x14ac:dyDescent="0.3">
      <c r="A10733" t="s">
        <v>26692</v>
      </c>
      <c r="B10733" t="s">
        <v>26951</v>
      </c>
      <c r="C10733" t="s">
        <v>26703</v>
      </c>
      <c r="D10733" t="s">
        <v>26702</v>
      </c>
      <c r="E10733" s="2" t="s">
        <v>133</v>
      </c>
      <c r="F10733" t="s">
        <v>978</v>
      </c>
      <c r="G10733" t="str">
        <f>HYPERLINK("https://www.joongangenews.com/news/articleView.html?idxno=429188")</f>
        <v>https://www.joongangenews.com/news/articleView.html?idxno=429188</v>
      </c>
      <c r="H10733">
        <v>0.877</v>
      </c>
    </row>
    <row r="10734" spans="1:8" x14ac:dyDescent="0.3">
      <c r="A10734" t="s">
        <v>26692</v>
      </c>
      <c r="B10734" t="s">
        <v>26951</v>
      </c>
      <c r="C10734" t="s">
        <v>26706</v>
      </c>
      <c r="D10734" t="s">
        <v>26705</v>
      </c>
      <c r="E10734" s="2" t="s">
        <v>172</v>
      </c>
      <c r="F10734" t="s">
        <v>26704</v>
      </c>
      <c r="G10734" t="str">
        <f>HYPERLINK("http://www.kukinews.com/news/article.html?no=434660")</f>
        <v>http://www.kukinews.com/news/article.html?no=434660</v>
      </c>
      <c r="H10734">
        <v>0.40600000000000003</v>
      </c>
    </row>
    <row r="10735" spans="1:8" x14ac:dyDescent="0.3">
      <c r="A10735" t="s">
        <v>26692</v>
      </c>
      <c r="B10735" t="s">
        <v>26951</v>
      </c>
      <c r="C10735" t="s">
        <v>24570</v>
      </c>
      <c r="D10735" t="s">
        <v>24569</v>
      </c>
      <c r="E10735" s="2" t="s">
        <v>196</v>
      </c>
      <c r="F10735" t="s">
        <v>14950</v>
      </c>
      <c r="G10735" t="str">
        <f>HYPERLINK("http://www.kukinews.com/newsView/kuk202111020221")</f>
        <v>http://www.kukinews.com/newsView/kuk202111020221</v>
      </c>
      <c r="H10735">
        <v>0.16700000000000001</v>
      </c>
    </row>
    <row r="10736" spans="1:8" x14ac:dyDescent="0.3">
      <c r="A10736" t="s">
        <v>26692</v>
      </c>
      <c r="B10736" t="s">
        <v>26951</v>
      </c>
      <c r="C10736" t="s">
        <v>26708</v>
      </c>
      <c r="D10736" t="s">
        <v>26707</v>
      </c>
      <c r="E10736" s="2" t="s">
        <v>356</v>
      </c>
      <c r="F10736" t="s">
        <v>8339</v>
      </c>
      <c r="G10736" t="str">
        <f>HYPERLINK("https://www.ilyoseoul.co.kr/news/articleView.html?idxno=503232")</f>
        <v>https://www.ilyoseoul.co.kr/news/articleView.html?idxno=503232</v>
      </c>
      <c r="H10736">
        <v>0.64800000000000002</v>
      </c>
    </row>
    <row r="10737" spans="1:8" x14ac:dyDescent="0.3">
      <c r="A10737" t="s">
        <v>26692</v>
      </c>
      <c r="B10737" t="s">
        <v>26951</v>
      </c>
      <c r="C10737" t="s">
        <v>26710</v>
      </c>
      <c r="D10737" t="s">
        <v>26709</v>
      </c>
      <c r="E10737" s="2" t="s">
        <v>356</v>
      </c>
      <c r="F10737" t="s">
        <v>10555</v>
      </c>
      <c r="G10737" t="str">
        <f>HYPERLINK("http://www.breaknews.com/1126451")</f>
        <v>http://www.breaknews.com/1126451</v>
      </c>
      <c r="H10737">
        <v>0.11</v>
      </c>
    </row>
    <row r="10738" spans="1:8" x14ac:dyDescent="0.3">
      <c r="A10738" t="s">
        <v>26692</v>
      </c>
      <c r="B10738" t="s">
        <v>26951</v>
      </c>
      <c r="C10738" t="s">
        <v>26712</v>
      </c>
      <c r="D10738" t="s">
        <v>26711</v>
      </c>
      <c r="E10738" s="2" t="s">
        <v>538</v>
      </c>
      <c r="F10738" t="s">
        <v>487</v>
      </c>
      <c r="G10738" t="str">
        <f>HYPERLINK("https://www.newspim.com/news/view/20250513000722")</f>
        <v>https://www.newspim.com/news/view/20250513000722</v>
      </c>
      <c r="H10738">
        <v>0.47499999999999998</v>
      </c>
    </row>
    <row r="10739" spans="1:8" x14ac:dyDescent="0.3">
      <c r="A10739" t="s">
        <v>26692</v>
      </c>
      <c r="B10739" t="s">
        <v>26951</v>
      </c>
      <c r="C10739" t="s">
        <v>26714</v>
      </c>
      <c r="D10739" t="s">
        <v>26713</v>
      </c>
      <c r="E10739" s="2" t="s">
        <v>653</v>
      </c>
      <c r="F10739" t="s">
        <v>25</v>
      </c>
      <c r="G10739" t="str">
        <f>HYPERLINK("http://www.fntimes.com/html/view.php?ud=202505311553438719dd55077bc2_18")</f>
        <v>http://www.fntimes.com/html/view.php?ud=202505311553438719dd55077bc2_18</v>
      </c>
      <c r="H10739">
        <v>0.17799999999999999</v>
      </c>
    </row>
    <row r="10740" spans="1:8" x14ac:dyDescent="0.3">
      <c r="A10740" t="s">
        <v>26715</v>
      </c>
      <c r="B10740" t="s">
        <v>26951</v>
      </c>
      <c r="C10740" t="s">
        <v>26717</v>
      </c>
      <c r="D10740" t="s">
        <v>26716</v>
      </c>
      <c r="E10740" s="2" t="s">
        <v>860</v>
      </c>
      <c r="F10740" t="s">
        <v>10780</v>
      </c>
      <c r="G10740" t="str">
        <f>HYPERLINK("https://www.ksilbo.co.kr/news/articleView.html?idxno=1026627")</f>
        <v>https://www.ksilbo.co.kr/news/articleView.html?idxno=1026627</v>
      </c>
      <c r="H10740">
        <v>0.88300000000000001</v>
      </c>
    </row>
    <row r="10741" spans="1:8" x14ac:dyDescent="0.3">
      <c r="A10741" t="s">
        <v>26715</v>
      </c>
      <c r="B10741" t="s">
        <v>26951</v>
      </c>
      <c r="C10741" t="s">
        <v>26720</v>
      </c>
      <c r="D10741" t="s">
        <v>26719</v>
      </c>
      <c r="E10741" s="2" t="s">
        <v>860</v>
      </c>
      <c r="F10741" t="s">
        <v>26718</v>
      </c>
      <c r="G10741" t="str">
        <f>HYPERLINK("http://www.dynews.co.kr/news/articleView.html?idxno=327084")</f>
        <v>http://www.dynews.co.kr/news/articleView.html?idxno=327084</v>
      </c>
      <c r="H10741">
        <v>0.60299999999999998</v>
      </c>
    </row>
    <row r="10742" spans="1:8" x14ac:dyDescent="0.3">
      <c r="A10742" t="s">
        <v>26715</v>
      </c>
      <c r="B10742" t="s">
        <v>26951</v>
      </c>
      <c r="C10742" t="s">
        <v>26722</v>
      </c>
      <c r="D10742" t="s">
        <v>26721</v>
      </c>
      <c r="E10742" s="2" t="s">
        <v>742</v>
      </c>
      <c r="F10742" t="s">
        <v>10780</v>
      </c>
      <c r="G10742" t="str">
        <f>HYPERLINK("https://www.todayenergy.kr/news/articleView.html?idxno=283157")</f>
        <v>https://www.todayenergy.kr/news/articleView.html?idxno=283157</v>
      </c>
      <c r="H10742">
        <v>0.77700000000000002</v>
      </c>
    </row>
    <row r="10743" spans="1:8" x14ac:dyDescent="0.3">
      <c r="A10743" t="s">
        <v>26715</v>
      </c>
      <c r="B10743" t="s">
        <v>26951</v>
      </c>
      <c r="C10743" t="s">
        <v>26725</v>
      </c>
      <c r="D10743" t="s">
        <v>26724</v>
      </c>
      <c r="E10743" s="2" t="s">
        <v>799</v>
      </c>
      <c r="F10743" t="s">
        <v>26723</v>
      </c>
      <c r="G10743" t="str">
        <f>HYPERLINK("http://www.agrinet.co.kr/news/articleView.html?idxno=313513")</f>
        <v>http://www.agrinet.co.kr/news/articleView.html?idxno=313513</v>
      </c>
      <c r="H10743">
        <v>0.59899999999999998</v>
      </c>
    </row>
    <row r="10744" spans="1:8" x14ac:dyDescent="0.3">
      <c r="A10744" t="s">
        <v>26715</v>
      </c>
      <c r="B10744" t="s">
        <v>26951</v>
      </c>
      <c r="C10744" t="s">
        <v>26728</v>
      </c>
      <c r="D10744" t="s">
        <v>26727</v>
      </c>
      <c r="E10744" s="2" t="s">
        <v>692</v>
      </c>
      <c r="F10744" t="s">
        <v>26726</v>
      </c>
      <c r="G10744" t="str">
        <f>HYPERLINK("http://www.danbinews.com/news/articleView.html?idxno=28064")</f>
        <v>http://www.danbinews.com/news/articleView.html?idxno=28064</v>
      </c>
      <c r="H10744">
        <v>0.58899999999999997</v>
      </c>
    </row>
    <row r="10745" spans="1:8" x14ac:dyDescent="0.3">
      <c r="A10745" t="s">
        <v>26715</v>
      </c>
      <c r="B10745" t="s">
        <v>26951</v>
      </c>
      <c r="C10745" t="s">
        <v>26730</v>
      </c>
      <c r="D10745" t="s">
        <v>26729</v>
      </c>
      <c r="E10745" s="2" t="s">
        <v>725</v>
      </c>
      <c r="F10745" t="s">
        <v>4133</v>
      </c>
      <c r="G10745" t="str">
        <f>HYPERLINK("https://www.ekn.kr/web/view.php?key=20250605029503649")</f>
        <v>https://www.ekn.kr/web/view.php?key=20250605029503649</v>
      </c>
      <c r="H10745">
        <v>0.84199999999999997</v>
      </c>
    </row>
    <row r="10746" spans="1:8" x14ac:dyDescent="0.3">
      <c r="A10746" t="s">
        <v>26715</v>
      </c>
      <c r="B10746" t="s">
        <v>26951</v>
      </c>
      <c r="C10746" t="s">
        <v>26732</v>
      </c>
      <c r="D10746" t="s">
        <v>26731</v>
      </c>
      <c r="E10746" s="2" t="s">
        <v>653</v>
      </c>
      <c r="F10746" t="s">
        <v>2799</v>
      </c>
      <c r="G10746" t="str">
        <f>HYPERLINK("https://radio.ytn.co.kr/program/?f=2&amp;id=103522&amp;s_mcd=0214&amp;s_hcd=01")</f>
        <v>https://radio.ytn.co.kr/program/?f=2&amp;id=103522&amp;s_mcd=0214&amp;s_hcd=01</v>
      </c>
      <c r="H10746">
        <v>0.35399999999999998</v>
      </c>
    </row>
    <row r="10747" spans="1:8" x14ac:dyDescent="0.3">
      <c r="A10747" t="s">
        <v>26715</v>
      </c>
      <c r="B10747" t="s">
        <v>26951</v>
      </c>
      <c r="C10747" t="s">
        <v>26734</v>
      </c>
      <c r="D10747" t="s">
        <v>26733</v>
      </c>
      <c r="E10747" s="2" t="s">
        <v>653</v>
      </c>
      <c r="F10747" t="s">
        <v>9712</v>
      </c>
      <c r="G10747" t="str">
        <f>HYPERLINK("https://www.pn.or.kr/news/articleView.html?idxno=31554")</f>
        <v>https://www.pn.or.kr/news/articleView.html?idxno=31554</v>
      </c>
      <c r="H10747">
        <v>0.46500000000000002</v>
      </c>
    </row>
    <row r="10748" spans="1:8" x14ac:dyDescent="0.3">
      <c r="A10748" t="s">
        <v>26715</v>
      </c>
      <c r="B10748" t="s">
        <v>26951</v>
      </c>
      <c r="C10748" t="s">
        <v>26737</v>
      </c>
      <c r="D10748" t="s">
        <v>26736</v>
      </c>
      <c r="E10748" s="2" t="s">
        <v>538</v>
      </c>
      <c r="F10748" t="s">
        <v>26735</v>
      </c>
      <c r="G10748" t="str">
        <f>HYPERLINK("http://www.industrynews.co.kr/news/articleView.html?idxno=65619")</f>
        <v>http://www.industrynews.co.kr/news/articleView.html?idxno=65619</v>
      </c>
      <c r="H10748">
        <v>0.65500000000000003</v>
      </c>
    </row>
    <row r="10749" spans="1:8" x14ac:dyDescent="0.3">
      <c r="A10749" t="s">
        <v>26715</v>
      </c>
      <c r="B10749" t="s">
        <v>26951</v>
      </c>
      <c r="C10749" t="s">
        <v>26739</v>
      </c>
      <c r="D10749" t="s">
        <v>26738</v>
      </c>
      <c r="E10749" s="2" t="s">
        <v>481</v>
      </c>
      <c r="F10749" t="s">
        <v>12688</v>
      </c>
      <c r="G10749" t="str">
        <f>HYPERLINK("https://www.laborplus.co.kr/news/articleView.html?idxno=35745")</f>
        <v>https://www.laborplus.co.kr/news/articleView.html?idxno=35745</v>
      </c>
      <c r="H10749">
        <v>0.54</v>
      </c>
    </row>
    <row r="10750" spans="1:8" x14ac:dyDescent="0.3">
      <c r="A10750" t="s">
        <v>26715</v>
      </c>
      <c r="B10750" t="s">
        <v>26951</v>
      </c>
      <c r="C10750" t="s">
        <v>5803</v>
      </c>
      <c r="D10750" t="s">
        <v>5802</v>
      </c>
      <c r="E10750" s="2" t="s">
        <v>502</v>
      </c>
      <c r="F10750" t="s">
        <v>2498</v>
      </c>
      <c r="G10750" t="str">
        <f>HYPERLINK("https://www.eroun.net/news/articleView.html?idxno=56965")</f>
        <v>https://www.eroun.net/news/articleView.html?idxno=56965</v>
      </c>
      <c r="H10750">
        <v>0.91</v>
      </c>
    </row>
    <row r="10751" spans="1:8" x14ac:dyDescent="0.3">
      <c r="A10751" t="s">
        <v>26715</v>
      </c>
      <c r="B10751" t="s">
        <v>26951</v>
      </c>
      <c r="C10751" t="s">
        <v>26742</v>
      </c>
      <c r="D10751" t="s">
        <v>26741</v>
      </c>
      <c r="E10751" s="2" t="s">
        <v>517</v>
      </c>
      <c r="F10751" t="s">
        <v>26740</v>
      </c>
      <c r="G10751" t="str">
        <f>HYPERLINK("http://www.enewstoday.co.kr/news/articleView.html?idxno=2078871")</f>
        <v>http://www.enewstoday.co.kr/news/articleView.html?idxno=2078871</v>
      </c>
      <c r="H10751">
        <v>0.57599999999999996</v>
      </c>
    </row>
    <row r="10752" spans="1:8" x14ac:dyDescent="0.3">
      <c r="A10752" t="s">
        <v>26715</v>
      </c>
      <c r="B10752" t="s">
        <v>26951</v>
      </c>
      <c r="C10752" t="s">
        <v>26744</v>
      </c>
      <c r="D10752" t="s">
        <v>26743</v>
      </c>
      <c r="E10752" s="2" t="s">
        <v>452</v>
      </c>
      <c r="F10752" t="s">
        <v>2799</v>
      </c>
      <c r="G10752" t="str">
        <f>HYPERLINK("https://radio.ytn.co.kr/program/?f=2&amp;id=95010&amp;s_mcd=0452&amp;s_hcd=01")</f>
        <v>https://radio.ytn.co.kr/program/?f=2&amp;id=95010&amp;s_mcd=0452&amp;s_hcd=01</v>
      </c>
      <c r="H10752">
        <v>0.39300000000000002</v>
      </c>
    </row>
    <row r="10753" spans="1:8" x14ac:dyDescent="0.3">
      <c r="A10753" t="s">
        <v>26715</v>
      </c>
      <c r="B10753" t="s">
        <v>26951</v>
      </c>
      <c r="C10753" t="s">
        <v>26747</v>
      </c>
      <c r="D10753" t="s">
        <v>26746</v>
      </c>
      <c r="E10753" s="2" t="s">
        <v>452</v>
      </c>
      <c r="F10753" t="s">
        <v>26745</v>
      </c>
      <c r="G10753" t="str">
        <f>HYPERLINK("https://www.ekn.kr/web/view.php?key=20250622027348731")</f>
        <v>https://www.ekn.kr/web/view.php?key=20250622027348731</v>
      </c>
      <c r="H10753">
        <v>0.45600000000000002</v>
      </c>
    </row>
    <row r="10754" spans="1:8" x14ac:dyDescent="0.3">
      <c r="A10754" t="s">
        <v>26715</v>
      </c>
      <c r="B10754" t="s">
        <v>26951</v>
      </c>
      <c r="C10754" t="s">
        <v>26749</v>
      </c>
      <c r="D10754" t="s">
        <v>26748</v>
      </c>
      <c r="E10754" s="2" t="s">
        <v>452</v>
      </c>
      <c r="F10754" t="s">
        <v>9712</v>
      </c>
      <c r="G10754" t="str">
        <f>HYPERLINK("https://kr.aving.net/news/articleView.html?idxno=1780759")</f>
        <v>https://kr.aving.net/news/articleView.html?idxno=1780759</v>
      </c>
      <c r="H10754">
        <v>0.25800000000000001</v>
      </c>
    </row>
    <row r="10755" spans="1:8" x14ac:dyDescent="0.3">
      <c r="A10755" t="s">
        <v>26715</v>
      </c>
      <c r="B10755" t="s">
        <v>26951</v>
      </c>
      <c r="C10755" t="s">
        <v>26751</v>
      </c>
      <c r="D10755" t="s">
        <v>26750</v>
      </c>
      <c r="E10755" s="2" t="s">
        <v>356</v>
      </c>
      <c r="F10755" t="s">
        <v>3543</v>
      </c>
      <c r="G10755" t="str">
        <f>HYPERLINK("https://www.ksilbo.co.kr/news/articleView.html?idxno=1031068")</f>
        <v>https://www.ksilbo.co.kr/news/articleView.html?idxno=1031068</v>
      </c>
      <c r="H10755">
        <v>0.47699999999999998</v>
      </c>
    </row>
    <row r="10756" spans="1:8" x14ac:dyDescent="0.3">
      <c r="A10756" t="s">
        <v>26715</v>
      </c>
      <c r="B10756" t="s">
        <v>26951</v>
      </c>
      <c r="C10756" t="s">
        <v>26753</v>
      </c>
      <c r="D10756" t="s">
        <v>26752</v>
      </c>
      <c r="E10756" s="2" t="s">
        <v>356</v>
      </c>
      <c r="F10756" t="s">
        <v>3543</v>
      </c>
      <c r="G10756" t="str">
        <f>HYPERLINK("http://www.kyosu.net/news/articleView.html?idxno=137322")</f>
        <v>http://www.kyosu.net/news/articleView.html?idxno=137322</v>
      </c>
      <c r="H10756">
        <v>0.92500000000000004</v>
      </c>
    </row>
    <row r="10757" spans="1:8" x14ac:dyDescent="0.3">
      <c r="A10757" t="s">
        <v>26715</v>
      </c>
      <c r="B10757" t="s">
        <v>26951</v>
      </c>
      <c r="C10757" t="s">
        <v>26755</v>
      </c>
      <c r="D10757" t="s">
        <v>26754</v>
      </c>
      <c r="E10757" s="2" t="s">
        <v>394</v>
      </c>
      <c r="F10757" t="s">
        <v>11282</v>
      </c>
      <c r="G10757" t="str">
        <f>HYPERLINK("http://www.kyosu.net/news/articleView.html?idxno=137322")</f>
        <v>http://www.kyosu.net/news/articleView.html?idxno=137322</v>
      </c>
      <c r="H10757">
        <v>0.98799999999999999</v>
      </c>
    </row>
    <row r="10758" spans="1:8" x14ac:dyDescent="0.3">
      <c r="A10758" t="s">
        <v>26715</v>
      </c>
      <c r="B10758" t="s">
        <v>26951</v>
      </c>
      <c r="C10758" t="s">
        <v>26757</v>
      </c>
      <c r="D10758" t="s">
        <v>26756</v>
      </c>
      <c r="E10758" s="2" t="s">
        <v>394</v>
      </c>
      <c r="F10758" t="s">
        <v>21106</v>
      </c>
      <c r="G10758" t="str">
        <f>HYPERLINK("https://www.econovill.com/news/articleView.html?idxno=655525")</f>
        <v>https://www.econovill.com/news/articleView.html?idxno=655525</v>
      </c>
      <c r="H10758">
        <v>0.66500000000000004</v>
      </c>
    </row>
    <row r="10759" spans="1:8" x14ac:dyDescent="0.3">
      <c r="A10759" t="s">
        <v>26715</v>
      </c>
      <c r="B10759" t="s">
        <v>26951</v>
      </c>
      <c r="C10759" t="s">
        <v>26759</v>
      </c>
      <c r="D10759" t="s">
        <v>26758</v>
      </c>
      <c r="E10759" s="2" t="s">
        <v>267</v>
      </c>
      <c r="F10759" t="s">
        <v>21017</v>
      </c>
      <c r="G10759" t="str">
        <f>HYPERLINK("https://www.epnc.co.kr/news/articleView.html?idxno=318459")</f>
        <v>https://www.epnc.co.kr/news/articleView.html?idxno=318459</v>
      </c>
      <c r="H10759">
        <v>0.36699999999999999</v>
      </c>
    </row>
    <row r="10760" spans="1:8" x14ac:dyDescent="0.3">
      <c r="A10760" t="s">
        <v>26715</v>
      </c>
      <c r="B10760" t="s">
        <v>26951</v>
      </c>
      <c r="C10760" t="s">
        <v>26761</v>
      </c>
      <c r="D10760" t="s">
        <v>26760</v>
      </c>
      <c r="E10760" s="2" t="s">
        <v>267</v>
      </c>
      <c r="F10760" t="s">
        <v>2879</v>
      </c>
      <c r="G10760" t="str">
        <f>HYPERLINK("https://n.news.naver.com/mnews/article/052/0002212579?sid=101")</f>
        <v>https://n.news.naver.com/mnews/article/052/0002212579?sid=101</v>
      </c>
      <c r="H10760">
        <v>0.215</v>
      </c>
    </row>
    <row r="10761" spans="1:8" x14ac:dyDescent="0.3">
      <c r="A10761" t="s">
        <v>26715</v>
      </c>
      <c r="B10761" t="s">
        <v>26951</v>
      </c>
      <c r="C10761" t="s">
        <v>26763</v>
      </c>
      <c r="D10761" t="s">
        <v>26762</v>
      </c>
      <c r="E10761" s="2" t="s">
        <v>230</v>
      </c>
      <c r="F10761" t="s">
        <v>2799</v>
      </c>
      <c r="G10761" t="str">
        <f>HYPERLINK("https://www.danbinews.com/news/articleView.html?idxno=27388")</f>
        <v>https://www.danbinews.com/news/articleView.html?idxno=27388</v>
      </c>
      <c r="H10761">
        <v>0.36799999999999999</v>
      </c>
    </row>
    <row r="10762" spans="1:8" x14ac:dyDescent="0.3">
      <c r="A10762" t="s">
        <v>26715</v>
      </c>
      <c r="B10762" t="s">
        <v>26951</v>
      </c>
      <c r="C10762" t="s">
        <v>26765</v>
      </c>
      <c r="D10762" t="s">
        <v>26764</v>
      </c>
      <c r="E10762" s="2" t="s">
        <v>230</v>
      </c>
      <c r="F10762" t="s">
        <v>9712</v>
      </c>
      <c r="G10762" t="str">
        <f>HYPERLINK("https://kr.aving.net/news/articleView.html?idxno=1780759")</f>
        <v>https://kr.aving.net/news/articleView.html?idxno=1780759</v>
      </c>
      <c r="H10762">
        <v>0.26400000000000001</v>
      </c>
    </row>
    <row r="10763" spans="1:8" x14ac:dyDescent="0.3">
      <c r="A10763" t="s">
        <v>26715</v>
      </c>
      <c r="B10763" t="s">
        <v>26951</v>
      </c>
      <c r="C10763" t="s">
        <v>26767</v>
      </c>
      <c r="D10763" t="s">
        <v>26766</v>
      </c>
      <c r="E10763" s="2" t="s">
        <v>230</v>
      </c>
      <c r="F10763" t="s">
        <v>24857</v>
      </c>
      <c r="G10763" t="str">
        <f>HYPERLINK("http://www.ftoday.co.kr/news/articleView.html?idxno=343573")</f>
        <v>http://www.ftoday.co.kr/news/articleView.html?idxno=343573</v>
      </c>
      <c r="H10763">
        <v>0.55000000000000004</v>
      </c>
    </row>
    <row r="10764" spans="1:8" x14ac:dyDescent="0.3">
      <c r="A10764" t="s">
        <v>26715</v>
      </c>
      <c r="B10764" t="s">
        <v>26951</v>
      </c>
      <c r="C10764" t="s">
        <v>26769</v>
      </c>
      <c r="D10764" t="s">
        <v>26768</v>
      </c>
      <c r="E10764" s="2" t="s">
        <v>230</v>
      </c>
      <c r="F10764" t="s">
        <v>9698</v>
      </c>
      <c r="G10764" t="str">
        <f>HYPERLINK("https://www.ekn.kr/web/view.php?key=20250629025311174")</f>
        <v>https://www.ekn.kr/web/view.php?key=20250629025311174</v>
      </c>
      <c r="H10764">
        <v>0.34300000000000003</v>
      </c>
    </row>
    <row r="10765" spans="1:8" x14ac:dyDescent="0.3">
      <c r="A10765" t="s">
        <v>26715</v>
      </c>
      <c r="B10765" t="s">
        <v>26951</v>
      </c>
      <c r="C10765" t="s">
        <v>26772</v>
      </c>
      <c r="D10765" t="s">
        <v>26771</v>
      </c>
      <c r="E10765" s="2" t="s">
        <v>230</v>
      </c>
      <c r="F10765" t="s">
        <v>26770</v>
      </c>
      <c r="G10765" t="str">
        <f>HYPERLINK("https://www.energy-news.co.kr/news/articleView.html?idxno=213896")</f>
        <v>https://www.energy-news.co.kr/news/articleView.html?idxno=213896</v>
      </c>
      <c r="H10765">
        <v>0.89100000000000001</v>
      </c>
    </row>
    <row r="10766" spans="1:8" x14ac:dyDescent="0.3">
      <c r="A10766" t="s">
        <v>26715</v>
      </c>
      <c r="B10766" t="s">
        <v>26951</v>
      </c>
      <c r="C10766" t="s">
        <v>26774</v>
      </c>
      <c r="D10766" t="s">
        <v>26773</v>
      </c>
      <c r="E10766" s="2" t="s">
        <v>230</v>
      </c>
      <c r="F10766" t="s">
        <v>11363</v>
      </c>
      <c r="G10766" t="str">
        <f>HYPERLINK("https://www.ekn.kr/web/view.php?key=20250629025311174")</f>
        <v>https://www.ekn.kr/web/view.php?key=20250629025311174</v>
      </c>
      <c r="H10766">
        <v>0.45100000000000001</v>
      </c>
    </row>
    <row r="10767" spans="1:8" x14ac:dyDescent="0.3">
      <c r="A10767" t="s">
        <v>26715</v>
      </c>
      <c r="B10767" t="s">
        <v>26951</v>
      </c>
      <c r="C10767" t="s">
        <v>26777</v>
      </c>
      <c r="D10767" t="s">
        <v>26776</v>
      </c>
      <c r="E10767" s="2" t="s">
        <v>196</v>
      </c>
      <c r="F10767" t="s">
        <v>26775</v>
      </c>
      <c r="G10767" t="str">
        <f>HYPERLINK("https://www.kukinews.com/article/view/kuk202507020186")</f>
        <v>https://www.kukinews.com/article/view/kuk202507020186</v>
      </c>
      <c r="H10767">
        <v>0.318</v>
      </c>
    </row>
    <row r="10768" spans="1:8" x14ac:dyDescent="0.3">
      <c r="A10768" t="s">
        <v>26715</v>
      </c>
      <c r="B10768" t="s">
        <v>26951</v>
      </c>
      <c r="C10768" t="s">
        <v>26779</v>
      </c>
      <c r="D10768" t="s">
        <v>26778</v>
      </c>
      <c r="E10768" s="2" t="s">
        <v>74</v>
      </c>
      <c r="F10768" t="s">
        <v>93</v>
      </c>
      <c r="G10768" t="str">
        <f>HYPERLINK("https://www.ekn.kr/web/view.php?key=20250627024451118")</f>
        <v>https://www.ekn.kr/web/view.php?key=20250627024451118</v>
      </c>
      <c r="H10768">
        <v>0.26100000000000001</v>
      </c>
    </row>
    <row r="10769" spans="1:8" x14ac:dyDescent="0.3">
      <c r="A10769" t="s">
        <v>26715</v>
      </c>
      <c r="B10769" t="s">
        <v>26951</v>
      </c>
      <c r="C10769" t="s">
        <v>26782</v>
      </c>
      <c r="D10769" t="s">
        <v>26781</v>
      </c>
      <c r="E10769" s="2" t="s">
        <v>133</v>
      </c>
      <c r="F10769" t="s">
        <v>26780</v>
      </c>
      <c r="G10769" t="str">
        <f>HYPERLINK("https://www.ekn.kr/web/view.php?key=20250625029510325")</f>
        <v>https://www.ekn.kr/web/view.php?key=20250625029510325</v>
      </c>
      <c r="H10769">
        <v>0.86499999999999999</v>
      </c>
    </row>
    <row r="10770" spans="1:8" x14ac:dyDescent="0.3">
      <c r="A10770" t="s">
        <v>26715</v>
      </c>
      <c r="B10770" t="s">
        <v>26951</v>
      </c>
      <c r="C10770" t="s">
        <v>26784</v>
      </c>
      <c r="D10770" t="s">
        <v>26783</v>
      </c>
      <c r="E10770" s="2" t="s">
        <v>133</v>
      </c>
      <c r="F10770" t="s">
        <v>89</v>
      </c>
      <c r="G10770" t="str">
        <f>HYPERLINK("https://www.greened.kr/news/articleView.html?idxno=321853")</f>
        <v>https://www.greened.kr/news/articleView.html?idxno=321853</v>
      </c>
      <c r="H10770">
        <v>0.38100000000000001</v>
      </c>
    </row>
    <row r="10771" spans="1:8" x14ac:dyDescent="0.3">
      <c r="A10771" t="s">
        <v>26715</v>
      </c>
      <c r="B10771" t="s">
        <v>26951</v>
      </c>
      <c r="C10771" t="s">
        <v>26787</v>
      </c>
      <c r="D10771" t="s">
        <v>26786</v>
      </c>
      <c r="E10771" s="2" t="s">
        <v>133</v>
      </c>
      <c r="F10771" t="s">
        <v>26785</v>
      </c>
      <c r="G10771" t="str">
        <f>HYPERLINK("http://www.greened.kr/news/articleView.html?idxno=303901")</f>
        <v>http://www.greened.kr/news/articleView.html?idxno=303901</v>
      </c>
      <c r="H10771">
        <v>0.65600000000000003</v>
      </c>
    </row>
    <row r="10772" spans="1:8" x14ac:dyDescent="0.3">
      <c r="A10772" t="s">
        <v>26715</v>
      </c>
      <c r="B10772" t="s">
        <v>26951</v>
      </c>
      <c r="C10772" t="s">
        <v>26789</v>
      </c>
      <c r="D10772" t="s">
        <v>26788</v>
      </c>
      <c r="E10772" s="2" t="s">
        <v>133</v>
      </c>
      <c r="F10772" t="s">
        <v>26780</v>
      </c>
      <c r="G10772" t="str">
        <f>HYPERLINK("https://www.ekn.kr/web/view.php?key=20250625026530087")</f>
        <v>https://www.ekn.kr/web/view.php?key=20250625026530087</v>
      </c>
      <c r="H10772">
        <v>0.96599999999999997</v>
      </c>
    </row>
    <row r="10773" spans="1:8" x14ac:dyDescent="0.3">
      <c r="A10773" t="s">
        <v>26715</v>
      </c>
      <c r="B10773" t="s">
        <v>26951</v>
      </c>
      <c r="C10773" t="s">
        <v>26791</v>
      </c>
      <c r="D10773" t="s">
        <v>26790</v>
      </c>
      <c r="E10773" s="2" t="s">
        <v>7</v>
      </c>
      <c r="F10773" t="s">
        <v>1963</v>
      </c>
      <c r="G10773" t="str">
        <f>HYPERLINK("https://www.ekn.kr/web/view.php?key=20250629025311174")</f>
        <v>https://www.ekn.kr/web/view.php?key=20250629025311174</v>
      </c>
      <c r="H10773">
        <v>0.33600000000000002</v>
      </c>
    </row>
    <row r="10774" spans="1:8" x14ac:dyDescent="0.3">
      <c r="A10774" t="s">
        <v>26715</v>
      </c>
      <c r="B10774" t="s">
        <v>26951</v>
      </c>
      <c r="C10774" t="s">
        <v>26793</v>
      </c>
      <c r="D10774" t="s">
        <v>26792</v>
      </c>
      <c r="E10774" s="2" t="s">
        <v>7</v>
      </c>
      <c r="F10774" t="s">
        <v>4601</v>
      </c>
      <c r="G10774" t="str">
        <f>HYPERLINK("https://news.einfomax.co.kr/news/articleView.html?idxno=4359558")</f>
        <v>https://news.einfomax.co.kr/news/articleView.html?idxno=4359558</v>
      </c>
      <c r="H10774">
        <v>0.32700000000000001</v>
      </c>
    </row>
    <row r="10775" spans="1:8" x14ac:dyDescent="0.3">
      <c r="A10775" t="s">
        <v>26715</v>
      </c>
      <c r="B10775" t="s">
        <v>26951</v>
      </c>
      <c r="C10775" t="s">
        <v>26795</v>
      </c>
      <c r="D10775" t="s">
        <v>26794</v>
      </c>
      <c r="E10775" s="2" t="s">
        <v>7</v>
      </c>
      <c r="F10775" t="s">
        <v>2799</v>
      </c>
      <c r="G10775" t="str">
        <f>HYPERLINK("http://www.jjan.kr/news/articleView.html?idxno=2098426")</f>
        <v>http://www.jjan.kr/news/articleView.html?idxno=2098426</v>
      </c>
      <c r="H10775">
        <v>0.314</v>
      </c>
    </row>
    <row r="10776" spans="1:8" x14ac:dyDescent="0.3">
      <c r="A10776" t="s">
        <v>26715</v>
      </c>
      <c r="B10776" t="s">
        <v>26951</v>
      </c>
      <c r="C10776" t="s">
        <v>26797</v>
      </c>
      <c r="D10776" t="s">
        <v>26796</v>
      </c>
      <c r="E10776" s="2" t="s">
        <v>7</v>
      </c>
      <c r="F10776" t="s">
        <v>5878</v>
      </c>
      <c r="G10776" t="str">
        <f>HYPERLINK("http://www.e2news.com/news/articleView.html?idxno=100721")</f>
        <v>http://www.e2news.com/news/articleView.html?idxno=100721</v>
      </c>
      <c r="H10776">
        <v>0.76300000000000001</v>
      </c>
    </row>
    <row r="10777" spans="1:8" x14ac:dyDescent="0.3">
      <c r="A10777" t="s">
        <v>26715</v>
      </c>
      <c r="B10777" t="s">
        <v>26951</v>
      </c>
      <c r="C10777" t="s">
        <v>26799</v>
      </c>
      <c r="D10777" t="s">
        <v>26798</v>
      </c>
      <c r="E10777" s="2" t="s">
        <v>7</v>
      </c>
      <c r="F10777" t="s">
        <v>11346</v>
      </c>
      <c r="G10777" t="str">
        <f>HYPERLINK("https://www.meconomynews.com/news/articleView.html?idxno=115301")</f>
        <v>https://www.meconomynews.com/news/articleView.html?idxno=115301</v>
      </c>
      <c r="H10777">
        <v>0.52100000000000002</v>
      </c>
    </row>
    <row r="10778" spans="1:8" x14ac:dyDescent="0.3">
      <c r="A10778" t="s">
        <v>26715</v>
      </c>
      <c r="B10778" t="s">
        <v>26951</v>
      </c>
      <c r="C10778" t="s">
        <v>26801</v>
      </c>
      <c r="D10778" t="s">
        <v>26800</v>
      </c>
      <c r="E10778" s="2" t="s">
        <v>7</v>
      </c>
      <c r="F10778" t="s">
        <v>9712</v>
      </c>
      <c r="G10778" t="str">
        <f>HYPERLINK("https://kr.aving.net/news/articleView.html?idxno=1780759")</f>
        <v>https://kr.aving.net/news/articleView.html?idxno=1780759</v>
      </c>
      <c r="H10778">
        <v>0.28899999999999998</v>
      </c>
    </row>
    <row r="10779" spans="1:8" x14ac:dyDescent="0.3">
      <c r="A10779" t="s">
        <v>26802</v>
      </c>
      <c r="B10779" t="s">
        <v>26951</v>
      </c>
      <c r="C10779" t="s">
        <v>26805</v>
      </c>
      <c r="D10779" t="s">
        <v>26804</v>
      </c>
      <c r="E10779" s="2" t="s">
        <v>502</v>
      </c>
      <c r="F10779" t="s">
        <v>26803</v>
      </c>
      <c r="G10779" t="str">
        <f>HYPERLINK("http://www.ntoday.co.kr/news/articleView.html?idxno=92377")</f>
        <v>http://www.ntoday.co.kr/news/articleView.html?idxno=92377</v>
      </c>
      <c r="H10779">
        <v>0.66900000000000004</v>
      </c>
    </row>
    <row r="10780" spans="1:8" x14ac:dyDescent="0.3">
      <c r="A10780" t="s">
        <v>26806</v>
      </c>
      <c r="B10780" t="s">
        <v>26951</v>
      </c>
      <c r="C10780" t="s">
        <v>26809</v>
      </c>
      <c r="D10780" t="s">
        <v>26808</v>
      </c>
      <c r="E10780" s="2" t="s">
        <v>66</v>
      </c>
      <c r="F10780" t="s">
        <v>26807</v>
      </c>
      <c r="G10780" t="str">
        <f>HYPERLINK("https://n.news.naver.com/mnews/article/052/0002175173?sid=102")</f>
        <v>https://n.news.naver.com/mnews/article/052/0002175173?sid=102</v>
      </c>
      <c r="H10780">
        <v>0.374</v>
      </c>
    </row>
    <row r="10781" spans="1:8" x14ac:dyDescent="0.3">
      <c r="A10781" t="s">
        <v>26806</v>
      </c>
      <c r="B10781" t="s">
        <v>26951</v>
      </c>
      <c r="C10781" t="s">
        <v>26812</v>
      </c>
      <c r="D10781" t="s">
        <v>26811</v>
      </c>
      <c r="E10781" s="2" t="s">
        <v>356</v>
      </c>
      <c r="F10781" t="s">
        <v>26810</v>
      </c>
      <c r="G10781" t="str">
        <f>HYPERLINK("https://n.news.naver.com/mnews/article/005/0001787259?sid=101")</f>
        <v>https://n.news.naver.com/mnews/article/005/0001787259?sid=101</v>
      </c>
      <c r="H10781">
        <v>0.17699999999999999</v>
      </c>
    </row>
    <row r="10782" spans="1:8" x14ac:dyDescent="0.3">
      <c r="A10782" t="s">
        <v>26806</v>
      </c>
      <c r="B10782" t="s">
        <v>26951</v>
      </c>
      <c r="C10782" t="s">
        <v>26814</v>
      </c>
      <c r="D10782" t="s">
        <v>26813</v>
      </c>
      <c r="E10782" s="2" t="s">
        <v>394</v>
      </c>
      <c r="F10782" t="s">
        <v>7404</v>
      </c>
      <c r="G10782" t="str">
        <f>HYPERLINK("https://news.bbsi.co.kr/news/articleView.html?idxno=4034985")</f>
        <v>https://news.bbsi.co.kr/news/articleView.html?idxno=4034985</v>
      </c>
      <c r="H10782">
        <v>0.80100000000000005</v>
      </c>
    </row>
    <row r="10783" spans="1:8" x14ac:dyDescent="0.3">
      <c r="A10783" t="s">
        <v>26815</v>
      </c>
      <c r="B10783" t="s">
        <v>26951</v>
      </c>
      <c r="C10783" t="s">
        <v>26818</v>
      </c>
      <c r="D10783" t="s">
        <v>26817</v>
      </c>
      <c r="E10783" s="2" t="s">
        <v>356</v>
      </c>
      <c r="F10783" t="s">
        <v>26816</v>
      </c>
      <c r="G10783" t="str">
        <f>HYPERLINK("http://www.naeil.com/news_view/?id_art=278136")</f>
        <v>http://www.naeil.com/news_view/?id_art=278136</v>
      </c>
      <c r="H10783">
        <v>0.30599999999999999</v>
      </c>
    </row>
    <row r="10784" spans="1:8" x14ac:dyDescent="0.3">
      <c r="A10784" t="s">
        <v>26815</v>
      </c>
      <c r="B10784" t="s">
        <v>26951</v>
      </c>
      <c r="C10784" t="s">
        <v>26821</v>
      </c>
      <c r="D10784" t="s">
        <v>26820</v>
      </c>
      <c r="E10784" s="2" t="s">
        <v>860</v>
      </c>
      <c r="F10784" t="s">
        <v>26819</v>
      </c>
      <c r="G10784" t="str">
        <f>HYPERLINK("http://www.doctorstimes.com/news/articleView.html?idxno=223044")</f>
        <v>http://www.doctorstimes.com/news/articleView.html?idxno=223044</v>
      </c>
      <c r="H10784">
        <v>0.21299999999999999</v>
      </c>
    </row>
    <row r="10785" spans="1:8" x14ac:dyDescent="0.3">
      <c r="A10785" t="s">
        <v>26822</v>
      </c>
      <c r="B10785" t="s">
        <v>26951</v>
      </c>
      <c r="C10785" t="s">
        <v>26825</v>
      </c>
      <c r="D10785" t="s">
        <v>26824</v>
      </c>
      <c r="E10785" s="2" t="s">
        <v>452</v>
      </c>
      <c r="F10785" t="s">
        <v>26823</v>
      </c>
      <c r="G10785" t="str">
        <f>HYPERLINK("http://www.namdonews.com/news/articleView.html?idxno=823387")</f>
        <v>http://www.namdonews.com/news/articleView.html?idxno=823387</v>
      </c>
      <c r="H10785">
        <v>0.96599999999999997</v>
      </c>
    </row>
    <row r="10786" spans="1:8" x14ac:dyDescent="0.3">
      <c r="A10786" t="s">
        <v>26822</v>
      </c>
      <c r="B10786" t="s">
        <v>26951</v>
      </c>
      <c r="C10786" t="s">
        <v>26828</v>
      </c>
      <c r="D10786" t="s">
        <v>26827</v>
      </c>
      <c r="E10786" s="2" t="s">
        <v>799</v>
      </c>
      <c r="F10786" t="s">
        <v>26826</v>
      </c>
      <c r="G10786" t="str">
        <f>HYPERLINK("https://n.news.naver.com/mnews/article/028/0002598061?sid=102")</f>
        <v>https://n.news.naver.com/mnews/article/028/0002598061?sid=102</v>
      </c>
      <c r="H10786">
        <v>0.28100000000000003</v>
      </c>
    </row>
    <row r="10787" spans="1:8" x14ac:dyDescent="0.3">
      <c r="A10787" t="s">
        <v>26829</v>
      </c>
      <c r="B10787" t="s">
        <v>26951</v>
      </c>
      <c r="C10787" t="s">
        <v>26831</v>
      </c>
      <c r="D10787" t="s">
        <v>26830</v>
      </c>
      <c r="E10787" s="2" t="s">
        <v>356</v>
      </c>
      <c r="F10787" t="s">
        <v>2046</v>
      </c>
      <c r="G10787" t="str">
        <f>HYPERLINK("http://www.apnews.kr/news/articleView.html?idxno=3003452")</f>
        <v>http://www.apnews.kr/news/articleView.html?idxno=3003452</v>
      </c>
      <c r="H10787">
        <v>0.54200000000000004</v>
      </c>
    </row>
    <row r="10788" spans="1:8" x14ac:dyDescent="0.3">
      <c r="A10788" t="s">
        <v>26829</v>
      </c>
      <c r="B10788" t="s">
        <v>26951</v>
      </c>
      <c r="C10788" t="s">
        <v>26834</v>
      </c>
      <c r="D10788" t="s">
        <v>26833</v>
      </c>
      <c r="E10788" s="2" t="s">
        <v>538</v>
      </c>
      <c r="F10788" t="s">
        <v>26832</v>
      </c>
      <c r="G10788" t="str">
        <f>HYPERLINK("https://www.pennmike.com/news/articleView.html?idxno=88548")</f>
        <v>https://www.pennmike.com/news/articleView.html?idxno=88548</v>
      </c>
      <c r="H10788">
        <v>7.0000000000000007E-2</v>
      </c>
    </row>
    <row r="10789" spans="1:8" x14ac:dyDescent="0.3">
      <c r="A10789" t="s">
        <v>26829</v>
      </c>
      <c r="B10789" t="s">
        <v>26951</v>
      </c>
      <c r="C10789" t="s">
        <v>26837</v>
      </c>
      <c r="D10789" t="s">
        <v>26836</v>
      </c>
      <c r="E10789" s="2" t="s">
        <v>653</v>
      </c>
      <c r="F10789" t="s">
        <v>26835</v>
      </c>
      <c r="G10789" t="str">
        <f>HYPERLINK("https://www.inews365.com/news/article.html?no=679401")</f>
        <v>https://www.inews365.com/news/article.html?no=679401</v>
      </c>
      <c r="H10789">
        <v>0.21</v>
      </c>
    </row>
    <row r="10790" spans="1:8" x14ac:dyDescent="0.3">
      <c r="A10790" t="s">
        <v>26829</v>
      </c>
      <c r="B10790" t="s">
        <v>26951</v>
      </c>
      <c r="C10790" t="s">
        <v>26840</v>
      </c>
      <c r="D10790" t="s">
        <v>26839</v>
      </c>
      <c r="E10790" s="2" t="s">
        <v>742</v>
      </c>
      <c r="F10790" t="s">
        <v>26838</v>
      </c>
      <c r="G10790" t="str">
        <f>HYPERLINK("http://www.readersnews.com/news/articleView.html?idxno=48133")</f>
        <v>http://www.readersnews.com/news/articleView.html?idxno=48133</v>
      </c>
      <c r="H10790">
        <v>0.76900000000000002</v>
      </c>
    </row>
    <row r="10791" spans="1:8" x14ac:dyDescent="0.3">
      <c r="A10791" t="s">
        <v>26841</v>
      </c>
      <c r="B10791" t="s">
        <v>26951</v>
      </c>
      <c r="C10791" t="s">
        <v>26844</v>
      </c>
      <c r="D10791" t="s">
        <v>26843</v>
      </c>
      <c r="E10791" s="2" t="s">
        <v>105</v>
      </c>
      <c r="F10791" t="s">
        <v>26842</v>
      </c>
      <c r="G10791" t="str">
        <f>HYPERLINK("https://www.geconomy.co.kr/news/article.html?no=301355")</f>
        <v>https://www.geconomy.co.kr/news/article.html?no=301355</v>
      </c>
      <c r="H10791">
        <v>0.16300000000000001</v>
      </c>
    </row>
    <row r="10792" spans="1:8" x14ac:dyDescent="0.3">
      <c r="A10792" t="s">
        <v>26841</v>
      </c>
      <c r="B10792" t="s">
        <v>26951</v>
      </c>
      <c r="C10792" t="s">
        <v>26846</v>
      </c>
      <c r="D10792" t="s">
        <v>26845</v>
      </c>
      <c r="E10792" s="2" t="s">
        <v>356</v>
      </c>
      <c r="F10792" t="s">
        <v>1942</v>
      </c>
      <c r="G10792" t="str">
        <f>HYPERLINK("https://n.news.naver.com/mnews/article/052/0002207414?sid=104")</f>
        <v>https://n.news.naver.com/mnews/article/052/0002207414?sid=104</v>
      </c>
      <c r="H10792">
        <v>0.13900000000000001</v>
      </c>
    </row>
    <row r="10793" spans="1:8" x14ac:dyDescent="0.3">
      <c r="A10793" t="s">
        <v>26841</v>
      </c>
      <c r="B10793" t="s">
        <v>26951</v>
      </c>
      <c r="C10793" t="s">
        <v>26848</v>
      </c>
      <c r="D10793" t="s">
        <v>26847</v>
      </c>
      <c r="E10793" s="2" t="s">
        <v>517</v>
      </c>
      <c r="F10793" t="s">
        <v>151</v>
      </c>
      <c r="G10793" t="str">
        <f>HYPERLINK("https://n.news.naver.com/mnews/article/055/0001266012?sid=104")</f>
        <v>https://n.news.naver.com/mnews/article/055/0001266012?sid=104</v>
      </c>
      <c r="H10793">
        <v>0.32700000000000001</v>
      </c>
    </row>
    <row r="10794" spans="1:8" x14ac:dyDescent="0.3">
      <c r="A10794" t="s">
        <v>26841</v>
      </c>
      <c r="B10794" t="s">
        <v>26951</v>
      </c>
      <c r="C10794" t="s">
        <v>26850</v>
      </c>
      <c r="D10794" t="s">
        <v>26849</v>
      </c>
      <c r="E10794" s="2" t="s">
        <v>517</v>
      </c>
      <c r="F10794" t="s">
        <v>96</v>
      </c>
      <c r="G10794" t="str">
        <f>HYPERLINK("https://www.apnews.kr/news/articleView.html?idxno=3036114")</f>
        <v>https://www.apnews.kr/news/articleView.html?idxno=3036114</v>
      </c>
      <c r="H10794">
        <v>0.51200000000000001</v>
      </c>
    </row>
    <row r="10795" spans="1:8" x14ac:dyDescent="0.3">
      <c r="A10795" t="s">
        <v>26851</v>
      </c>
      <c r="B10795" t="s">
        <v>26951</v>
      </c>
      <c r="C10795" t="s">
        <v>26853</v>
      </c>
      <c r="D10795" t="s">
        <v>26852</v>
      </c>
      <c r="E10795" s="2" t="s">
        <v>7</v>
      </c>
      <c r="F10795" t="s">
        <v>148</v>
      </c>
      <c r="G10795" t="str">
        <f>HYPERLINK("https://n.news.naver.com/mnews/article/002/0002006191?sid=101")</f>
        <v>https://n.news.naver.com/mnews/article/002/0002006191?sid=101</v>
      </c>
      <c r="H10795">
        <v>0.161</v>
      </c>
    </row>
    <row r="10796" spans="1:8" x14ac:dyDescent="0.3">
      <c r="A10796" t="s">
        <v>26851</v>
      </c>
      <c r="B10796" t="s">
        <v>26951</v>
      </c>
      <c r="C10796" t="s">
        <v>26856</v>
      </c>
      <c r="D10796" t="s">
        <v>26855</v>
      </c>
      <c r="E10796" s="2" t="s">
        <v>7</v>
      </c>
      <c r="F10796" t="s">
        <v>26854</v>
      </c>
      <c r="G10796" t="str">
        <f>HYPERLINK("https://n.news.naver.com/mnews/article/002/0002017476?sid=103")</f>
        <v>https://n.news.naver.com/mnews/article/002/0002017476?sid=103</v>
      </c>
      <c r="H10796">
        <v>0.23</v>
      </c>
    </row>
    <row r="10797" spans="1:8" x14ac:dyDescent="0.3">
      <c r="A10797" t="s">
        <v>26851</v>
      </c>
      <c r="B10797" t="s">
        <v>26951</v>
      </c>
      <c r="C10797" t="s">
        <v>26858</v>
      </c>
      <c r="D10797" t="s">
        <v>26857</v>
      </c>
      <c r="E10797" s="2" t="s">
        <v>74</v>
      </c>
      <c r="F10797" t="s">
        <v>5887</v>
      </c>
      <c r="G10797" t="str">
        <f>HYPERLINK("https://n.news.naver.com/mnews/article/002/0002394648?sid=102")</f>
        <v>https://n.news.naver.com/mnews/article/002/0002394648?sid=102</v>
      </c>
      <c r="H10797">
        <v>0.313</v>
      </c>
    </row>
    <row r="10798" spans="1:8" x14ac:dyDescent="0.3">
      <c r="A10798" t="s">
        <v>26851</v>
      </c>
      <c r="B10798" t="s">
        <v>26951</v>
      </c>
      <c r="C10798" t="s">
        <v>26861</v>
      </c>
      <c r="D10798" t="s">
        <v>26860</v>
      </c>
      <c r="E10798" s="2" t="s">
        <v>74</v>
      </c>
      <c r="F10798" t="s">
        <v>26859</v>
      </c>
      <c r="G10798" t="str">
        <f>HYPERLINK("http://www.naeil.com/news_view/?id_art=134232")</f>
        <v>http://www.naeil.com/news_view/?id_art=134232</v>
      </c>
      <c r="H10798">
        <v>0.49099999999999999</v>
      </c>
    </row>
    <row r="10799" spans="1:8" x14ac:dyDescent="0.3">
      <c r="A10799" t="s">
        <v>26851</v>
      </c>
      <c r="B10799" t="s">
        <v>26951</v>
      </c>
      <c r="C10799" t="s">
        <v>26864</v>
      </c>
      <c r="D10799" t="s">
        <v>26863</v>
      </c>
      <c r="E10799" s="2" t="s">
        <v>105</v>
      </c>
      <c r="F10799" t="s">
        <v>26862</v>
      </c>
      <c r="G10799" t="str">
        <f>HYPERLINK("https://n.news.naver.com/mnews/article/006/0000114134?sid=105")</f>
        <v>https://n.news.naver.com/mnews/article/006/0000114134?sid=105</v>
      </c>
      <c r="H10799">
        <v>0.26500000000000001</v>
      </c>
    </row>
    <row r="10800" spans="1:8" x14ac:dyDescent="0.3">
      <c r="A10800" t="s">
        <v>26851</v>
      </c>
      <c r="B10800" t="s">
        <v>26951</v>
      </c>
      <c r="C10800" t="s">
        <v>26866</v>
      </c>
      <c r="D10800" t="s">
        <v>26865</v>
      </c>
      <c r="E10800" s="2" t="s">
        <v>196</v>
      </c>
      <c r="F10800" t="s">
        <v>5630</v>
      </c>
      <c r="G10800" t="str">
        <f>HYPERLINK("http://www.kihoilbo.co.kr/news/articleView.html?idxno=1148404")</f>
        <v>http://www.kihoilbo.co.kr/news/articleView.html?idxno=1148404</v>
      </c>
      <c r="H10800">
        <v>0.83799999999999997</v>
      </c>
    </row>
    <row r="10801" spans="1:8" x14ac:dyDescent="0.3">
      <c r="A10801" t="s">
        <v>26851</v>
      </c>
      <c r="B10801" t="s">
        <v>26951</v>
      </c>
      <c r="C10801" t="s">
        <v>26869</v>
      </c>
      <c r="D10801" t="s">
        <v>26868</v>
      </c>
      <c r="E10801" s="2" t="s">
        <v>196</v>
      </c>
      <c r="F10801" t="s">
        <v>26867</v>
      </c>
      <c r="G10801" t="str">
        <f>HYPERLINK("https://www.newscj.com/news/articleView.html?idxno=3185816")</f>
        <v>https://www.newscj.com/news/articleView.html?idxno=3185816</v>
      </c>
      <c r="H10801">
        <v>0.21</v>
      </c>
    </row>
    <row r="10802" spans="1:8" x14ac:dyDescent="0.3">
      <c r="A10802" t="s">
        <v>26851</v>
      </c>
      <c r="B10802" t="s">
        <v>26951</v>
      </c>
      <c r="C10802" t="s">
        <v>26872</v>
      </c>
      <c r="D10802" t="s">
        <v>26871</v>
      </c>
      <c r="E10802" s="2" t="s">
        <v>230</v>
      </c>
      <c r="F10802" t="s">
        <v>26870</v>
      </c>
      <c r="G10802" t="str">
        <f>HYPERLINK("https://www.ntoday.co.kr/news/articleView.html?idxno=113913")</f>
        <v>https://www.ntoday.co.kr/news/articleView.html?idxno=113913</v>
      </c>
      <c r="H10802">
        <v>0.61399999999999999</v>
      </c>
    </row>
    <row r="10803" spans="1:8" x14ac:dyDescent="0.3">
      <c r="A10803" t="s">
        <v>26851</v>
      </c>
      <c r="B10803" t="s">
        <v>26951</v>
      </c>
      <c r="C10803" t="s">
        <v>26874</v>
      </c>
      <c r="D10803" t="s">
        <v>26873</v>
      </c>
      <c r="E10803" s="2" t="s">
        <v>230</v>
      </c>
      <c r="F10803" t="s">
        <v>151</v>
      </c>
      <c r="G10803" t="str">
        <f>HYPERLINK("https://www.christiantoday.co.kr/news/369168")</f>
        <v>https://www.christiantoday.co.kr/news/369168</v>
      </c>
      <c r="H10803">
        <v>0.66800000000000004</v>
      </c>
    </row>
    <row r="10804" spans="1:8" x14ac:dyDescent="0.3">
      <c r="A10804" t="s">
        <v>26851</v>
      </c>
      <c r="B10804" t="s">
        <v>26951</v>
      </c>
      <c r="C10804" t="s">
        <v>26876</v>
      </c>
      <c r="D10804" t="s">
        <v>26875</v>
      </c>
      <c r="E10804" s="2" t="s">
        <v>267</v>
      </c>
      <c r="F10804" t="s">
        <v>18756</v>
      </c>
      <c r="G10804" t="str">
        <f>HYPERLINK("https://n.news.naver.com/mnews/article/002/0002019876?sid=104")</f>
        <v>https://n.news.naver.com/mnews/article/002/0002019876?sid=104</v>
      </c>
      <c r="H10804">
        <v>0.55000000000000004</v>
      </c>
    </row>
    <row r="10805" spans="1:8" x14ac:dyDescent="0.3">
      <c r="A10805" t="s">
        <v>26851</v>
      </c>
      <c r="B10805" t="s">
        <v>26951</v>
      </c>
      <c r="C10805" t="s">
        <v>26879</v>
      </c>
      <c r="D10805" t="s">
        <v>26878</v>
      </c>
      <c r="E10805" s="2" t="s">
        <v>280</v>
      </c>
      <c r="F10805" t="s">
        <v>26877</v>
      </c>
      <c r="G10805" t="str">
        <f>HYPERLINK("https://www.cstimes.com/news/articleView.html?idxno=648987")</f>
        <v>https://www.cstimes.com/news/articleView.html?idxno=648987</v>
      </c>
      <c r="H10805">
        <v>0.26600000000000001</v>
      </c>
    </row>
    <row r="10806" spans="1:8" x14ac:dyDescent="0.3">
      <c r="A10806" t="s">
        <v>26851</v>
      </c>
      <c r="B10806" t="s">
        <v>26951</v>
      </c>
      <c r="C10806" t="s">
        <v>26882</v>
      </c>
      <c r="D10806" t="s">
        <v>26881</v>
      </c>
      <c r="E10806" s="2" t="s">
        <v>313</v>
      </c>
      <c r="F10806" t="s">
        <v>26880</v>
      </c>
      <c r="G10806" t="str">
        <f>HYPERLINK("https://n.news.naver.com/mnews/article/002/0002368490?sid=102")</f>
        <v>https://n.news.naver.com/mnews/article/002/0002368490?sid=102</v>
      </c>
      <c r="H10806">
        <v>0.14000000000000001</v>
      </c>
    </row>
    <row r="10807" spans="1:8" x14ac:dyDescent="0.3">
      <c r="A10807" t="s">
        <v>26851</v>
      </c>
      <c r="B10807" t="s">
        <v>26951</v>
      </c>
      <c r="C10807" t="s">
        <v>26885</v>
      </c>
      <c r="D10807" t="s">
        <v>26884</v>
      </c>
      <c r="E10807" s="2" t="s">
        <v>313</v>
      </c>
      <c r="F10807" t="s">
        <v>26883</v>
      </c>
      <c r="G10807" t="str">
        <f>HYPERLINK("https://www.greened.kr/news/articleView.html?idxno=313423")</f>
        <v>https://www.greened.kr/news/articleView.html?idxno=313423</v>
      </c>
      <c r="H10807">
        <v>0.45800000000000002</v>
      </c>
    </row>
    <row r="10808" spans="1:8" x14ac:dyDescent="0.3">
      <c r="A10808" t="s">
        <v>26851</v>
      </c>
      <c r="B10808" t="s">
        <v>26951</v>
      </c>
      <c r="C10808" t="s">
        <v>26888</v>
      </c>
      <c r="D10808" t="s">
        <v>26887</v>
      </c>
      <c r="E10808" s="2" t="s">
        <v>356</v>
      </c>
      <c r="F10808" t="s">
        <v>26886</v>
      </c>
      <c r="G10808" t="str">
        <f>HYPERLINK("https://n.news.naver.com/mnews/article/002/0001985081?sid=100")</f>
        <v>https://n.news.naver.com/mnews/article/002/0001985081?sid=100</v>
      </c>
      <c r="H10808">
        <v>8.4000000000000005E-2</v>
      </c>
    </row>
    <row r="10809" spans="1:8" x14ac:dyDescent="0.3">
      <c r="A10809" t="s">
        <v>26851</v>
      </c>
      <c r="B10809" t="s">
        <v>26951</v>
      </c>
      <c r="C10809" t="s">
        <v>26890</v>
      </c>
      <c r="D10809" t="s">
        <v>26889</v>
      </c>
      <c r="E10809" s="2" t="s">
        <v>394</v>
      </c>
      <c r="F10809" t="s">
        <v>1722</v>
      </c>
      <c r="G10809" t="str">
        <f>HYPERLINK("https://n.news.naver.com/mnews/article/014/0005371883?sid=102")</f>
        <v>https://n.news.naver.com/mnews/article/014/0005371883?sid=102</v>
      </c>
      <c r="H10809">
        <v>0.3</v>
      </c>
    </row>
    <row r="10810" spans="1:8" x14ac:dyDescent="0.3">
      <c r="A10810" t="s">
        <v>26851</v>
      </c>
      <c r="B10810" t="s">
        <v>26951</v>
      </c>
      <c r="C10810" t="s">
        <v>26893</v>
      </c>
      <c r="D10810" t="s">
        <v>26892</v>
      </c>
      <c r="E10810" s="2" t="s">
        <v>452</v>
      </c>
      <c r="F10810" t="s">
        <v>26891</v>
      </c>
      <c r="G10810" t="str">
        <f>HYPERLINK("https://www.greened.kr/news/articleView.html?idxno=312545")</f>
        <v>https://www.greened.kr/news/articleView.html?idxno=312545</v>
      </c>
      <c r="H10810">
        <v>0.29499999999999998</v>
      </c>
    </row>
    <row r="10811" spans="1:8" x14ac:dyDescent="0.3">
      <c r="A10811" t="s">
        <v>26851</v>
      </c>
      <c r="B10811" t="s">
        <v>26951</v>
      </c>
      <c r="C10811" t="s">
        <v>26895</v>
      </c>
      <c r="D10811" t="s">
        <v>26894</v>
      </c>
      <c r="E10811" s="2" t="s">
        <v>481</v>
      </c>
      <c r="F10811" t="s">
        <v>2064</v>
      </c>
      <c r="G10811" t="str">
        <f>HYPERLINK("https://n.news.naver.com/mnews/article/002/0002002952?sid=102")</f>
        <v>https://n.news.naver.com/mnews/article/002/0002002952?sid=102</v>
      </c>
      <c r="H10811">
        <v>0.128</v>
      </c>
    </row>
    <row r="10812" spans="1:8" x14ac:dyDescent="0.3">
      <c r="A10812" t="s">
        <v>26851</v>
      </c>
      <c r="B10812" t="s">
        <v>26951</v>
      </c>
      <c r="C10812" t="s">
        <v>26897</v>
      </c>
      <c r="D10812" t="s">
        <v>26896</v>
      </c>
      <c r="E10812" s="2" t="s">
        <v>481</v>
      </c>
      <c r="F10812" t="s">
        <v>26172</v>
      </c>
      <c r="G10812" t="str">
        <f>HYPERLINK("https://n.news.naver.com/mnews/article/002/0002389888?sid=102")</f>
        <v>https://n.news.naver.com/mnews/article/002/0002389888?sid=102</v>
      </c>
      <c r="H10812">
        <v>0.22700000000000001</v>
      </c>
    </row>
    <row r="10813" spans="1:8" x14ac:dyDescent="0.3">
      <c r="A10813" t="s">
        <v>26851</v>
      </c>
      <c r="B10813" t="s">
        <v>26951</v>
      </c>
      <c r="C10813" t="s">
        <v>26900</v>
      </c>
      <c r="D10813" t="s">
        <v>26899</v>
      </c>
      <c r="E10813" s="2" t="s">
        <v>502</v>
      </c>
      <c r="F10813" t="s">
        <v>26898</v>
      </c>
      <c r="G10813" t="str">
        <f>HYPERLINK("http://www.worldkorean.net/news/articleView.html?idxno=50191")</f>
        <v>http://www.worldkorean.net/news/articleView.html?idxno=50191</v>
      </c>
      <c r="H10813">
        <v>0.66100000000000003</v>
      </c>
    </row>
    <row r="10814" spans="1:8" x14ac:dyDescent="0.3">
      <c r="A10814" t="s">
        <v>26851</v>
      </c>
      <c r="B10814" t="s">
        <v>26951</v>
      </c>
      <c r="C10814" t="s">
        <v>26903</v>
      </c>
      <c r="D10814" t="s">
        <v>26902</v>
      </c>
      <c r="E10814" s="2" t="s">
        <v>538</v>
      </c>
      <c r="F10814" t="s">
        <v>26901</v>
      </c>
      <c r="G10814" t="str">
        <f>HYPERLINK("https://n.news.naver.com/mnews/article/002/0001994241?sid=103")</f>
        <v>https://n.news.naver.com/mnews/article/002/0001994241?sid=103</v>
      </c>
      <c r="H10814">
        <v>0.13200000000000001</v>
      </c>
    </row>
    <row r="10815" spans="1:8" x14ac:dyDescent="0.3">
      <c r="A10815" t="s">
        <v>26851</v>
      </c>
      <c r="B10815" t="s">
        <v>26951</v>
      </c>
      <c r="C10815" t="s">
        <v>26905</v>
      </c>
      <c r="D10815" t="s">
        <v>26904</v>
      </c>
      <c r="E10815" s="2" t="s">
        <v>572</v>
      </c>
      <c r="F10815" t="s">
        <v>25364</v>
      </c>
      <c r="G10815" t="str">
        <f>HYPERLINK("https://n.news.naver.com/mnews/article/081/0000097271?sid=102")</f>
        <v>https://n.news.naver.com/mnews/article/081/0000097271?sid=102</v>
      </c>
      <c r="H10815">
        <v>0.308</v>
      </c>
    </row>
    <row r="10816" spans="1:8" x14ac:dyDescent="0.3">
      <c r="A10816" t="s">
        <v>26851</v>
      </c>
      <c r="B10816" t="s">
        <v>26951</v>
      </c>
      <c r="C10816" t="s">
        <v>26907</v>
      </c>
      <c r="D10816" t="s">
        <v>26906</v>
      </c>
      <c r="E10816" s="2" t="s">
        <v>572</v>
      </c>
      <c r="F10816" t="s">
        <v>148</v>
      </c>
      <c r="G10816" t="str">
        <f>HYPERLINK("https://n.news.naver.com/mnews/article/002/0002389029?sid=103")</f>
        <v>https://n.news.naver.com/mnews/article/002/0002389029?sid=103</v>
      </c>
      <c r="H10816">
        <v>0.20699999999999999</v>
      </c>
    </row>
    <row r="10817" spans="1:8" x14ac:dyDescent="0.3">
      <c r="A10817" t="s">
        <v>26851</v>
      </c>
      <c r="B10817" t="s">
        <v>26951</v>
      </c>
      <c r="C10817" t="s">
        <v>26910</v>
      </c>
      <c r="D10817" t="s">
        <v>26909</v>
      </c>
      <c r="E10817" s="2" t="s">
        <v>572</v>
      </c>
      <c r="F10817" t="s">
        <v>26908</v>
      </c>
      <c r="G10817" t="str">
        <f>HYPERLINK("https://n.news.naver.com/mnews/article/002/0002395597?sid=102")</f>
        <v>https://n.news.naver.com/mnews/article/002/0002395597?sid=102</v>
      </c>
      <c r="H10817">
        <v>0.27300000000000002</v>
      </c>
    </row>
    <row r="10818" spans="1:8" x14ac:dyDescent="0.3">
      <c r="A10818" t="s">
        <v>26851</v>
      </c>
      <c r="B10818" t="s">
        <v>26951</v>
      </c>
      <c r="C10818" t="s">
        <v>26912</v>
      </c>
      <c r="D10818" t="s">
        <v>26911</v>
      </c>
      <c r="E10818" s="2" t="s">
        <v>653</v>
      </c>
      <c r="F10818" t="s">
        <v>9241</v>
      </c>
      <c r="G10818" t="str">
        <f>HYPERLINK("https://www.newspim.com/news/view/20250702000954")</f>
        <v>https://www.newspim.com/news/view/20250702000954</v>
      </c>
      <c r="H10818">
        <v>0.51900000000000002</v>
      </c>
    </row>
    <row r="10819" spans="1:8" x14ac:dyDescent="0.3">
      <c r="A10819" t="s">
        <v>26851</v>
      </c>
      <c r="B10819" t="s">
        <v>26951</v>
      </c>
      <c r="C10819" t="s">
        <v>26914</v>
      </c>
      <c r="D10819" t="s">
        <v>26913</v>
      </c>
      <c r="E10819" s="2" t="s">
        <v>711</v>
      </c>
      <c r="F10819" t="s">
        <v>1960</v>
      </c>
      <c r="G10819" t="str">
        <f>HYPERLINK("http://apnews.kr/View.aspx?No=1539627")</f>
        <v>http://apnews.kr/View.aspx?No=1539627</v>
      </c>
      <c r="H10819">
        <v>0.13800000000000001</v>
      </c>
    </row>
    <row r="10820" spans="1:8" x14ac:dyDescent="0.3">
      <c r="A10820" t="s">
        <v>26851</v>
      </c>
      <c r="B10820" t="s">
        <v>26951</v>
      </c>
      <c r="C10820" t="s">
        <v>26916</v>
      </c>
      <c r="D10820" t="s">
        <v>26915</v>
      </c>
      <c r="E10820" s="2" t="s">
        <v>725</v>
      </c>
      <c r="F10820" t="s">
        <v>26886</v>
      </c>
      <c r="G10820" t="str">
        <f>HYPERLINK("https://n.news.naver.com/mnews/article/002/0002360564?sid=100")</f>
        <v>https://n.news.naver.com/mnews/article/002/0002360564?sid=100</v>
      </c>
      <c r="H10820">
        <v>7.9000000000000001E-2</v>
      </c>
    </row>
    <row r="10821" spans="1:8" x14ac:dyDescent="0.3">
      <c r="A10821" t="s">
        <v>26851</v>
      </c>
      <c r="B10821" t="s">
        <v>26951</v>
      </c>
      <c r="C10821" t="s">
        <v>26919</v>
      </c>
      <c r="D10821" t="s">
        <v>26918</v>
      </c>
      <c r="E10821" s="2" t="s">
        <v>742</v>
      </c>
      <c r="F10821" t="s">
        <v>26917</v>
      </c>
      <c r="G10821" t="str">
        <f>HYPERLINK("http://www.bzeronews.com/news/articleView.html?idxno=641929")</f>
        <v>http://www.bzeronews.com/news/articleView.html?idxno=641929</v>
      </c>
      <c r="H10821">
        <v>0.72099999999999997</v>
      </c>
    </row>
    <row r="10822" spans="1:8" x14ac:dyDescent="0.3">
      <c r="A10822" t="s">
        <v>26851</v>
      </c>
      <c r="B10822" t="s">
        <v>26951</v>
      </c>
      <c r="C10822" t="s">
        <v>26922</v>
      </c>
      <c r="D10822" t="s">
        <v>26921</v>
      </c>
      <c r="E10822" s="2" t="s">
        <v>742</v>
      </c>
      <c r="F10822" t="s">
        <v>26920</v>
      </c>
      <c r="G10822" t="str">
        <f>HYPERLINK("http://www.thefirstmedia.net/news/articleView.html?idxno=132949")</f>
        <v>http://www.thefirstmedia.net/news/articleView.html?idxno=132949</v>
      </c>
      <c r="H10822">
        <v>0.159</v>
      </c>
    </row>
    <row r="10823" spans="1:8" x14ac:dyDescent="0.3">
      <c r="A10823" t="s">
        <v>26851</v>
      </c>
      <c r="B10823" t="s">
        <v>26951</v>
      </c>
      <c r="C10823" t="s">
        <v>26925</v>
      </c>
      <c r="D10823" t="s">
        <v>26924</v>
      </c>
      <c r="E10823" s="2" t="s">
        <v>799</v>
      </c>
      <c r="F10823" t="s">
        <v>26923</v>
      </c>
      <c r="G10823" t="str">
        <f>HYPERLINK("https://n.news.naver.com/mnews/article/002/0002395403?sid=102")</f>
        <v>https://n.news.naver.com/mnews/article/002/0002395403?sid=102</v>
      </c>
      <c r="H10823">
        <v>0.246</v>
      </c>
    </row>
    <row r="10824" spans="1:8" x14ac:dyDescent="0.3">
      <c r="A10824" t="s">
        <v>26851</v>
      </c>
      <c r="B10824" t="s">
        <v>26951</v>
      </c>
      <c r="C10824" t="s">
        <v>26927</v>
      </c>
      <c r="D10824" t="s">
        <v>26926</v>
      </c>
      <c r="E10824" s="2" t="s">
        <v>799</v>
      </c>
      <c r="F10824" t="s">
        <v>148</v>
      </c>
      <c r="G10824" t="str">
        <f>HYPERLINK("https://n.news.naver.com/mnews/article/002/0002006191?sid=101")</f>
        <v>https://n.news.naver.com/mnews/article/002/0002006191?sid=101</v>
      </c>
      <c r="H10824">
        <v>0.183</v>
      </c>
    </row>
    <row r="10825" spans="1:8" x14ac:dyDescent="0.3">
      <c r="A10825" t="s">
        <v>26851</v>
      </c>
      <c r="B10825" t="s">
        <v>26951</v>
      </c>
      <c r="C10825" t="s">
        <v>26930</v>
      </c>
      <c r="D10825" t="s">
        <v>26929</v>
      </c>
      <c r="E10825" s="2" t="s">
        <v>840</v>
      </c>
      <c r="F10825" t="s">
        <v>26928</v>
      </c>
      <c r="G10825" t="str">
        <f>HYPERLINK("https://n.news.naver.com/mnews/article/002/0002319822?sid=103")</f>
        <v>https://n.news.naver.com/mnews/article/002/0002319822?sid=103</v>
      </c>
      <c r="H10825">
        <v>0.27900000000000003</v>
      </c>
    </row>
    <row r="10826" spans="1:8" x14ac:dyDescent="0.3">
      <c r="A10826" t="s">
        <v>26851</v>
      </c>
      <c r="B10826" t="s">
        <v>26951</v>
      </c>
      <c r="C10826" t="s">
        <v>26933</v>
      </c>
      <c r="D10826" t="s">
        <v>26932</v>
      </c>
      <c r="E10826" s="2" t="s">
        <v>860</v>
      </c>
      <c r="F10826" t="s">
        <v>26931</v>
      </c>
      <c r="G10826" t="str">
        <f>HYPERLINK("https://www.greened.kr/news/articleView.html?idxno=328257")</f>
        <v>https://www.greened.kr/news/articleView.html?idxno=328257</v>
      </c>
      <c r="H10826">
        <v>0.65400000000000003</v>
      </c>
    </row>
    <row r="10827" spans="1:8" x14ac:dyDescent="0.3">
      <c r="A10827" t="s">
        <v>26851</v>
      </c>
      <c r="B10827" t="s">
        <v>26951</v>
      </c>
      <c r="C10827" t="s">
        <v>26936</v>
      </c>
      <c r="D10827" t="s">
        <v>26935</v>
      </c>
      <c r="E10827" s="2" t="s">
        <v>860</v>
      </c>
      <c r="F10827" t="s">
        <v>26934</v>
      </c>
      <c r="G10827" t="str">
        <f>HYPERLINK("http://ch.yes24.com/Article/View/42055")</f>
        <v>http://ch.yes24.com/Article/View/42055</v>
      </c>
      <c r="H10827">
        <v>0.27600000000000002</v>
      </c>
    </row>
    <row r="10828" spans="1:8" x14ac:dyDescent="0.3">
      <c r="A10828" t="s">
        <v>26851</v>
      </c>
      <c r="B10828" t="s">
        <v>26951</v>
      </c>
      <c r="C10828" t="s">
        <v>26938</v>
      </c>
      <c r="D10828" t="s">
        <v>26937</v>
      </c>
      <c r="E10828" s="2" t="s">
        <v>860</v>
      </c>
      <c r="F10828" t="s">
        <v>1328</v>
      </c>
      <c r="G10828" t="str">
        <f>HYPERLINK("http://www.metroseoul.co.kr/article/20250531500039")</f>
        <v>http://www.metroseoul.co.kr/article/20250531500039</v>
      </c>
      <c r="H10828">
        <v>0.40200000000000002</v>
      </c>
    </row>
    <row r="10829" spans="1:8" x14ac:dyDescent="0.3">
      <c r="A10829" t="s">
        <v>26939</v>
      </c>
      <c r="B10829" t="s">
        <v>26951</v>
      </c>
      <c r="C10829" t="s">
        <v>26942</v>
      </c>
      <c r="D10829" t="s">
        <v>26941</v>
      </c>
      <c r="E10829" s="2" t="s">
        <v>356</v>
      </c>
      <c r="F10829" t="s">
        <v>26940</v>
      </c>
      <c r="G10829" t="str">
        <f>HYPERLINK("https://www.womaneconomy.co.kr/news/articleView.html?idxno=237442")</f>
        <v>https://www.womaneconomy.co.kr/news/articleView.html?idxno=237442</v>
      </c>
      <c r="H10829">
        <v>0.26800000000000002</v>
      </c>
    </row>
    <row r="10830" spans="1:8" x14ac:dyDescent="0.3">
      <c r="A10830" t="s">
        <v>26939</v>
      </c>
      <c r="B10830" t="s">
        <v>26951</v>
      </c>
      <c r="C10830" t="s">
        <v>26945</v>
      </c>
      <c r="D10830" t="s">
        <v>26944</v>
      </c>
      <c r="E10830" s="2" t="s">
        <v>860</v>
      </c>
      <c r="F10830" t="s">
        <v>26943</v>
      </c>
      <c r="G10830" t="str">
        <f>HYPERLINK("http://www.greened.kr/news/articleView.html?idxno=301336")</f>
        <v>http://www.greened.kr/news/articleView.html?idxno=301336</v>
      </c>
      <c r="H10830">
        <v>0.41399999999999998</v>
      </c>
    </row>
    <row r="10831" spans="1:8" x14ac:dyDescent="0.3">
      <c r="E10831"/>
    </row>
    <row r="10832" spans="1:8" x14ac:dyDescent="0.3">
      <c r="E10832"/>
    </row>
    <row r="10833" spans="5:5" x14ac:dyDescent="0.3">
      <c r="E10833"/>
    </row>
    <row r="10834" spans="5:5" x14ac:dyDescent="0.3">
      <c r="E10834"/>
    </row>
    <row r="10835" spans="5:5" x14ac:dyDescent="0.3">
      <c r="E10835"/>
    </row>
    <row r="10836" spans="5:5" x14ac:dyDescent="0.3">
      <c r="E10836"/>
    </row>
    <row r="10837" spans="5:5" x14ac:dyDescent="0.3">
      <c r="E10837"/>
    </row>
    <row r="10838" spans="5:5" x14ac:dyDescent="0.3">
      <c r="E10838"/>
    </row>
    <row r="10839" spans="5:5" x14ac:dyDescent="0.3">
      <c r="E10839"/>
    </row>
    <row r="10840" spans="5:5" x14ac:dyDescent="0.3">
      <c r="E10840"/>
    </row>
    <row r="10841" spans="5:5" x14ac:dyDescent="0.3">
      <c r="E10841"/>
    </row>
    <row r="10842" spans="5:5" x14ac:dyDescent="0.3">
      <c r="E10842"/>
    </row>
    <row r="10843" spans="5:5" x14ac:dyDescent="0.3">
      <c r="E10843"/>
    </row>
    <row r="10844" spans="5:5" x14ac:dyDescent="0.3">
      <c r="E10844"/>
    </row>
    <row r="10845" spans="5:5" x14ac:dyDescent="0.3">
      <c r="E10845"/>
    </row>
    <row r="10846" spans="5:5" x14ac:dyDescent="0.3">
      <c r="E10846"/>
    </row>
    <row r="10847" spans="5:5" x14ac:dyDescent="0.3">
      <c r="E10847"/>
    </row>
    <row r="10848" spans="5:5" x14ac:dyDescent="0.3">
      <c r="E10848"/>
    </row>
    <row r="10849" spans="5:5" x14ac:dyDescent="0.3">
      <c r="E10849"/>
    </row>
    <row r="10850" spans="5:5" x14ac:dyDescent="0.3">
      <c r="E10850"/>
    </row>
    <row r="10851" spans="5:5" x14ac:dyDescent="0.3">
      <c r="E10851"/>
    </row>
    <row r="10852" spans="5:5" x14ac:dyDescent="0.3">
      <c r="E10852"/>
    </row>
    <row r="10853" spans="5:5" x14ac:dyDescent="0.3">
      <c r="E10853"/>
    </row>
    <row r="10854" spans="5:5" x14ac:dyDescent="0.3">
      <c r="E10854"/>
    </row>
    <row r="10855" spans="5:5" x14ac:dyDescent="0.3">
      <c r="E10855"/>
    </row>
    <row r="10856" spans="5:5" x14ac:dyDescent="0.3">
      <c r="E10856"/>
    </row>
    <row r="10857" spans="5:5" x14ac:dyDescent="0.3">
      <c r="E10857"/>
    </row>
    <row r="10858" spans="5:5" x14ac:dyDescent="0.3">
      <c r="E10858"/>
    </row>
    <row r="10859" spans="5:5" x14ac:dyDescent="0.3">
      <c r="E10859"/>
    </row>
    <row r="10860" spans="5:5" x14ac:dyDescent="0.3">
      <c r="E10860"/>
    </row>
    <row r="10861" spans="5:5" x14ac:dyDescent="0.3">
      <c r="E10861"/>
    </row>
    <row r="10862" spans="5:5" x14ac:dyDescent="0.3">
      <c r="E10862"/>
    </row>
    <row r="10863" spans="5:5" x14ac:dyDescent="0.3">
      <c r="E10863"/>
    </row>
    <row r="10864" spans="5:5" x14ac:dyDescent="0.3">
      <c r="E10864"/>
    </row>
    <row r="10865" spans="5:5" x14ac:dyDescent="0.3">
      <c r="E10865"/>
    </row>
    <row r="10866" spans="5:5" x14ac:dyDescent="0.3">
      <c r="E10866"/>
    </row>
    <row r="10867" spans="5:5" x14ac:dyDescent="0.3">
      <c r="E10867"/>
    </row>
    <row r="10868" spans="5:5" x14ac:dyDescent="0.3">
      <c r="E10868"/>
    </row>
    <row r="10869" spans="5:5" x14ac:dyDescent="0.3">
      <c r="E10869"/>
    </row>
    <row r="10870" spans="5:5" x14ac:dyDescent="0.3">
      <c r="E10870"/>
    </row>
    <row r="10871" spans="5:5" x14ac:dyDescent="0.3">
      <c r="E10871"/>
    </row>
    <row r="10872" spans="5:5" x14ac:dyDescent="0.3">
      <c r="E10872"/>
    </row>
    <row r="10873" spans="5:5" x14ac:dyDescent="0.3">
      <c r="E10873"/>
    </row>
    <row r="10874" spans="5:5" x14ac:dyDescent="0.3">
      <c r="E10874"/>
    </row>
    <row r="10875" spans="5:5" x14ac:dyDescent="0.3">
      <c r="E10875"/>
    </row>
    <row r="10876" spans="5:5" x14ac:dyDescent="0.3">
      <c r="E10876"/>
    </row>
    <row r="10877" spans="5:5" x14ac:dyDescent="0.3">
      <c r="E10877"/>
    </row>
    <row r="10878" spans="5:5" x14ac:dyDescent="0.3">
      <c r="E10878"/>
    </row>
    <row r="10879" spans="5:5" x14ac:dyDescent="0.3">
      <c r="E10879"/>
    </row>
    <row r="10880" spans="5:5" x14ac:dyDescent="0.3">
      <c r="E10880"/>
    </row>
    <row r="10881" spans="5:5" x14ac:dyDescent="0.3">
      <c r="E10881"/>
    </row>
    <row r="10882" spans="5:5" x14ac:dyDescent="0.3">
      <c r="E10882"/>
    </row>
    <row r="10883" spans="5:5" x14ac:dyDescent="0.3">
      <c r="E10883"/>
    </row>
    <row r="10884" spans="5:5" x14ac:dyDescent="0.3">
      <c r="E10884"/>
    </row>
    <row r="10885" spans="5:5" x14ac:dyDescent="0.3">
      <c r="E10885"/>
    </row>
    <row r="10886" spans="5:5" x14ac:dyDescent="0.3">
      <c r="E10886"/>
    </row>
    <row r="10887" spans="5:5" x14ac:dyDescent="0.3">
      <c r="E10887"/>
    </row>
    <row r="10888" spans="5:5" x14ac:dyDescent="0.3">
      <c r="E10888"/>
    </row>
    <row r="10889" spans="5:5" x14ac:dyDescent="0.3">
      <c r="E10889"/>
    </row>
    <row r="10890" spans="5:5" x14ac:dyDescent="0.3">
      <c r="E10890"/>
    </row>
    <row r="10891" spans="5:5" x14ac:dyDescent="0.3">
      <c r="E10891"/>
    </row>
    <row r="10892" spans="5:5" x14ac:dyDescent="0.3">
      <c r="E10892"/>
    </row>
    <row r="10893" spans="5:5" x14ac:dyDescent="0.3">
      <c r="E10893"/>
    </row>
    <row r="10894" spans="5:5" x14ac:dyDescent="0.3">
      <c r="E10894"/>
    </row>
    <row r="10895" spans="5:5" x14ac:dyDescent="0.3">
      <c r="E10895"/>
    </row>
    <row r="10896" spans="5:5" x14ac:dyDescent="0.3">
      <c r="E10896"/>
    </row>
    <row r="10897" spans="5:5" x14ac:dyDescent="0.3">
      <c r="E10897"/>
    </row>
    <row r="10898" spans="5:5" x14ac:dyDescent="0.3">
      <c r="E10898"/>
    </row>
    <row r="10899" spans="5:5" x14ac:dyDescent="0.3">
      <c r="E10899"/>
    </row>
    <row r="10900" spans="5:5" x14ac:dyDescent="0.3">
      <c r="E10900"/>
    </row>
    <row r="10901" spans="5:5" x14ac:dyDescent="0.3">
      <c r="E10901"/>
    </row>
    <row r="10902" spans="5:5" x14ac:dyDescent="0.3">
      <c r="E10902"/>
    </row>
    <row r="10903" spans="5:5" x14ac:dyDescent="0.3">
      <c r="E10903"/>
    </row>
    <row r="10904" spans="5:5" x14ac:dyDescent="0.3">
      <c r="E10904"/>
    </row>
    <row r="10905" spans="5:5" x14ac:dyDescent="0.3">
      <c r="E10905"/>
    </row>
    <row r="10906" spans="5:5" x14ac:dyDescent="0.3">
      <c r="E10906"/>
    </row>
    <row r="10907" spans="5:5" x14ac:dyDescent="0.3">
      <c r="E10907"/>
    </row>
    <row r="10908" spans="5:5" x14ac:dyDescent="0.3">
      <c r="E10908"/>
    </row>
    <row r="10909" spans="5:5" x14ac:dyDescent="0.3">
      <c r="E10909"/>
    </row>
    <row r="10910" spans="5:5" x14ac:dyDescent="0.3">
      <c r="E10910"/>
    </row>
    <row r="10911" spans="5:5" x14ac:dyDescent="0.3">
      <c r="E10911"/>
    </row>
    <row r="10912" spans="5:5" x14ac:dyDescent="0.3">
      <c r="E10912"/>
    </row>
    <row r="10913" spans="5:5" x14ac:dyDescent="0.3">
      <c r="E10913"/>
    </row>
    <row r="10914" spans="5:5" x14ac:dyDescent="0.3">
      <c r="E10914"/>
    </row>
    <row r="10915" spans="5:5" x14ac:dyDescent="0.3">
      <c r="E10915"/>
    </row>
    <row r="10916" spans="5:5" x14ac:dyDescent="0.3">
      <c r="E10916"/>
    </row>
    <row r="10917" spans="5:5" x14ac:dyDescent="0.3">
      <c r="E10917"/>
    </row>
    <row r="10918" spans="5:5" x14ac:dyDescent="0.3">
      <c r="E10918"/>
    </row>
    <row r="10919" spans="5:5" x14ac:dyDescent="0.3">
      <c r="E10919"/>
    </row>
    <row r="10920" spans="5:5" x14ac:dyDescent="0.3">
      <c r="E10920"/>
    </row>
    <row r="10921" spans="5:5" x14ac:dyDescent="0.3">
      <c r="E10921"/>
    </row>
    <row r="10922" spans="5:5" x14ac:dyDescent="0.3">
      <c r="E10922"/>
    </row>
    <row r="10923" spans="5:5" x14ac:dyDescent="0.3">
      <c r="E10923"/>
    </row>
    <row r="10924" spans="5:5" x14ac:dyDescent="0.3">
      <c r="E10924"/>
    </row>
    <row r="10925" spans="5:5" x14ac:dyDescent="0.3">
      <c r="E10925"/>
    </row>
    <row r="10926" spans="5:5" x14ac:dyDescent="0.3">
      <c r="E10926"/>
    </row>
    <row r="10927" spans="5:5" x14ac:dyDescent="0.3">
      <c r="E10927"/>
    </row>
    <row r="10928" spans="5:5" x14ac:dyDescent="0.3">
      <c r="E10928"/>
    </row>
    <row r="10929" spans="5:5" x14ac:dyDescent="0.3">
      <c r="E10929"/>
    </row>
    <row r="10930" spans="5:5" x14ac:dyDescent="0.3">
      <c r="E10930"/>
    </row>
    <row r="10931" spans="5:5" x14ac:dyDescent="0.3">
      <c r="E10931"/>
    </row>
    <row r="10932" spans="5:5" x14ac:dyDescent="0.3">
      <c r="E10932"/>
    </row>
    <row r="10933" spans="5:5" x14ac:dyDescent="0.3">
      <c r="E10933"/>
    </row>
    <row r="10934" spans="5:5" x14ac:dyDescent="0.3">
      <c r="E10934"/>
    </row>
    <row r="10935" spans="5:5" x14ac:dyDescent="0.3">
      <c r="E10935"/>
    </row>
    <row r="10936" spans="5:5" x14ac:dyDescent="0.3">
      <c r="E10936"/>
    </row>
    <row r="10937" spans="5:5" x14ac:dyDescent="0.3">
      <c r="E10937"/>
    </row>
    <row r="10938" spans="5:5" x14ac:dyDescent="0.3">
      <c r="E10938"/>
    </row>
    <row r="10939" spans="5:5" x14ac:dyDescent="0.3">
      <c r="E10939"/>
    </row>
    <row r="10940" spans="5:5" x14ac:dyDescent="0.3">
      <c r="E10940"/>
    </row>
    <row r="10941" spans="5:5" x14ac:dyDescent="0.3">
      <c r="E10941"/>
    </row>
    <row r="10942" spans="5:5" x14ac:dyDescent="0.3">
      <c r="E10942"/>
    </row>
    <row r="10943" spans="5:5" x14ac:dyDescent="0.3">
      <c r="E10943"/>
    </row>
    <row r="10944" spans="5:5" x14ac:dyDescent="0.3">
      <c r="E10944"/>
    </row>
    <row r="10945" spans="5:5" x14ac:dyDescent="0.3">
      <c r="E10945"/>
    </row>
    <row r="10946" spans="5:5" x14ac:dyDescent="0.3">
      <c r="E10946"/>
    </row>
    <row r="10947" spans="5:5" x14ac:dyDescent="0.3">
      <c r="E10947"/>
    </row>
    <row r="10948" spans="5:5" x14ac:dyDescent="0.3">
      <c r="E10948"/>
    </row>
    <row r="10949" spans="5:5" x14ac:dyDescent="0.3">
      <c r="E10949"/>
    </row>
    <row r="10950" spans="5:5" x14ac:dyDescent="0.3">
      <c r="E10950"/>
    </row>
    <row r="10951" spans="5:5" x14ac:dyDescent="0.3">
      <c r="E10951"/>
    </row>
    <row r="10952" spans="5:5" x14ac:dyDescent="0.3">
      <c r="E10952"/>
    </row>
    <row r="10953" spans="5:5" x14ac:dyDescent="0.3">
      <c r="E10953"/>
    </row>
    <row r="10954" spans="5:5" x14ac:dyDescent="0.3">
      <c r="E10954"/>
    </row>
    <row r="10955" spans="5:5" x14ac:dyDescent="0.3">
      <c r="E10955"/>
    </row>
    <row r="10956" spans="5:5" x14ac:dyDescent="0.3">
      <c r="E10956"/>
    </row>
    <row r="10957" spans="5:5" x14ac:dyDescent="0.3">
      <c r="E10957"/>
    </row>
    <row r="10958" spans="5:5" x14ac:dyDescent="0.3">
      <c r="E10958"/>
    </row>
    <row r="10959" spans="5:5" x14ac:dyDescent="0.3">
      <c r="E10959"/>
    </row>
    <row r="10960" spans="5:5" x14ac:dyDescent="0.3">
      <c r="E10960"/>
    </row>
    <row r="10961" spans="5:5" x14ac:dyDescent="0.3">
      <c r="E10961"/>
    </row>
    <row r="10962" spans="5:5" x14ac:dyDescent="0.3">
      <c r="E10962"/>
    </row>
    <row r="10963" spans="5:5" x14ac:dyDescent="0.3">
      <c r="E10963"/>
    </row>
    <row r="10964" spans="5:5" x14ac:dyDescent="0.3">
      <c r="E10964"/>
    </row>
    <row r="10965" spans="5:5" x14ac:dyDescent="0.3">
      <c r="E10965"/>
    </row>
    <row r="10966" spans="5:5" x14ac:dyDescent="0.3">
      <c r="E10966"/>
    </row>
    <row r="10967" spans="5:5" x14ac:dyDescent="0.3">
      <c r="E10967"/>
    </row>
    <row r="10968" spans="5:5" x14ac:dyDescent="0.3">
      <c r="E10968"/>
    </row>
    <row r="10969" spans="5:5" x14ac:dyDescent="0.3">
      <c r="E10969"/>
    </row>
    <row r="10970" spans="5:5" x14ac:dyDescent="0.3">
      <c r="E10970"/>
    </row>
    <row r="10971" spans="5:5" x14ac:dyDescent="0.3">
      <c r="E10971"/>
    </row>
    <row r="10972" spans="5:5" x14ac:dyDescent="0.3">
      <c r="E10972"/>
    </row>
    <row r="10973" spans="5:5" x14ac:dyDescent="0.3">
      <c r="E10973"/>
    </row>
    <row r="10974" spans="5:5" x14ac:dyDescent="0.3">
      <c r="E10974"/>
    </row>
    <row r="10975" spans="5:5" x14ac:dyDescent="0.3">
      <c r="E10975"/>
    </row>
    <row r="10976" spans="5:5" x14ac:dyDescent="0.3">
      <c r="E10976"/>
    </row>
    <row r="10977" spans="5:5" x14ac:dyDescent="0.3">
      <c r="E10977"/>
    </row>
    <row r="10978" spans="5:5" x14ac:dyDescent="0.3">
      <c r="E10978"/>
    </row>
    <row r="10979" spans="5:5" x14ac:dyDescent="0.3">
      <c r="E10979"/>
    </row>
    <row r="10980" spans="5:5" x14ac:dyDescent="0.3">
      <c r="E10980"/>
    </row>
    <row r="10981" spans="5:5" x14ac:dyDescent="0.3">
      <c r="E10981"/>
    </row>
    <row r="10982" spans="5:5" x14ac:dyDescent="0.3">
      <c r="E10982"/>
    </row>
    <row r="10983" spans="5:5" x14ac:dyDescent="0.3">
      <c r="E10983"/>
    </row>
    <row r="10984" spans="5:5" x14ac:dyDescent="0.3">
      <c r="E10984"/>
    </row>
    <row r="10985" spans="5:5" x14ac:dyDescent="0.3">
      <c r="E10985"/>
    </row>
    <row r="10986" spans="5:5" x14ac:dyDescent="0.3">
      <c r="E10986"/>
    </row>
    <row r="10987" spans="5:5" x14ac:dyDescent="0.3">
      <c r="E10987"/>
    </row>
    <row r="10988" spans="5:5" x14ac:dyDescent="0.3">
      <c r="E10988"/>
    </row>
    <row r="10989" spans="5:5" x14ac:dyDescent="0.3">
      <c r="E10989"/>
    </row>
    <row r="10990" spans="5:5" x14ac:dyDescent="0.3">
      <c r="E10990"/>
    </row>
    <row r="10991" spans="5:5" x14ac:dyDescent="0.3">
      <c r="E10991"/>
    </row>
    <row r="10992" spans="5:5" x14ac:dyDescent="0.3">
      <c r="E10992"/>
    </row>
    <row r="10993" spans="5:5" x14ac:dyDescent="0.3">
      <c r="E10993"/>
    </row>
    <row r="10994" spans="5:5" x14ac:dyDescent="0.3">
      <c r="E10994"/>
    </row>
    <row r="10995" spans="5:5" x14ac:dyDescent="0.3">
      <c r="E10995"/>
    </row>
    <row r="10996" spans="5:5" x14ac:dyDescent="0.3">
      <c r="E10996"/>
    </row>
    <row r="10997" spans="5:5" x14ac:dyDescent="0.3">
      <c r="E10997"/>
    </row>
    <row r="10998" spans="5:5" x14ac:dyDescent="0.3">
      <c r="E10998"/>
    </row>
    <row r="10999" spans="5:5" x14ac:dyDescent="0.3">
      <c r="E10999"/>
    </row>
    <row r="11000" spans="5:5" x14ac:dyDescent="0.3">
      <c r="E11000"/>
    </row>
    <row r="11001" spans="5:5" x14ac:dyDescent="0.3">
      <c r="E11001"/>
    </row>
    <row r="11002" spans="5:5" x14ac:dyDescent="0.3">
      <c r="E11002"/>
    </row>
    <row r="11003" spans="5:5" x14ac:dyDescent="0.3">
      <c r="E11003"/>
    </row>
    <row r="11004" spans="5:5" x14ac:dyDescent="0.3">
      <c r="E11004"/>
    </row>
    <row r="11005" spans="5:5" x14ac:dyDescent="0.3">
      <c r="E11005"/>
    </row>
    <row r="11006" spans="5:5" x14ac:dyDescent="0.3">
      <c r="E11006"/>
    </row>
    <row r="11007" spans="5:5" x14ac:dyDescent="0.3">
      <c r="E11007"/>
    </row>
    <row r="11008" spans="5:5" x14ac:dyDescent="0.3">
      <c r="E11008"/>
    </row>
    <row r="11009" spans="5:5" x14ac:dyDescent="0.3">
      <c r="E11009"/>
    </row>
    <row r="11010" spans="5:5" x14ac:dyDescent="0.3">
      <c r="E11010"/>
    </row>
    <row r="11011" spans="5:5" x14ac:dyDescent="0.3">
      <c r="E11011"/>
    </row>
    <row r="11012" spans="5:5" x14ac:dyDescent="0.3">
      <c r="E11012"/>
    </row>
    <row r="11013" spans="5:5" x14ac:dyDescent="0.3">
      <c r="E11013"/>
    </row>
    <row r="11014" spans="5:5" x14ac:dyDescent="0.3">
      <c r="E11014"/>
    </row>
    <row r="11015" spans="5:5" x14ac:dyDescent="0.3">
      <c r="E11015"/>
    </row>
    <row r="11016" spans="5:5" x14ac:dyDescent="0.3">
      <c r="E11016"/>
    </row>
    <row r="11017" spans="5:5" x14ac:dyDescent="0.3">
      <c r="E11017"/>
    </row>
    <row r="11018" spans="5:5" x14ac:dyDescent="0.3">
      <c r="E11018"/>
    </row>
    <row r="11019" spans="5:5" x14ac:dyDescent="0.3">
      <c r="E11019"/>
    </row>
    <row r="11020" spans="5:5" x14ac:dyDescent="0.3">
      <c r="E11020"/>
    </row>
    <row r="11021" spans="5:5" x14ac:dyDescent="0.3">
      <c r="E11021"/>
    </row>
    <row r="11022" spans="5:5" x14ac:dyDescent="0.3">
      <c r="E11022"/>
    </row>
    <row r="11023" spans="5:5" x14ac:dyDescent="0.3">
      <c r="E11023"/>
    </row>
    <row r="11024" spans="5:5" x14ac:dyDescent="0.3">
      <c r="E11024"/>
    </row>
    <row r="11025" spans="5:5" x14ac:dyDescent="0.3">
      <c r="E11025"/>
    </row>
    <row r="11026" spans="5:5" x14ac:dyDescent="0.3">
      <c r="E11026"/>
    </row>
    <row r="11027" spans="5:5" x14ac:dyDescent="0.3">
      <c r="E11027"/>
    </row>
    <row r="11028" spans="5:5" x14ac:dyDescent="0.3">
      <c r="E11028"/>
    </row>
    <row r="11029" spans="5:5" x14ac:dyDescent="0.3">
      <c r="E11029"/>
    </row>
    <row r="11030" spans="5:5" x14ac:dyDescent="0.3">
      <c r="E11030"/>
    </row>
    <row r="11031" spans="5:5" x14ac:dyDescent="0.3">
      <c r="E11031"/>
    </row>
    <row r="11032" spans="5:5" x14ac:dyDescent="0.3">
      <c r="E11032"/>
    </row>
    <row r="11033" spans="5:5" x14ac:dyDescent="0.3">
      <c r="E11033"/>
    </row>
    <row r="11034" spans="5:5" x14ac:dyDescent="0.3">
      <c r="E11034"/>
    </row>
    <row r="11035" spans="5:5" x14ac:dyDescent="0.3">
      <c r="E11035"/>
    </row>
    <row r="11036" spans="5:5" x14ac:dyDescent="0.3">
      <c r="E11036"/>
    </row>
    <row r="11037" spans="5:5" x14ac:dyDescent="0.3">
      <c r="E11037"/>
    </row>
    <row r="11038" spans="5:5" x14ac:dyDescent="0.3">
      <c r="E11038"/>
    </row>
    <row r="11039" spans="5:5" x14ac:dyDescent="0.3">
      <c r="E11039"/>
    </row>
    <row r="11040" spans="5:5" x14ac:dyDescent="0.3">
      <c r="E11040"/>
    </row>
    <row r="11041" spans="5:5" x14ac:dyDescent="0.3">
      <c r="E11041"/>
    </row>
    <row r="11042" spans="5:5" x14ac:dyDescent="0.3">
      <c r="E11042"/>
    </row>
    <row r="11043" spans="5:5" x14ac:dyDescent="0.3">
      <c r="E11043"/>
    </row>
    <row r="11044" spans="5:5" x14ac:dyDescent="0.3">
      <c r="E11044"/>
    </row>
    <row r="11045" spans="5:5" x14ac:dyDescent="0.3">
      <c r="E11045"/>
    </row>
    <row r="11046" spans="5:5" x14ac:dyDescent="0.3">
      <c r="E11046"/>
    </row>
    <row r="11047" spans="5:5" x14ac:dyDescent="0.3">
      <c r="E11047"/>
    </row>
    <row r="11048" spans="5:5" x14ac:dyDescent="0.3">
      <c r="E11048"/>
    </row>
    <row r="11049" spans="5:5" x14ac:dyDescent="0.3">
      <c r="E11049"/>
    </row>
    <row r="11050" spans="5:5" x14ac:dyDescent="0.3">
      <c r="E11050"/>
    </row>
    <row r="11051" spans="5:5" x14ac:dyDescent="0.3">
      <c r="E11051"/>
    </row>
    <row r="11052" spans="5:5" x14ac:dyDescent="0.3">
      <c r="E11052"/>
    </row>
    <row r="11053" spans="5:5" x14ac:dyDescent="0.3">
      <c r="E11053"/>
    </row>
    <row r="11054" spans="5:5" x14ac:dyDescent="0.3">
      <c r="E11054"/>
    </row>
    <row r="11055" spans="5:5" x14ac:dyDescent="0.3">
      <c r="E11055"/>
    </row>
    <row r="11056" spans="5:5" x14ac:dyDescent="0.3">
      <c r="E11056"/>
    </row>
    <row r="11057" spans="5:5" x14ac:dyDescent="0.3">
      <c r="E11057"/>
    </row>
    <row r="11058" spans="5:5" x14ac:dyDescent="0.3">
      <c r="E11058"/>
    </row>
    <row r="11059" spans="5:5" x14ac:dyDescent="0.3">
      <c r="E11059"/>
    </row>
    <row r="11060" spans="5:5" x14ac:dyDescent="0.3">
      <c r="E11060"/>
    </row>
    <row r="11061" spans="5:5" x14ac:dyDescent="0.3">
      <c r="E11061"/>
    </row>
    <row r="11062" spans="5:5" x14ac:dyDescent="0.3">
      <c r="E11062"/>
    </row>
    <row r="11063" spans="5:5" x14ac:dyDescent="0.3">
      <c r="E11063"/>
    </row>
    <row r="11064" spans="5:5" x14ac:dyDescent="0.3">
      <c r="E11064"/>
    </row>
    <row r="11065" spans="5:5" x14ac:dyDescent="0.3">
      <c r="E11065"/>
    </row>
    <row r="11066" spans="5:5" x14ac:dyDescent="0.3">
      <c r="E11066"/>
    </row>
    <row r="11067" spans="5:5" x14ac:dyDescent="0.3">
      <c r="E11067"/>
    </row>
    <row r="11068" spans="5:5" x14ac:dyDescent="0.3">
      <c r="E11068"/>
    </row>
    <row r="11069" spans="5:5" x14ac:dyDescent="0.3">
      <c r="E11069"/>
    </row>
    <row r="11070" spans="5:5" x14ac:dyDescent="0.3">
      <c r="E11070"/>
    </row>
    <row r="11071" spans="5:5" x14ac:dyDescent="0.3">
      <c r="E11071"/>
    </row>
    <row r="11072" spans="5:5" x14ac:dyDescent="0.3">
      <c r="E11072"/>
    </row>
    <row r="11073" spans="5:5" x14ac:dyDescent="0.3">
      <c r="E11073"/>
    </row>
    <row r="11074" spans="5:5" x14ac:dyDescent="0.3">
      <c r="E11074"/>
    </row>
    <row r="11075" spans="5:5" x14ac:dyDescent="0.3">
      <c r="E11075"/>
    </row>
    <row r="11076" spans="5:5" x14ac:dyDescent="0.3">
      <c r="E11076"/>
    </row>
    <row r="11077" spans="5:5" x14ac:dyDescent="0.3">
      <c r="E11077"/>
    </row>
    <row r="11078" spans="5:5" x14ac:dyDescent="0.3">
      <c r="E11078"/>
    </row>
    <row r="11079" spans="5:5" x14ac:dyDescent="0.3">
      <c r="E11079"/>
    </row>
    <row r="11080" spans="5:5" x14ac:dyDescent="0.3">
      <c r="E11080"/>
    </row>
    <row r="11081" spans="5:5" x14ac:dyDescent="0.3">
      <c r="E11081"/>
    </row>
    <row r="11082" spans="5:5" x14ac:dyDescent="0.3">
      <c r="E11082"/>
    </row>
    <row r="11083" spans="5:5" x14ac:dyDescent="0.3">
      <c r="E11083"/>
    </row>
    <row r="11084" spans="5:5" x14ac:dyDescent="0.3">
      <c r="E11084"/>
    </row>
    <row r="11085" spans="5:5" x14ac:dyDescent="0.3">
      <c r="E11085"/>
    </row>
    <row r="11086" spans="5:5" x14ac:dyDescent="0.3">
      <c r="E11086"/>
    </row>
    <row r="11087" spans="5:5" x14ac:dyDescent="0.3">
      <c r="E11087"/>
    </row>
    <row r="11088" spans="5:5" x14ac:dyDescent="0.3">
      <c r="E11088"/>
    </row>
    <row r="11089" spans="5:5" x14ac:dyDescent="0.3">
      <c r="E11089"/>
    </row>
    <row r="11090" spans="5:5" x14ac:dyDescent="0.3">
      <c r="E11090"/>
    </row>
    <row r="11091" spans="5:5" x14ac:dyDescent="0.3">
      <c r="E11091"/>
    </row>
    <row r="11092" spans="5:5" x14ac:dyDescent="0.3">
      <c r="E11092"/>
    </row>
    <row r="11093" spans="5:5" x14ac:dyDescent="0.3">
      <c r="E11093"/>
    </row>
    <row r="11094" spans="5:5" x14ac:dyDescent="0.3">
      <c r="E11094"/>
    </row>
    <row r="11095" spans="5:5" x14ac:dyDescent="0.3">
      <c r="E11095"/>
    </row>
    <row r="11096" spans="5:5" x14ac:dyDescent="0.3">
      <c r="E11096"/>
    </row>
    <row r="11097" spans="5:5" x14ac:dyDescent="0.3">
      <c r="E11097"/>
    </row>
    <row r="11098" spans="5:5" x14ac:dyDescent="0.3">
      <c r="E11098"/>
    </row>
    <row r="11099" spans="5:5" x14ac:dyDescent="0.3">
      <c r="E11099"/>
    </row>
    <row r="11100" spans="5:5" x14ac:dyDescent="0.3">
      <c r="E11100"/>
    </row>
    <row r="11101" spans="5:5" x14ac:dyDescent="0.3">
      <c r="E11101"/>
    </row>
    <row r="11102" spans="5:5" x14ac:dyDescent="0.3">
      <c r="E11102"/>
    </row>
    <row r="11103" spans="5:5" x14ac:dyDescent="0.3">
      <c r="E11103"/>
    </row>
    <row r="11104" spans="5:5" x14ac:dyDescent="0.3">
      <c r="E11104"/>
    </row>
    <row r="11105" spans="5:5" x14ac:dyDescent="0.3">
      <c r="E11105"/>
    </row>
    <row r="11106" spans="5:5" x14ac:dyDescent="0.3">
      <c r="E11106"/>
    </row>
    <row r="11107" spans="5:5" x14ac:dyDescent="0.3">
      <c r="E11107"/>
    </row>
    <row r="11108" spans="5:5" x14ac:dyDescent="0.3">
      <c r="E11108"/>
    </row>
    <row r="11109" spans="5:5" x14ac:dyDescent="0.3">
      <c r="E11109"/>
    </row>
    <row r="11110" spans="5:5" x14ac:dyDescent="0.3">
      <c r="E11110"/>
    </row>
    <row r="11111" spans="5:5" x14ac:dyDescent="0.3">
      <c r="E11111"/>
    </row>
    <row r="11112" spans="5:5" x14ac:dyDescent="0.3">
      <c r="E11112"/>
    </row>
    <row r="11113" spans="5:5" x14ac:dyDescent="0.3">
      <c r="E11113"/>
    </row>
    <row r="11114" spans="5:5" x14ac:dyDescent="0.3">
      <c r="E11114"/>
    </row>
    <row r="11115" spans="5:5" x14ac:dyDescent="0.3">
      <c r="E11115"/>
    </row>
    <row r="11116" spans="5:5" x14ac:dyDescent="0.3">
      <c r="E11116"/>
    </row>
    <row r="11117" spans="5:5" x14ac:dyDescent="0.3">
      <c r="E11117"/>
    </row>
    <row r="11118" spans="5:5" x14ac:dyDescent="0.3">
      <c r="E11118"/>
    </row>
    <row r="11119" spans="5:5" x14ac:dyDescent="0.3">
      <c r="E11119"/>
    </row>
    <row r="11120" spans="5:5" x14ac:dyDescent="0.3">
      <c r="E11120"/>
    </row>
    <row r="11121" spans="5:5" x14ac:dyDescent="0.3">
      <c r="E11121"/>
    </row>
    <row r="11122" spans="5:5" x14ac:dyDescent="0.3">
      <c r="E11122"/>
    </row>
    <row r="11123" spans="5:5" x14ac:dyDescent="0.3">
      <c r="E11123"/>
    </row>
    <row r="11124" spans="5:5" x14ac:dyDescent="0.3">
      <c r="E11124"/>
    </row>
    <row r="11125" spans="5:5" x14ac:dyDescent="0.3">
      <c r="E11125"/>
    </row>
    <row r="11126" spans="5:5" x14ac:dyDescent="0.3">
      <c r="E11126"/>
    </row>
    <row r="11127" spans="5:5" x14ac:dyDescent="0.3">
      <c r="E11127"/>
    </row>
    <row r="11128" spans="5:5" x14ac:dyDescent="0.3">
      <c r="E11128"/>
    </row>
    <row r="11129" spans="5:5" x14ac:dyDescent="0.3">
      <c r="E11129"/>
    </row>
    <row r="11130" spans="5:5" x14ac:dyDescent="0.3">
      <c r="E11130"/>
    </row>
    <row r="11131" spans="5:5" x14ac:dyDescent="0.3">
      <c r="E11131"/>
    </row>
    <row r="11132" spans="5:5" x14ac:dyDescent="0.3">
      <c r="E11132"/>
    </row>
    <row r="11133" spans="5:5" x14ac:dyDescent="0.3">
      <c r="E11133"/>
    </row>
    <row r="11134" spans="5:5" x14ac:dyDescent="0.3">
      <c r="E11134"/>
    </row>
    <row r="11135" spans="5:5" x14ac:dyDescent="0.3">
      <c r="E11135"/>
    </row>
    <row r="11136" spans="5:5" x14ac:dyDescent="0.3">
      <c r="E11136"/>
    </row>
    <row r="11137" spans="5:5" x14ac:dyDescent="0.3">
      <c r="E11137"/>
    </row>
    <row r="11138" spans="5:5" x14ac:dyDescent="0.3">
      <c r="E11138"/>
    </row>
    <row r="11139" spans="5:5" x14ac:dyDescent="0.3">
      <c r="E11139"/>
    </row>
    <row r="11140" spans="5:5" x14ac:dyDescent="0.3">
      <c r="E11140"/>
    </row>
    <row r="11141" spans="5:5" x14ac:dyDescent="0.3">
      <c r="E11141"/>
    </row>
    <row r="11142" spans="5:5" x14ac:dyDescent="0.3">
      <c r="E11142"/>
    </row>
    <row r="11143" spans="5:5" x14ac:dyDescent="0.3">
      <c r="E11143"/>
    </row>
    <row r="11144" spans="5:5" x14ac:dyDescent="0.3">
      <c r="E11144"/>
    </row>
    <row r="11145" spans="5:5" x14ac:dyDescent="0.3">
      <c r="E11145"/>
    </row>
    <row r="11146" spans="5:5" x14ac:dyDescent="0.3">
      <c r="E11146"/>
    </row>
    <row r="11147" spans="5:5" x14ac:dyDescent="0.3">
      <c r="E11147"/>
    </row>
    <row r="11148" spans="5:5" x14ac:dyDescent="0.3">
      <c r="E11148"/>
    </row>
    <row r="11149" spans="5:5" x14ac:dyDescent="0.3">
      <c r="E11149"/>
    </row>
    <row r="11150" spans="5:5" x14ac:dyDescent="0.3">
      <c r="E11150"/>
    </row>
    <row r="11151" spans="5:5" x14ac:dyDescent="0.3">
      <c r="E11151"/>
    </row>
    <row r="11152" spans="5:5" x14ac:dyDescent="0.3">
      <c r="E11152"/>
    </row>
    <row r="11153" spans="5:5" x14ac:dyDescent="0.3">
      <c r="E11153"/>
    </row>
    <row r="11154" spans="5:5" x14ac:dyDescent="0.3">
      <c r="E11154"/>
    </row>
    <row r="11155" spans="5:5" x14ac:dyDescent="0.3">
      <c r="E11155"/>
    </row>
    <row r="11156" spans="5:5" x14ac:dyDescent="0.3">
      <c r="E11156"/>
    </row>
    <row r="11157" spans="5:5" x14ac:dyDescent="0.3">
      <c r="E11157"/>
    </row>
    <row r="11158" spans="5:5" x14ac:dyDescent="0.3">
      <c r="E11158"/>
    </row>
    <row r="11159" spans="5:5" x14ac:dyDescent="0.3">
      <c r="E11159"/>
    </row>
    <row r="11160" spans="5:5" x14ac:dyDescent="0.3">
      <c r="E11160"/>
    </row>
    <row r="11161" spans="5:5" x14ac:dyDescent="0.3">
      <c r="E11161"/>
    </row>
    <row r="11162" spans="5:5" x14ac:dyDescent="0.3">
      <c r="E11162"/>
    </row>
    <row r="11163" spans="5:5" x14ac:dyDescent="0.3">
      <c r="E11163"/>
    </row>
    <row r="11164" spans="5:5" x14ac:dyDescent="0.3">
      <c r="E11164"/>
    </row>
    <row r="11165" spans="5:5" x14ac:dyDescent="0.3">
      <c r="E11165"/>
    </row>
    <row r="11166" spans="5:5" x14ac:dyDescent="0.3">
      <c r="E11166"/>
    </row>
    <row r="11167" spans="5:5" x14ac:dyDescent="0.3">
      <c r="E11167"/>
    </row>
    <row r="11168" spans="5:5" x14ac:dyDescent="0.3">
      <c r="E11168"/>
    </row>
    <row r="11169" spans="5:5" x14ac:dyDescent="0.3">
      <c r="E11169"/>
    </row>
    <row r="11170" spans="5:5" x14ac:dyDescent="0.3">
      <c r="E11170"/>
    </row>
    <row r="11171" spans="5:5" x14ac:dyDescent="0.3">
      <c r="E11171"/>
    </row>
    <row r="11172" spans="5:5" x14ac:dyDescent="0.3">
      <c r="E11172"/>
    </row>
    <row r="11173" spans="5:5" x14ac:dyDescent="0.3">
      <c r="E11173"/>
    </row>
    <row r="11174" spans="5:5" x14ac:dyDescent="0.3">
      <c r="E11174"/>
    </row>
    <row r="11175" spans="5:5" x14ac:dyDescent="0.3">
      <c r="E11175"/>
    </row>
    <row r="11176" spans="5:5" x14ac:dyDescent="0.3">
      <c r="E11176"/>
    </row>
    <row r="11177" spans="5:5" x14ac:dyDescent="0.3">
      <c r="E11177"/>
    </row>
    <row r="11178" spans="5:5" x14ac:dyDescent="0.3">
      <c r="E11178"/>
    </row>
    <row r="11179" spans="5:5" x14ac:dyDescent="0.3">
      <c r="E11179"/>
    </row>
    <row r="11180" spans="5:5" x14ac:dyDescent="0.3">
      <c r="E11180"/>
    </row>
    <row r="11181" spans="5:5" x14ac:dyDescent="0.3">
      <c r="E11181"/>
    </row>
    <row r="11182" spans="5:5" x14ac:dyDescent="0.3">
      <c r="E11182"/>
    </row>
    <row r="11183" spans="5:5" x14ac:dyDescent="0.3">
      <c r="E11183"/>
    </row>
    <row r="11184" spans="5:5" x14ac:dyDescent="0.3">
      <c r="E11184"/>
    </row>
    <row r="11185" spans="5:5" x14ac:dyDescent="0.3">
      <c r="E11185"/>
    </row>
    <row r="11186" spans="5:5" x14ac:dyDescent="0.3">
      <c r="E11186"/>
    </row>
    <row r="11187" spans="5:5" x14ac:dyDescent="0.3">
      <c r="E11187"/>
    </row>
    <row r="11188" spans="5:5" x14ac:dyDescent="0.3">
      <c r="E11188"/>
    </row>
    <row r="11189" spans="5:5" x14ac:dyDescent="0.3">
      <c r="E11189"/>
    </row>
    <row r="11190" spans="5:5" x14ac:dyDescent="0.3">
      <c r="E11190"/>
    </row>
    <row r="11191" spans="5:5" x14ac:dyDescent="0.3">
      <c r="E11191"/>
    </row>
    <row r="11192" spans="5:5" x14ac:dyDescent="0.3">
      <c r="E11192"/>
    </row>
    <row r="11193" spans="5:5" x14ac:dyDescent="0.3">
      <c r="E11193"/>
    </row>
    <row r="11194" spans="5:5" x14ac:dyDescent="0.3">
      <c r="E11194"/>
    </row>
    <row r="11195" spans="5:5" x14ac:dyDescent="0.3">
      <c r="E11195"/>
    </row>
    <row r="11196" spans="5:5" x14ac:dyDescent="0.3">
      <c r="E11196"/>
    </row>
    <row r="11197" spans="5:5" x14ac:dyDescent="0.3">
      <c r="E11197"/>
    </row>
    <row r="11198" spans="5:5" x14ac:dyDescent="0.3">
      <c r="E11198"/>
    </row>
    <row r="11199" spans="5:5" x14ac:dyDescent="0.3">
      <c r="E11199"/>
    </row>
    <row r="11200" spans="5:5" x14ac:dyDescent="0.3">
      <c r="E11200"/>
    </row>
    <row r="11201" spans="5:5" x14ac:dyDescent="0.3">
      <c r="E11201"/>
    </row>
    <row r="11202" spans="5:5" x14ac:dyDescent="0.3">
      <c r="E11202"/>
    </row>
    <row r="11203" spans="5:5" x14ac:dyDescent="0.3">
      <c r="E11203"/>
    </row>
    <row r="11204" spans="5:5" x14ac:dyDescent="0.3">
      <c r="E11204"/>
    </row>
    <row r="11205" spans="5:5" x14ac:dyDescent="0.3">
      <c r="E11205"/>
    </row>
    <row r="11206" spans="5:5" x14ac:dyDescent="0.3">
      <c r="E11206"/>
    </row>
    <row r="11207" spans="5:5" x14ac:dyDescent="0.3">
      <c r="E11207"/>
    </row>
    <row r="11208" spans="5:5" x14ac:dyDescent="0.3">
      <c r="E11208"/>
    </row>
    <row r="11209" spans="5:5" x14ac:dyDescent="0.3">
      <c r="E11209"/>
    </row>
    <row r="11210" spans="5:5" x14ac:dyDescent="0.3">
      <c r="E11210"/>
    </row>
    <row r="11211" spans="5:5" x14ac:dyDescent="0.3">
      <c r="E11211"/>
    </row>
    <row r="11212" spans="5:5" x14ac:dyDescent="0.3">
      <c r="E11212"/>
    </row>
    <row r="11213" spans="5:5" x14ac:dyDescent="0.3">
      <c r="E11213"/>
    </row>
    <row r="11214" spans="5:5" x14ac:dyDescent="0.3">
      <c r="E11214"/>
    </row>
    <row r="11215" spans="5:5" x14ac:dyDescent="0.3">
      <c r="E11215"/>
    </row>
    <row r="11216" spans="5:5" x14ac:dyDescent="0.3">
      <c r="E11216"/>
    </row>
    <row r="11217" spans="5:5" x14ac:dyDescent="0.3">
      <c r="E11217"/>
    </row>
    <row r="11218" spans="5:5" x14ac:dyDescent="0.3">
      <c r="E11218"/>
    </row>
    <row r="11219" spans="5:5" x14ac:dyDescent="0.3">
      <c r="E11219"/>
    </row>
    <row r="11220" spans="5:5" x14ac:dyDescent="0.3">
      <c r="E11220"/>
    </row>
    <row r="11221" spans="5:5" x14ac:dyDescent="0.3">
      <c r="E11221"/>
    </row>
    <row r="11222" spans="5:5" x14ac:dyDescent="0.3">
      <c r="E11222"/>
    </row>
    <row r="11223" spans="5:5" x14ac:dyDescent="0.3">
      <c r="E11223"/>
    </row>
    <row r="11224" spans="5:5" x14ac:dyDescent="0.3">
      <c r="E11224"/>
    </row>
    <row r="11225" spans="5:5" x14ac:dyDescent="0.3">
      <c r="E11225"/>
    </row>
    <row r="11226" spans="5:5" x14ac:dyDescent="0.3">
      <c r="E11226"/>
    </row>
    <row r="11227" spans="5:5" x14ac:dyDescent="0.3">
      <c r="E11227"/>
    </row>
    <row r="11228" spans="5:5" x14ac:dyDescent="0.3">
      <c r="E11228"/>
    </row>
    <row r="11229" spans="5:5" x14ac:dyDescent="0.3">
      <c r="E11229"/>
    </row>
    <row r="11230" spans="5:5" x14ac:dyDescent="0.3">
      <c r="E11230"/>
    </row>
    <row r="11231" spans="5:5" x14ac:dyDescent="0.3">
      <c r="E11231"/>
    </row>
    <row r="11232" spans="5:5" x14ac:dyDescent="0.3">
      <c r="E11232"/>
    </row>
    <row r="11233" spans="5:5" x14ac:dyDescent="0.3">
      <c r="E11233"/>
    </row>
    <row r="11234" spans="5:5" x14ac:dyDescent="0.3">
      <c r="E11234"/>
    </row>
    <row r="11235" spans="5:5" x14ac:dyDescent="0.3">
      <c r="E11235"/>
    </row>
    <row r="11236" spans="5:5" x14ac:dyDescent="0.3">
      <c r="E11236"/>
    </row>
    <row r="11237" spans="5:5" x14ac:dyDescent="0.3">
      <c r="E11237"/>
    </row>
    <row r="11238" spans="5:5" x14ac:dyDescent="0.3">
      <c r="E11238"/>
    </row>
    <row r="11239" spans="5:5" x14ac:dyDescent="0.3">
      <c r="E11239"/>
    </row>
    <row r="11240" spans="5:5" x14ac:dyDescent="0.3">
      <c r="E11240"/>
    </row>
    <row r="11241" spans="5:5" x14ac:dyDescent="0.3">
      <c r="E11241"/>
    </row>
    <row r="11242" spans="5:5" x14ac:dyDescent="0.3">
      <c r="E11242"/>
    </row>
    <row r="11243" spans="5:5" x14ac:dyDescent="0.3">
      <c r="E11243"/>
    </row>
    <row r="11244" spans="5:5" x14ac:dyDescent="0.3">
      <c r="E11244"/>
    </row>
    <row r="11245" spans="5:5" x14ac:dyDescent="0.3">
      <c r="E11245"/>
    </row>
    <row r="11246" spans="5:5" x14ac:dyDescent="0.3">
      <c r="E11246"/>
    </row>
    <row r="11247" spans="5:5" x14ac:dyDescent="0.3">
      <c r="E11247"/>
    </row>
    <row r="11248" spans="5:5" x14ac:dyDescent="0.3">
      <c r="E11248"/>
    </row>
    <row r="11249" spans="5:5" x14ac:dyDescent="0.3">
      <c r="E11249"/>
    </row>
    <row r="11250" spans="5:5" x14ac:dyDescent="0.3">
      <c r="E11250"/>
    </row>
    <row r="11251" spans="5:5" x14ac:dyDescent="0.3">
      <c r="E11251"/>
    </row>
    <row r="11252" spans="5:5" x14ac:dyDescent="0.3">
      <c r="E11252"/>
    </row>
    <row r="11253" spans="5:5" x14ac:dyDescent="0.3">
      <c r="E11253"/>
    </row>
    <row r="11254" spans="5:5" x14ac:dyDescent="0.3">
      <c r="E11254"/>
    </row>
    <row r="11255" spans="5:5" x14ac:dyDescent="0.3">
      <c r="E11255"/>
    </row>
    <row r="11256" spans="5:5" x14ac:dyDescent="0.3">
      <c r="E11256"/>
    </row>
    <row r="11257" spans="5:5" x14ac:dyDescent="0.3">
      <c r="E11257"/>
    </row>
    <row r="11258" spans="5:5" x14ac:dyDescent="0.3">
      <c r="E11258"/>
    </row>
    <row r="11259" spans="5:5" x14ac:dyDescent="0.3">
      <c r="E11259"/>
    </row>
    <row r="11260" spans="5:5" x14ac:dyDescent="0.3">
      <c r="E11260"/>
    </row>
    <row r="11261" spans="5:5" x14ac:dyDescent="0.3">
      <c r="E11261"/>
    </row>
    <row r="11262" spans="5:5" x14ac:dyDescent="0.3">
      <c r="E11262"/>
    </row>
    <row r="11263" spans="5:5" x14ac:dyDescent="0.3">
      <c r="E11263"/>
    </row>
    <row r="11264" spans="5:5" x14ac:dyDescent="0.3">
      <c r="E11264"/>
    </row>
    <row r="11265" spans="5:5" x14ac:dyDescent="0.3">
      <c r="E11265"/>
    </row>
    <row r="11266" spans="5:5" x14ac:dyDescent="0.3">
      <c r="E11266"/>
    </row>
    <row r="11267" spans="5:5" x14ac:dyDescent="0.3">
      <c r="E11267"/>
    </row>
    <row r="11268" spans="5:5" x14ac:dyDescent="0.3">
      <c r="E11268"/>
    </row>
    <row r="11269" spans="5:5" x14ac:dyDescent="0.3">
      <c r="E11269"/>
    </row>
    <row r="11270" spans="5:5" x14ac:dyDescent="0.3">
      <c r="E11270"/>
    </row>
    <row r="11271" spans="5:5" x14ac:dyDescent="0.3">
      <c r="E11271"/>
    </row>
    <row r="11272" spans="5:5" x14ac:dyDescent="0.3">
      <c r="E11272"/>
    </row>
    <row r="11273" spans="5:5" x14ac:dyDescent="0.3">
      <c r="E11273"/>
    </row>
    <row r="11274" spans="5:5" x14ac:dyDescent="0.3">
      <c r="E11274"/>
    </row>
    <row r="11275" spans="5:5" x14ac:dyDescent="0.3">
      <c r="E11275"/>
    </row>
    <row r="11276" spans="5:5" x14ac:dyDescent="0.3">
      <c r="E11276"/>
    </row>
    <row r="11277" spans="5:5" x14ac:dyDescent="0.3">
      <c r="E11277"/>
    </row>
    <row r="11278" spans="5:5" x14ac:dyDescent="0.3">
      <c r="E11278"/>
    </row>
    <row r="11279" spans="5:5" x14ac:dyDescent="0.3">
      <c r="E11279"/>
    </row>
    <row r="11280" spans="5:5" x14ac:dyDescent="0.3">
      <c r="E11280"/>
    </row>
    <row r="11281" spans="5:5" x14ac:dyDescent="0.3">
      <c r="E11281"/>
    </row>
    <row r="11282" spans="5:5" x14ac:dyDescent="0.3">
      <c r="E11282"/>
    </row>
    <row r="11283" spans="5:5" x14ac:dyDescent="0.3">
      <c r="E11283"/>
    </row>
    <row r="11284" spans="5:5" x14ac:dyDescent="0.3">
      <c r="E11284"/>
    </row>
    <row r="11285" spans="5:5" x14ac:dyDescent="0.3">
      <c r="E11285"/>
    </row>
    <row r="11286" spans="5:5" x14ac:dyDescent="0.3">
      <c r="E11286"/>
    </row>
    <row r="11287" spans="5:5" x14ac:dyDescent="0.3">
      <c r="E11287"/>
    </row>
    <row r="11288" spans="5:5" x14ac:dyDescent="0.3">
      <c r="E11288"/>
    </row>
    <row r="11289" spans="5:5" x14ac:dyDescent="0.3">
      <c r="E11289"/>
    </row>
    <row r="11290" spans="5:5" x14ac:dyDescent="0.3">
      <c r="E11290"/>
    </row>
    <row r="11291" spans="5:5" x14ac:dyDescent="0.3">
      <c r="E11291"/>
    </row>
    <row r="11292" spans="5:5" x14ac:dyDescent="0.3">
      <c r="E11292"/>
    </row>
    <row r="11293" spans="5:5" x14ac:dyDescent="0.3">
      <c r="E11293"/>
    </row>
    <row r="11294" spans="5:5" x14ac:dyDescent="0.3">
      <c r="E11294"/>
    </row>
    <row r="11295" spans="5:5" x14ac:dyDescent="0.3">
      <c r="E11295"/>
    </row>
    <row r="11296" spans="5:5" x14ac:dyDescent="0.3">
      <c r="E11296"/>
    </row>
    <row r="11297" spans="5:5" x14ac:dyDescent="0.3">
      <c r="E11297"/>
    </row>
    <row r="11298" spans="5:5" x14ac:dyDescent="0.3">
      <c r="E11298"/>
    </row>
    <row r="11299" spans="5:5" x14ac:dyDescent="0.3">
      <c r="E11299"/>
    </row>
    <row r="11300" spans="5:5" x14ac:dyDescent="0.3">
      <c r="E11300"/>
    </row>
    <row r="11301" spans="5:5" x14ac:dyDescent="0.3">
      <c r="E11301"/>
    </row>
    <row r="11302" spans="5:5" x14ac:dyDescent="0.3">
      <c r="E11302"/>
    </row>
    <row r="11303" spans="5:5" x14ac:dyDescent="0.3">
      <c r="E11303"/>
    </row>
    <row r="11304" spans="5:5" x14ac:dyDescent="0.3">
      <c r="E11304"/>
    </row>
    <row r="11305" spans="5:5" x14ac:dyDescent="0.3">
      <c r="E11305"/>
    </row>
    <row r="11306" spans="5:5" x14ac:dyDescent="0.3">
      <c r="E11306"/>
    </row>
    <row r="11307" spans="5:5" x14ac:dyDescent="0.3">
      <c r="E11307"/>
    </row>
    <row r="11308" spans="5:5" x14ac:dyDescent="0.3">
      <c r="E11308"/>
    </row>
    <row r="11309" spans="5:5" x14ac:dyDescent="0.3">
      <c r="E11309"/>
    </row>
    <row r="11310" spans="5:5" x14ac:dyDescent="0.3">
      <c r="E11310"/>
    </row>
    <row r="11311" spans="5:5" x14ac:dyDescent="0.3">
      <c r="E11311"/>
    </row>
    <row r="11312" spans="5:5" x14ac:dyDescent="0.3">
      <c r="E11312"/>
    </row>
    <row r="11313" spans="5:5" x14ac:dyDescent="0.3">
      <c r="E11313"/>
    </row>
    <row r="11314" spans="5:5" x14ac:dyDescent="0.3">
      <c r="E11314"/>
    </row>
    <row r="11315" spans="5:5" x14ac:dyDescent="0.3">
      <c r="E11315"/>
    </row>
    <row r="11316" spans="5:5" x14ac:dyDescent="0.3">
      <c r="E11316"/>
    </row>
    <row r="11317" spans="5:5" x14ac:dyDescent="0.3">
      <c r="E11317"/>
    </row>
    <row r="11318" spans="5:5" x14ac:dyDescent="0.3">
      <c r="E11318"/>
    </row>
    <row r="11319" spans="5:5" x14ac:dyDescent="0.3">
      <c r="E11319"/>
    </row>
    <row r="11320" spans="5:5" x14ac:dyDescent="0.3">
      <c r="E11320"/>
    </row>
    <row r="11321" spans="5:5" x14ac:dyDescent="0.3">
      <c r="E11321"/>
    </row>
    <row r="11322" spans="5:5" x14ac:dyDescent="0.3">
      <c r="E11322"/>
    </row>
    <row r="11323" spans="5:5" x14ac:dyDescent="0.3">
      <c r="E11323"/>
    </row>
    <row r="11324" spans="5:5" x14ac:dyDescent="0.3">
      <c r="E11324"/>
    </row>
    <row r="11325" spans="5:5" x14ac:dyDescent="0.3">
      <c r="E11325"/>
    </row>
    <row r="11326" spans="5:5" x14ac:dyDescent="0.3">
      <c r="E11326"/>
    </row>
    <row r="11327" spans="5:5" x14ac:dyDescent="0.3">
      <c r="E11327"/>
    </row>
    <row r="11328" spans="5:5" x14ac:dyDescent="0.3">
      <c r="E11328"/>
    </row>
    <row r="11329" spans="5:5" x14ac:dyDescent="0.3">
      <c r="E11329"/>
    </row>
    <row r="11330" spans="5:5" x14ac:dyDescent="0.3">
      <c r="E11330"/>
    </row>
    <row r="11331" spans="5:5" x14ac:dyDescent="0.3">
      <c r="E11331"/>
    </row>
    <row r="11332" spans="5:5" x14ac:dyDescent="0.3">
      <c r="E11332"/>
    </row>
    <row r="11333" spans="5:5" x14ac:dyDescent="0.3">
      <c r="E11333"/>
    </row>
    <row r="11334" spans="5:5" x14ac:dyDescent="0.3">
      <c r="E11334"/>
    </row>
    <row r="11335" spans="5:5" x14ac:dyDescent="0.3">
      <c r="E11335"/>
    </row>
    <row r="11336" spans="5:5" x14ac:dyDescent="0.3">
      <c r="E11336"/>
    </row>
    <row r="11337" spans="5:5" x14ac:dyDescent="0.3">
      <c r="E11337"/>
    </row>
    <row r="11338" spans="5:5" x14ac:dyDescent="0.3">
      <c r="E11338"/>
    </row>
    <row r="11339" spans="5:5" x14ac:dyDescent="0.3">
      <c r="E11339"/>
    </row>
    <row r="11340" spans="5:5" x14ac:dyDescent="0.3">
      <c r="E11340"/>
    </row>
    <row r="11341" spans="5:5" x14ac:dyDescent="0.3">
      <c r="E11341"/>
    </row>
    <row r="11342" spans="5:5" x14ac:dyDescent="0.3">
      <c r="E11342"/>
    </row>
    <row r="11343" spans="5:5" x14ac:dyDescent="0.3">
      <c r="E11343"/>
    </row>
    <row r="11344" spans="5:5" x14ac:dyDescent="0.3">
      <c r="E11344"/>
    </row>
    <row r="11345" spans="5:5" x14ac:dyDescent="0.3">
      <c r="E11345"/>
    </row>
    <row r="11346" spans="5:5" x14ac:dyDescent="0.3">
      <c r="E11346"/>
    </row>
    <row r="11347" spans="5:5" x14ac:dyDescent="0.3">
      <c r="E11347"/>
    </row>
    <row r="11348" spans="5:5" x14ac:dyDescent="0.3">
      <c r="E11348"/>
    </row>
    <row r="11349" spans="5:5" x14ac:dyDescent="0.3">
      <c r="E11349"/>
    </row>
    <row r="11350" spans="5:5" x14ac:dyDescent="0.3">
      <c r="E11350"/>
    </row>
    <row r="11351" spans="5:5" x14ac:dyDescent="0.3">
      <c r="E11351"/>
    </row>
    <row r="11352" spans="5:5" x14ac:dyDescent="0.3">
      <c r="E11352"/>
    </row>
    <row r="11353" spans="5:5" x14ac:dyDescent="0.3">
      <c r="E11353"/>
    </row>
    <row r="11354" spans="5:5" x14ac:dyDescent="0.3">
      <c r="E11354"/>
    </row>
    <row r="11355" spans="5:5" x14ac:dyDescent="0.3">
      <c r="E11355"/>
    </row>
    <row r="11356" spans="5:5" x14ac:dyDescent="0.3">
      <c r="E11356"/>
    </row>
    <row r="11357" spans="5:5" x14ac:dyDescent="0.3">
      <c r="E11357"/>
    </row>
    <row r="11358" spans="5:5" x14ac:dyDescent="0.3">
      <c r="E11358"/>
    </row>
    <row r="11359" spans="5:5" x14ac:dyDescent="0.3">
      <c r="E11359"/>
    </row>
    <row r="11360" spans="5:5" x14ac:dyDescent="0.3">
      <c r="E11360"/>
    </row>
    <row r="11361" spans="5:5" x14ac:dyDescent="0.3">
      <c r="E11361"/>
    </row>
    <row r="11362" spans="5:5" x14ac:dyDescent="0.3">
      <c r="E11362"/>
    </row>
    <row r="11363" spans="5:5" x14ac:dyDescent="0.3">
      <c r="E11363"/>
    </row>
    <row r="11364" spans="5:5" x14ac:dyDescent="0.3">
      <c r="E11364"/>
    </row>
    <row r="11365" spans="5:5" x14ac:dyDescent="0.3">
      <c r="E11365"/>
    </row>
    <row r="11366" spans="5:5" x14ac:dyDescent="0.3">
      <c r="E11366"/>
    </row>
    <row r="11367" spans="5:5" x14ac:dyDescent="0.3">
      <c r="E11367"/>
    </row>
    <row r="11368" spans="5:5" x14ac:dyDescent="0.3">
      <c r="E11368"/>
    </row>
    <row r="11369" spans="5:5" x14ac:dyDescent="0.3">
      <c r="E11369"/>
    </row>
    <row r="11370" spans="5:5" x14ac:dyDescent="0.3">
      <c r="E11370"/>
    </row>
    <row r="11371" spans="5:5" x14ac:dyDescent="0.3">
      <c r="E11371"/>
    </row>
    <row r="11372" spans="5:5" x14ac:dyDescent="0.3">
      <c r="E11372"/>
    </row>
    <row r="11373" spans="5:5" x14ac:dyDescent="0.3">
      <c r="E11373"/>
    </row>
    <row r="11374" spans="5:5" x14ac:dyDescent="0.3">
      <c r="E11374"/>
    </row>
    <row r="11375" spans="5:5" x14ac:dyDescent="0.3">
      <c r="E11375"/>
    </row>
    <row r="11376" spans="5:5" x14ac:dyDescent="0.3">
      <c r="E11376"/>
    </row>
    <row r="11377" spans="5:5" x14ac:dyDescent="0.3">
      <c r="E11377"/>
    </row>
    <row r="11378" spans="5:5" x14ac:dyDescent="0.3">
      <c r="E11378"/>
    </row>
    <row r="11379" spans="5:5" x14ac:dyDescent="0.3">
      <c r="E11379"/>
    </row>
    <row r="11380" spans="5:5" x14ac:dyDescent="0.3">
      <c r="E11380"/>
    </row>
    <row r="11381" spans="5:5" x14ac:dyDescent="0.3">
      <c r="E11381"/>
    </row>
    <row r="11382" spans="5:5" x14ac:dyDescent="0.3">
      <c r="E11382"/>
    </row>
    <row r="11383" spans="5:5" x14ac:dyDescent="0.3">
      <c r="E11383"/>
    </row>
    <row r="11384" spans="5:5" x14ac:dyDescent="0.3">
      <c r="E11384"/>
    </row>
    <row r="11385" spans="5:5" x14ac:dyDescent="0.3">
      <c r="E11385"/>
    </row>
    <row r="11386" spans="5:5" x14ac:dyDescent="0.3">
      <c r="E11386"/>
    </row>
    <row r="11387" spans="5:5" x14ac:dyDescent="0.3">
      <c r="E11387"/>
    </row>
    <row r="11388" spans="5:5" x14ac:dyDescent="0.3">
      <c r="E11388"/>
    </row>
    <row r="11389" spans="5:5" x14ac:dyDescent="0.3">
      <c r="E11389"/>
    </row>
    <row r="11390" spans="5:5" x14ac:dyDescent="0.3">
      <c r="E11390"/>
    </row>
    <row r="11391" spans="5:5" x14ac:dyDescent="0.3">
      <c r="E11391"/>
    </row>
    <row r="11392" spans="5:5" x14ac:dyDescent="0.3">
      <c r="E11392"/>
    </row>
    <row r="11393" spans="5:5" x14ac:dyDescent="0.3">
      <c r="E11393"/>
    </row>
    <row r="11394" spans="5:5" x14ac:dyDescent="0.3">
      <c r="E11394"/>
    </row>
    <row r="11395" spans="5:5" x14ac:dyDescent="0.3">
      <c r="E11395"/>
    </row>
    <row r="11396" spans="5:5" x14ac:dyDescent="0.3">
      <c r="E11396"/>
    </row>
    <row r="11397" spans="5:5" x14ac:dyDescent="0.3">
      <c r="E11397"/>
    </row>
    <row r="11398" spans="5:5" x14ac:dyDescent="0.3">
      <c r="E11398"/>
    </row>
    <row r="11399" spans="5:5" x14ac:dyDescent="0.3">
      <c r="E11399"/>
    </row>
    <row r="11400" spans="5:5" x14ac:dyDescent="0.3">
      <c r="E11400"/>
    </row>
    <row r="11401" spans="5:5" x14ac:dyDescent="0.3">
      <c r="E11401"/>
    </row>
    <row r="11402" spans="5:5" x14ac:dyDescent="0.3">
      <c r="E11402"/>
    </row>
    <row r="11403" spans="5:5" x14ac:dyDescent="0.3">
      <c r="E11403"/>
    </row>
    <row r="11404" spans="5:5" x14ac:dyDescent="0.3">
      <c r="E11404"/>
    </row>
    <row r="11405" spans="5:5" x14ac:dyDescent="0.3">
      <c r="E11405"/>
    </row>
    <row r="11406" spans="5:5" x14ac:dyDescent="0.3">
      <c r="E11406"/>
    </row>
    <row r="11407" spans="5:5" x14ac:dyDescent="0.3">
      <c r="E11407"/>
    </row>
    <row r="11408" spans="5:5" x14ac:dyDescent="0.3">
      <c r="E11408"/>
    </row>
    <row r="11409" spans="5:5" x14ac:dyDescent="0.3">
      <c r="E11409"/>
    </row>
    <row r="11410" spans="5:5" x14ac:dyDescent="0.3">
      <c r="E11410"/>
    </row>
    <row r="11411" spans="5:5" x14ac:dyDescent="0.3">
      <c r="E11411"/>
    </row>
    <row r="11412" spans="5:5" x14ac:dyDescent="0.3">
      <c r="E11412"/>
    </row>
    <row r="11413" spans="5:5" x14ac:dyDescent="0.3">
      <c r="E11413"/>
    </row>
    <row r="11414" spans="5:5" x14ac:dyDescent="0.3">
      <c r="E11414"/>
    </row>
    <row r="11415" spans="5:5" x14ac:dyDescent="0.3">
      <c r="E11415"/>
    </row>
    <row r="11416" spans="5:5" x14ac:dyDescent="0.3">
      <c r="E11416"/>
    </row>
    <row r="11417" spans="5:5" x14ac:dyDescent="0.3">
      <c r="E11417"/>
    </row>
    <row r="11418" spans="5:5" x14ac:dyDescent="0.3">
      <c r="E11418"/>
    </row>
    <row r="11419" spans="5:5" x14ac:dyDescent="0.3">
      <c r="E11419"/>
    </row>
    <row r="11420" spans="5:5" x14ac:dyDescent="0.3">
      <c r="E11420"/>
    </row>
    <row r="11421" spans="5:5" x14ac:dyDescent="0.3">
      <c r="E11421"/>
    </row>
    <row r="11422" spans="5:5" x14ac:dyDescent="0.3">
      <c r="E11422"/>
    </row>
    <row r="11423" spans="5:5" x14ac:dyDescent="0.3">
      <c r="E11423"/>
    </row>
    <row r="11424" spans="5:5" x14ac:dyDescent="0.3">
      <c r="E11424"/>
    </row>
    <row r="11425" spans="5:5" x14ac:dyDescent="0.3">
      <c r="E11425"/>
    </row>
    <row r="11426" spans="5:5" x14ac:dyDescent="0.3">
      <c r="E11426"/>
    </row>
    <row r="11427" spans="5:5" x14ac:dyDescent="0.3">
      <c r="E11427"/>
    </row>
    <row r="11428" spans="5:5" x14ac:dyDescent="0.3">
      <c r="E11428"/>
    </row>
    <row r="11429" spans="5:5" x14ac:dyDescent="0.3">
      <c r="E11429"/>
    </row>
    <row r="11430" spans="5:5" x14ac:dyDescent="0.3">
      <c r="E11430"/>
    </row>
    <row r="11431" spans="5:5" x14ac:dyDescent="0.3">
      <c r="E11431"/>
    </row>
    <row r="11432" spans="5:5" x14ac:dyDescent="0.3">
      <c r="E11432"/>
    </row>
    <row r="11433" spans="5:5" x14ac:dyDescent="0.3">
      <c r="E11433"/>
    </row>
    <row r="11434" spans="5:5" x14ac:dyDescent="0.3">
      <c r="E11434"/>
    </row>
    <row r="11435" spans="5:5" x14ac:dyDescent="0.3">
      <c r="E11435"/>
    </row>
    <row r="11436" spans="5:5" x14ac:dyDescent="0.3">
      <c r="E11436"/>
    </row>
    <row r="11437" spans="5:5" x14ac:dyDescent="0.3">
      <c r="E11437"/>
    </row>
    <row r="11438" spans="5:5" x14ac:dyDescent="0.3">
      <c r="E11438"/>
    </row>
    <row r="11439" spans="5:5" x14ac:dyDescent="0.3">
      <c r="E11439"/>
    </row>
    <row r="11440" spans="5:5" x14ac:dyDescent="0.3">
      <c r="E11440"/>
    </row>
    <row r="11441" spans="5:5" x14ac:dyDescent="0.3">
      <c r="E11441"/>
    </row>
    <row r="11442" spans="5:5" x14ac:dyDescent="0.3">
      <c r="E11442"/>
    </row>
    <row r="11443" spans="5:5" x14ac:dyDescent="0.3">
      <c r="E11443"/>
    </row>
    <row r="11444" spans="5:5" x14ac:dyDescent="0.3">
      <c r="E11444"/>
    </row>
    <row r="11445" spans="5:5" x14ac:dyDescent="0.3">
      <c r="E11445"/>
    </row>
    <row r="11446" spans="5:5" x14ac:dyDescent="0.3">
      <c r="E11446"/>
    </row>
    <row r="11447" spans="5:5" x14ac:dyDescent="0.3">
      <c r="E11447"/>
    </row>
    <row r="11448" spans="5:5" x14ac:dyDescent="0.3">
      <c r="E11448"/>
    </row>
    <row r="11449" spans="5:5" x14ac:dyDescent="0.3">
      <c r="E11449"/>
    </row>
    <row r="11450" spans="5:5" x14ac:dyDescent="0.3">
      <c r="E11450"/>
    </row>
    <row r="11451" spans="5:5" x14ac:dyDescent="0.3">
      <c r="E11451"/>
    </row>
    <row r="11452" spans="5:5" x14ac:dyDescent="0.3">
      <c r="E11452"/>
    </row>
    <row r="11453" spans="5:5" x14ac:dyDescent="0.3">
      <c r="E11453"/>
    </row>
    <row r="11454" spans="5:5" x14ac:dyDescent="0.3">
      <c r="E11454"/>
    </row>
    <row r="11455" spans="5:5" x14ac:dyDescent="0.3">
      <c r="E11455"/>
    </row>
    <row r="11456" spans="5:5" x14ac:dyDescent="0.3">
      <c r="E11456"/>
    </row>
    <row r="11457" spans="5:5" x14ac:dyDescent="0.3">
      <c r="E11457"/>
    </row>
    <row r="11458" spans="5:5" x14ac:dyDescent="0.3">
      <c r="E11458"/>
    </row>
    <row r="11459" spans="5:5" x14ac:dyDescent="0.3">
      <c r="E11459"/>
    </row>
    <row r="11460" spans="5:5" x14ac:dyDescent="0.3">
      <c r="E11460"/>
    </row>
    <row r="11461" spans="5:5" x14ac:dyDescent="0.3">
      <c r="E11461"/>
    </row>
    <row r="11462" spans="5:5" x14ac:dyDescent="0.3">
      <c r="E11462"/>
    </row>
    <row r="11463" spans="5:5" x14ac:dyDescent="0.3">
      <c r="E11463"/>
    </row>
    <row r="11464" spans="5:5" x14ac:dyDescent="0.3">
      <c r="E11464"/>
    </row>
    <row r="11465" spans="5:5" x14ac:dyDescent="0.3">
      <c r="E11465"/>
    </row>
    <row r="11466" spans="5:5" x14ac:dyDescent="0.3">
      <c r="E11466"/>
    </row>
    <row r="11467" spans="5:5" x14ac:dyDescent="0.3">
      <c r="E11467"/>
    </row>
    <row r="11468" spans="5:5" x14ac:dyDescent="0.3">
      <c r="E11468"/>
    </row>
    <row r="11469" spans="5:5" x14ac:dyDescent="0.3">
      <c r="E11469"/>
    </row>
    <row r="11470" spans="5:5" x14ac:dyDescent="0.3">
      <c r="E11470"/>
    </row>
    <row r="11471" spans="5:5" x14ac:dyDescent="0.3">
      <c r="E11471"/>
    </row>
    <row r="11472" spans="5:5" x14ac:dyDescent="0.3">
      <c r="E11472"/>
    </row>
    <row r="11473" spans="5:5" x14ac:dyDescent="0.3">
      <c r="E11473"/>
    </row>
    <row r="11474" spans="5:5" x14ac:dyDescent="0.3">
      <c r="E11474"/>
    </row>
    <row r="11475" spans="5:5" x14ac:dyDescent="0.3">
      <c r="E11475"/>
    </row>
    <row r="11476" spans="5:5" x14ac:dyDescent="0.3">
      <c r="E11476"/>
    </row>
    <row r="11477" spans="5:5" x14ac:dyDescent="0.3">
      <c r="E11477"/>
    </row>
    <row r="11478" spans="5:5" x14ac:dyDescent="0.3">
      <c r="E11478"/>
    </row>
    <row r="11479" spans="5:5" x14ac:dyDescent="0.3">
      <c r="E11479"/>
    </row>
    <row r="11480" spans="5:5" x14ac:dyDescent="0.3">
      <c r="E11480"/>
    </row>
    <row r="11481" spans="5:5" x14ac:dyDescent="0.3">
      <c r="E11481"/>
    </row>
    <row r="11482" spans="5:5" x14ac:dyDescent="0.3">
      <c r="E11482"/>
    </row>
    <row r="11483" spans="5:5" x14ac:dyDescent="0.3">
      <c r="E11483"/>
    </row>
    <row r="11484" spans="5:5" x14ac:dyDescent="0.3">
      <c r="E11484"/>
    </row>
    <row r="11485" spans="5:5" x14ac:dyDescent="0.3">
      <c r="E11485"/>
    </row>
    <row r="11486" spans="5:5" x14ac:dyDescent="0.3">
      <c r="E11486"/>
    </row>
    <row r="11487" spans="5:5" x14ac:dyDescent="0.3">
      <c r="E11487"/>
    </row>
    <row r="11488" spans="5:5" x14ac:dyDescent="0.3">
      <c r="E11488"/>
    </row>
    <row r="11489" spans="5:5" x14ac:dyDescent="0.3">
      <c r="E11489"/>
    </row>
    <row r="11490" spans="5:5" x14ac:dyDescent="0.3">
      <c r="E11490"/>
    </row>
    <row r="11491" spans="5:5" x14ac:dyDescent="0.3">
      <c r="E11491"/>
    </row>
    <row r="11492" spans="5:5" x14ac:dyDescent="0.3">
      <c r="E11492"/>
    </row>
    <row r="11493" spans="5:5" x14ac:dyDescent="0.3">
      <c r="E11493"/>
    </row>
    <row r="11494" spans="5:5" x14ac:dyDescent="0.3">
      <c r="E11494"/>
    </row>
    <row r="11495" spans="5:5" x14ac:dyDescent="0.3">
      <c r="E11495"/>
    </row>
    <row r="11496" spans="5:5" x14ac:dyDescent="0.3">
      <c r="E11496"/>
    </row>
    <row r="11497" spans="5:5" x14ac:dyDescent="0.3">
      <c r="E11497"/>
    </row>
    <row r="11498" spans="5:5" x14ac:dyDescent="0.3">
      <c r="E11498"/>
    </row>
    <row r="11499" spans="5:5" x14ac:dyDescent="0.3">
      <c r="E11499"/>
    </row>
    <row r="11500" spans="5:5" x14ac:dyDescent="0.3">
      <c r="E11500"/>
    </row>
    <row r="11501" spans="5:5" x14ac:dyDescent="0.3">
      <c r="E11501"/>
    </row>
    <row r="11502" spans="5:5" x14ac:dyDescent="0.3">
      <c r="E11502"/>
    </row>
    <row r="11503" spans="5:5" x14ac:dyDescent="0.3">
      <c r="E11503"/>
    </row>
    <row r="11504" spans="5:5" x14ac:dyDescent="0.3">
      <c r="E11504"/>
    </row>
    <row r="11505" spans="5:5" x14ac:dyDescent="0.3">
      <c r="E11505"/>
    </row>
    <row r="11506" spans="5:5" x14ac:dyDescent="0.3">
      <c r="E11506"/>
    </row>
    <row r="11507" spans="5:5" x14ac:dyDescent="0.3">
      <c r="E11507"/>
    </row>
    <row r="11508" spans="5:5" x14ac:dyDescent="0.3">
      <c r="E11508"/>
    </row>
    <row r="11509" spans="5:5" x14ac:dyDescent="0.3">
      <c r="E11509"/>
    </row>
    <row r="11510" spans="5:5" x14ac:dyDescent="0.3">
      <c r="E11510"/>
    </row>
    <row r="11511" spans="5:5" x14ac:dyDescent="0.3">
      <c r="E11511"/>
    </row>
    <row r="11512" spans="5:5" x14ac:dyDescent="0.3">
      <c r="E11512"/>
    </row>
    <row r="11513" spans="5:5" x14ac:dyDescent="0.3">
      <c r="E11513"/>
    </row>
    <row r="11514" spans="5:5" x14ac:dyDescent="0.3">
      <c r="E11514"/>
    </row>
    <row r="11515" spans="5:5" x14ac:dyDescent="0.3">
      <c r="E11515"/>
    </row>
    <row r="11516" spans="5:5" x14ac:dyDescent="0.3">
      <c r="E11516"/>
    </row>
    <row r="11517" spans="5:5" x14ac:dyDescent="0.3">
      <c r="E11517"/>
    </row>
    <row r="11518" spans="5:5" x14ac:dyDescent="0.3">
      <c r="E11518"/>
    </row>
    <row r="11519" spans="5:5" x14ac:dyDescent="0.3">
      <c r="E11519"/>
    </row>
    <row r="11520" spans="5:5" x14ac:dyDescent="0.3">
      <c r="E11520"/>
    </row>
    <row r="11521" spans="5:5" x14ac:dyDescent="0.3">
      <c r="E11521"/>
    </row>
    <row r="11522" spans="5:5" x14ac:dyDescent="0.3">
      <c r="E11522"/>
    </row>
    <row r="11523" spans="5:5" x14ac:dyDescent="0.3">
      <c r="E11523"/>
    </row>
    <row r="11524" spans="5:5" x14ac:dyDescent="0.3">
      <c r="E11524"/>
    </row>
    <row r="11525" spans="5:5" x14ac:dyDescent="0.3">
      <c r="E11525"/>
    </row>
    <row r="11526" spans="5:5" x14ac:dyDescent="0.3">
      <c r="E11526"/>
    </row>
    <row r="11527" spans="5:5" x14ac:dyDescent="0.3">
      <c r="E11527"/>
    </row>
    <row r="11528" spans="5:5" x14ac:dyDescent="0.3">
      <c r="E11528"/>
    </row>
    <row r="11529" spans="5:5" x14ac:dyDescent="0.3">
      <c r="E11529"/>
    </row>
    <row r="11530" spans="5:5" x14ac:dyDescent="0.3">
      <c r="E11530"/>
    </row>
    <row r="11531" spans="5:5" x14ac:dyDescent="0.3">
      <c r="E11531"/>
    </row>
    <row r="11532" spans="5:5" x14ac:dyDescent="0.3">
      <c r="E11532"/>
    </row>
    <row r="11533" spans="5:5" x14ac:dyDescent="0.3">
      <c r="E11533"/>
    </row>
    <row r="11534" spans="5:5" x14ac:dyDescent="0.3">
      <c r="E11534"/>
    </row>
    <row r="11535" spans="5:5" x14ac:dyDescent="0.3">
      <c r="E11535"/>
    </row>
    <row r="11536" spans="5:5" x14ac:dyDescent="0.3">
      <c r="E11536"/>
    </row>
    <row r="11537" spans="5:5" x14ac:dyDescent="0.3">
      <c r="E11537"/>
    </row>
    <row r="11538" spans="5:5" x14ac:dyDescent="0.3">
      <c r="E11538"/>
    </row>
    <row r="11539" spans="5:5" x14ac:dyDescent="0.3">
      <c r="E11539"/>
    </row>
    <row r="11540" spans="5:5" x14ac:dyDescent="0.3">
      <c r="E11540"/>
    </row>
    <row r="11541" spans="5:5" x14ac:dyDescent="0.3">
      <c r="E11541"/>
    </row>
    <row r="11542" spans="5:5" x14ac:dyDescent="0.3">
      <c r="E11542"/>
    </row>
    <row r="11543" spans="5:5" x14ac:dyDescent="0.3">
      <c r="E11543"/>
    </row>
    <row r="11544" spans="5:5" x14ac:dyDescent="0.3">
      <c r="E11544"/>
    </row>
    <row r="11545" spans="5:5" x14ac:dyDescent="0.3">
      <c r="E11545"/>
    </row>
    <row r="11546" spans="5:5" x14ac:dyDescent="0.3">
      <c r="E11546"/>
    </row>
    <row r="11547" spans="5:5" x14ac:dyDescent="0.3">
      <c r="E11547"/>
    </row>
    <row r="11548" spans="5:5" x14ac:dyDescent="0.3">
      <c r="E11548"/>
    </row>
    <row r="11549" spans="5:5" x14ac:dyDescent="0.3">
      <c r="E11549"/>
    </row>
    <row r="11550" spans="5:5" x14ac:dyDescent="0.3">
      <c r="E11550"/>
    </row>
    <row r="11551" spans="5:5" x14ac:dyDescent="0.3">
      <c r="E11551"/>
    </row>
    <row r="11552" spans="5:5" x14ac:dyDescent="0.3">
      <c r="E11552"/>
    </row>
    <row r="11553" spans="5:5" x14ac:dyDescent="0.3">
      <c r="E11553"/>
    </row>
    <row r="11554" spans="5:5" x14ac:dyDescent="0.3">
      <c r="E11554"/>
    </row>
    <row r="11555" spans="5:5" x14ac:dyDescent="0.3">
      <c r="E11555"/>
    </row>
    <row r="11556" spans="5:5" x14ac:dyDescent="0.3">
      <c r="E11556"/>
    </row>
    <row r="11557" spans="5:5" x14ac:dyDescent="0.3">
      <c r="E11557"/>
    </row>
    <row r="11558" spans="5:5" x14ac:dyDescent="0.3">
      <c r="E11558"/>
    </row>
    <row r="11559" spans="5:5" x14ac:dyDescent="0.3">
      <c r="E11559"/>
    </row>
    <row r="11560" spans="5:5" x14ac:dyDescent="0.3">
      <c r="E11560"/>
    </row>
    <row r="11561" spans="5:5" x14ac:dyDescent="0.3">
      <c r="E11561"/>
    </row>
    <row r="11562" spans="5:5" x14ac:dyDescent="0.3">
      <c r="E11562"/>
    </row>
    <row r="11563" spans="5:5" x14ac:dyDescent="0.3">
      <c r="E11563"/>
    </row>
    <row r="11564" spans="5:5" x14ac:dyDescent="0.3">
      <c r="E11564"/>
    </row>
    <row r="11565" spans="5:5" x14ac:dyDescent="0.3">
      <c r="E11565"/>
    </row>
    <row r="11566" spans="5:5" x14ac:dyDescent="0.3">
      <c r="E11566"/>
    </row>
    <row r="11567" spans="5:5" x14ac:dyDescent="0.3">
      <c r="E11567"/>
    </row>
    <row r="11568" spans="5:5" x14ac:dyDescent="0.3">
      <c r="E11568"/>
    </row>
    <row r="11569" spans="5:5" x14ac:dyDescent="0.3">
      <c r="E11569"/>
    </row>
    <row r="11570" spans="5:5" x14ac:dyDescent="0.3">
      <c r="E11570"/>
    </row>
    <row r="11571" spans="5:5" x14ac:dyDescent="0.3">
      <c r="E11571"/>
    </row>
    <row r="11572" spans="5:5" x14ac:dyDescent="0.3">
      <c r="E11572"/>
    </row>
    <row r="11573" spans="5:5" x14ac:dyDescent="0.3">
      <c r="E11573"/>
    </row>
    <row r="11574" spans="5:5" x14ac:dyDescent="0.3">
      <c r="E11574"/>
    </row>
    <row r="11575" spans="5:5" x14ac:dyDescent="0.3">
      <c r="E11575"/>
    </row>
    <row r="11576" spans="5:5" x14ac:dyDescent="0.3">
      <c r="E11576"/>
    </row>
    <row r="11577" spans="5:5" x14ac:dyDescent="0.3">
      <c r="E11577"/>
    </row>
    <row r="11578" spans="5:5" x14ac:dyDescent="0.3">
      <c r="E11578"/>
    </row>
    <row r="11579" spans="5:5" x14ac:dyDescent="0.3">
      <c r="E11579"/>
    </row>
    <row r="11580" spans="5:5" x14ac:dyDescent="0.3">
      <c r="E11580"/>
    </row>
    <row r="11581" spans="5:5" x14ac:dyDescent="0.3">
      <c r="E11581"/>
    </row>
    <row r="11582" spans="5:5" x14ac:dyDescent="0.3">
      <c r="E11582"/>
    </row>
    <row r="11583" spans="5:5" x14ac:dyDescent="0.3">
      <c r="E11583"/>
    </row>
    <row r="11584" spans="5:5" x14ac:dyDescent="0.3">
      <c r="E11584"/>
    </row>
    <row r="11585" spans="5:5" x14ac:dyDescent="0.3">
      <c r="E11585"/>
    </row>
    <row r="11586" spans="5:5" x14ac:dyDescent="0.3">
      <c r="E11586"/>
    </row>
    <row r="11587" spans="5:5" x14ac:dyDescent="0.3">
      <c r="E11587"/>
    </row>
    <row r="11588" spans="5:5" x14ac:dyDescent="0.3">
      <c r="E11588"/>
    </row>
    <row r="11589" spans="5:5" x14ac:dyDescent="0.3">
      <c r="E11589"/>
    </row>
    <row r="11590" spans="5:5" x14ac:dyDescent="0.3">
      <c r="E11590"/>
    </row>
    <row r="11591" spans="5:5" x14ac:dyDescent="0.3">
      <c r="E11591"/>
    </row>
    <row r="11592" spans="5:5" x14ac:dyDescent="0.3">
      <c r="E11592"/>
    </row>
    <row r="11593" spans="5:5" x14ac:dyDescent="0.3">
      <c r="E11593"/>
    </row>
    <row r="11594" spans="5:5" x14ac:dyDescent="0.3">
      <c r="E11594"/>
    </row>
    <row r="11595" spans="5:5" x14ac:dyDescent="0.3">
      <c r="E11595"/>
    </row>
    <row r="11596" spans="5:5" x14ac:dyDescent="0.3">
      <c r="E11596"/>
    </row>
    <row r="11597" spans="5:5" x14ac:dyDescent="0.3">
      <c r="E11597"/>
    </row>
    <row r="11598" spans="5:5" x14ac:dyDescent="0.3">
      <c r="E11598"/>
    </row>
    <row r="11599" spans="5:5" x14ac:dyDescent="0.3">
      <c r="E11599"/>
    </row>
    <row r="11600" spans="5:5" x14ac:dyDescent="0.3">
      <c r="E11600"/>
    </row>
    <row r="11601" spans="5:5" x14ac:dyDescent="0.3">
      <c r="E11601"/>
    </row>
    <row r="11602" spans="5:5" x14ac:dyDescent="0.3">
      <c r="E11602"/>
    </row>
    <row r="11603" spans="5:5" x14ac:dyDescent="0.3">
      <c r="E11603"/>
    </row>
    <row r="11604" spans="5:5" x14ac:dyDescent="0.3">
      <c r="E11604"/>
    </row>
    <row r="11605" spans="5:5" x14ac:dyDescent="0.3">
      <c r="E11605"/>
    </row>
    <row r="11606" spans="5:5" x14ac:dyDescent="0.3">
      <c r="E11606"/>
    </row>
    <row r="11607" spans="5:5" x14ac:dyDescent="0.3">
      <c r="E11607"/>
    </row>
    <row r="11608" spans="5:5" x14ac:dyDescent="0.3">
      <c r="E11608"/>
    </row>
    <row r="11609" spans="5:5" x14ac:dyDescent="0.3">
      <c r="E11609"/>
    </row>
    <row r="11610" spans="5:5" x14ac:dyDescent="0.3">
      <c r="E11610"/>
    </row>
    <row r="11611" spans="5:5" x14ac:dyDescent="0.3">
      <c r="E11611"/>
    </row>
    <row r="11612" spans="5:5" x14ac:dyDescent="0.3">
      <c r="E11612"/>
    </row>
    <row r="11613" spans="5:5" x14ac:dyDescent="0.3">
      <c r="E11613"/>
    </row>
    <row r="11614" spans="5:5" x14ac:dyDescent="0.3">
      <c r="E11614"/>
    </row>
    <row r="11615" spans="5:5" x14ac:dyDescent="0.3">
      <c r="E11615"/>
    </row>
    <row r="11616" spans="5:5" x14ac:dyDescent="0.3">
      <c r="E11616"/>
    </row>
    <row r="11617" spans="5:5" x14ac:dyDescent="0.3">
      <c r="E11617"/>
    </row>
    <row r="11618" spans="5:5" x14ac:dyDescent="0.3">
      <c r="E11618"/>
    </row>
    <row r="11619" spans="5:5" x14ac:dyDescent="0.3">
      <c r="E11619"/>
    </row>
    <row r="11620" spans="5:5" x14ac:dyDescent="0.3">
      <c r="E11620"/>
    </row>
    <row r="11621" spans="5:5" x14ac:dyDescent="0.3">
      <c r="E11621"/>
    </row>
    <row r="11622" spans="5:5" x14ac:dyDescent="0.3">
      <c r="E11622"/>
    </row>
    <row r="11623" spans="5:5" x14ac:dyDescent="0.3">
      <c r="E11623"/>
    </row>
    <row r="11624" spans="5:5" x14ac:dyDescent="0.3">
      <c r="E11624"/>
    </row>
    <row r="11625" spans="5:5" x14ac:dyDescent="0.3">
      <c r="E11625"/>
    </row>
    <row r="11626" spans="5:5" x14ac:dyDescent="0.3">
      <c r="E11626"/>
    </row>
    <row r="11627" spans="5:5" x14ac:dyDescent="0.3">
      <c r="E11627"/>
    </row>
    <row r="11628" spans="5:5" x14ac:dyDescent="0.3">
      <c r="E11628"/>
    </row>
    <row r="11629" spans="5:5" x14ac:dyDescent="0.3">
      <c r="E11629"/>
    </row>
    <row r="11630" spans="5:5" x14ac:dyDescent="0.3">
      <c r="E11630"/>
    </row>
    <row r="11631" spans="5:5" x14ac:dyDescent="0.3">
      <c r="E11631"/>
    </row>
    <row r="11632" spans="5:5" x14ac:dyDescent="0.3">
      <c r="E11632"/>
    </row>
    <row r="11633" spans="5:5" x14ac:dyDescent="0.3">
      <c r="E11633"/>
    </row>
    <row r="11634" spans="5:5" x14ac:dyDescent="0.3">
      <c r="E11634"/>
    </row>
    <row r="11635" spans="5:5" x14ac:dyDescent="0.3">
      <c r="E11635"/>
    </row>
    <row r="11636" spans="5:5" x14ac:dyDescent="0.3">
      <c r="E11636"/>
    </row>
    <row r="11637" spans="5:5" x14ac:dyDescent="0.3">
      <c r="E11637"/>
    </row>
    <row r="11638" spans="5:5" x14ac:dyDescent="0.3">
      <c r="E11638"/>
    </row>
    <row r="11639" spans="5:5" x14ac:dyDescent="0.3">
      <c r="E11639"/>
    </row>
    <row r="11640" spans="5:5" x14ac:dyDescent="0.3">
      <c r="E11640"/>
    </row>
    <row r="11641" spans="5:5" x14ac:dyDescent="0.3">
      <c r="E11641"/>
    </row>
    <row r="11642" spans="5:5" x14ac:dyDescent="0.3">
      <c r="E11642"/>
    </row>
    <row r="11643" spans="5:5" x14ac:dyDescent="0.3">
      <c r="E11643"/>
    </row>
    <row r="11644" spans="5:5" x14ac:dyDescent="0.3">
      <c r="E11644"/>
    </row>
    <row r="11645" spans="5:5" x14ac:dyDescent="0.3">
      <c r="E11645"/>
    </row>
    <row r="11646" spans="5:5" x14ac:dyDescent="0.3">
      <c r="E11646"/>
    </row>
    <row r="11647" spans="5:5" x14ac:dyDescent="0.3">
      <c r="E11647"/>
    </row>
    <row r="11648" spans="5:5" x14ac:dyDescent="0.3">
      <c r="E11648"/>
    </row>
    <row r="11649" spans="5:5" x14ac:dyDescent="0.3">
      <c r="E11649"/>
    </row>
    <row r="11650" spans="5:5" x14ac:dyDescent="0.3">
      <c r="E11650"/>
    </row>
    <row r="11651" spans="5:5" x14ac:dyDescent="0.3">
      <c r="E11651"/>
    </row>
    <row r="11652" spans="5:5" x14ac:dyDescent="0.3">
      <c r="E11652"/>
    </row>
    <row r="11653" spans="5:5" x14ac:dyDescent="0.3">
      <c r="E11653"/>
    </row>
    <row r="11654" spans="5:5" x14ac:dyDescent="0.3">
      <c r="E11654"/>
    </row>
    <row r="11655" spans="5:5" x14ac:dyDescent="0.3">
      <c r="E11655"/>
    </row>
    <row r="11656" spans="5:5" x14ac:dyDescent="0.3">
      <c r="E11656"/>
    </row>
    <row r="11657" spans="5:5" x14ac:dyDescent="0.3">
      <c r="E11657"/>
    </row>
    <row r="11658" spans="5:5" x14ac:dyDescent="0.3">
      <c r="E11658"/>
    </row>
    <row r="11659" spans="5:5" x14ac:dyDescent="0.3">
      <c r="E11659"/>
    </row>
    <row r="11660" spans="5:5" x14ac:dyDescent="0.3">
      <c r="E11660"/>
    </row>
    <row r="11661" spans="5:5" x14ac:dyDescent="0.3">
      <c r="E11661"/>
    </row>
    <row r="11662" spans="5:5" x14ac:dyDescent="0.3">
      <c r="E11662"/>
    </row>
    <row r="11663" spans="5:5" x14ac:dyDescent="0.3">
      <c r="E11663"/>
    </row>
    <row r="11664" spans="5:5" x14ac:dyDescent="0.3">
      <c r="E11664"/>
    </row>
    <row r="11665" spans="5:5" x14ac:dyDescent="0.3">
      <c r="E11665"/>
    </row>
    <row r="11666" spans="5:5" x14ac:dyDescent="0.3">
      <c r="E11666"/>
    </row>
    <row r="11667" spans="5:5" x14ac:dyDescent="0.3">
      <c r="E11667"/>
    </row>
    <row r="11668" spans="5:5" x14ac:dyDescent="0.3">
      <c r="E11668"/>
    </row>
    <row r="11669" spans="5:5" x14ac:dyDescent="0.3">
      <c r="E11669"/>
    </row>
    <row r="11670" spans="5:5" x14ac:dyDescent="0.3">
      <c r="E11670"/>
    </row>
    <row r="11671" spans="5:5" x14ac:dyDescent="0.3">
      <c r="E11671"/>
    </row>
    <row r="11672" spans="5:5" x14ac:dyDescent="0.3">
      <c r="E11672"/>
    </row>
    <row r="11673" spans="5:5" x14ac:dyDescent="0.3">
      <c r="E11673"/>
    </row>
    <row r="11674" spans="5:5" x14ac:dyDescent="0.3">
      <c r="E11674"/>
    </row>
    <row r="11675" spans="5:5" x14ac:dyDescent="0.3">
      <c r="E11675"/>
    </row>
    <row r="11676" spans="5:5" x14ac:dyDescent="0.3">
      <c r="E11676"/>
    </row>
    <row r="11677" spans="5:5" x14ac:dyDescent="0.3">
      <c r="E11677"/>
    </row>
    <row r="11678" spans="5:5" x14ac:dyDescent="0.3">
      <c r="E11678"/>
    </row>
    <row r="11679" spans="5:5" x14ac:dyDescent="0.3">
      <c r="E11679"/>
    </row>
    <row r="11680" spans="5:5" x14ac:dyDescent="0.3">
      <c r="E11680"/>
    </row>
    <row r="11681" spans="5:5" x14ac:dyDescent="0.3">
      <c r="E11681"/>
    </row>
    <row r="11682" spans="5:5" x14ac:dyDescent="0.3">
      <c r="E11682"/>
    </row>
    <row r="11683" spans="5:5" x14ac:dyDescent="0.3">
      <c r="E11683"/>
    </row>
    <row r="11684" spans="5:5" x14ac:dyDescent="0.3">
      <c r="E11684"/>
    </row>
    <row r="11685" spans="5:5" x14ac:dyDescent="0.3">
      <c r="E11685"/>
    </row>
    <row r="11686" spans="5:5" x14ac:dyDescent="0.3">
      <c r="E11686"/>
    </row>
    <row r="11687" spans="5:5" x14ac:dyDescent="0.3">
      <c r="E11687"/>
    </row>
    <row r="11688" spans="5:5" x14ac:dyDescent="0.3">
      <c r="E11688"/>
    </row>
    <row r="11689" spans="5:5" x14ac:dyDescent="0.3">
      <c r="E11689"/>
    </row>
    <row r="11690" spans="5:5" x14ac:dyDescent="0.3">
      <c r="E11690"/>
    </row>
    <row r="11691" spans="5:5" x14ac:dyDescent="0.3">
      <c r="E11691"/>
    </row>
    <row r="11692" spans="5:5" x14ac:dyDescent="0.3">
      <c r="E11692"/>
    </row>
    <row r="11693" spans="5:5" x14ac:dyDescent="0.3">
      <c r="E11693"/>
    </row>
    <row r="11694" spans="5:5" x14ac:dyDescent="0.3">
      <c r="E11694"/>
    </row>
    <row r="11695" spans="5:5" x14ac:dyDescent="0.3">
      <c r="E11695"/>
    </row>
    <row r="11696" spans="5:5" x14ac:dyDescent="0.3">
      <c r="E11696"/>
    </row>
    <row r="11697" spans="5:5" x14ac:dyDescent="0.3">
      <c r="E11697"/>
    </row>
    <row r="11698" spans="5:5" x14ac:dyDescent="0.3">
      <c r="E11698"/>
    </row>
    <row r="11699" spans="5:5" x14ac:dyDescent="0.3">
      <c r="E11699"/>
    </row>
    <row r="11700" spans="5:5" x14ac:dyDescent="0.3">
      <c r="E11700"/>
    </row>
    <row r="11701" spans="5:5" x14ac:dyDescent="0.3">
      <c r="E11701"/>
    </row>
    <row r="11702" spans="5:5" x14ac:dyDescent="0.3">
      <c r="E11702"/>
    </row>
    <row r="11703" spans="5:5" x14ac:dyDescent="0.3">
      <c r="E11703"/>
    </row>
    <row r="11704" spans="5:5" x14ac:dyDescent="0.3">
      <c r="E11704"/>
    </row>
    <row r="11705" spans="5:5" x14ac:dyDescent="0.3">
      <c r="E11705"/>
    </row>
    <row r="11706" spans="5:5" x14ac:dyDescent="0.3">
      <c r="E11706"/>
    </row>
    <row r="11707" spans="5:5" x14ac:dyDescent="0.3">
      <c r="E11707"/>
    </row>
    <row r="11708" spans="5:5" x14ac:dyDescent="0.3">
      <c r="E11708"/>
    </row>
    <row r="11709" spans="5:5" x14ac:dyDescent="0.3">
      <c r="E11709"/>
    </row>
    <row r="11710" spans="5:5" x14ac:dyDescent="0.3">
      <c r="E11710"/>
    </row>
    <row r="11711" spans="5:5" x14ac:dyDescent="0.3">
      <c r="E11711"/>
    </row>
    <row r="11712" spans="5:5" x14ac:dyDescent="0.3">
      <c r="E11712"/>
    </row>
    <row r="11713" spans="5:5" x14ac:dyDescent="0.3">
      <c r="E11713"/>
    </row>
    <row r="11714" spans="5:5" x14ac:dyDescent="0.3">
      <c r="E11714"/>
    </row>
    <row r="11715" spans="5:5" x14ac:dyDescent="0.3">
      <c r="E11715"/>
    </row>
    <row r="11716" spans="5:5" x14ac:dyDescent="0.3">
      <c r="E11716"/>
    </row>
    <row r="11717" spans="5:5" x14ac:dyDescent="0.3">
      <c r="E11717"/>
    </row>
    <row r="11718" spans="5:5" x14ac:dyDescent="0.3">
      <c r="E11718"/>
    </row>
    <row r="11719" spans="5:5" x14ac:dyDescent="0.3">
      <c r="E11719"/>
    </row>
    <row r="11720" spans="5:5" x14ac:dyDescent="0.3">
      <c r="E11720"/>
    </row>
    <row r="11721" spans="5:5" x14ac:dyDescent="0.3">
      <c r="E11721"/>
    </row>
    <row r="11722" spans="5:5" x14ac:dyDescent="0.3">
      <c r="E11722"/>
    </row>
    <row r="11723" spans="5:5" x14ac:dyDescent="0.3">
      <c r="E11723"/>
    </row>
    <row r="11724" spans="5:5" x14ac:dyDescent="0.3">
      <c r="E11724"/>
    </row>
    <row r="11725" spans="5:5" x14ac:dyDescent="0.3">
      <c r="E11725"/>
    </row>
    <row r="11726" spans="5:5" x14ac:dyDescent="0.3">
      <c r="E11726"/>
    </row>
    <row r="11727" spans="5:5" x14ac:dyDescent="0.3">
      <c r="E11727"/>
    </row>
    <row r="11728" spans="5:5" x14ac:dyDescent="0.3">
      <c r="E11728"/>
    </row>
    <row r="11729" spans="5:5" x14ac:dyDescent="0.3">
      <c r="E11729"/>
    </row>
    <row r="11730" spans="5:5" x14ac:dyDescent="0.3">
      <c r="E11730"/>
    </row>
    <row r="11731" spans="5:5" x14ac:dyDescent="0.3">
      <c r="E11731"/>
    </row>
    <row r="11732" spans="5:5" x14ac:dyDescent="0.3">
      <c r="E11732"/>
    </row>
    <row r="11733" spans="5:5" x14ac:dyDescent="0.3">
      <c r="E11733"/>
    </row>
    <row r="11734" spans="5:5" x14ac:dyDescent="0.3">
      <c r="E11734"/>
    </row>
    <row r="11735" spans="5:5" x14ac:dyDescent="0.3">
      <c r="E11735"/>
    </row>
    <row r="11736" spans="5:5" x14ac:dyDescent="0.3">
      <c r="E11736"/>
    </row>
    <row r="11737" spans="5:5" x14ac:dyDescent="0.3">
      <c r="E11737"/>
    </row>
    <row r="11738" spans="5:5" x14ac:dyDescent="0.3">
      <c r="E11738"/>
    </row>
    <row r="11739" spans="5:5" x14ac:dyDescent="0.3">
      <c r="E11739"/>
    </row>
    <row r="11740" spans="5:5" x14ac:dyDescent="0.3">
      <c r="E11740"/>
    </row>
    <row r="11741" spans="5:5" x14ac:dyDescent="0.3">
      <c r="E11741"/>
    </row>
    <row r="11742" spans="5:5" x14ac:dyDescent="0.3">
      <c r="E11742"/>
    </row>
    <row r="11743" spans="5:5" x14ac:dyDescent="0.3">
      <c r="E11743"/>
    </row>
    <row r="11744" spans="5:5" x14ac:dyDescent="0.3">
      <c r="E11744"/>
    </row>
    <row r="11745" spans="5:5" x14ac:dyDescent="0.3">
      <c r="E11745"/>
    </row>
    <row r="11746" spans="5:5" x14ac:dyDescent="0.3">
      <c r="E11746"/>
    </row>
    <row r="11747" spans="5:5" x14ac:dyDescent="0.3">
      <c r="E11747"/>
    </row>
    <row r="11748" spans="5:5" x14ac:dyDescent="0.3">
      <c r="E11748"/>
    </row>
    <row r="11749" spans="5:5" x14ac:dyDescent="0.3">
      <c r="E11749"/>
    </row>
    <row r="11750" spans="5:5" x14ac:dyDescent="0.3">
      <c r="E11750"/>
    </row>
    <row r="11751" spans="5:5" x14ac:dyDescent="0.3">
      <c r="E11751"/>
    </row>
    <row r="11752" spans="5:5" x14ac:dyDescent="0.3">
      <c r="E11752"/>
    </row>
    <row r="11753" spans="5:5" x14ac:dyDescent="0.3">
      <c r="E11753"/>
    </row>
    <row r="11754" spans="5:5" x14ac:dyDescent="0.3">
      <c r="E11754"/>
    </row>
    <row r="11755" spans="5:5" x14ac:dyDescent="0.3">
      <c r="E11755"/>
    </row>
    <row r="11756" spans="5:5" x14ac:dyDescent="0.3">
      <c r="E11756"/>
    </row>
    <row r="11757" spans="5:5" x14ac:dyDescent="0.3">
      <c r="E11757"/>
    </row>
    <row r="11758" spans="5:5" x14ac:dyDescent="0.3">
      <c r="E11758"/>
    </row>
    <row r="11759" spans="5:5" x14ac:dyDescent="0.3">
      <c r="E11759"/>
    </row>
    <row r="11760" spans="5:5" x14ac:dyDescent="0.3">
      <c r="E11760"/>
    </row>
    <row r="11761" spans="5:5" x14ac:dyDescent="0.3">
      <c r="E11761"/>
    </row>
    <row r="11762" spans="5:5" x14ac:dyDescent="0.3">
      <c r="E11762"/>
    </row>
    <row r="11763" spans="5:5" x14ac:dyDescent="0.3">
      <c r="E11763"/>
    </row>
    <row r="11764" spans="5:5" x14ac:dyDescent="0.3">
      <c r="E11764"/>
    </row>
    <row r="11765" spans="5:5" x14ac:dyDescent="0.3">
      <c r="E11765"/>
    </row>
    <row r="11766" spans="5:5" x14ac:dyDescent="0.3">
      <c r="E11766"/>
    </row>
    <row r="11767" spans="5:5" x14ac:dyDescent="0.3">
      <c r="E11767"/>
    </row>
    <row r="11768" spans="5:5" x14ac:dyDescent="0.3">
      <c r="E11768"/>
    </row>
    <row r="11769" spans="5:5" x14ac:dyDescent="0.3">
      <c r="E11769"/>
    </row>
    <row r="11770" spans="5:5" x14ac:dyDescent="0.3">
      <c r="E11770"/>
    </row>
    <row r="11771" spans="5:5" x14ac:dyDescent="0.3">
      <c r="E11771"/>
    </row>
    <row r="11772" spans="5:5" x14ac:dyDescent="0.3">
      <c r="E11772"/>
    </row>
    <row r="11773" spans="5:5" x14ac:dyDescent="0.3">
      <c r="E11773"/>
    </row>
    <row r="11774" spans="5:5" x14ac:dyDescent="0.3">
      <c r="E11774"/>
    </row>
    <row r="11775" spans="5:5" x14ac:dyDescent="0.3">
      <c r="E11775"/>
    </row>
    <row r="11776" spans="5:5" x14ac:dyDescent="0.3">
      <c r="E11776"/>
    </row>
    <row r="11777" spans="5:5" x14ac:dyDescent="0.3">
      <c r="E11777"/>
    </row>
    <row r="11778" spans="5:5" x14ac:dyDescent="0.3">
      <c r="E11778"/>
    </row>
    <row r="11779" spans="5:5" x14ac:dyDescent="0.3">
      <c r="E11779"/>
    </row>
    <row r="11780" spans="5:5" x14ac:dyDescent="0.3">
      <c r="E11780"/>
    </row>
    <row r="11781" spans="5:5" x14ac:dyDescent="0.3">
      <c r="E11781"/>
    </row>
    <row r="11782" spans="5:5" x14ac:dyDescent="0.3">
      <c r="E11782"/>
    </row>
    <row r="11783" spans="5:5" x14ac:dyDescent="0.3">
      <c r="E11783"/>
    </row>
    <row r="11784" spans="5:5" x14ac:dyDescent="0.3">
      <c r="E11784"/>
    </row>
    <row r="11785" spans="5:5" x14ac:dyDescent="0.3">
      <c r="E11785"/>
    </row>
    <row r="11786" spans="5:5" x14ac:dyDescent="0.3">
      <c r="E11786"/>
    </row>
    <row r="11787" spans="5:5" x14ac:dyDescent="0.3">
      <c r="E11787"/>
    </row>
    <row r="11788" spans="5:5" x14ac:dyDescent="0.3">
      <c r="E11788"/>
    </row>
    <row r="11789" spans="5:5" x14ac:dyDescent="0.3">
      <c r="E11789"/>
    </row>
    <row r="11790" spans="5:5" x14ac:dyDescent="0.3">
      <c r="E11790"/>
    </row>
    <row r="11791" spans="5:5" x14ac:dyDescent="0.3">
      <c r="E11791"/>
    </row>
    <row r="11792" spans="5:5" x14ac:dyDescent="0.3">
      <c r="E11792"/>
    </row>
    <row r="11793" spans="5:5" x14ac:dyDescent="0.3">
      <c r="E11793"/>
    </row>
    <row r="11794" spans="5:5" x14ac:dyDescent="0.3">
      <c r="E11794"/>
    </row>
    <row r="11795" spans="5:5" x14ac:dyDescent="0.3">
      <c r="E11795"/>
    </row>
    <row r="11796" spans="5:5" x14ac:dyDescent="0.3">
      <c r="E11796"/>
    </row>
    <row r="11797" spans="5:5" x14ac:dyDescent="0.3">
      <c r="E11797"/>
    </row>
    <row r="11798" spans="5:5" x14ac:dyDescent="0.3">
      <c r="E11798"/>
    </row>
    <row r="11799" spans="5:5" x14ac:dyDescent="0.3">
      <c r="E11799"/>
    </row>
    <row r="11800" spans="5:5" x14ac:dyDescent="0.3">
      <c r="E11800"/>
    </row>
    <row r="11801" spans="5:5" x14ac:dyDescent="0.3">
      <c r="E11801"/>
    </row>
    <row r="11802" spans="5:5" x14ac:dyDescent="0.3">
      <c r="E11802"/>
    </row>
    <row r="11803" spans="5:5" x14ac:dyDescent="0.3">
      <c r="E11803"/>
    </row>
    <row r="11804" spans="5:5" x14ac:dyDescent="0.3">
      <c r="E11804"/>
    </row>
    <row r="11805" spans="5:5" x14ac:dyDescent="0.3">
      <c r="E11805"/>
    </row>
    <row r="11806" spans="5:5" x14ac:dyDescent="0.3">
      <c r="E11806"/>
    </row>
    <row r="11807" spans="5:5" x14ac:dyDescent="0.3">
      <c r="E11807"/>
    </row>
    <row r="11808" spans="5:5" x14ac:dyDescent="0.3">
      <c r="E11808"/>
    </row>
    <row r="11809" spans="5:5" x14ac:dyDescent="0.3">
      <c r="E11809"/>
    </row>
    <row r="11810" spans="5:5" x14ac:dyDescent="0.3">
      <c r="E11810"/>
    </row>
    <row r="11811" spans="5:5" x14ac:dyDescent="0.3">
      <c r="E11811"/>
    </row>
    <row r="11812" spans="5:5" x14ac:dyDescent="0.3">
      <c r="E11812"/>
    </row>
    <row r="11813" spans="5:5" x14ac:dyDescent="0.3">
      <c r="E11813"/>
    </row>
    <row r="11814" spans="5:5" x14ac:dyDescent="0.3">
      <c r="E11814"/>
    </row>
    <row r="11815" spans="5:5" x14ac:dyDescent="0.3">
      <c r="E11815"/>
    </row>
    <row r="11816" spans="5:5" x14ac:dyDescent="0.3">
      <c r="E11816"/>
    </row>
    <row r="11817" spans="5:5" x14ac:dyDescent="0.3">
      <c r="E11817"/>
    </row>
    <row r="11818" spans="5:5" x14ac:dyDescent="0.3">
      <c r="E11818"/>
    </row>
    <row r="11819" spans="5:5" x14ac:dyDescent="0.3">
      <c r="E11819"/>
    </row>
    <row r="11820" spans="5:5" x14ac:dyDescent="0.3">
      <c r="E11820"/>
    </row>
    <row r="11821" spans="5:5" x14ac:dyDescent="0.3">
      <c r="E11821"/>
    </row>
    <row r="11822" spans="5:5" x14ac:dyDescent="0.3">
      <c r="E11822"/>
    </row>
    <row r="11823" spans="5:5" x14ac:dyDescent="0.3">
      <c r="E11823"/>
    </row>
    <row r="11824" spans="5:5" x14ac:dyDescent="0.3">
      <c r="E11824"/>
    </row>
    <row r="11825" spans="5:5" x14ac:dyDescent="0.3">
      <c r="E11825"/>
    </row>
    <row r="11826" spans="5:5" x14ac:dyDescent="0.3">
      <c r="E11826"/>
    </row>
    <row r="11827" spans="5:5" x14ac:dyDescent="0.3">
      <c r="E11827"/>
    </row>
    <row r="11828" spans="5:5" x14ac:dyDescent="0.3">
      <c r="E11828"/>
    </row>
    <row r="11829" spans="5:5" x14ac:dyDescent="0.3">
      <c r="E11829"/>
    </row>
    <row r="11830" spans="5:5" x14ac:dyDescent="0.3">
      <c r="E11830"/>
    </row>
    <row r="11831" spans="5:5" x14ac:dyDescent="0.3">
      <c r="E11831"/>
    </row>
    <row r="11832" spans="5:5" x14ac:dyDescent="0.3">
      <c r="E11832"/>
    </row>
    <row r="11833" spans="5:5" x14ac:dyDescent="0.3">
      <c r="E11833"/>
    </row>
    <row r="11834" spans="5:5" x14ac:dyDescent="0.3">
      <c r="E11834"/>
    </row>
    <row r="11835" spans="5:5" x14ac:dyDescent="0.3">
      <c r="E11835"/>
    </row>
    <row r="11836" spans="5:5" x14ac:dyDescent="0.3">
      <c r="E11836"/>
    </row>
    <row r="11837" spans="5:5" x14ac:dyDescent="0.3">
      <c r="E11837"/>
    </row>
    <row r="11838" spans="5:5" x14ac:dyDescent="0.3">
      <c r="E11838"/>
    </row>
    <row r="11839" spans="5:5" x14ac:dyDescent="0.3">
      <c r="E11839"/>
    </row>
    <row r="11840" spans="5:5" x14ac:dyDescent="0.3">
      <c r="E11840"/>
    </row>
    <row r="11841" spans="5:5" x14ac:dyDescent="0.3">
      <c r="E11841"/>
    </row>
    <row r="11842" spans="5:5" x14ac:dyDescent="0.3">
      <c r="E11842"/>
    </row>
    <row r="11843" spans="5:5" x14ac:dyDescent="0.3">
      <c r="E11843"/>
    </row>
    <row r="11844" spans="5:5" x14ac:dyDescent="0.3">
      <c r="E11844"/>
    </row>
    <row r="11845" spans="5:5" x14ac:dyDescent="0.3">
      <c r="E11845"/>
    </row>
    <row r="11846" spans="5:5" x14ac:dyDescent="0.3">
      <c r="E11846"/>
    </row>
    <row r="11847" spans="5:5" x14ac:dyDescent="0.3">
      <c r="E11847"/>
    </row>
    <row r="11848" spans="5:5" x14ac:dyDescent="0.3">
      <c r="E11848"/>
    </row>
    <row r="11849" spans="5:5" x14ac:dyDescent="0.3">
      <c r="E11849"/>
    </row>
    <row r="11850" spans="5:5" x14ac:dyDescent="0.3">
      <c r="E11850"/>
    </row>
    <row r="11851" spans="5:5" x14ac:dyDescent="0.3">
      <c r="E11851"/>
    </row>
    <row r="11852" spans="5:5" x14ac:dyDescent="0.3">
      <c r="E11852"/>
    </row>
    <row r="11853" spans="5:5" x14ac:dyDescent="0.3">
      <c r="E11853"/>
    </row>
    <row r="11854" spans="5:5" x14ac:dyDescent="0.3">
      <c r="E11854"/>
    </row>
    <row r="11855" spans="5:5" x14ac:dyDescent="0.3">
      <c r="E11855"/>
    </row>
    <row r="11856" spans="5:5" x14ac:dyDescent="0.3">
      <c r="E11856"/>
    </row>
    <row r="11857" spans="5:5" x14ac:dyDescent="0.3">
      <c r="E11857"/>
    </row>
    <row r="11858" spans="5:5" x14ac:dyDescent="0.3">
      <c r="E11858"/>
    </row>
    <row r="11859" spans="5:5" x14ac:dyDescent="0.3">
      <c r="E11859"/>
    </row>
    <row r="11860" spans="5:5" x14ac:dyDescent="0.3">
      <c r="E11860"/>
    </row>
    <row r="11861" spans="5:5" x14ac:dyDescent="0.3">
      <c r="E11861"/>
    </row>
    <row r="11862" spans="5:5" x14ac:dyDescent="0.3">
      <c r="E11862"/>
    </row>
    <row r="11863" spans="5:5" x14ac:dyDescent="0.3">
      <c r="E11863"/>
    </row>
    <row r="11864" spans="5:5" x14ac:dyDescent="0.3">
      <c r="E11864"/>
    </row>
    <row r="11865" spans="5:5" x14ac:dyDescent="0.3">
      <c r="E11865"/>
    </row>
    <row r="11866" spans="5:5" x14ac:dyDescent="0.3">
      <c r="E11866"/>
    </row>
    <row r="11867" spans="5:5" x14ac:dyDescent="0.3">
      <c r="E11867"/>
    </row>
    <row r="11868" spans="5:5" x14ac:dyDescent="0.3">
      <c r="E11868"/>
    </row>
    <row r="11869" spans="5:5" x14ac:dyDescent="0.3">
      <c r="E11869"/>
    </row>
    <row r="11870" spans="5:5" x14ac:dyDescent="0.3">
      <c r="E11870"/>
    </row>
    <row r="11871" spans="5:5" x14ac:dyDescent="0.3">
      <c r="E11871"/>
    </row>
    <row r="11872" spans="5:5" x14ac:dyDescent="0.3">
      <c r="E11872"/>
    </row>
    <row r="11873" spans="5:5" x14ac:dyDescent="0.3">
      <c r="E11873"/>
    </row>
    <row r="11874" spans="5:5" x14ac:dyDescent="0.3">
      <c r="E11874"/>
    </row>
    <row r="11875" spans="5:5" x14ac:dyDescent="0.3">
      <c r="E11875"/>
    </row>
    <row r="11876" spans="5:5" x14ac:dyDescent="0.3">
      <c r="E11876"/>
    </row>
    <row r="11877" spans="5:5" x14ac:dyDescent="0.3">
      <c r="E11877"/>
    </row>
    <row r="11878" spans="5:5" x14ac:dyDescent="0.3">
      <c r="E11878"/>
    </row>
    <row r="11879" spans="5:5" x14ac:dyDescent="0.3">
      <c r="E11879"/>
    </row>
    <row r="11880" spans="5:5" x14ac:dyDescent="0.3">
      <c r="E11880"/>
    </row>
    <row r="11881" spans="5:5" x14ac:dyDescent="0.3">
      <c r="E11881"/>
    </row>
    <row r="11882" spans="5:5" x14ac:dyDescent="0.3">
      <c r="E11882"/>
    </row>
    <row r="11883" spans="5:5" x14ac:dyDescent="0.3">
      <c r="E11883"/>
    </row>
    <row r="11884" spans="5:5" x14ac:dyDescent="0.3">
      <c r="E11884"/>
    </row>
    <row r="11885" spans="5:5" x14ac:dyDescent="0.3">
      <c r="E11885"/>
    </row>
    <row r="11886" spans="5:5" x14ac:dyDescent="0.3">
      <c r="E11886"/>
    </row>
    <row r="11887" spans="5:5" x14ac:dyDescent="0.3">
      <c r="E11887"/>
    </row>
    <row r="11888" spans="5:5" x14ac:dyDescent="0.3">
      <c r="E11888"/>
    </row>
    <row r="11889" spans="5:5" x14ac:dyDescent="0.3">
      <c r="E11889"/>
    </row>
    <row r="11890" spans="5:5" x14ac:dyDescent="0.3">
      <c r="E11890"/>
    </row>
    <row r="11891" spans="5:5" x14ac:dyDescent="0.3">
      <c r="E11891"/>
    </row>
    <row r="11892" spans="5:5" x14ac:dyDescent="0.3">
      <c r="E11892"/>
    </row>
    <row r="11893" spans="5:5" x14ac:dyDescent="0.3">
      <c r="E11893"/>
    </row>
    <row r="11894" spans="5:5" x14ac:dyDescent="0.3">
      <c r="E11894"/>
    </row>
    <row r="11895" spans="5:5" x14ac:dyDescent="0.3">
      <c r="E11895"/>
    </row>
    <row r="11896" spans="5:5" x14ac:dyDescent="0.3">
      <c r="E11896"/>
    </row>
    <row r="11897" spans="5:5" x14ac:dyDescent="0.3">
      <c r="E11897"/>
    </row>
    <row r="11898" spans="5:5" x14ac:dyDescent="0.3">
      <c r="E11898"/>
    </row>
    <row r="11899" spans="5:5" x14ac:dyDescent="0.3">
      <c r="E11899"/>
    </row>
    <row r="11900" spans="5:5" x14ac:dyDescent="0.3">
      <c r="E11900"/>
    </row>
    <row r="11901" spans="5:5" x14ac:dyDescent="0.3">
      <c r="E11901"/>
    </row>
    <row r="11902" spans="5:5" x14ac:dyDescent="0.3">
      <c r="E11902"/>
    </row>
    <row r="11903" spans="5:5" x14ac:dyDescent="0.3">
      <c r="E11903"/>
    </row>
    <row r="11904" spans="5:5" x14ac:dyDescent="0.3">
      <c r="E11904"/>
    </row>
    <row r="11905" spans="5:5" x14ac:dyDescent="0.3">
      <c r="E11905"/>
    </row>
    <row r="11906" spans="5:5" x14ac:dyDescent="0.3">
      <c r="E11906"/>
    </row>
    <row r="11907" spans="5:5" x14ac:dyDescent="0.3">
      <c r="E11907"/>
    </row>
    <row r="11908" spans="5:5" x14ac:dyDescent="0.3">
      <c r="E11908"/>
    </row>
    <row r="11909" spans="5:5" x14ac:dyDescent="0.3">
      <c r="E11909"/>
    </row>
    <row r="11910" spans="5:5" x14ac:dyDescent="0.3">
      <c r="E11910"/>
    </row>
    <row r="11911" spans="5:5" x14ac:dyDescent="0.3">
      <c r="E11911"/>
    </row>
    <row r="11912" spans="5:5" x14ac:dyDescent="0.3">
      <c r="E11912"/>
    </row>
    <row r="11913" spans="5:5" x14ac:dyDescent="0.3">
      <c r="E11913"/>
    </row>
    <row r="11914" spans="5:5" x14ac:dyDescent="0.3">
      <c r="E11914"/>
    </row>
    <row r="11915" spans="5:5" x14ac:dyDescent="0.3">
      <c r="E11915"/>
    </row>
    <row r="11916" spans="5:5" x14ac:dyDescent="0.3">
      <c r="E11916"/>
    </row>
    <row r="11917" spans="5:5" x14ac:dyDescent="0.3">
      <c r="E11917"/>
    </row>
    <row r="11918" spans="5:5" x14ac:dyDescent="0.3">
      <c r="E11918"/>
    </row>
    <row r="11919" spans="5:5" x14ac:dyDescent="0.3">
      <c r="E11919"/>
    </row>
    <row r="11920" spans="5:5" x14ac:dyDescent="0.3">
      <c r="E11920"/>
    </row>
    <row r="11921" spans="5:5" x14ac:dyDescent="0.3">
      <c r="E11921"/>
    </row>
    <row r="11922" spans="5:5" x14ac:dyDescent="0.3">
      <c r="E11922"/>
    </row>
    <row r="11923" spans="5:5" x14ac:dyDescent="0.3">
      <c r="E11923"/>
    </row>
    <row r="11924" spans="5:5" x14ac:dyDescent="0.3">
      <c r="E11924"/>
    </row>
    <row r="11925" spans="5:5" x14ac:dyDescent="0.3">
      <c r="E11925"/>
    </row>
    <row r="11926" spans="5:5" x14ac:dyDescent="0.3">
      <c r="E11926"/>
    </row>
    <row r="11927" spans="5:5" x14ac:dyDescent="0.3">
      <c r="E11927"/>
    </row>
    <row r="11928" spans="5:5" x14ac:dyDescent="0.3">
      <c r="E11928"/>
    </row>
    <row r="11929" spans="5:5" x14ac:dyDescent="0.3">
      <c r="E11929"/>
    </row>
    <row r="11930" spans="5:5" x14ac:dyDescent="0.3">
      <c r="E11930"/>
    </row>
    <row r="11931" spans="5:5" x14ac:dyDescent="0.3">
      <c r="E11931"/>
    </row>
    <row r="11932" spans="5:5" x14ac:dyDescent="0.3">
      <c r="E11932"/>
    </row>
    <row r="11933" spans="5:5" x14ac:dyDescent="0.3">
      <c r="E11933"/>
    </row>
    <row r="11934" spans="5:5" x14ac:dyDescent="0.3">
      <c r="E11934"/>
    </row>
    <row r="11935" spans="5:5" x14ac:dyDescent="0.3">
      <c r="E11935"/>
    </row>
    <row r="11936" spans="5:5" x14ac:dyDescent="0.3">
      <c r="E11936"/>
    </row>
    <row r="11937" spans="5:5" x14ac:dyDescent="0.3">
      <c r="E11937"/>
    </row>
    <row r="11938" spans="5:5" x14ac:dyDescent="0.3">
      <c r="E11938"/>
    </row>
    <row r="11939" spans="5:5" x14ac:dyDescent="0.3">
      <c r="E11939"/>
    </row>
    <row r="11940" spans="5:5" x14ac:dyDescent="0.3">
      <c r="E11940"/>
    </row>
    <row r="11941" spans="5:5" x14ac:dyDescent="0.3">
      <c r="E11941"/>
    </row>
    <row r="11942" spans="5:5" x14ac:dyDescent="0.3">
      <c r="E11942"/>
    </row>
    <row r="11943" spans="5:5" x14ac:dyDescent="0.3">
      <c r="E11943"/>
    </row>
    <row r="11944" spans="5:5" x14ac:dyDescent="0.3">
      <c r="E11944"/>
    </row>
    <row r="11945" spans="5:5" x14ac:dyDescent="0.3">
      <c r="E11945"/>
    </row>
    <row r="11946" spans="5:5" x14ac:dyDescent="0.3">
      <c r="E11946"/>
    </row>
    <row r="11947" spans="5:5" x14ac:dyDescent="0.3">
      <c r="E11947"/>
    </row>
    <row r="11948" spans="5:5" x14ac:dyDescent="0.3">
      <c r="E11948"/>
    </row>
    <row r="11949" spans="5:5" x14ac:dyDescent="0.3">
      <c r="E11949"/>
    </row>
    <row r="11950" spans="5:5" x14ac:dyDescent="0.3">
      <c r="E11950"/>
    </row>
    <row r="11951" spans="5:5" x14ac:dyDescent="0.3">
      <c r="E11951"/>
    </row>
    <row r="11952" spans="5:5" x14ac:dyDescent="0.3">
      <c r="E11952"/>
    </row>
    <row r="11953" spans="5:5" x14ac:dyDescent="0.3">
      <c r="E11953"/>
    </row>
    <row r="11954" spans="5:5" x14ac:dyDescent="0.3">
      <c r="E11954"/>
    </row>
    <row r="11955" spans="5:5" x14ac:dyDescent="0.3">
      <c r="E11955"/>
    </row>
    <row r="11956" spans="5:5" x14ac:dyDescent="0.3">
      <c r="E11956"/>
    </row>
    <row r="11957" spans="5:5" x14ac:dyDescent="0.3">
      <c r="E11957"/>
    </row>
    <row r="11958" spans="5:5" x14ac:dyDescent="0.3">
      <c r="E11958"/>
    </row>
    <row r="11959" spans="5:5" x14ac:dyDescent="0.3">
      <c r="E11959"/>
    </row>
    <row r="11960" spans="5:5" x14ac:dyDescent="0.3">
      <c r="E11960"/>
    </row>
    <row r="11961" spans="5:5" x14ac:dyDescent="0.3">
      <c r="E11961"/>
    </row>
    <row r="11962" spans="5:5" x14ac:dyDescent="0.3">
      <c r="E11962"/>
    </row>
    <row r="11963" spans="5:5" x14ac:dyDescent="0.3">
      <c r="E11963"/>
    </row>
    <row r="11964" spans="5:5" x14ac:dyDescent="0.3">
      <c r="E11964"/>
    </row>
    <row r="11965" spans="5:5" x14ac:dyDescent="0.3">
      <c r="E11965"/>
    </row>
    <row r="11966" spans="5:5" x14ac:dyDescent="0.3">
      <c r="E11966"/>
    </row>
    <row r="11967" spans="5:5" x14ac:dyDescent="0.3">
      <c r="E11967"/>
    </row>
    <row r="11968" spans="5:5" x14ac:dyDescent="0.3">
      <c r="E11968"/>
    </row>
    <row r="11969" spans="5:5" x14ac:dyDescent="0.3">
      <c r="E11969"/>
    </row>
    <row r="11970" spans="5:5" x14ac:dyDescent="0.3">
      <c r="E11970"/>
    </row>
    <row r="11971" spans="5:5" x14ac:dyDescent="0.3">
      <c r="E11971"/>
    </row>
    <row r="11972" spans="5:5" x14ac:dyDescent="0.3">
      <c r="E11972"/>
    </row>
    <row r="11973" spans="5:5" x14ac:dyDescent="0.3">
      <c r="E11973"/>
    </row>
    <row r="11974" spans="5:5" x14ac:dyDescent="0.3">
      <c r="E11974"/>
    </row>
    <row r="11975" spans="5:5" x14ac:dyDescent="0.3">
      <c r="E11975"/>
    </row>
    <row r="11976" spans="5:5" x14ac:dyDescent="0.3">
      <c r="E11976"/>
    </row>
    <row r="11977" spans="5:5" x14ac:dyDescent="0.3">
      <c r="E11977"/>
    </row>
    <row r="11978" spans="5:5" x14ac:dyDescent="0.3">
      <c r="E11978"/>
    </row>
    <row r="11979" spans="5:5" x14ac:dyDescent="0.3">
      <c r="E11979"/>
    </row>
    <row r="11980" spans="5:5" x14ac:dyDescent="0.3">
      <c r="E11980"/>
    </row>
    <row r="11981" spans="5:5" x14ac:dyDescent="0.3">
      <c r="E11981"/>
    </row>
    <row r="11982" spans="5:5" x14ac:dyDescent="0.3">
      <c r="E11982"/>
    </row>
    <row r="11983" spans="5:5" x14ac:dyDescent="0.3">
      <c r="E11983"/>
    </row>
    <row r="11984" spans="5:5" x14ac:dyDescent="0.3">
      <c r="E11984"/>
    </row>
    <row r="11985" spans="5:5" x14ac:dyDescent="0.3">
      <c r="E11985"/>
    </row>
    <row r="11986" spans="5:5" x14ac:dyDescent="0.3">
      <c r="E11986"/>
    </row>
    <row r="11987" spans="5:5" x14ac:dyDescent="0.3">
      <c r="E11987"/>
    </row>
    <row r="11988" spans="5:5" x14ac:dyDescent="0.3">
      <c r="E11988"/>
    </row>
    <row r="11989" spans="5:5" x14ac:dyDescent="0.3">
      <c r="E11989"/>
    </row>
    <row r="11990" spans="5:5" x14ac:dyDescent="0.3">
      <c r="E11990"/>
    </row>
    <row r="11991" spans="5:5" x14ac:dyDescent="0.3">
      <c r="E11991"/>
    </row>
    <row r="11992" spans="5:5" x14ac:dyDescent="0.3">
      <c r="E11992"/>
    </row>
    <row r="11993" spans="5:5" x14ac:dyDescent="0.3">
      <c r="E11993"/>
    </row>
    <row r="11994" spans="5:5" x14ac:dyDescent="0.3">
      <c r="E11994"/>
    </row>
    <row r="11995" spans="5:5" x14ac:dyDescent="0.3">
      <c r="E11995"/>
    </row>
    <row r="11996" spans="5:5" x14ac:dyDescent="0.3">
      <c r="E11996"/>
    </row>
    <row r="11997" spans="5:5" x14ac:dyDescent="0.3">
      <c r="E11997"/>
    </row>
    <row r="11998" spans="5:5" x14ac:dyDescent="0.3">
      <c r="E11998"/>
    </row>
    <row r="11999" spans="5:5" x14ac:dyDescent="0.3">
      <c r="E11999"/>
    </row>
    <row r="12000" spans="5:5" x14ac:dyDescent="0.3">
      <c r="E12000"/>
    </row>
    <row r="12001" spans="5:5" x14ac:dyDescent="0.3">
      <c r="E12001"/>
    </row>
    <row r="12002" spans="5:5" x14ac:dyDescent="0.3">
      <c r="E12002"/>
    </row>
    <row r="12003" spans="5:5" x14ac:dyDescent="0.3">
      <c r="E12003"/>
    </row>
    <row r="12004" spans="5:5" x14ac:dyDescent="0.3">
      <c r="E12004"/>
    </row>
    <row r="12005" spans="5:5" x14ac:dyDescent="0.3">
      <c r="E12005"/>
    </row>
    <row r="12006" spans="5:5" x14ac:dyDescent="0.3">
      <c r="E12006"/>
    </row>
    <row r="12007" spans="5:5" x14ac:dyDescent="0.3">
      <c r="E12007"/>
    </row>
    <row r="12008" spans="5:5" x14ac:dyDescent="0.3">
      <c r="E12008"/>
    </row>
    <row r="12009" spans="5:5" x14ac:dyDescent="0.3">
      <c r="E12009"/>
    </row>
    <row r="12010" spans="5:5" x14ac:dyDescent="0.3">
      <c r="E12010"/>
    </row>
    <row r="12011" spans="5:5" x14ac:dyDescent="0.3">
      <c r="E12011"/>
    </row>
    <row r="12012" spans="5:5" x14ac:dyDescent="0.3">
      <c r="E12012"/>
    </row>
    <row r="12013" spans="5:5" x14ac:dyDescent="0.3">
      <c r="E12013"/>
    </row>
    <row r="12014" spans="5:5" x14ac:dyDescent="0.3">
      <c r="E12014"/>
    </row>
    <row r="12015" spans="5:5" x14ac:dyDescent="0.3">
      <c r="E12015"/>
    </row>
    <row r="12016" spans="5:5" x14ac:dyDescent="0.3">
      <c r="E12016"/>
    </row>
    <row r="12017" spans="5:5" x14ac:dyDescent="0.3">
      <c r="E12017"/>
    </row>
    <row r="12018" spans="5:5" x14ac:dyDescent="0.3">
      <c r="E12018"/>
    </row>
    <row r="12019" spans="5:5" x14ac:dyDescent="0.3">
      <c r="E12019"/>
    </row>
    <row r="12020" spans="5:5" x14ac:dyDescent="0.3">
      <c r="E12020"/>
    </row>
    <row r="12021" spans="5:5" x14ac:dyDescent="0.3">
      <c r="E12021"/>
    </row>
    <row r="12022" spans="5:5" x14ac:dyDescent="0.3">
      <c r="E12022"/>
    </row>
    <row r="12023" spans="5:5" x14ac:dyDescent="0.3">
      <c r="E12023"/>
    </row>
    <row r="12024" spans="5:5" x14ac:dyDescent="0.3">
      <c r="E12024"/>
    </row>
    <row r="12025" spans="5:5" x14ac:dyDescent="0.3">
      <c r="E12025"/>
    </row>
    <row r="12026" spans="5:5" x14ac:dyDescent="0.3">
      <c r="E12026"/>
    </row>
    <row r="12027" spans="5:5" x14ac:dyDescent="0.3">
      <c r="E12027"/>
    </row>
    <row r="12028" spans="5:5" x14ac:dyDescent="0.3">
      <c r="E12028"/>
    </row>
    <row r="12029" spans="5:5" x14ac:dyDescent="0.3">
      <c r="E12029"/>
    </row>
    <row r="12030" spans="5:5" x14ac:dyDescent="0.3">
      <c r="E12030"/>
    </row>
    <row r="12031" spans="5:5" x14ac:dyDescent="0.3">
      <c r="E12031"/>
    </row>
    <row r="12032" spans="5:5" x14ac:dyDescent="0.3">
      <c r="E12032"/>
    </row>
    <row r="12033" spans="5:5" x14ac:dyDescent="0.3">
      <c r="E12033"/>
    </row>
    <row r="12034" spans="5:5" x14ac:dyDescent="0.3">
      <c r="E12034"/>
    </row>
    <row r="12035" spans="5:5" x14ac:dyDescent="0.3">
      <c r="E12035"/>
    </row>
    <row r="12036" spans="5:5" x14ac:dyDescent="0.3">
      <c r="E12036"/>
    </row>
    <row r="12037" spans="5:5" x14ac:dyDescent="0.3">
      <c r="E12037"/>
    </row>
    <row r="12038" spans="5:5" x14ac:dyDescent="0.3">
      <c r="E12038"/>
    </row>
    <row r="12039" spans="5:5" x14ac:dyDescent="0.3">
      <c r="E12039"/>
    </row>
    <row r="12040" spans="5:5" x14ac:dyDescent="0.3">
      <c r="E12040"/>
    </row>
    <row r="12041" spans="5:5" x14ac:dyDescent="0.3">
      <c r="E12041"/>
    </row>
    <row r="12042" spans="5:5" x14ac:dyDescent="0.3">
      <c r="E12042"/>
    </row>
    <row r="12043" spans="5:5" x14ac:dyDescent="0.3">
      <c r="E12043"/>
    </row>
    <row r="12044" spans="5:5" x14ac:dyDescent="0.3">
      <c r="E12044"/>
    </row>
    <row r="12045" spans="5:5" x14ac:dyDescent="0.3">
      <c r="E12045"/>
    </row>
    <row r="12046" spans="5:5" x14ac:dyDescent="0.3">
      <c r="E12046"/>
    </row>
    <row r="12047" spans="5:5" x14ac:dyDescent="0.3">
      <c r="E12047"/>
    </row>
    <row r="12048" spans="5:5" x14ac:dyDescent="0.3">
      <c r="E12048"/>
    </row>
    <row r="12049" spans="5:5" x14ac:dyDescent="0.3">
      <c r="E12049"/>
    </row>
    <row r="12050" spans="5:5" x14ac:dyDescent="0.3">
      <c r="E12050"/>
    </row>
    <row r="12051" spans="5:5" x14ac:dyDescent="0.3">
      <c r="E12051"/>
    </row>
    <row r="12052" spans="5:5" x14ac:dyDescent="0.3">
      <c r="E12052"/>
    </row>
    <row r="12053" spans="5:5" x14ac:dyDescent="0.3">
      <c r="E12053"/>
    </row>
    <row r="12054" spans="5:5" x14ac:dyDescent="0.3">
      <c r="E12054"/>
    </row>
    <row r="12055" spans="5:5" x14ac:dyDescent="0.3">
      <c r="E12055"/>
    </row>
    <row r="12056" spans="5:5" x14ac:dyDescent="0.3">
      <c r="E12056"/>
    </row>
    <row r="12057" spans="5:5" x14ac:dyDescent="0.3">
      <c r="E12057"/>
    </row>
    <row r="12058" spans="5:5" x14ac:dyDescent="0.3">
      <c r="E12058"/>
    </row>
    <row r="12059" spans="5:5" x14ac:dyDescent="0.3">
      <c r="E12059"/>
    </row>
    <row r="12060" spans="5:5" x14ac:dyDescent="0.3">
      <c r="E12060"/>
    </row>
    <row r="12061" spans="5:5" x14ac:dyDescent="0.3">
      <c r="E12061"/>
    </row>
    <row r="12062" spans="5:5" x14ac:dyDescent="0.3">
      <c r="E12062"/>
    </row>
    <row r="12063" spans="5:5" x14ac:dyDescent="0.3">
      <c r="E12063"/>
    </row>
    <row r="12064" spans="5:5" x14ac:dyDescent="0.3">
      <c r="E12064"/>
    </row>
    <row r="12065" spans="5:5" x14ac:dyDescent="0.3">
      <c r="E12065"/>
    </row>
    <row r="12066" spans="5:5" x14ac:dyDescent="0.3">
      <c r="E12066"/>
    </row>
    <row r="12067" spans="5:5" x14ac:dyDescent="0.3">
      <c r="E12067"/>
    </row>
    <row r="12068" spans="5:5" x14ac:dyDescent="0.3">
      <c r="E12068"/>
    </row>
    <row r="12069" spans="5:5" x14ac:dyDescent="0.3">
      <c r="E12069"/>
    </row>
    <row r="12070" spans="5:5" x14ac:dyDescent="0.3">
      <c r="E12070"/>
    </row>
    <row r="12071" spans="5:5" x14ac:dyDescent="0.3">
      <c r="E12071"/>
    </row>
    <row r="12072" spans="5:5" x14ac:dyDescent="0.3">
      <c r="E12072"/>
    </row>
    <row r="12073" spans="5:5" x14ac:dyDescent="0.3">
      <c r="E12073"/>
    </row>
    <row r="12074" spans="5:5" x14ac:dyDescent="0.3">
      <c r="E12074"/>
    </row>
    <row r="12075" spans="5:5" x14ac:dyDescent="0.3">
      <c r="E12075"/>
    </row>
    <row r="12076" spans="5:5" x14ac:dyDescent="0.3">
      <c r="E12076"/>
    </row>
    <row r="12077" spans="5:5" x14ac:dyDescent="0.3">
      <c r="E12077"/>
    </row>
    <row r="12078" spans="5:5" x14ac:dyDescent="0.3">
      <c r="E12078"/>
    </row>
    <row r="12079" spans="5:5" x14ac:dyDescent="0.3">
      <c r="E12079"/>
    </row>
    <row r="12080" spans="5:5" x14ac:dyDescent="0.3">
      <c r="E12080"/>
    </row>
    <row r="12081" spans="5:5" x14ac:dyDescent="0.3">
      <c r="E12081"/>
    </row>
    <row r="12082" spans="5:5" x14ac:dyDescent="0.3">
      <c r="E12082"/>
    </row>
    <row r="12083" spans="5:5" x14ac:dyDescent="0.3">
      <c r="E12083"/>
    </row>
    <row r="12084" spans="5:5" x14ac:dyDescent="0.3">
      <c r="E12084"/>
    </row>
    <row r="12085" spans="5:5" x14ac:dyDescent="0.3">
      <c r="E12085"/>
    </row>
    <row r="12086" spans="5:5" x14ac:dyDescent="0.3">
      <c r="E12086"/>
    </row>
    <row r="12087" spans="5:5" x14ac:dyDescent="0.3">
      <c r="E12087"/>
    </row>
    <row r="12088" spans="5:5" x14ac:dyDescent="0.3">
      <c r="E12088"/>
    </row>
    <row r="12089" spans="5:5" x14ac:dyDescent="0.3">
      <c r="E12089"/>
    </row>
    <row r="12090" spans="5:5" x14ac:dyDescent="0.3">
      <c r="E12090"/>
    </row>
    <row r="12091" spans="5:5" x14ac:dyDescent="0.3">
      <c r="E12091"/>
    </row>
    <row r="12092" spans="5:5" x14ac:dyDescent="0.3">
      <c r="E12092"/>
    </row>
    <row r="12093" spans="5:5" x14ac:dyDescent="0.3">
      <c r="E12093"/>
    </row>
    <row r="12094" spans="5:5" x14ac:dyDescent="0.3">
      <c r="E12094"/>
    </row>
    <row r="12095" spans="5:5" x14ac:dyDescent="0.3">
      <c r="E12095"/>
    </row>
    <row r="12096" spans="5:5" x14ac:dyDescent="0.3">
      <c r="E12096"/>
    </row>
    <row r="12097" spans="5:5" x14ac:dyDescent="0.3">
      <c r="E12097"/>
    </row>
    <row r="12098" spans="5:5" x14ac:dyDescent="0.3">
      <c r="E12098"/>
    </row>
    <row r="12099" spans="5:5" x14ac:dyDescent="0.3">
      <c r="E12099"/>
    </row>
    <row r="12100" spans="5:5" x14ac:dyDescent="0.3">
      <c r="E12100"/>
    </row>
    <row r="12101" spans="5:5" x14ac:dyDescent="0.3">
      <c r="E12101"/>
    </row>
    <row r="12102" spans="5:5" x14ac:dyDescent="0.3">
      <c r="E12102"/>
    </row>
    <row r="12103" spans="5:5" x14ac:dyDescent="0.3">
      <c r="E12103"/>
    </row>
    <row r="12104" spans="5:5" x14ac:dyDescent="0.3">
      <c r="E12104"/>
    </row>
    <row r="12105" spans="5:5" x14ac:dyDescent="0.3">
      <c r="E12105"/>
    </row>
    <row r="12106" spans="5:5" x14ac:dyDescent="0.3">
      <c r="E12106"/>
    </row>
    <row r="12107" spans="5:5" x14ac:dyDescent="0.3">
      <c r="E12107"/>
    </row>
    <row r="12108" spans="5:5" x14ac:dyDescent="0.3">
      <c r="E12108"/>
    </row>
    <row r="12109" spans="5:5" x14ac:dyDescent="0.3">
      <c r="E12109"/>
    </row>
    <row r="12110" spans="5:5" x14ac:dyDescent="0.3">
      <c r="E12110"/>
    </row>
    <row r="12111" spans="5:5" x14ac:dyDescent="0.3">
      <c r="E12111"/>
    </row>
    <row r="12112" spans="5:5" x14ac:dyDescent="0.3">
      <c r="E12112"/>
    </row>
    <row r="12113" spans="5:5" x14ac:dyDescent="0.3">
      <c r="E12113"/>
    </row>
    <row r="12114" spans="5:5" x14ac:dyDescent="0.3">
      <c r="E12114"/>
    </row>
    <row r="12115" spans="5:5" x14ac:dyDescent="0.3">
      <c r="E12115"/>
    </row>
    <row r="12116" spans="5:5" x14ac:dyDescent="0.3">
      <c r="E12116"/>
    </row>
    <row r="12117" spans="5:5" x14ac:dyDescent="0.3">
      <c r="E12117"/>
    </row>
    <row r="12118" spans="5:5" x14ac:dyDescent="0.3">
      <c r="E12118"/>
    </row>
    <row r="12119" spans="5:5" x14ac:dyDescent="0.3">
      <c r="E12119"/>
    </row>
    <row r="12120" spans="5:5" x14ac:dyDescent="0.3">
      <c r="E12120"/>
    </row>
    <row r="12121" spans="5:5" x14ac:dyDescent="0.3">
      <c r="E12121"/>
    </row>
    <row r="12122" spans="5:5" x14ac:dyDescent="0.3">
      <c r="E12122"/>
    </row>
    <row r="12123" spans="5:5" x14ac:dyDescent="0.3">
      <c r="E12123"/>
    </row>
    <row r="12124" spans="5:5" x14ac:dyDescent="0.3">
      <c r="E12124"/>
    </row>
    <row r="12125" spans="5:5" x14ac:dyDescent="0.3">
      <c r="E12125"/>
    </row>
    <row r="12126" spans="5:5" x14ac:dyDescent="0.3">
      <c r="E12126"/>
    </row>
    <row r="12127" spans="5:5" x14ac:dyDescent="0.3">
      <c r="E12127"/>
    </row>
    <row r="12128" spans="5:5" x14ac:dyDescent="0.3">
      <c r="E12128"/>
    </row>
    <row r="12129" spans="5:5" x14ac:dyDescent="0.3">
      <c r="E12129"/>
    </row>
    <row r="12130" spans="5:5" x14ac:dyDescent="0.3">
      <c r="E12130"/>
    </row>
    <row r="12131" spans="5:5" x14ac:dyDescent="0.3">
      <c r="E12131"/>
    </row>
    <row r="12132" spans="5:5" x14ac:dyDescent="0.3">
      <c r="E12132"/>
    </row>
    <row r="12133" spans="5:5" x14ac:dyDescent="0.3">
      <c r="E12133"/>
    </row>
    <row r="12134" spans="5:5" x14ac:dyDescent="0.3">
      <c r="E12134"/>
    </row>
    <row r="12135" spans="5:5" x14ac:dyDescent="0.3">
      <c r="E12135"/>
    </row>
    <row r="12136" spans="5:5" x14ac:dyDescent="0.3">
      <c r="E12136"/>
    </row>
    <row r="12137" spans="5:5" x14ac:dyDescent="0.3">
      <c r="E12137"/>
    </row>
    <row r="12138" spans="5:5" x14ac:dyDescent="0.3">
      <c r="E12138"/>
    </row>
    <row r="12139" spans="5:5" x14ac:dyDescent="0.3">
      <c r="E12139"/>
    </row>
    <row r="12140" spans="5:5" x14ac:dyDescent="0.3">
      <c r="E12140"/>
    </row>
    <row r="12141" spans="5:5" x14ac:dyDescent="0.3">
      <c r="E12141"/>
    </row>
    <row r="12142" spans="5:5" x14ac:dyDescent="0.3">
      <c r="E12142"/>
    </row>
    <row r="12143" spans="5:5" x14ac:dyDescent="0.3">
      <c r="E12143"/>
    </row>
    <row r="12144" spans="5:5" x14ac:dyDescent="0.3">
      <c r="E12144"/>
    </row>
    <row r="12145" spans="5:5" x14ac:dyDescent="0.3">
      <c r="E12145"/>
    </row>
    <row r="12146" spans="5:5" x14ac:dyDescent="0.3">
      <c r="E12146"/>
    </row>
    <row r="12147" spans="5:5" x14ac:dyDescent="0.3">
      <c r="E12147"/>
    </row>
    <row r="12148" spans="5:5" x14ac:dyDescent="0.3">
      <c r="E12148"/>
    </row>
    <row r="12149" spans="5:5" x14ac:dyDescent="0.3">
      <c r="E12149"/>
    </row>
    <row r="12150" spans="5:5" x14ac:dyDescent="0.3">
      <c r="E12150"/>
    </row>
    <row r="12151" spans="5:5" x14ac:dyDescent="0.3">
      <c r="E12151"/>
    </row>
    <row r="12152" spans="5:5" x14ac:dyDescent="0.3">
      <c r="E12152"/>
    </row>
    <row r="12153" spans="5:5" x14ac:dyDescent="0.3">
      <c r="E12153"/>
    </row>
    <row r="12154" spans="5:5" x14ac:dyDescent="0.3">
      <c r="E12154"/>
    </row>
    <row r="12155" spans="5:5" x14ac:dyDescent="0.3">
      <c r="E12155"/>
    </row>
    <row r="12156" spans="5:5" x14ac:dyDescent="0.3">
      <c r="E12156"/>
    </row>
    <row r="12157" spans="5:5" x14ac:dyDescent="0.3">
      <c r="E12157"/>
    </row>
    <row r="12158" spans="5:5" x14ac:dyDescent="0.3">
      <c r="E12158"/>
    </row>
    <row r="12159" spans="5:5" x14ac:dyDescent="0.3">
      <c r="E12159"/>
    </row>
    <row r="12160" spans="5:5" x14ac:dyDescent="0.3">
      <c r="E12160"/>
    </row>
    <row r="12161" spans="5:5" x14ac:dyDescent="0.3">
      <c r="E12161"/>
    </row>
    <row r="12162" spans="5:5" x14ac:dyDescent="0.3">
      <c r="E12162"/>
    </row>
    <row r="12163" spans="5:5" x14ac:dyDescent="0.3">
      <c r="E12163"/>
    </row>
    <row r="12164" spans="5:5" x14ac:dyDescent="0.3">
      <c r="E12164"/>
    </row>
    <row r="12165" spans="5:5" x14ac:dyDescent="0.3">
      <c r="E12165"/>
    </row>
    <row r="12166" spans="5:5" x14ac:dyDescent="0.3">
      <c r="E12166"/>
    </row>
    <row r="12167" spans="5:5" x14ac:dyDescent="0.3">
      <c r="E12167"/>
    </row>
    <row r="12168" spans="5:5" x14ac:dyDescent="0.3">
      <c r="E12168"/>
    </row>
    <row r="12169" spans="5:5" x14ac:dyDescent="0.3">
      <c r="E12169"/>
    </row>
    <row r="12170" spans="5:5" x14ac:dyDescent="0.3">
      <c r="E12170"/>
    </row>
    <row r="12171" spans="5:5" x14ac:dyDescent="0.3">
      <c r="E12171"/>
    </row>
    <row r="12172" spans="5:5" x14ac:dyDescent="0.3">
      <c r="E12172"/>
    </row>
    <row r="12173" spans="5:5" x14ac:dyDescent="0.3">
      <c r="E12173"/>
    </row>
    <row r="12174" spans="5:5" x14ac:dyDescent="0.3">
      <c r="E12174"/>
    </row>
    <row r="12175" spans="5:5" x14ac:dyDescent="0.3">
      <c r="E12175"/>
    </row>
    <row r="12176" spans="5:5" x14ac:dyDescent="0.3">
      <c r="E12176"/>
    </row>
    <row r="12177" spans="5:5" x14ac:dyDescent="0.3">
      <c r="E12177"/>
    </row>
    <row r="12178" spans="5:5" x14ac:dyDescent="0.3">
      <c r="E12178"/>
    </row>
    <row r="12179" spans="5:5" x14ac:dyDescent="0.3">
      <c r="E12179"/>
    </row>
    <row r="12180" spans="5:5" x14ac:dyDescent="0.3">
      <c r="E12180"/>
    </row>
    <row r="12181" spans="5:5" x14ac:dyDescent="0.3">
      <c r="E12181"/>
    </row>
    <row r="12182" spans="5:5" x14ac:dyDescent="0.3">
      <c r="E12182"/>
    </row>
    <row r="12183" spans="5:5" x14ac:dyDescent="0.3">
      <c r="E12183"/>
    </row>
    <row r="12184" spans="5:5" x14ac:dyDescent="0.3">
      <c r="E12184"/>
    </row>
    <row r="12185" spans="5:5" x14ac:dyDescent="0.3">
      <c r="E12185"/>
    </row>
    <row r="12186" spans="5:5" x14ac:dyDescent="0.3">
      <c r="E12186"/>
    </row>
    <row r="12187" spans="5:5" x14ac:dyDescent="0.3">
      <c r="E12187"/>
    </row>
    <row r="12188" spans="5:5" x14ac:dyDescent="0.3">
      <c r="E12188"/>
    </row>
    <row r="12189" spans="5:5" x14ac:dyDescent="0.3">
      <c r="E12189"/>
    </row>
    <row r="12190" spans="5:5" x14ac:dyDescent="0.3">
      <c r="E12190"/>
    </row>
    <row r="12191" spans="5:5" x14ac:dyDescent="0.3">
      <c r="E12191"/>
    </row>
    <row r="12192" spans="5:5" x14ac:dyDescent="0.3">
      <c r="E12192"/>
    </row>
    <row r="12193" spans="5:5" x14ac:dyDescent="0.3">
      <c r="E12193"/>
    </row>
    <row r="12194" spans="5:5" x14ac:dyDescent="0.3">
      <c r="E12194"/>
    </row>
    <row r="12195" spans="5:5" x14ac:dyDescent="0.3">
      <c r="E12195"/>
    </row>
    <row r="12196" spans="5:5" x14ac:dyDescent="0.3">
      <c r="E12196"/>
    </row>
    <row r="12197" spans="5:5" x14ac:dyDescent="0.3">
      <c r="E12197"/>
    </row>
    <row r="12198" spans="5:5" x14ac:dyDescent="0.3">
      <c r="E12198"/>
    </row>
    <row r="12199" spans="5:5" x14ac:dyDescent="0.3">
      <c r="E12199"/>
    </row>
    <row r="12200" spans="5:5" x14ac:dyDescent="0.3">
      <c r="E12200"/>
    </row>
    <row r="12201" spans="5:5" x14ac:dyDescent="0.3">
      <c r="E12201"/>
    </row>
    <row r="12202" spans="5:5" x14ac:dyDescent="0.3">
      <c r="E12202"/>
    </row>
    <row r="12203" spans="5:5" x14ac:dyDescent="0.3">
      <c r="E12203"/>
    </row>
    <row r="12204" spans="5:5" x14ac:dyDescent="0.3">
      <c r="E12204"/>
    </row>
    <row r="12205" spans="5:5" x14ac:dyDescent="0.3">
      <c r="E12205"/>
    </row>
    <row r="12206" spans="5:5" x14ac:dyDescent="0.3">
      <c r="E12206"/>
    </row>
    <row r="12207" spans="5:5" x14ac:dyDescent="0.3">
      <c r="E12207"/>
    </row>
    <row r="12208" spans="5:5" x14ac:dyDescent="0.3">
      <c r="E12208"/>
    </row>
    <row r="12209" spans="5:5" x14ac:dyDescent="0.3">
      <c r="E12209"/>
    </row>
    <row r="12210" spans="5:5" x14ac:dyDescent="0.3">
      <c r="E12210"/>
    </row>
    <row r="12211" spans="5:5" x14ac:dyDescent="0.3">
      <c r="E12211"/>
    </row>
    <row r="12212" spans="5:5" x14ac:dyDescent="0.3">
      <c r="E12212"/>
    </row>
    <row r="12213" spans="5:5" x14ac:dyDescent="0.3">
      <c r="E12213"/>
    </row>
    <row r="12214" spans="5:5" x14ac:dyDescent="0.3">
      <c r="E12214"/>
    </row>
    <row r="12215" spans="5:5" x14ac:dyDescent="0.3">
      <c r="E12215"/>
    </row>
    <row r="12216" spans="5:5" x14ac:dyDescent="0.3">
      <c r="E12216"/>
    </row>
    <row r="12217" spans="5:5" x14ac:dyDescent="0.3">
      <c r="E12217"/>
    </row>
    <row r="12218" spans="5:5" x14ac:dyDescent="0.3">
      <c r="E12218"/>
    </row>
    <row r="12219" spans="5:5" x14ac:dyDescent="0.3">
      <c r="E12219"/>
    </row>
    <row r="12220" spans="5:5" x14ac:dyDescent="0.3">
      <c r="E12220"/>
    </row>
    <row r="12221" spans="5:5" x14ac:dyDescent="0.3">
      <c r="E12221"/>
    </row>
    <row r="12222" spans="5:5" x14ac:dyDescent="0.3">
      <c r="E12222"/>
    </row>
    <row r="12223" spans="5:5" x14ac:dyDescent="0.3">
      <c r="E12223"/>
    </row>
    <row r="12224" spans="5:5" x14ac:dyDescent="0.3">
      <c r="E12224"/>
    </row>
    <row r="12225" spans="5:5" x14ac:dyDescent="0.3">
      <c r="E12225"/>
    </row>
    <row r="12226" spans="5:5" x14ac:dyDescent="0.3">
      <c r="E12226"/>
    </row>
    <row r="12227" spans="5:5" x14ac:dyDescent="0.3">
      <c r="E12227"/>
    </row>
    <row r="12228" spans="5:5" x14ac:dyDescent="0.3">
      <c r="E12228"/>
    </row>
    <row r="12229" spans="5:5" x14ac:dyDescent="0.3">
      <c r="E12229"/>
    </row>
    <row r="12230" spans="5:5" x14ac:dyDescent="0.3">
      <c r="E12230"/>
    </row>
    <row r="12231" spans="5:5" x14ac:dyDescent="0.3">
      <c r="E12231"/>
    </row>
    <row r="12232" spans="5:5" x14ac:dyDescent="0.3">
      <c r="E12232"/>
    </row>
    <row r="12233" spans="5:5" x14ac:dyDescent="0.3">
      <c r="E12233"/>
    </row>
    <row r="12234" spans="5:5" x14ac:dyDescent="0.3">
      <c r="E12234"/>
    </row>
    <row r="12235" spans="5:5" x14ac:dyDescent="0.3">
      <c r="E12235"/>
    </row>
    <row r="12236" spans="5:5" x14ac:dyDescent="0.3">
      <c r="E12236"/>
    </row>
    <row r="12237" spans="5:5" x14ac:dyDescent="0.3">
      <c r="E12237"/>
    </row>
    <row r="12238" spans="5:5" x14ac:dyDescent="0.3">
      <c r="E12238"/>
    </row>
    <row r="12239" spans="5:5" x14ac:dyDescent="0.3">
      <c r="E12239"/>
    </row>
    <row r="12240" spans="5:5" x14ac:dyDescent="0.3">
      <c r="E12240"/>
    </row>
    <row r="12241" spans="5:5" x14ac:dyDescent="0.3">
      <c r="E12241"/>
    </row>
    <row r="12242" spans="5:5" x14ac:dyDescent="0.3">
      <c r="E12242"/>
    </row>
    <row r="12243" spans="5:5" x14ac:dyDescent="0.3">
      <c r="E12243"/>
    </row>
    <row r="12244" spans="5:5" x14ac:dyDescent="0.3">
      <c r="E12244"/>
    </row>
    <row r="12245" spans="5:5" x14ac:dyDescent="0.3">
      <c r="E12245"/>
    </row>
    <row r="12246" spans="5:5" x14ac:dyDescent="0.3">
      <c r="E12246"/>
    </row>
    <row r="12247" spans="5:5" x14ac:dyDescent="0.3">
      <c r="E12247"/>
    </row>
    <row r="12248" spans="5:5" x14ac:dyDescent="0.3">
      <c r="E12248"/>
    </row>
    <row r="12249" spans="5:5" x14ac:dyDescent="0.3">
      <c r="E12249"/>
    </row>
    <row r="12250" spans="5:5" x14ac:dyDescent="0.3">
      <c r="E12250"/>
    </row>
    <row r="12251" spans="5:5" x14ac:dyDescent="0.3">
      <c r="E12251"/>
    </row>
    <row r="12252" spans="5:5" x14ac:dyDescent="0.3">
      <c r="E12252"/>
    </row>
    <row r="12253" spans="5:5" x14ac:dyDescent="0.3">
      <c r="E12253"/>
    </row>
    <row r="12254" spans="5:5" x14ac:dyDescent="0.3">
      <c r="E12254"/>
    </row>
    <row r="12255" spans="5:5" x14ac:dyDescent="0.3">
      <c r="E12255"/>
    </row>
    <row r="12256" spans="5:5" x14ac:dyDescent="0.3">
      <c r="E12256"/>
    </row>
    <row r="12257" spans="5:5" x14ac:dyDescent="0.3">
      <c r="E12257"/>
    </row>
    <row r="12258" spans="5:5" x14ac:dyDescent="0.3">
      <c r="E12258"/>
    </row>
    <row r="12259" spans="5:5" x14ac:dyDescent="0.3">
      <c r="E12259"/>
    </row>
    <row r="12260" spans="5:5" x14ac:dyDescent="0.3">
      <c r="E12260"/>
    </row>
    <row r="12261" spans="5:5" x14ac:dyDescent="0.3">
      <c r="E12261"/>
    </row>
    <row r="12262" spans="5:5" x14ac:dyDescent="0.3">
      <c r="E12262"/>
    </row>
    <row r="12263" spans="5:5" x14ac:dyDescent="0.3">
      <c r="E12263"/>
    </row>
    <row r="12264" spans="5:5" x14ac:dyDescent="0.3">
      <c r="E12264"/>
    </row>
    <row r="12265" spans="5:5" x14ac:dyDescent="0.3">
      <c r="E12265"/>
    </row>
    <row r="12266" spans="5:5" x14ac:dyDescent="0.3">
      <c r="E12266"/>
    </row>
    <row r="12267" spans="5:5" x14ac:dyDescent="0.3">
      <c r="E12267"/>
    </row>
    <row r="12268" spans="5:5" x14ac:dyDescent="0.3">
      <c r="E12268"/>
    </row>
    <row r="12269" spans="5:5" x14ac:dyDescent="0.3">
      <c r="E12269"/>
    </row>
    <row r="12270" spans="5:5" x14ac:dyDescent="0.3">
      <c r="E12270"/>
    </row>
    <row r="12271" spans="5:5" x14ac:dyDescent="0.3">
      <c r="E12271"/>
    </row>
    <row r="12272" spans="5:5" x14ac:dyDescent="0.3">
      <c r="E12272"/>
    </row>
    <row r="12273" spans="5:5" x14ac:dyDescent="0.3">
      <c r="E12273"/>
    </row>
    <row r="12274" spans="5:5" x14ac:dyDescent="0.3">
      <c r="E12274"/>
    </row>
    <row r="12275" spans="5:5" x14ac:dyDescent="0.3">
      <c r="E12275"/>
    </row>
    <row r="12276" spans="5:5" x14ac:dyDescent="0.3">
      <c r="E12276"/>
    </row>
    <row r="12277" spans="5:5" x14ac:dyDescent="0.3">
      <c r="E12277"/>
    </row>
    <row r="12278" spans="5:5" x14ac:dyDescent="0.3">
      <c r="E12278"/>
    </row>
    <row r="12279" spans="5:5" x14ac:dyDescent="0.3">
      <c r="E12279"/>
    </row>
    <row r="12280" spans="5:5" x14ac:dyDescent="0.3">
      <c r="E12280"/>
    </row>
    <row r="12281" spans="5:5" x14ac:dyDescent="0.3">
      <c r="E12281"/>
    </row>
    <row r="12282" spans="5:5" x14ac:dyDescent="0.3">
      <c r="E12282"/>
    </row>
    <row r="12283" spans="5:5" x14ac:dyDescent="0.3">
      <c r="E12283"/>
    </row>
    <row r="12284" spans="5:5" x14ac:dyDescent="0.3">
      <c r="E12284"/>
    </row>
    <row r="12285" spans="5:5" x14ac:dyDescent="0.3">
      <c r="E12285"/>
    </row>
    <row r="12286" spans="5:5" x14ac:dyDescent="0.3">
      <c r="E12286"/>
    </row>
    <row r="12287" spans="5:5" x14ac:dyDescent="0.3">
      <c r="E12287"/>
    </row>
    <row r="12288" spans="5:5" x14ac:dyDescent="0.3">
      <c r="E12288"/>
    </row>
    <row r="12289" spans="5:5" x14ac:dyDescent="0.3">
      <c r="E12289"/>
    </row>
    <row r="12290" spans="5:5" x14ac:dyDescent="0.3">
      <c r="E12290"/>
    </row>
    <row r="12291" spans="5:5" x14ac:dyDescent="0.3">
      <c r="E12291"/>
    </row>
    <row r="12292" spans="5:5" x14ac:dyDescent="0.3">
      <c r="E12292"/>
    </row>
    <row r="12293" spans="5:5" x14ac:dyDescent="0.3">
      <c r="E12293"/>
    </row>
    <row r="12294" spans="5:5" x14ac:dyDescent="0.3">
      <c r="E12294"/>
    </row>
    <row r="12295" spans="5:5" x14ac:dyDescent="0.3">
      <c r="E12295"/>
    </row>
    <row r="12296" spans="5:5" x14ac:dyDescent="0.3">
      <c r="E12296"/>
    </row>
    <row r="12297" spans="5:5" x14ac:dyDescent="0.3">
      <c r="E12297"/>
    </row>
    <row r="12298" spans="5:5" x14ac:dyDescent="0.3">
      <c r="E12298"/>
    </row>
    <row r="12299" spans="5:5" x14ac:dyDescent="0.3">
      <c r="E12299"/>
    </row>
    <row r="12300" spans="5:5" x14ac:dyDescent="0.3">
      <c r="E12300"/>
    </row>
    <row r="12301" spans="5:5" x14ac:dyDescent="0.3">
      <c r="E12301"/>
    </row>
    <row r="12302" spans="5:5" x14ac:dyDescent="0.3">
      <c r="E12302"/>
    </row>
    <row r="12303" spans="5:5" x14ac:dyDescent="0.3">
      <c r="E12303"/>
    </row>
    <row r="12304" spans="5:5" x14ac:dyDescent="0.3">
      <c r="E12304"/>
    </row>
    <row r="12305" spans="5:5" x14ac:dyDescent="0.3">
      <c r="E12305"/>
    </row>
    <row r="12306" spans="5:5" x14ac:dyDescent="0.3">
      <c r="E12306"/>
    </row>
    <row r="12307" spans="5:5" x14ac:dyDescent="0.3">
      <c r="E12307"/>
    </row>
    <row r="12308" spans="5:5" x14ac:dyDescent="0.3">
      <c r="E12308"/>
    </row>
    <row r="12309" spans="5:5" x14ac:dyDescent="0.3">
      <c r="E12309"/>
    </row>
    <row r="12310" spans="5:5" x14ac:dyDescent="0.3">
      <c r="E12310"/>
    </row>
    <row r="12311" spans="5:5" x14ac:dyDescent="0.3">
      <c r="E12311"/>
    </row>
    <row r="12312" spans="5:5" x14ac:dyDescent="0.3">
      <c r="E12312"/>
    </row>
    <row r="12313" spans="5:5" x14ac:dyDescent="0.3">
      <c r="E12313"/>
    </row>
    <row r="12314" spans="5:5" x14ac:dyDescent="0.3">
      <c r="E12314"/>
    </row>
    <row r="12315" spans="5:5" x14ac:dyDescent="0.3">
      <c r="E12315"/>
    </row>
    <row r="12316" spans="5:5" x14ac:dyDescent="0.3">
      <c r="E12316"/>
    </row>
    <row r="12317" spans="5:5" x14ac:dyDescent="0.3">
      <c r="E12317"/>
    </row>
    <row r="12318" spans="5:5" x14ac:dyDescent="0.3">
      <c r="E12318"/>
    </row>
    <row r="12319" spans="5:5" x14ac:dyDescent="0.3">
      <c r="E12319"/>
    </row>
    <row r="12320" spans="5:5" x14ac:dyDescent="0.3">
      <c r="E12320"/>
    </row>
    <row r="12321" spans="5:5" x14ac:dyDescent="0.3">
      <c r="E12321"/>
    </row>
    <row r="12322" spans="5:5" x14ac:dyDescent="0.3">
      <c r="E12322"/>
    </row>
    <row r="12323" spans="5:5" x14ac:dyDescent="0.3">
      <c r="E12323"/>
    </row>
    <row r="12324" spans="5:5" x14ac:dyDescent="0.3">
      <c r="E12324"/>
    </row>
    <row r="12325" spans="5:5" x14ac:dyDescent="0.3">
      <c r="E12325"/>
    </row>
    <row r="12326" spans="5:5" x14ac:dyDescent="0.3">
      <c r="E12326"/>
    </row>
    <row r="12327" spans="5:5" x14ac:dyDescent="0.3">
      <c r="E12327"/>
    </row>
    <row r="12328" spans="5:5" x14ac:dyDescent="0.3">
      <c r="E12328"/>
    </row>
    <row r="12329" spans="5:5" x14ac:dyDescent="0.3">
      <c r="E12329"/>
    </row>
    <row r="12330" spans="5:5" x14ac:dyDescent="0.3">
      <c r="E12330"/>
    </row>
    <row r="12331" spans="5:5" x14ac:dyDescent="0.3">
      <c r="E12331"/>
    </row>
    <row r="12332" spans="5:5" x14ac:dyDescent="0.3">
      <c r="E12332"/>
    </row>
    <row r="12333" spans="5:5" x14ac:dyDescent="0.3">
      <c r="E12333"/>
    </row>
    <row r="12334" spans="5:5" x14ac:dyDescent="0.3">
      <c r="E12334"/>
    </row>
    <row r="12335" spans="5:5" x14ac:dyDescent="0.3">
      <c r="E12335"/>
    </row>
    <row r="12336" spans="5:5" x14ac:dyDescent="0.3">
      <c r="E12336"/>
    </row>
    <row r="12337" spans="5:5" x14ac:dyDescent="0.3">
      <c r="E12337"/>
    </row>
    <row r="12338" spans="5:5" x14ac:dyDescent="0.3">
      <c r="E12338"/>
    </row>
    <row r="12339" spans="5:5" x14ac:dyDescent="0.3">
      <c r="E12339"/>
    </row>
    <row r="12340" spans="5:5" x14ac:dyDescent="0.3">
      <c r="E12340"/>
    </row>
    <row r="12341" spans="5:5" x14ac:dyDescent="0.3">
      <c r="E12341"/>
    </row>
    <row r="12342" spans="5:5" x14ac:dyDescent="0.3">
      <c r="E12342"/>
    </row>
    <row r="12343" spans="5:5" x14ac:dyDescent="0.3">
      <c r="E12343"/>
    </row>
    <row r="12344" spans="5:5" x14ac:dyDescent="0.3">
      <c r="E12344"/>
    </row>
    <row r="12345" spans="5:5" x14ac:dyDescent="0.3">
      <c r="E12345"/>
    </row>
    <row r="12346" spans="5:5" x14ac:dyDescent="0.3">
      <c r="E12346"/>
    </row>
    <row r="12347" spans="5:5" x14ac:dyDescent="0.3">
      <c r="E12347"/>
    </row>
    <row r="12348" spans="5:5" x14ac:dyDescent="0.3">
      <c r="E12348"/>
    </row>
    <row r="12349" spans="5:5" x14ac:dyDescent="0.3">
      <c r="E12349"/>
    </row>
    <row r="12350" spans="5:5" x14ac:dyDescent="0.3">
      <c r="E12350"/>
    </row>
    <row r="12351" spans="5:5" x14ac:dyDescent="0.3">
      <c r="E12351"/>
    </row>
    <row r="12352" spans="5:5" x14ac:dyDescent="0.3">
      <c r="E12352"/>
    </row>
    <row r="12353" spans="5:5" x14ac:dyDescent="0.3">
      <c r="E12353"/>
    </row>
    <row r="12354" spans="5:5" x14ac:dyDescent="0.3">
      <c r="E12354"/>
    </row>
    <row r="12355" spans="5:5" x14ac:dyDescent="0.3">
      <c r="E12355"/>
    </row>
    <row r="12356" spans="5:5" x14ac:dyDescent="0.3">
      <c r="E12356"/>
    </row>
    <row r="12357" spans="5:5" x14ac:dyDescent="0.3">
      <c r="E12357"/>
    </row>
    <row r="12358" spans="5:5" x14ac:dyDescent="0.3">
      <c r="E12358"/>
    </row>
    <row r="12359" spans="5:5" x14ac:dyDescent="0.3">
      <c r="E12359"/>
    </row>
    <row r="12360" spans="5:5" x14ac:dyDescent="0.3">
      <c r="E12360"/>
    </row>
    <row r="12361" spans="5:5" x14ac:dyDescent="0.3">
      <c r="E12361"/>
    </row>
    <row r="12362" spans="5:5" x14ac:dyDescent="0.3">
      <c r="E12362"/>
    </row>
    <row r="12363" spans="5:5" x14ac:dyDescent="0.3">
      <c r="E12363"/>
    </row>
    <row r="12364" spans="5:5" x14ac:dyDescent="0.3">
      <c r="E12364"/>
    </row>
    <row r="12365" spans="5:5" x14ac:dyDescent="0.3">
      <c r="E12365"/>
    </row>
    <row r="12366" spans="5:5" x14ac:dyDescent="0.3">
      <c r="E12366"/>
    </row>
    <row r="12367" spans="5:5" x14ac:dyDescent="0.3">
      <c r="E12367"/>
    </row>
    <row r="12368" spans="5:5" x14ac:dyDescent="0.3">
      <c r="E12368"/>
    </row>
    <row r="12369" spans="5:5" x14ac:dyDescent="0.3">
      <c r="E12369"/>
    </row>
    <row r="12370" spans="5:5" x14ac:dyDescent="0.3">
      <c r="E12370"/>
    </row>
    <row r="12371" spans="5:5" x14ac:dyDescent="0.3">
      <c r="E12371"/>
    </row>
    <row r="12372" spans="5:5" x14ac:dyDescent="0.3">
      <c r="E12372"/>
    </row>
    <row r="12373" spans="5:5" x14ac:dyDescent="0.3">
      <c r="E12373"/>
    </row>
    <row r="12374" spans="5:5" x14ac:dyDescent="0.3">
      <c r="E12374"/>
    </row>
    <row r="12375" spans="5:5" x14ac:dyDescent="0.3">
      <c r="E12375"/>
    </row>
    <row r="12376" spans="5:5" x14ac:dyDescent="0.3">
      <c r="E12376"/>
    </row>
    <row r="12377" spans="5:5" x14ac:dyDescent="0.3">
      <c r="E12377"/>
    </row>
    <row r="12378" spans="5:5" x14ac:dyDescent="0.3">
      <c r="E12378"/>
    </row>
    <row r="12379" spans="5:5" x14ac:dyDescent="0.3">
      <c r="E12379"/>
    </row>
    <row r="12380" spans="5:5" x14ac:dyDescent="0.3">
      <c r="E12380"/>
    </row>
    <row r="12381" spans="5:5" x14ac:dyDescent="0.3">
      <c r="E12381"/>
    </row>
    <row r="12382" spans="5:5" x14ac:dyDescent="0.3">
      <c r="E12382"/>
    </row>
    <row r="12383" spans="5:5" x14ac:dyDescent="0.3">
      <c r="E12383"/>
    </row>
    <row r="12384" spans="5:5" x14ac:dyDescent="0.3">
      <c r="E12384"/>
    </row>
    <row r="12385" spans="5:5" x14ac:dyDescent="0.3">
      <c r="E12385"/>
    </row>
    <row r="12386" spans="5:5" x14ac:dyDescent="0.3">
      <c r="E12386"/>
    </row>
    <row r="12387" spans="5:5" x14ac:dyDescent="0.3">
      <c r="E12387"/>
    </row>
    <row r="12388" spans="5:5" x14ac:dyDescent="0.3">
      <c r="E12388"/>
    </row>
    <row r="12389" spans="5:5" x14ac:dyDescent="0.3">
      <c r="E12389"/>
    </row>
    <row r="12390" spans="5:5" x14ac:dyDescent="0.3">
      <c r="E12390"/>
    </row>
    <row r="12391" spans="5:5" x14ac:dyDescent="0.3">
      <c r="E12391"/>
    </row>
    <row r="12392" spans="5:5" x14ac:dyDescent="0.3">
      <c r="E12392"/>
    </row>
    <row r="12393" spans="5:5" x14ac:dyDescent="0.3">
      <c r="E12393"/>
    </row>
    <row r="12394" spans="5:5" x14ac:dyDescent="0.3">
      <c r="E12394"/>
    </row>
    <row r="12395" spans="5:5" x14ac:dyDescent="0.3">
      <c r="E12395"/>
    </row>
    <row r="12396" spans="5:5" x14ac:dyDescent="0.3">
      <c r="E12396"/>
    </row>
    <row r="12397" spans="5:5" x14ac:dyDescent="0.3">
      <c r="E12397"/>
    </row>
    <row r="12398" spans="5:5" x14ac:dyDescent="0.3">
      <c r="E12398"/>
    </row>
    <row r="12399" spans="5:5" x14ac:dyDescent="0.3">
      <c r="E12399"/>
    </row>
    <row r="12400" spans="5:5" x14ac:dyDescent="0.3">
      <c r="E12400"/>
    </row>
    <row r="12401" spans="5:5" x14ac:dyDescent="0.3">
      <c r="E12401"/>
    </row>
    <row r="12402" spans="5:5" x14ac:dyDescent="0.3">
      <c r="E12402"/>
    </row>
    <row r="12403" spans="5:5" x14ac:dyDescent="0.3">
      <c r="E12403"/>
    </row>
    <row r="12404" spans="5:5" x14ac:dyDescent="0.3">
      <c r="E12404"/>
    </row>
    <row r="12405" spans="5:5" x14ac:dyDescent="0.3">
      <c r="E12405"/>
    </row>
    <row r="12406" spans="5:5" x14ac:dyDescent="0.3">
      <c r="E12406"/>
    </row>
    <row r="12407" spans="5:5" x14ac:dyDescent="0.3">
      <c r="E12407"/>
    </row>
    <row r="12408" spans="5:5" x14ac:dyDescent="0.3">
      <c r="E12408"/>
    </row>
    <row r="12409" spans="5:5" x14ac:dyDescent="0.3">
      <c r="E12409"/>
    </row>
    <row r="12410" spans="5:5" x14ac:dyDescent="0.3">
      <c r="E12410"/>
    </row>
    <row r="12411" spans="5:5" x14ac:dyDescent="0.3">
      <c r="E12411"/>
    </row>
    <row r="12412" spans="5:5" x14ac:dyDescent="0.3">
      <c r="E12412"/>
    </row>
    <row r="12413" spans="5:5" x14ac:dyDescent="0.3">
      <c r="E12413"/>
    </row>
    <row r="12414" spans="5:5" x14ac:dyDescent="0.3">
      <c r="E12414"/>
    </row>
    <row r="12415" spans="5:5" x14ac:dyDescent="0.3">
      <c r="E12415"/>
    </row>
    <row r="12416" spans="5:5" x14ac:dyDescent="0.3">
      <c r="E12416"/>
    </row>
    <row r="12417" spans="5:5" x14ac:dyDescent="0.3">
      <c r="E12417"/>
    </row>
    <row r="12418" spans="5:5" x14ac:dyDescent="0.3">
      <c r="E12418"/>
    </row>
    <row r="12419" spans="5:5" x14ac:dyDescent="0.3">
      <c r="E12419"/>
    </row>
    <row r="12420" spans="5:5" x14ac:dyDescent="0.3">
      <c r="E12420"/>
    </row>
    <row r="12421" spans="5:5" x14ac:dyDescent="0.3">
      <c r="E12421"/>
    </row>
    <row r="12422" spans="5:5" x14ac:dyDescent="0.3">
      <c r="E12422"/>
    </row>
    <row r="12423" spans="5:5" x14ac:dyDescent="0.3">
      <c r="E12423"/>
    </row>
    <row r="12424" spans="5:5" x14ac:dyDescent="0.3">
      <c r="E12424"/>
    </row>
    <row r="12425" spans="5:5" x14ac:dyDescent="0.3">
      <c r="E12425"/>
    </row>
    <row r="12426" spans="5:5" x14ac:dyDescent="0.3">
      <c r="E12426"/>
    </row>
    <row r="12427" spans="5:5" x14ac:dyDescent="0.3">
      <c r="E12427"/>
    </row>
    <row r="12428" spans="5:5" x14ac:dyDescent="0.3">
      <c r="E12428"/>
    </row>
    <row r="12429" spans="5:5" x14ac:dyDescent="0.3">
      <c r="E12429"/>
    </row>
    <row r="12430" spans="5:5" x14ac:dyDescent="0.3">
      <c r="E12430"/>
    </row>
    <row r="12431" spans="5:5" x14ac:dyDescent="0.3">
      <c r="E12431"/>
    </row>
    <row r="12432" spans="5:5" x14ac:dyDescent="0.3">
      <c r="E12432"/>
    </row>
    <row r="12433" spans="5:5" x14ac:dyDescent="0.3">
      <c r="E12433"/>
    </row>
    <row r="12434" spans="5:5" x14ac:dyDescent="0.3">
      <c r="E12434"/>
    </row>
    <row r="12435" spans="5:5" x14ac:dyDescent="0.3">
      <c r="E12435"/>
    </row>
    <row r="12436" spans="5:5" x14ac:dyDescent="0.3">
      <c r="E12436"/>
    </row>
    <row r="12437" spans="5:5" x14ac:dyDescent="0.3">
      <c r="E12437"/>
    </row>
    <row r="12438" spans="5:5" x14ac:dyDescent="0.3">
      <c r="E12438"/>
    </row>
    <row r="12439" spans="5:5" x14ac:dyDescent="0.3">
      <c r="E12439"/>
    </row>
    <row r="12440" spans="5:5" x14ac:dyDescent="0.3">
      <c r="E12440"/>
    </row>
    <row r="12441" spans="5:5" x14ac:dyDescent="0.3">
      <c r="E12441"/>
    </row>
    <row r="12442" spans="5:5" x14ac:dyDescent="0.3">
      <c r="E12442"/>
    </row>
    <row r="12443" spans="5:5" x14ac:dyDescent="0.3">
      <c r="E12443"/>
    </row>
    <row r="12444" spans="5:5" x14ac:dyDescent="0.3">
      <c r="E12444"/>
    </row>
    <row r="12445" spans="5:5" x14ac:dyDescent="0.3">
      <c r="E12445"/>
    </row>
    <row r="12446" spans="5:5" x14ac:dyDescent="0.3">
      <c r="E12446"/>
    </row>
    <row r="12447" spans="5:5" x14ac:dyDescent="0.3">
      <c r="E12447"/>
    </row>
    <row r="12448" spans="5:5" x14ac:dyDescent="0.3">
      <c r="E12448"/>
    </row>
    <row r="12449" spans="5:5" x14ac:dyDescent="0.3">
      <c r="E12449"/>
    </row>
    <row r="12450" spans="5:5" x14ac:dyDescent="0.3">
      <c r="E12450"/>
    </row>
    <row r="12451" spans="5:5" x14ac:dyDescent="0.3">
      <c r="E12451"/>
    </row>
    <row r="12452" spans="5:5" x14ac:dyDescent="0.3">
      <c r="E12452"/>
    </row>
    <row r="12453" spans="5:5" x14ac:dyDescent="0.3">
      <c r="E12453"/>
    </row>
    <row r="12454" spans="5:5" x14ac:dyDescent="0.3">
      <c r="E12454"/>
    </row>
    <row r="12455" spans="5:5" x14ac:dyDescent="0.3">
      <c r="E12455"/>
    </row>
    <row r="12456" spans="5:5" x14ac:dyDescent="0.3">
      <c r="E12456"/>
    </row>
    <row r="12457" spans="5:5" x14ac:dyDescent="0.3">
      <c r="E12457"/>
    </row>
    <row r="12458" spans="5:5" x14ac:dyDescent="0.3">
      <c r="E12458"/>
    </row>
    <row r="12459" spans="5:5" x14ac:dyDescent="0.3">
      <c r="E12459"/>
    </row>
    <row r="12460" spans="5:5" x14ac:dyDescent="0.3">
      <c r="E12460"/>
    </row>
    <row r="12461" spans="5:5" x14ac:dyDescent="0.3">
      <c r="E12461"/>
    </row>
    <row r="12462" spans="5:5" x14ac:dyDescent="0.3">
      <c r="E12462"/>
    </row>
    <row r="12463" spans="5:5" x14ac:dyDescent="0.3">
      <c r="E12463"/>
    </row>
    <row r="12464" spans="5:5" x14ac:dyDescent="0.3">
      <c r="E12464"/>
    </row>
    <row r="12465" spans="5:5" x14ac:dyDescent="0.3">
      <c r="E12465"/>
    </row>
    <row r="12466" spans="5:5" x14ac:dyDescent="0.3">
      <c r="E12466"/>
    </row>
    <row r="12467" spans="5:5" x14ac:dyDescent="0.3">
      <c r="E12467"/>
    </row>
    <row r="12468" spans="5:5" x14ac:dyDescent="0.3">
      <c r="E12468"/>
    </row>
    <row r="12469" spans="5:5" x14ac:dyDescent="0.3">
      <c r="E12469"/>
    </row>
    <row r="12470" spans="5:5" x14ac:dyDescent="0.3">
      <c r="E12470"/>
    </row>
    <row r="12471" spans="5:5" x14ac:dyDescent="0.3">
      <c r="E12471"/>
    </row>
    <row r="12472" spans="5:5" x14ac:dyDescent="0.3">
      <c r="E12472"/>
    </row>
    <row r="12473" spans="5:5" x14ac:dyDescent="0.3">
      <c r="E12473"/>
    </row>
    <row r="12474" spans="5:5" x14ac:dyDescent="0.3">
      <c r="E12474"/>
    </row>
    <row r="12475" spans="5:5" x14ac:dyDescent="0.3">
      <c r="E12475"/>
    </row>
    <row r="12476" spans="5:5" x14ac:dyDescent="0.3">
      <c r="E12476"/>
    </row>
    <row r="12477" spans="5:5" x14ac:dyDescent="0.3">
      <c r="E12477"/>
    </row>
    <row r="12478" spans="5:5" x14ac:dyDescent="0.3">
      <c r="E12478"/>
    </row>
    <row r="12479" spans="5:5" x14ac:dyDescent="0.3">
      <c r="E12479"/>
    </row>
    <row r="12480" spans="5:5" x14ac:dyDescent="0.3">
      <c r="E12480"/>
    </row>
    <row r="12481" spans="5:5" x14ac:dyDescent="0.3">
      <c r="E12481"/>
    </row>
    <row r="12482" spans="5:5" x14ac:dyDescent="0.3">
      <c r="E12482"/>
    </row>
    <row r="12483" spans="5:5" x14ac:dyDescent="0.3">
      <c r="E12483"/>
    </row>
    <row r="12484" spans="5:5" x14ac:dyDescent="0.3">
      <c r="E12484"/>
    </row>
    <row r="12485" spans="5:5" x14ac:dyDescent="0.3">
      <c r="E12485"/>
    </row>
    <row r="12486" spans="5:5" x14ac:dyDescent="0.3">
      <c r="E12486"/>
    </row>
    <row r="12487" spans="5:5" x14ac:dyDescent="0.3">
      <c r="E12487"/>
    </row>
    <row r="12488" spans="5:5" x14ac:dyDescent="0.3">
      <c r="E12488"/>
    </row>
    <row r="12489" spans="5:5" x14ac:dyDescent="0.3">
      <c r="E12489"/>
    </row>
    <row r="12490" spans="5:5" x14ac:dyDescent="0.3">
      <c r="E12490"/>
    </row>
    <row r="12491" spans="5:5" x14ac:dyDescent="0.3">
      <c r="E12491"/>
    </row>
    <row r="12492" spans="5:5" x14ac:dyDescent="0.3">
      <c r="E12492"/>
    </row>
    <row r="12493" spans="5:5" x14ac:dyDescent="0.3">
      <c r="E12493"/>
    </row>
    <row r="12494" spans="5:5" x14ac:dyDescent="0.3">
      <c r="E12494"/>
    </row>
    <row r="12495" spans="5:5" x14ac:dyDescent="0.3">
      <c r="E12495"/>
    </row>
    <row r="12496" spans="5:5" x14ac:dyDescent="0.3">
      <c r="E12496"/>
    </row>
    <row r="12497" spans="5:5" x14ac:dyDescent="0.3">
      <c r="E12497"/>
    </row>
    <row r="12498" spans="5:5" x14ac:dyDescent="0.3">
      <c r="E12498"/>
    </row>
    <row r="12499" spans="5:5" x14ac:dyDescent="0.3">
      <c r="E12499"/>
    </row>
    <row r="12500" spans="5:5" x14ac:dyDescent="0.3">
      <c r="E12500"/>
    </row>
    <row r="12501" spans="5:5" x14ac:dyDescent="0.3">
      <c r="E12501"/>
    </row>
    <row r="12502" spans="5:5" x14ac:dyDescent="0.3">
      <c r="E12502"/>
    </row>
    <row r="12503" spans="5:5" x14ac:dyDescent="0.3">
      <c r="E12503"/>
    </row>
    <row r="12504" spans="5:5" x14ac:dyDescent="0.3">
      <c r="E12504"/>
    </row>
    <row r="12505" spans="5:5" x14ac:dyDescent="0.3">
      <c r="E12505"/>
    </row>
    <row r="12506" spans="5:5" x14ac:dyDescent="0.3">
      <c r="E12506"/>
    </row>
    <row r="12507" spans="5:5" x14ac:dyDescent="0.3">
      <c r="E12507"/>
    </row>
    <row r="12508" spans="5:5" x14ac:dyDescent="0.3">
      <c r="E12508"/>
    </row>
    <row r="12509" spans="5:5" x14ac:dyDescent="0.3">
      <c r="E12509"/>
    </row>
    <row r="12510" spans="5:5" x14ac:dyDescent="0.3">
      <c r="E12510"/>
    </row>
    <row r="12511" spans="5:5" x14ac:dyDescent="0.3">
      <c r="E12511"/>
    </row>
    <row r="12512" spans="5:5" x14ac:dyDescent="0.3">
      <c r="E12512"/>
    </row>
    <row r="12513" spans="5:5" x14ac:dyDescent="0.3">
      <c r="E12513"/>
    </row>
    <row r="12514" spans="5:5" x14ac:dyDescent="0.3">
      <c r="E12514"/>
    </row>
    <row r="12515" spans="5:5" x14ac:dyDescent="0.3">
      <c r="E12515"/>
    </row>
    <row r="12516" spans="5:5" x14ac:dyDescent="0.3">
      <c r="E12516"/>
    </row>
    <row r="12517" spans="5:5" x14ac:dyDescent="0.3">
      <c r="E12517"/>
    </row>
    <row r="12518" spans="5:5" x14ac:dyDescent="0.3">
      <c r="E12518"/>
    </row>
    <row r="12519" spans="5:5" x14ac:dyDescent="0.3">
      <c r="E12519"/>
    </row>
    <row r="12520" spans="5:5" x14ac:dyDescent="0.3">
      <c r="E12520"/>
    </row>
    <row r="12521" spans="5:5" x14ac:dyDescent="0.3">
      <c r="E12521"/>
    </row>
    <row r="12522" spans="5:5" x14ac:dyDescent="0.3">
      <c r="E12522"/>
    </row>
    <row r="12523" spans="5:5" x14ac:dyDescent="0.3">
      <c r="E12523"/>
    </row>
    <row r="12524" spans="5:5" x14ac:dyDescent="0.3">
      <c r="E12524"/>
    </row>
    <row r="12525" spans="5:5" x14ac:dyDescent="0.3">
      <c r="E12525"/>
    </row>
    <row r="12526" spans="5:5" x14ac:dyDescent="0.3">
      <c r="E12526"/>
    </row>
    <row r="12527" spans="5:5" x14ac:dyDescent="0.3">
      <c r="E12527"/>
    </row>
    <row r="12528" spans="5:5" x14ac:dyDescent="0.3">
      <c r="E12528"/>
    </row>
    <row r="12529" spans="5:5" x14ac:dyDescent="0.3">
      <c r="E12529"/>
    </row>
    <row r="12530" spans="5:5" x14ac:dyDescent="0.3">
      <c r="E12530"/>
    </row>
    <row r="12531" spans="5:5" x14ac:dyDescent="0.3">
      <c r="E12531"/>
    </row>
    <row r="12532" spans="5:5" x14ac:dyDescent="0.3">
      <c r="E12532"/>
    </row>
    <row r="12533" spans="5:5" x14ac:dyDescent="0.3">
      <c r="E12533"/>
    </row>
    <row r="12534" spans="5:5" x14ac:dyDescent="0.3">
      <c r="E12534"/>
    </row>
    <row r="12535" spans="5:5" x14ac:dyDescent="0.3">
      <c r="E12535"/>
    </row>
    <row r="12536" spans="5:5" x14ac:dyDescent="0.3">
      <c r="E12536"/>
    </row>
    <row r="12537" spans="5:5" x14ac:dyDescent="0.3">
      <c r="E12537"/>
    </row>
    <row r="12538" spans="5:5" x14ac:dyDescent="0.3">
      <c r="E12538"/>
    </row>
    <row r="12539" spans="5:5" x14ac:dyDescent="0.3">
      <c r="E12539"/>
    </row>
    <row r="12540" spans="5:5" x14ac:dyDescent="0.3">
      <c r="E12540"/>
    </row>
    <row r="12541" spans="5:5" x14ac:dyDescent="0.3">
      <c r="E12541"/>
    </row>
    <row r="12542" spans="5:5" x14ac:dyDescent="0.3">
      <c r="E12542"/>
    </row>
    <row r="12543" spans="5:5" x14ac:dyDescent="0.3">
      <c r="E12543"/>
    </row>
    <row r="12544" spans="5:5" x14ac:dyDescent="0.3">
      <c r="E12544"/>
    </row>
    <row r="12545" spans="5:5" x14ac:dyDescent="0.3">
      <c r="E12545"/>
    </row>
    <row r="12546" spans="5:5" x14ac:dyDescent="0.3">
      <c r="E12546"/>
    </row>
    <row r="12547" spans="5:5" x14ac:dyDescent="0.3">
      <c r="E12547"/>
    </row>
    <row r="12548" spans="5:5" x14ac:dyDescent="0.3">
      <c r="E12548"/>
    </row>
    <row r="12549" spans="5:5" x14ac:dyDescent="0.3">
      <c r="E12549"/>
    </row>
    <row r="12550" spans="5:5" x14ac:dyDescent="0.3">
      <c r="E12550"/>
    </row>
    <row r="12551" spans="5:5" x14ac:dyDescent="0.3">
      <c r="E12551"/>
    </row>
    <row r="12552" spans="5:5" x14ac:dyDescent="0.3">
      <c r="E12552"/>
    </row>
    <row r="12553" spans="5:5" x14ac:dyDescent="0.3">
      <c r="E12553"/>
    </row>
    <row r="12554" spans="5:5" x14ac:dyDescent="0.3">
      <c r="E12554"/>
    </row>
    <row r="12555" spans="5:5" x14ac:dyDescent="0.3">
      <c r="E12555"/>
    </row>
    <row r="12556" spans="5:5" x14ac:dyDescent="0.3">
      <c r="E12556"/>
    </row>
    <row r="12557" spans="5:5" x14ac:dyDescent="0.3">
      <c r="E12557"/>
    </row>
    <row r="12558" spans="5:5" x14ac:dyDescent="0.3">
      <c r="E12558"/>
    </row>
    <row r="12559" spans="5:5" x14ac:dyDescent="0.3">
      <c r="E12559"/>
    </row>
    <row r="12560" spans="5:5" x14ac:dyDescent="0.3">
      <c r="E12560"/>
    </row>
    <row r="12561" spans="5:5" x14ac:dyDescent="0.3">
      <c r="E12561"/>
    </row>
    <row r="12562" spans="5:5" x14ac:dyDescent="0.3">
      <c r="E12562"/>
    </row>
    <row r="12563" spans="5:5" x14ac:dyDescent="0.3">
      <c r="E12563"/>
    </row>
    <row r="12564" spans="5:5" x14ac:dyDescent="0.3">
      <c r="E12564"/>
    </row>
    <row r="12565" spans="5:5" x14ac:dyDescent="0.3">
      <c r="E12565"/>
    </row>
    <row r="12566" spans="5:5" x14ac:dyDescent="0.3">
      <c r="E12566"/>
    </row>
    <row r="12567" spans="5:5" x14ac:dyDescent="0.3">
      <c r="E12567"/>
    </row>
    <row r="12568" spans="5:5" x14ac:dyDescent="0.3">
      <c r="E12568"/>
    </row>
    <row r="12569" spans="5:5" x14ac:dyDescent="0.3">
      <c r="E12569"/>
    </row>
    <row r="12570" spans="5:5" x14ac:dyDescent="0.3">
      <c r="E12570"/>
    </row>
    <row r="12571" spans="5:5" x14ac:dyDescent="0.3">
      <c r="E12571"/>
    </row>
    <row r="12572" spans="5:5" x14ac:dyDescent="0.3">
      <c r="E12572"/>
    </row>
    <row r="12573" spans="5:5" x14ac:dyDescent="0.3">
      <c r="E12573"/>
    </row>
    <row r="12574" spans="5:5" x14ac:dyDescent="0.3">
      <c r="E12574"/>
    </row>
    <row r="12575" spans="5:5" x14ac:dyDescent="0.3">
      <c r="E12575"/>
    </row>
    <row r="12576" spans="5:5" x14ac:dyDescent="0.3">
      <c r="E12576"/>
    </row>
    <row r="12577" spans="5:5" x14ac:dyDescent="0.3">
      <c r="E12577"/>
    </row>
    <row r="12578" spans="5:5" x14ac:dyDescent="0.3">
      <c r="E12578"/>
    </row>
    <row r="12579" spans="5:5" x14ac:dyDescent="0.3">
      <c r="E12579"/>
    </row>
    <row r="12580" spans="5:5" x14ac:dyDescent="0.3">
      <c r="E12580"/>
    </row>
    <row r="12581" spans="5:5" x14ac:dyDescent="0.3">
      <c r="E12581"/>
    </row>
    <row r="12582" spans="5:5" x14ac:dyDescent="0.3">
      <c r="E12582"/>
    </row>
    <row r="12583" spans="5:5" x14ac:dyDescent="0.3">
      <c r="E12583"/>
    </row>
    <row r="12584" spans="5:5" x14ac:dyDescent="0.3">
      <c r="E12584"/>
    </row>
    <row r="12585" spans="5:5" x14ac:dyDescent="0.3">
      <c r="E12585"/>
    </row>
    <row r="12586" spans="5:5" x14ac:dyDescent="0.3">
      <c r="E12586"/>
    </row>
    <row r="12587" spans="5:5" x14ac:dyDescent="0.3">
      <c r="E12587"/>
    </row>
    <row r="12588" spans="5:5" x14ac:dyDescent="0.3">
      <c r="E12588"/>
    </row>
    <row r="12589" spans="5:5" x14ac:dyDescent="0.3">
      <c r="E12589"/>
    </row>
    <row r="12590" spans="5:5" x14ac:dyDescent="0.3">
      <c r="E12590"/>
    </row>
    <row r="12591" spans="5:5" x14ac:dyDescent="0.3">
      <c r="E12591"/>
    </row>
    <row r="12592" spans="5:5" x14ac:dyDescent="0.3">
      <c r="E12592"/>
    </row>
    <row r="12593" spans="5:5" x14ac:dyDescent="0.3">
      <c r="E12593"/>
    </row>
    <row r="12594" spans="5:5" x14ac:dyDescent="0.3">
      <c r="E12594"/>
    </row>
    <row r="12595" spans="5:5" x14ac:dyDescent="0.3">
      <c r="E12595"/>
    </row>
    <row r="12596" spans="5:5" x14ac:dyDescent="0.3">
      <c r="E12596"/>
    </row>
    <row r="12597" spans="5:5" x14ac:dyDescent="0.3">
      <c r="E12597"/>
    </row>
    <row r="12598" spans="5:5" x14ac:dyDescent="0.3">
      <c r="E12598"/>
    </row>
    <row r="12599" spans="5:5" x14ac:dyDescent="0.3">
      <c r="E12599"/>
    </row>
    <row r="12600" spans="5:5" x14ac:dyDescent="0.3">
      <c r="E12600"/>
    </row>
    <row r="12601" spans="5:5" x14ac:dyDescent="0.3">
      <c r="E12601"/>
    </row>
    <row r="12602" spans="5:5" x14ac:dyDescent="0.3">
      <c r="E12602"/>
    </row>
    <row r="12603" spans="5:5" x14ac:dyDescent="0.3">
      <c r="E12603"/>
    </row>
    <row r="12604" spans="5:5" x14ac:dyDescent="0.3">
      <c r="E12604"/>
    </row>
    <row r="12605" spans="5:5" x14ac:dyDescent="0.3">
      <c r="E12605"/>
    </row>
    <row r="12606" spans="5:5" x14ac:dyDescent="0.3">
      <c r="E12606"/>
    </row>
    <row r="12607" spans="5:5" x14ac:dyDescent="0.3">
      <c r="E12607"/>
    </row>
    <row r="12608" spans="5:5" x14ac:dyDescent="0.3">
      <c r="E12608"/>
    </row>
    <row r="12609" spans="5:5" x14ac:dyDescent="0.3">
      <c r="E12609"/>
    </row>
    <row r="12610" spans="5:5" x14ac:dyDescent="0.3">
      <c r="E12610"/>
    </row>
    <row r="12611" spans="5:5" x14ac:dyDescent="0.3">
      <c r="E12611"/>
    </row>
    <row r="12612" spans="5:5" x14ac:dyDescent="0.3">
      <c r="E12612"/>
    </row>
    <row r="12613" spans="5:5" x14ac:dyDescent="0.3">
      <c r="E12613"/>
    </row>
    <row r="12614" spans="5:5" x14ac:dyDescent="0.3">
      <c r="E12614"/>
    </row>
    <row r="12615" spans="5:5" x14ac:dyDescent="0.3">
      <c r="E12615"/>
    </row>
    <row r="12616" spans="5:5" x14ac:dyDescent="0.3">
      <c r="E12616"/>
    </row>
    <row r="12617" spans="5:5" x14ac:dyDescent="0.3">
      <c r="E12617"/>
    </row>
    <row r="12618" spans="5:5" x14ac:dyDescent="0.3">
      <c r="E12618"/>
    </row>
    <row r="12619" spans="5:5" x14ac:dyDescent="0.3">
      <c r="E12619"/>
    </row>
    <row r="12620" spans="5:5" x14ac:dyDescent="0.3">
      <c r="E12620"/>
    </row>
    <row r="12621" spans="5:5" x14ac:dyDescent="0.3">
      <c r="E12621"/>
    </row>
    <row r="12622" spans="5:5" x14ac:dyDescent="0.3">
      <c r="E12622"/>
    </row>
    <row r="12623" spans="5:5" x14ac:dyDescent="0.3">
      <c r="E12623"/>
    </row>
    <row r="12624" spans="5:5" x14ac:dyDescent="0.3">
      <c r="E12624"/>
    </row>
    <row r="12625" spans="5:5" x14ac:dyDescent="0.3">
      <c r="E12625"/>
    </row>
    <row r="12626" spans="5:5" x14ac:dyDescent="0.3">
      <c r="E12626"/>
    </row>
    <row r="12627" spans="5:5" x14ac:dyDescent="0.3">
      <c r="E12627"/>
    </row>
    <row r="12628" spans="5:5" x14ac:dyDescent="0.3">
      <c r="E12628"/>
    </row>
    <row r="12629" spans="5:5" x14ac:dyDescent="0.3">
      <c r="E12629"/>
    </row>
    <row r="12630" spans="5:5" x14ac:dyDescent="0.3">
      <c r="E12630"/>
    </row>
    <row r="12631" spans="5:5" x14ac:dyDescent="0.3">
      <c r="E12631"/>
    </row>
    <row r="12632" spans="5:5" x14ac:dyDescent="0.3">
      <c r="E12632"/>
    </row>
    <row r="12633" spans="5:5" x14ac:dyDescent="0.3">
      <c r="E12633"/>
    </row>
    <row r="12634" spans="5:5" x14ac:dyDescent="0.3">
      <c r="E12634"/>
    </row>
    <row r="12635" spans="5:5" x14ac:dyDescent="0.3">
      <c r="E12635"/>
    </row>
    <row r="12636" spans="5:5" x14ac:dyDescent="0.3">
      <c r="E12636"/>
    </row>
    <row r="12637" spans="5:5" x14ac:dyDescent="0.3">
      <c r="E12637"/>
    </row>
    <row r="12638" spans="5:5" x14ac:dyDescent="0.3">
      <c r="E12638"/>
    </row>
    <row r="12639" spans="5:5" x14ac:dyDescent="0.3">
      <c r="E12639"/>
    </row>
    <row r="12640" spans="5:5" x14ac:dyDescent="0.3">
      <c r="E12640"/>
    </row>
    <row r="12641" spans="5:5" x14ac:dyDescent="0.3">
      <c r="E12641"/>
    </row>
    <row r="12642" spans="5:5" x14ac:dyDescent="0.3">
      <c r="E12642"/>
    </row>
    <row r="12643" spans="5:5" x14ac:dyDescent="0.3">
      <c r="E12643"/>
    </row>
    <row r="12644" spans="5:5" x14ac:dyDescent="0.3">
      <c r="E12644"/>
    </row>
    <row r="12645" spans="5:5" x14ac:dyDescent="0.3">
      <c r="E12645"/>
    </row>
    <row r="12646" spans="5:5" x14ac:dyDescent="0.3">
      <c r="E12646"/>
    </row>
    <row r="12647" spans="5:5" x14ac:dyDescent="0.3">
      <c r="E12647"/>
    </row>
    <row r="12648" spans="5:5" x14ac:dyDescent="0.3">
      <c r="E12648"/>
    </row>
    <row r="12649" spans="5:5" x14ac:dyDescent="0.3">
      <c r="E12649"/>
    </row>
    <row r="12650" spans="5:5" x14ac:dyDescent="0.3">
      <c r="E12650"/>
    </row>
    <row r="12651" spans="5:5" x14ac:dyDescent="0.3">
      <c r="E12651"/>
    </row>
    <row r="12652" spans="5:5" x14ac:dyDescent="0.3">
      <c r="E12652"/>
    </row>
    <row r="12653" spans="5:5" x14ac:dyDescent="0.3">
      <c r="E12653"/>
    </row>
    <row r="12654" spans="5:5" x14ac:dyDescent="0.3">
      <c r="E12654"/>
    </row>
    <row r="12655" spans="5:5" x14ac:dyDescent="0.3">
      <c r="E12655"/>
    </row>
    <row r="12656" spans="5:5" x14ac:dyDescent="0.3">
      <c r="E12656"/>
    </row>
    <row r="12657" spans="5:5" x14ac:dyDescent="0.3">
      <c r="E12657"/>
    </row>
    <row r="12658" spans="5:5" x14ac:dyDescent="0.3">
      <c r="E12658"/>
    </row>
    <row r="12659" spans="5:5" x14ac:dyDescent="0.3">
      <c r="E12659"/>
    </row>
    <row r="12660" spans="5:5" x14ac:dyDescent="0.3">
      <c r="E12660"/>
    </row>
    <row r="12661" spans="5:5" x14ac:dyDescent="0.3">
      <c r="E12661"/>
    </row>
    <row r="12662" spans="5:5" x14ac:dyDescent="0.3">
      <c r="E12662"/>
    </row>
    <row r="12663" spans="5:5" x14ac:dyDescent="0.3">
      <c r="E12663"/>
    </row>
    <row r="12664" spans="5:5" x14ac:dyDescent="0.3">
      <c r="E12664"/>
    </row>
    <row r="12665" spans="5:5" x14ac:dyDescent="0.3">
      <c r="E12665"/>
    </row>
    <row r="12666" spans="5:5" x14ac:dyDescent="0.3">
      <c r="E12666"/>
    </row>
    <row r="12667" spans="5:5" x14ac:dyDescent="0.3">
      <c r="E12667"/>
    </row>
    <row r="12668" spans="5:5" x14ac:dyDescent="0.3">
      <c r="E12668"/>
    </row>
    <row r="12669" spans="5:5" x14ac:dyDescent="0.3">
      <c r="E12669"/>
    </row>
    <row r="12670" spans="5:5" x14ac:dyDescent="0.3">
      <c r="E12670"/>
    </row>
    <row r="12671" spans="5:5" x14ac:dyDescent="0.3">
      <c r="E12671"/>
    </row>
    <row r="12672" spans="5:5" x14ac:dyDescent="0.3">
      <c r="E12672"/>
    </row>
    <row r="12673" spans="5:5" x14ac:dyDescent="0.3">
      <c r="E12673"/>
    </row>
    <row r="12674" spans="5:5" x14ac:dyDescent="0.3">
      <c r="E12674"/>
    </row>
    <row r="12675" spans="5:5" x14ac:dyDescent="0.3">
      <c r="E12675"/>
    </row>
    <row r="12676" spans="5:5" x14ac:dyDescent="0.3">
      <c r="E12676"/>
    </row>
    <row r="12677" spans="5:5" x14ac:dyDescent="0.3">
      <c r="E12677"/>
    </row>
    <row r="12678" spans="5:5" x14ac:dyDescent="0.3">
      <c r="E12678"/>
    </row>
    <row r="12679" spans="5:5" x14ac:dyDescent="0.3">
      <c r="E12679"/>
    </row>
    <row r="12680" spans="5:5" x14ac:dyDescent="0.3">
      <c r="E12680"/>
    </row>
    <row r="12681" spans="5:5" x14ac:dyDescent="0.3">
      <c r="E12681"/>
    </row>
    <row r="12682" spans="5:5" x14ac:dyDescent="0.3">
      <c r="E12682"/>
    </row>
    <row r="12683" spans="5:5" x14ac:dyDescent="0.3">
      <c r="E12683"/>
    </row>
    <row r="12684" spans="5:5" x14ac:dyDescent="0.3">
      <c r="E12684"/>
    </row>
    <row r="12685" spans="5:5" x14ac:dyDescent="0.3">
      <c r="E12685"/>
    </row>
    <row r="12686" spans="5:5" x14ac:dyDescent="0.3">
      <c r="E12686"/>
    </row>
    <row r="12687" spans="5:5" x14ac:dyDescent="0.3">
      <c r="E12687"/>
    </row>
    <row r="12688" spans="5:5" x14ac:dyDescent="0.3">
      <c r="E12688"/>
    </row>
    <row r="12689" spans="5:5" x14ac:dyDescent="0.3">
      <c r="E12689"/>
    </row>
    <row r="12690" spans="5:5" x14ac:dyDescent="0.3">
      <c r="E12690"/>
    </row>
    <row r="12691" spans="5:5" x14ac:dyDescent="0.3">
      <c r="E12691"/>
    </row>
    <row r="12692" spans="5:5" x14ac:dyDescent="0.3">
      <c r="E12692"/>
    </row>
    <row r="12693" spans="5:5" x14ac:dyDescent="0.3">
      <c r="E12693"/>
    </row>
    <row r="12694" spans="5:5" x14ac:dyDescent="0.3">
      <c r="E12694"/>
    </row>
    <row r="12695" spans="5:5" x14ac:dyDescent="0.3">
      <c r="E12695"/>
    </row>
    <row r="12696" spans="5:5" x14ac:dyDescent="0.3">
      <c r="E12696"/>
    </row>
    <row r="12697" spans="5:5" x14ac:dyDescent="0.3">
      <c r="E12697"/>
    </row>
    <row r="12698" spans="5:5" x14ac:dyDescent="0.3">
      <c r="E12698"/>
    </row>
    <row r="12699" spans="5:5" x14ac:dyDescent="0.3">
      <c r="E12699"/>
    </row>
    <row r="12700" spans="5:5" x14ac:dyDescent="0.3">
      <c r="E12700"/>
    </row>
    <row r="12701" spans="5:5" x14ac:dyDescent="0.3">
      <c r="E12701"/>
    </row>
    <row r="12702" spans="5:5" x14ac:dyDescent="0.3">
      <c r="E12702"/>
    </row>
    <row r="12703" spans="5:5" x14ac:dyDescent="0.3">
      <c r="E12703"/>
    </row>
    <row r="12704" spans="5:5" x14ac:dyDescent="0.3">
      <c r="E12704"/>
    </row>
    <row r="12705" spans="5:5" x14ac:dyDescent="0.3">
      <c r="E12705"/>
    </row>
    <row r="12706" spans="5:5" x14ac:dyDescent="0.3">
      <c r="E12706"/>
    </row>
    <row r="12707" spans="5:5" x14ac:dyDescent="0.3">
      <c r="E12707"/>
    </row>
    <row r="12708" spans="5:5" x14ac:dyDescent="0.3">
      <c r="E12708"/>
    </row>
    <row r="12709" spans="5:5" x14ac:dyDescent="0.3">
      <c r="E12709"/>
    </row>
    <row r="12710" spans="5:5" x14ac:dyDescent="0.3">
      <c r="E12710"/>
    </row>
    <row r="12711" spans="5:5" x14ac:dyDescent="0.3">
      <c r="E12711"/>
    </row>
    <row r="12712" spans="5:5" x14ac:dyDescent="0.3">
      <c r="E12712"/>
    </row>
    <row r="12713" spans="5:5" x14ac:dyDescent="0.3">
      <c r="E12713"/>
    </row>
    <row r="12714" spans="5:5" x14ac:dyDescent="0.3">
      <c r="E12714"/>
    </row>
    <row r="12715" spans="5:5" x14ac:dyDescent="0.3">
      <c r="E12715"/>
    </row>
    <row r="12716" spans="5:5" x14ac:dyDescent="0.3">
      <c r="E12716"/>
    </row>
    <row r="12717" spans="5:5" x14ac:dyDescent="0.3">
      <c r="E12717"/>
    </row>
    <row r="12718" spans="5:5" x14ac:dyDescent="0.3">
      <c r="E12718"/>
    </row>
    <row r="12719" spans="5:5" x14ac:dyDescent="0.3">
      <c r="E12719"/>
    </row>
    <row r="12720" spans="5:5" x14ac:dyDescent="0.3">
      <c r="E12720"/>
    </row>
    <row r="12721" spans="5:5" x14ac:dyDescent="0.3">
      <c r="E12721"/>
    </row>
    <row r="12722" spans="5:5" x14ac:dyDescent="0.3">
      <c r="E12722"/>
    </row>
    <row r="12723" spans="5:5" x14ac:dyDescent="0.3">
      <c r="E12723"/>
    </row>
    <row r="12724" spans="5:5" x14ac:dyDescent="0.3">
      <c r="E12724"/>
    </row>
    <row r="12725" spans="5:5" x14ac:dyDescent="0.3">
      <c r="E12725"/>
    </row>
    <row r="12726" spans="5:5" x14ac:dyDescent="0.3">
      <c r="E12726"/>
    </row>
    <row r="12727" spans="5:5" x14ac:dyDescent="0.3">
      <c r="E12727"/>
    </row>
    <row r="12728" spans="5:5" x14ac:dyDescent="0.3">
      <c r="E12728"/>
    </row>
    <row r="12729" spans="5:5" x14ac:dyDescent="0.3">
      <c r="E12729"/>
    </row>
    <row r="12730" spans="5:5" x14ac:dyDescent="0.3">
      <c r="E12730"/>
    </row>
    <row r="12731" spans="5:5" x14ac:dyDescent="0.3">
      <c r="E12731"/>
    </row>
    <row r="12732" spans="5:5" x14ac:dyDescent="0.3">
      <c r="E12732"/>
    </row>
    <row r="12733" spans="5:5" x14ac:dyDescent="0.3">
      <c r="E12733"/>
    </row>
    <row r="12734" spans="5:5" x14ac:dyDescent="0.3">
      <c r="E12734"/>
    </row>
    <row r="12735" spans="5:5" x14ac:dyDescent="0.3">
      <c r="E12735"/>
    </row>
    <row r="12736" spans="5:5" x14ac:dyDescent="0.3">
      <c r="E12736"/>
    </row>
    <row r="12737" spans="5:5" x14ac:dyDescent="0.3">
      <c r="E12737"/>
    </row>
    <row r="12738" spans="5:5" x14ac:dyDescent="0.3">
      <c r="E12738"/>
    </row>
    <row r="12739" spans="5:5" x14ac:dyDescent="0.3">
      <c r="E12739"/>
    </row>
    <row r="12740" spans="5:5" x14ac:dyDescent="0.3">
      <c r="E12740"/>
    </row>
    <row r="12741" spans="5:5" x14ac:dyDescent="0.3">
      <c r="E12741"/>
    </row>
    <row r="12742" spans="5:5" x14ac:dyDescent="0.3">
      <c r="E12742"/>
    </row>
    <row r="12743" spans="5:5" x14ac:dyDescent="0.3">
      <c r="E12743"/>
    </row>
    <row r="12744" spans="5:5" x14ac:dyDescent="0.3">
      <c r="E12744"/>
    </row>
    <row r="12745" spans="5:5" x14ac:dyDescent="0.3">
      <c r="E12745"/>
    </row>
    <row r="12746" spans="5:5" x14ac:dyDescent="0.3">
      <c r="E12746"/>
    </row>
    <row r="12747" spans="5:5" x14ac:dyDescent="0.3">
      <c r="E12747"/>
    </row>
    <row r="12748" spans="5:5" x14ac:dyDescent="0.3">
      <c r="E12748"/>
    </row>
    <row r="12749" spans="5:5" x14ac:dyDescent="0.3">
      <c r="E12749"/>
    </row>
    <row r="12750" spans="5:5" x14ac:dyDescent="0.3">
      <c r="E12750"/>
    </row>
    <row r="12751" spans="5:5" x14ac:dyDescent="0.3">
      <c r="E12751"/>
    </row>
    <row r="12752" spans="5:5" x14ac:dyDescent="0.3">
      <c r="E12752"/>
    </row>
    <row r="12753" spans="5:5" x14ac:dyDescent="0.3">
      <c r="E12753"/>
    </row>
    <row r="12754" spans="5:5" x14ac:dyDescent="0.3">
      <c r="E12754"/>
    </row>
    <row r="12755" spans="5:5" x14ac:dyDescent="0.3">
      <c r="E12755"/>
    </row>
    <row r="12756" spans="5:5" x14ac:dyDescent="0.3">
      <c r="E12756"/>
    </row>
    <row r="12757" spans="5:5" x14ac:dyDescent="0.3">
      <c r="E12757"/>
    </row>
    <row r="12758" spans="5:5" x14ac:dyDescent="0.3">
      <c r="E12758"/>
    </row>
    <row r="12759" spans="5:5" x14ac:dyDescent="0.3">
      <c r="E12759"/>
    </row>
    <row r="12760" spans="5:5" x14ac:dyDescent="0.3">
      <c r="E12760"/>
    </row>
    <row r="12761" spans="5:5" x14ac:dyDescent="0.3">
      <c r="E12761"/>
    </row>
    <row r="12762" spans="5:5" x14ac:dyDescent="0.3">
      <c r="E12762"/>
    </row>
    <row r="12763" spans="5:5" x14ac:dyDescent="0.3">
      <c r="E12763"/>
    </row>
    <row r="12764" spans="5:5" x14ac:dyDescent="0.3">
      <c r="E12764"/>
    </row>
    <row r="12765" spans="5:5" x14ac:dyDescent="0.3">
      <c r="E12765"/>
    </row>
    <row r="12766" spans="5:5" x14ac:dyDescent="0.3">
      <c r="E12766"/>
    </row>
    <row r="12767" spans="5:5" x14ac:dyDescent="0.3">
      <c r="E12767"/>
    </row>
    <row r="12768" spans="5:5" x14ac:dyDescent="0.3">
      <c r="E12768"/>
    </row>
    <row r="12769" spans="5:5" x14ac:dyDescent="0.3">
      <c r="E12769"/>
    </row>
    <row r="12770" spans="5:5" x14ac:dyDescent="0.3">
      <c r="E12770"/>
    </row>
    <row r="12771" spans="5:5" x14ac:dyDescent="0.3">
      <c r="E12771"/>
    </row>
    <row r="12772" spans="5:5" x14ac:dyDescent="0.3">
      <c r="E12772"/>
    </row>
    <row r="12773" spans="5:5" x14ac:dyDescent="0.3">
      <c r="E12773"/>
    </row>
    <row r="12774" spans="5:5" x14ac:dyDescent="0.3">
      <c r="E12774"/>
    </row>
    <row r="12775" spans="5:5" x14ac:dyDescent="0.3">
      <c r="E12775"/>
    </row>
    <row r="12776" spans="5:5" x14ac:dyDescent="0.3">
      <c r="E12776"/>
    </row>
    <row r="12777" spans="5:5" x14ac:dyDescent="0.3">
      <c r="E12777"/>
    </row>
    <row r="12778" spans="5:5" x14ac:dyDescent="0.3">
      <c r="E12778"/>
    </row>
    <row r="12779" spans="5:5" x14ac:dyDescent="0.3">
      <c r="E12779"/>
    </row>
    <row r="12780" spans="5:5" x14ac:dyDescent="0.3">
      <c r="E12780"/>
    </row>
    <row r="12781" spans="5:5" x14ac:dyDescent="0.3">
      <c r="E12781"/>
    </row>
    <row r="12782" spans="5:5" x14ac:dyDescent="0.3">
      <c r="E12782"/>
    </row>
    <row r="12783" spans="5:5" x14ac:dyDescent="0.3">
      <c r="E12783"/>
    </row>
    <row r="12784" spans="5:5" x14ac:dyDescent="0.3">
      <c r="E12784"/>
    </row>
    <row r="12785" spans="5:5" x14ac:dyDescent="0.3">
      <c r="E12785"/>
    </row>
    <row r="12786" spans="5:5" x14ac:dyDescent="0.3">
      <c r="E12786"/>
    </row>
    <row r="12787" spans="5:5" x14ac:dyDescent="0.3">
      <c r="E12787"/>
    </row>
    <row r="12788" spans="5:5" x14ac:dyDescent="0.3">
      <c r="E12788"/>
    </row>
    <row r="12789" spans="5:5" x14ac:dyDescent="0.3">
      <c r="E12789"/>
    </row>
    <row r="12790" spans="5:5" x14ac:dyDescent="0.3">
      <c r="E12790"/>
    </row>
    <row r="12791" spans="5:5" x14ac:dyDescent="0.3">
      <c r="E12791"/>
    </row>
    <row r="12792" spans="5:5" x14ac:dyDescent="0.3">
      <c r="E12792"/>
    </row>
    <row r="12793" spans="5:5" x14ac:dyDescent="0.3">
      <c r="E12793"/>
    </row>
    <row r="12794" spans="5:5" x14ac:dyDescent="0.3">
      <c r="E12794"/>
    </row>
    <row r="12795" spans="5:5" x14ac:dyDescent="0.3">
      <c r="E12795"/>
    </row>
    <row r="12796" spans="5:5" x14ac:dyDescent="0.3">
      <c r="E12796"/>
    </row>
    <row r="12797" spans="5:5" x14ac:dyDescent="0.3">
      <c r="E12797"/>
    </row>
    <row r="12798" spans="5:5" x14ac:dyDescent="0.3">
      <c r="E12798"/>
    </row>
    <row r="12799" spans="5:5" x14ac:dyDescent="0.3">
      <c r="E12799"/>
    </row>
    <row r="12800" spans="5:5" x14ac:dyDescent="0.3">
      <c r="E12800"/>
    </row>
    <row r="12801" spans="5:5" x14ac:dyDescent="0.3">
      <c r="E12801"/>
    </row>
    <row r="12802" spans="5:5" x14ac:dyDescent="0.3">
      <c r="E12802"/>
    </row>
    <row r="12803" spans="5:5" x14ac:dyDescent="0.3">
      <c r="E12803"/>
    </row>
    <row r="12804" spans="5:5" x14ac:dyDescent="0.3">
      <c r="E12804"/>
    </row>
    <row r="12805" spans="5:5" x14ac:dyDescent="0.3">
      <c r="E12805"/>
    </row>
    <row r="12806" spans="5:5" x14ac:dyDescent="0.3">
      <c r="E12806"/>
    </row>
    <row r="12807" spans="5:5" x14ac:dyDescent="0.3">
      <c r="E12807"/>
    </row>
    <row r="12808" spans="5:5" x14ac:dyDescent="0.3">
      <c r="E12808"/>
    </row>
    <row r="12809" spans="5:5" x14ac:dyDescent="0.3">
      <c r="E12809"/>
    </row>
    <row r="12810" spans="5:5" x14ac:dyDescent="0.3">
      <c r="E12810"/>
    </row>
    <row r="12811" spans="5:5" x14ac:dyDescent="0.3">
      <c r="E12811"/>
    </row>
    <row r="12812" spans="5:5" x14ac:dyDescent="0.3">
      <c r="E12812"/>
    </row>
    <row r="12813" spans="5:5" x14ac:dyDescent="0.3">
      <c r="E12813"/>
    </row>
    <row r="12814" spans="5:5" x14ac:dyDescent="0.3">
      <c r="E12814"/>
    </row>
    <row r="12815" spans="5:5" x14ac:dyDescent="0.3">
      <c r="E12815"/>
    </row>
    <row r="12816" spans="5:5" x14ac:dyDescent="0.3">
      <c r="E12816"/>
    </row>
    <row r="12817" spans="5:5" x14ac:dyDescent="0.3">
      <c r="E12817"/>
    </row>
    <row r="12818" spans="5:5" x14ac:dyDescent="0.3">
      <c r="E12818"/>
    </row>
    <row r="12819" spans="5:5" x14ac:dyDescent="0.3">
      <c r="E12819"/>
    </row>
    <row r="12820" spans="5:5" x14ac:dyDescent="0.3">
      <c r="E12820"/>
    </row>
    <row r="12821" spans="5:5" x14ac:dyDescent="0.3">
      <c r="E12821"/>
    </row>
    <row r="12822" spans="5:5" x14ac:dyDescent="0.3">
      <c r="E12822"/>
    </row>
    <row r="12823" spans="5:5" x14ac:dyDescent="0.3">
      <c r="E12823"/>
    </row>
    <row r="12824" spans="5:5" x14ac:dyDescent="0.3">
      <c r="E12824"/>
    </row>
    <row r="12825" spans="5:5" x14ac:dyDescent="0.3">
      <c r="E12825"/>
    </row>
    <row r="12826" spans="5:5" x14ac:dyDescent="0.3">
      <c r="E12826"/>
    </row>
    <row r="12827" spans="5:5" x14ac:dyDescent="0.3">
      <c r="E12827"/>
    </row>
    <row r="12828" spans="5:5" x14ac:dyDescent="0.3">
      <c r="E12828"/>
    </row>
    <row r="12829" spans="5:5" x14ac:dyDescent="0.3">
      <c r="E12829"/>
    </row>
    <row r="12830" spans="5:5" x14ac:dyDescent="0.3">
      <c r="E12830"/>
    </row>
    <row r="12831" spans="5:5" x14ac:dyDescent="0.3">
      <c r="E12831"/>
    </row>
    <row r="12832" spans="5:5" x14ac:dyDescent="0.3">
      <c r="E12832"/>
    </row>
    <row r="12833" spans="5:5" x14ac:dyDescent="0.3">
      <c r="E12833"/>
    </row>
    <row r="12834" spans="5:5" x14ac:dyDescent="0.3">
      <c r="E12834"/>
    </row>
    <row r="12835" spans="5:5" x14ac:dyDescent="0.3">
      <c r="E12835"/>
    </row>
    <row r="12836" spans="5:5" x14ac:dyDescent="0.3">
      <c r="E12836"/>
    </row>
    <row r="12837" spans="5:5" x14ac:dyDescent="0.3">
      <c r="E12837"/>
    </row>
    <row r="12838" spans="5:5" x14ac:dyDescent="0.3">
      <c r="E12838"/>
    </row>
    <row r="12839" spans="5:5" x14ac:dyDescent="0.3">
      <c r="E12839"/>
    </row>
    <row r="12840" spans="5:5" x14ac:dyDescent="0.3">
      <c r="E12840"/>
    </row>
    <row r="12841" spans="5:5" x14ac:dyDescent="0.3">
      <c r="E12841"/>
    </row>
    <row r="12842" spans="5:5" x14ac:dyDescent="0.3">
      <c r="E12842"/>
    </row>
    <row r="12843" spans="5:5" x14ac:dyDescent="0.3">
      <c r="E12843"/>
    </row>
    <row r="12844" spans="5:5" x14ac:dyDescent="0.3">
      <c r="E12844"/>
    </row>
    <row r="12845" spans="5:5" x14ac:dyDescent="0.3">
      <c r="E12845"/>
    </row>
    <row r="12846" spans="5:5" x14ac:dyDescent="0.3">
      <c r="E12846"/>
    </row>
    <row r="12847" spans="5:5" x14ac:dyDescent="0.3">
      <c r="E12847"/>
    </row>
    <row r="12848" spans="5:5" x14ac:dyDescent="0.3">
      <c r="E12848"/>
    </row>
    <row r="12849" spans="5:5" x14ac:dyDescent="0.3">
      <c r="E12849"/>
    </row>
    <row r="12850" spans="5:5" x14ac:dyDescent="0.3">
      <c r="E12850"/>
    </row>
    <row r="12851" spans="5:5" x14ac:dyDescent="0.3">
      <c r="E12851"/>
    </row>
    <row r="12852" spans="5:5" x14ac:dyDescent="0.3">
      <c r="E12852"/>
    </row>
    <row r="12853" spans="5:5" x14ac:dyDescent="0.3">
      <c r="E12853"/>
    </row>
    <row r="12854" spans="5:5" x14ac:dyDescent="0.3">
      <c r="E12854"/>
    </row>
    <row r="12855" spans="5:5" x14ac:dyDescent="0.3">
      <c r="E12855"/>
    </row>
    <row r="12856" spans="5:5" x14ac:dyDescent="0.3">
      <c r="E12856"/>
    </row>
    <row r="12857" spans="5:5" x14ac:dyDescent="0.3">
      <c r="E12857"/>
    </row>
    <row r="12858" spans="5:5" x14ac:dyDescent="0.3">
      <c r="E12858"/>
    </row>
    <row r="12859" spans="5:5" x14ac:dyDescent="0.3">
      <c r="E12859"/>
    </row>
    <row r="12860" spans="5:5" x14ac:dyDescent="0.3">
      <c r="E12860"/>
    </row>
    <row r="12861" spans="5:5" x14ac:dyDescent="0.3">
      <c r="E12861"/>
    </row>
    <row r="12862" spans="5:5" x14ac:dyDescent="0.3">
      <c r="E12862"/>
    </row>
    <row r="12863" spans="5:5" x14ac:dyDescent="0.3">
      <c r="E12863"/>
    </row>
    <row r="12864" spans="5:5" x14ac:dyDescent="0.3">
      <c r="E12864"/>
    </row>
    <row r="12865" spans="5:5" x14ac:dyDescent="0.3">
      <c r="E12865"/>
    </row>
    <row r="12866" spans="5:5" x14ac:dyDescent="0.3">
      <c r="E12866"/>
    </row>
    <row r="12867" spans="5:5" x14ac:dyDescent="0.3">
      <c r="E12867"/>
    </row>
    <row r="12868" spans="5:5" x14ac:dyDescent="0.3">
      <c r="E12868"/>
    </row>
    <row r="12869" spans="5:5" x14ac:dyDescent="0.3">
      <c r="E12869"/>
    </row>
    <row r="12870" spans="5:5" x14ac:dyDescent="0.3">
      <c r="E12870"/>
    </row>
    <row r="12871" spans="5:5" x14ac:dyDescent="0.3">
      <c r="E12871"/>
    </row>
    <row r="12872" spans="5:5" x14ac:dyDescent="0.3">
      <c r="E12872"/>
    </row>
    <row r="12873" spans="5:5" x14ac:dyDescent="0.3">
      <c r="E12873"/>
    </row>
    <row r="12874" spans="5:5" x14ac:dyDescent="0.3">
      <c r="E12874"/>
    </row>
    <row r="12875" spans="5:5" x14ac:dyDescent="0.3">
      <c r="E12875"/>
    </row>
    <row r="12876" spans="5:5" x14ac:dyDescent="0.3">
      <c r="E12876"/>
    </row>
    <row r="12877" spans="5:5" x14ac:dyDescent="0.3">
      <c r="E12877"/>
    </row>
    <row r="12878" spans="5:5" x14ac:dyDescent="0.3">
      <c r="E12878"/>
    </row>
    <row r="12879" spans="5:5" x14ac:dyDescent="0.3">
      <c r="E12879"/>
    </row>
    <row r="12880" spans="5:5" x14ac:dyDescent="0.3">
      <c r="E12880"/>
    </row>
    <row r="12881" spans="5:5" x14ac:dyDescent="0.3">
      <c r="E12881"/>
    </row>
    <row r="12882" spans="5:5" x14ac:dyDescent="0.3">
      <c r="E12882"/>
    </row>
    <row r="12883" spans="5:5" x14ac:dyDescent="0.3">
      <c r="E12883"/>
    </row>
    <row r="12884" spans="5:5" x14ac:dyDescent="0.3">
      <c r="E12884"/>
    </row>
    <row r="12885" spans="5:5" x14ac:dyDescent="0.3">
      <c r="E12885"/>
    </row>
    <row r="12886" spans="5:5" x14ac:dyDescent="0.3">
      <c r="E12886"/>
    </row>
    <row r="12887" spans="5:5" x14ac:dyDescent="0.3">
      <c r="E12887"/>
    </row>
    <row r="12888" spans="5:5" x14ac:dyDescent="0.3">
      <c r="E12888"/>
    </row>
    <row r="12889" spans="5:5" x14ac:dyDescent="0.3">
      <c r="E12889"/>
    </row>
    <row r="12890" spans="5:5" x14ac:dyDescent="0.3">
      <c r="E12890"/>
    </row>
    <row r="12891" spans="5:5" x14ac:dyDescent="0.3">
      <c r="E12891"/>
    </row>
    <row r="12892" spans="5:5" x14ac:dyDescent="0.3">
      <c r="E12892"/>
    </row>
    <row r="12893" spans="5:5" x14ac:dyDescent="0.3">
      <c r="E12893"/>
    </row>
    <row r="12894" spans="5:5" x14ac:dyDescent="0.3">
      <c r="E12894"/>
    </row>
    <row r="12895" spans="5:5" x14ac:dyDescent="0.3">
      <c r="E12895"/>
    </row>
    <row r="12896" spans="5:5" x14ac:dyDescent="0.3">
      <c r="E12896"/>
    </row>
    <row r="12897" spans="5:5" x14ac:dyDescent="0.3">
      <c r="E12897"/>
    </row>
    <row r="12898" spans="5:5" x14ac:dyDescent="0.3">
      <c r="E12898"/>
    </row>
    <row r="12899" spans="5:5" x14ac:dyDescent="0.3">
      <c r="E12899"/>
    </row>
    <row r="12900" spans="5:5" x14ac:dyDescent="0.3">
      <c r="E12900"/>
    </row>
    <row r="12901" spans="5:5" x14ac:dyDescent="0.3">
      <c r="E12901"/>
    </row>
    <row r="12902" spans="5:5" x14ac:dyDescent="0.3">
      <c r="E12902"/>
    </row>
    <row r="12903" spans="5:5" x14ac:dyDescent="0.3">
      <c r="E12903"/>
    </row>
    <row r="12904" spans="5:5" x14ac:dyDescent="0.3">
      <c r="E12904"/>
    </row>
    <row r="12905" spans="5:5" x14ac:dyDescent="0.3">
      <c r="E12905"/>
    </row>
    <row r="12906" spans="5:5" x14ac:dyDescent="0.3">
      <c r="E12906"/>
    </row>
    <row r="12907" spans="5:5" x14ac:dyDescent="0.3">
      <c r="E12907"/>
    </row>
    <row r="12908" spans="5:5" x14ac:dyDescent="0.3">
      <c r="E12908"/>
    </row>
    <row r="12909" spans="5:5" x14ac:dyDescent="0.3">
      <c r="E12909"/>
    </row>
    <row r="12910" spans="5:5" x14ac:dyDescent="0.3">
      <c r="E12910"/>
    </row>
    <row r="12911" spans="5:5" x14ac:dyDescent="0.3">
      <c r="E12911"/>
    </row>
    <row r="12912" spans="5:5" x14ac:dyDescent="0.3">
      <c r="E12912"/>
    </row>
    <row r="12913" spans="5:5" x14ac:dyDescent="0.3">
      <c r="E12913"/>
    </row>
    <row r="12914" spans="5:5" x14ac:dyDescent="0.3">
      <c r="E12914"/>
    </row>
    <row r="12915" spans="5:5" x14ac:dyDescent="0.3">
      <c r="E12915"/>
    </row>
    <row r="12916" spans="5:5" x14ac:dyDescent="0.3">
      <c r="E12916"/>
    </row>
    <row r="12917" spans="5:5" x14ac:dyDescent="0.3">
      <c r="E12917"/>
    </row>
    <row r="12918" spans="5:5" x14ac:dyDescent="0.3">
      <c r="E12918"/>
    </row>
    <row r="12919" spans="5:5" x14ac:dyDescent="0.3">
      <c r="E12919"/>
    </row>
    <row r="12920" spans="5:5" x14ac:dyDescent="0.3">
      <c r="E12920"/>
    </row>
    <row r="12921" spans="5:5" x14ac:dyDescent="0.3">
      <c r="E12921"/>
    </row>
    <row r="12922" spans="5:5" x14ac:dyDescent="0.3">
      <c r="E12922"/>
    </row>
    <row r="12923" spans="5:5" x14ac:dyDescent="0.3">
      <c r="E12923"/>
    </row>
    <row r="12924" spans="5:5" x14ac:dyDescent="0.3">
      <c r="E12924"/>
    </row>
    <row r="12925" spans="5:5" x14ac:dyDescent="0.3">
      <c r="E12925"/>
    </row>
    <row r="12926" spans="5:5" x14ac:dyDescent="0.3">
      <c r="E12926"/>
    </row>
    <row r="12927" spans="5:5" x14ac:dyDescent="0.3">
      <c r="E12927"/>
    </row>
    <row r="12928" spans="5:5" x14ac:dyDescent="0.3">
      <c r="E12928"/>
    </row>
    <row r="12929" spans="5:5" x14ac:dyDescent="0.3">
      <c r="E12929"/>
    </row>
    <row r="12930" spans="5:5" x14ac:dyDescent="0.3">
      <c r="E12930"/>
    </row>
    <row r="12931" spans="5:5" x14ac:dyDescent="0.3">
      <c r="E12931"/>
    </row>
    <row r="12932" spans="5:5" x14ac:dyDescent="0.3">
      <c r="E12932"/>
    </row>
    <row r="12933" spans="5:5" x14ac:dyDescent="0.3">
      <c r="E12933"/>
    </row>
    <row r="12934" spans="5:5" x14ac:dyDescent="0.3">
      <c r="E12934"/>
    </row>
    <row r="12935" spans="5:5" x14ac:dyDescent="0.3">
      <c r="E12935"/>
    </row>
    <row r="12936" spans="5:5" x14ac:dyDescent="0.3">
      <c r="E12936"/>
    </row>
    <row r="12937" spans="5:5" x14ac:dyDescent="0.3">
      <c r="E12937"/>
    </row>
    <row r="12938" spans="5:5" x14ac:dyDescent="0.3">
      <c r="E12938"/>
    </row>
    <row r="12939" spans="5:5" x14ac:dyDescent="0.3">
      <c r="E12939"/>
    </row>
    <row r="12940" spans="5:5" x14ac:dyDescent="0.3">
      <c r="E12940"/>
    </row>
    <row r="12941" spans="5:5" x14ac:dyDescent="0.3">
      <c r="E12941"/>
    </row>
    <row r="12942" spans="5:5" x14ac:dyDescent="0.3">
      <c r="E12942"/>
    </row>
    <row r="12943" spans="5:5" x14ac:dyDescent="0.3">
      <c r="E12943"/>
    </row>
    <row r="12944" spans="5:5" x14ac:dyDescent="0.3">
      <c r="E12944"/>
    </row>
    <row r="12945" spans="5:5" x14ac:dyDescent="0.3">
      <c r="E12945"/>
    </row>
    <row r="12946" spans="5:5" x14ac:dyDescent="0.3">
      <c r="E12946"/>
    </row>
    <row r="12947" spans="5:5" x14ac:dyDescent="0.3">
      <c r="E12947"/>
    </row>
    <row r="12948" spans="5:5" x14ac:dyDescent="0.3">
      <c r="E12948"/>
    </row>
    <row r="12949" spans="5:5" x14ac:dyDescent="0.3">
      <c r="E12949"/>
    </row>
    <row r="12950" spans="5:5" x14ac:dyDescent="0.3">
      <c r="E12950"/>
    </row>
    <row r="12951" spans="5:5" x14ac:dyDescent="0.3">
      <c r="E12951"/>
    </row>
    <row r="12952" spans="5:5" x14ac:dyDescent="0.3">
      <c r="E12952"/>
    </row>
    <row r="12953" spans="5:5" x14ac:dyDescent="0.3">
      <c r="E12953"/>
    </row>
    <row r="12954" spans="5:5" x14ac:dyDescent="0.3">
      <c r="E12954"/>
    </row>
    <row r="12955" spans="5:5" x14ac:dyDescent="0.3">
      <c r="E12955"/>
    </row>
    <row r="12956" spans="5:5" x14ac:dyDescent="0.3">
      <c r="E12956"/>
    </row>
    <row r="12957" spans="5:5" x14ac:dyDescent="0.3">
      <c r="E12957"/>
    </row>
    <row r="12958" spans="5:5" x14ac:dyDescent="0.3">
      <c r="E12958"/>
    </row>
    <row r="12959" spans="5:5" x14ac:dyDescent="0.3">
      <c r="E12959"/>
    </row>
    <row r="12960" spans="5:5" x14ac:dyDescent="0.3">
      <c r="E12960"/>
    </row>
    <row r="12961" spans="5:5" x14ac:dyDescent="0.3">
      <c r="E12961"/>
    </row>
    <row r="12962" spans="5:5" x14ac:dyDescent="0.3">
      <c r="E12962"/>
    </row>
    <row r="12963" spans="5:5" x14ac:dyDescent="0.3">
      <c r="E12963"/>
    </row>
    <row r="12964" spans="5:5" x14ac:dyDescent="0.3">
      <c r="E12964"/>
    </row>
    <row r="12965" spans="5:5" x14ac:dyDescent="0.3">
      <c r="E12965"/>
    </row>
    <row r="12966" spans="5:5" x14ac:dyDescent="0.3">
      <c r="E12966"/>
    </row>
    <row r="12967" spans="5:5" x14ac:dyDescent="0.3">
      <c r="E12967"/>
    </row>
    <row r="12968" spans="5:5" x14ac:dyDescent="0.3">
      <c r="E12968"/>
    </row>
    <row r="12969" spans="5:5" x14ac:dyDescent="0.3">
      <c r="E12969"/>
    </row>
    <row r="12970" spans="5:5" x14ac:dyDescent="0.3">
      <c r="E12970"/>
    </row>
    <row r="12971" spans="5:5" x14ac:dyDescent="0.3">
      <c r="E12971"/>
    </row>
    <row r="12972" spans="5:5" x14ac:dyDescent="0.3">
      <c r="E12972"/>
    </row>
    <row r="12973" spans="5:5" x14ac:dyDescent="0.3">
      <c r="E12973"/>
    </row>
    <row r="12974" spans="5:5" x14ac:dyDescent="0.3">
      <c r="E12974"/>
    </row>
    <row r="12975" spans="5:5" x14ac:dyDescent="0.3">
      <c r="E12975"/>
    </row>
    <row r="12976" spans="5:5" x14ac:dyDescent="0.3">
      <c r="E12976"/>
    </row>
    <row r="12977" spans="5:5" x14ac:dyDescent="0.3">
      <c r="E12977"/>
    </row>
    <row r="12978" spans="5:5" x14ac:dyDescent="0.3">
      <c r="E12978"/>
    </row>
    <row r="12979" spans="5:5" x14ac:dyDescent="0.3">
      <c r="E12979"/>
    </row>
    <row r="12980" spans="5:5" x14ac:dyDescent="0.3">
      <c r="E12980"/>
    </row>
    <row r="12981" spans="5:5" x14ac:dyDescent="0.3">
      <c r="E12981"/>
    </row>
    <row r="12982" spans="5:5" x14ac:dyDescent="0.3">
      <c r="E12982"/>
    </row>
    <row r="12983" spans="5:5" x14ac:dyDescent="0.3">
      <c r="E12983"/>
    </row>
    <row r="12984" spans="5:5" x14ac:dyDescent="0.3">
      <c r="E12984"/>
    </row>
    <row r="12985" spans="5:5" x14ac:dyDescent="0.3">
      <c r="E12985"/>
    </row>
    <row r="12986" spans="5:5" x14ac:dyDescent="0.3">
      <c r="E12986"/>
    </row>
    <row r="12987" spans="5:5" x14ac:dyDescent="0.3">
      <c r="E12987"/>
    </row>
    <row r="12988" spans="5:5" x14ac:dyDescent="0.3">
      <c r="E12988"/>
    </row>
    <row r="12989" spans="5:5" x14ac:dyDescent="0.3">
      <c r="E12989"/>
    </row>
    <row r="12990" spans="5:5" x14ac:dyDescent="0.3">
      <c r="E12990"/>
    </row>
    <row r="12991" spans="5:5" x14ac:dyDescent="0.3">
      <c r="E12991"/>
    </row>
    <row r="12992" spans="5:5" x14ac:dyDescent="0.3">
      <c r="E12992"/>
    </row>
    <row r="12993" spans="5:5" x14ac:dyDescent="0.3">
      <c r="E12993"/>
    </row>
    <row r="12994" spans="5:5" x14ac:dyDescent="0.3">
      <c r="E12994"/>
    </row>
    <row r="12995" spans="5:5" x14ac:dyDescent="0.3">
      <c r="E12995"/>
    </row>
    <row r="12996" spans="5:5" x14ac:dyDescent="0.3">
      <c r="E12996"/>
    </row>
    <row r="12997" spans="5:5" x14ac:dyDescent="0.3">
      <c r="E12997"/>
    </row>
    <row r="12998" spans="5:5" x14ac:dyDescent="0.3">
      <c r="E12998"/>
    </row>
    <row r="12999" spans="5:5" x14ac:dyDescent="0.3">
      <c r="E12999"/>
    </row>
    <row r="13000" spans="5:5" x14ac:dyDescent="0.3">
      <c r="E13000"/>
    </row>
    <row r="13001" spans="5:5" x14ac:dyDescent="0.3">
      <c r="E13001"/>
    </row>
    <row r="13002" spans="5:5" x14ac:dyDescent="0.3">
      <c r="E13002"/>
    </row>
    <row r="13003" spans="5:5" x14ac:dyDescent="0.3">
      <c r="E13003"/>
    </row>
    <row r="13004" spans="5:5" x14ac:dyDescent="0.3">
      <c r="E13004"/>
    </row>
    <row r="13005" spans="5:5" x14ac:dyDescent="0.3">
      <c r="E13005"/>
    </row>
    <row r="13006" spans="5:5" x14ac:dyDescent="0.3">
      <c r="E13006"/>
    </row>
    <row r="13007" spans="5:5" x14ac:dyDescent="0.3">
      <c r="E13007"/>
    </row>
    <row r="13008" spans="5:5" x14ac:dyDescent="0.3">
      <c r="E13008"/>
    </row>
    <row r="13009" spans="5:5" x14ac:dyDescent="0.3">
      <c r="E13009"/>
    </row>
    <row r="13010" spans="5:5" x14ac:dyDescent="0.3">
      <c r="E13010"/>
    </row>
    <row r="13011" spans="5:5" x14ac:dyDescent="0.3">
      <c r="E13011"/>
    </row>
    <row r="13012" spans="5:5" x14ac:dyDescent="0.3">
      <c r="E13012"/>
    </row>
    <row r="13013" spans="5:5" x14ac:dyDescent="0.3">
      <c r="E13013"/>
    </row>
    <row r="13014" spans="5:5" x14ac:dyDescent="0.3">
      <c r="E13014"/>
    </row>
    <row r="13015" spans="5:5" x14ac:dyDescent="0.3">
      <c r="E13015"/>
    </row>
    <row r="13016" spans="5:5" x14ac:dyDescent="0.3">
      <c r="E13016"/>
    </row>
    <row r="13017" spans="5:5" x14ac:dyDescent="0.3">
      <c r="E13017"/>
    </row>
    <row r="13018" spans="5:5" x14ac:dyDescent="0.3">
      <c r="E13018"/>
    </row>
    <row r="13019" spans="5:5" x14ac:dyDescent="0.3">
      <c r="E13019"/>
    </row>
    <row r="13020" spans="5:5" x14ac:dyDescent="0.3">
      <c r="E13020"/>
    </row>
    <row r="13021" spans="5:5" x14ac:dyDescent="0.3">
      <c r="E13021"/>
    </row>
    <row r="13022" spans="5:5" x14ac:dyDescent="0.3">
      <c r="E13022"/>
    </row>
    <row r="13023" spans="5:5" x14ac:dyDescent="0.3">
      <c r="E13023"/>
    </row>
    <row r="13024" spans="5:5" x14ac:dyDescent="0.3">
      <c r="E13024"/>
    </row>
    <row r="13025" spans="5:5" x14ac:dyDescent="0.3">
      <c r="E13025"/>
    </row>
    <row r="13026" spans="5:5" x14ac:dyDescent="0.3">
      <c r="E13026"/>
    </row>
    <row r="13027" spans="5:5" x14ac:dyDescent="0.3">
      <c r="E13027"/>
    </row>
    <row r="13028" spans="5:5" x14ac:dyDescent="0.3">
      <c r="E13028"/>
    </row>
    <row r="13029" spans="5:5" x14ac:dyDescent="0.3">
      <c r="E13029"/>
    </row>
    <row r="13030" spans="5:5" x14ac:dyDescent="0.3">
      <c r="E13030"/>
    </row>
    <row r="13031" spans="5:5" x14ac:dyDescent="0.3">
      <c r="E13031"/>
    </row>
    <row r="13032" spans="5:5" x14ac:dyDescent="0.3">
      <c r="E13032"/>
    </row>
    <row r="13033" spans="5:5" x14ac:dyDescent="0.3">
      <c r="E13033"/>
    </row>
    <row r="13034" spans="5:5" x14ac:dyDescent="0.3">
      <c r="E13034"/>
    </row>
    <row r="13035" spans="5:5" x14ac:dyDescent="0.3">
      <c r="E13035"/>
    </row>
    <row r="13036" spans="5:5" x14ac:dyDescent="0.3">
      <c r="E13036"/>
    </row>
    <row r="13037" spans="5:5" x14ac:dyDescent="0.3">
      <c r="E13037"/>
    </row>
    <row r="13038" spans="5:5" x14ac:dyDescent="0.3">
      <c r="E13038"/>
    </row>
    <row r="13039" spans="5:5" x14ac:dyDescent="0.3">
      <c r="E13039"/>
    </row>
    <row r="13040" spans="5:5" x14ac:dyDescent="0.3">
      <c r="E13040"/>
    </row>
    <row r="13041" spans="5:5" x14ac:dyDescent="0.3">
      <c r="E13041"/>
    </row>
    <row r="13042" spans="5:5" x14ac:dyDescent="0.3">
      <c r="E13042"/>
    </row>
    <row r="13043" spans="5:5" x14ac:dyDescent="0.3">
      <c r="E13043"/>
    </row>
    <row r="13044" spans="5:5" x14ac:dyDescent="0.3">
      <c r="E13044"/>
    </row>
    <row r="13045" spans="5:5" x14ac:dyDescent="0.3">
      <c r="E13045"/>
    </row>
    <row r="13046" spans="5:5" x14ac:dyDescent="0.3">
      <c r="E13046"/>
    </row>
    <row r="13047" spans="5:5" x14ac:dyDescent="0.3">
      <c r="E13047"/>
    </row>
    <row r="13048" spans="5:5" x14ac:dyDescent="0.3">
      <c r="E13048"/>
    </row>
    <row r="13049" spans="5:5" x14ac:dyDescent="0.3">
      <c r="E13049"/>
    </row>
    <row r="13050" spans="5:5" x14ac:dyDescent="0.3">
      <c r="E13050"/>
    </row>
    <row r="13051" spans="5:5" x14ac:dyDescent="0.3">
      <c r="E13051"/>
    </row>
    <row r="13052" spans="5:5" x14ac:dyDescent="0.3">
      <c r="E13052"/>
    </row>
    <row r="13053" spans="5:5" x14ac:dyDescent="0.3">
      <c r="E13053"/>
    </row>
    <row r="13054" spans="5:5" x14ac:dyDescent="0.3">
      <c r="E13054"/>
    </row>
    <row r="13055" spans="5:5" x14ac:dyDescent="0.3">
      <c r="E13055"/>
    </row>
    <row r="13056" spans="5:5" x14ac:dyDescent="0.3">
      <c r="E13056"/>
    </row>
    <row r="13057" spans="5:5" x14ac:dyDescent="0.3">
      <c r="E13057"/>
    </row>
    <row r="13058" spans="5:5" x14ac:dyDescent="0.3">
      <c r="E13058"/>
    </row>
    <row r="13059" spans="5:5" x14ac:dyDescent="0.3">
      <c r="E13059"/>
    </row>
    <row r="13060" spans="5:5" x14ac:dyDescent="0.3">
      <c r="E13060"/>
    </row>
    <row r="13061" spans="5:5" x14ac:dyDescent="0.3">
      <c r="E13061"/>
    </row>
    <row r="13062" spans="5:5" x14ac:dyDescent="0.3">
      <c r="E13062"/>
    </row>
    <row r="13063" spans="5:5" x14ac:dyDescent="0.3">
      <c r="E13063"/>
    </row>
    <row r="13064" spans="5:5" x14ac:dyDescent="0.3">
      <c r="E13064"/>
    </row>
    <row r="13065" spans="5:5" x14ac:dyDescent="0.3">
      <c r="E13065"/>
    </row>
    <row r="13066" spans="5:5" x14ac:dyDescent="0.3">
      <c r="E13066"/>
    </row>
    <row r="13067" spans="5:5" x14ac:dyDescent="0.3">
      <c r="E13067"/>
    </row>
    <row r="13068" spans="5:5" x14ac:dyDescent="0.3">
      <c r="E13068"/>
    </row>
    <row r="13069" spans="5:5" x14ac:dyDescent="0.3">
      <c r="E13069"/>
    </row>
    <row r="13070" spans="5:5" x14ac:dyDescent="0.3">
      <c r="E13070"/>
    </row>
    <row r="13071" spans="5:5" x14ac:dyDescent="0.3">
      <c r="E13071"/>
    </row>
    <row r="13072" spans="5:5" x14ac:dyDescent="0.3">
      <c r="E13072"/>
    </row>
    <row r="13073" spans="5:5" x14ac:dyDescent="0.3">
      <c r="E13073"/>
    </row>
    <row r="13074" spans="5:5" x14ac:dyDescent="0.3">
      <c r="E13074"/>
    </row>
    <row r="13075" spans="5:5" x14ac:dyDescent="0.3">
      <c r="E13075"/>
    </row>
    <row r="13076" spans="5:5" x14ac:dyDescent="0.3">
      <c r="E13076"/>
    </row>
    <row r="13077" spans="5:5" x14ac:dyDescent="0.3">
      <c r="E13077"/>
    </row>
    <row r="13078" spans="5:5" x14ac:dyDescent="0.3">
      <c r="E13078"/>
    </row>
    <row r="13079" spans="5:5" x14ac:dyDescent="0.3">
      <c r="E13079"/>
    </row>
    <row r="13080" spans="5:5" x14ac:dyDescent="0.3">
      <c r="E13080"/>
    </row>
    <row r="13081" spans="5:5" x14ac:dyDescent="0.3">
      <c r="E13081"/>
    </row>
    <row r="13082" spans="5:5" x14ac:dyDescent="0.3">
      <c r="E13082"/>
    </row>
    <row r="13083" spans="5:5" x14ac:dyDescent="0.3">
      <c r="E13083"/>
    </row>
    <row r="13084" spans="5:5" x14ac:dyDescent="0.3">
      <c r="E13084"/>
    </row>
    <row r="13085" spans="5:5" x14ac:dyDescent="0.3">
      <c r="E13085"/>
    </row>
    <row r="13086" spans="5:5" x14ac:dyDescent="0.3">
      <c r="E13086"/>
    </row>
    <row r="13087" spans="5:5" x14ac:dyDescent="0.3">
      <c r="E13087"/>
    </row>
    <row r="13088" spans="5:5" x14ac:dyDescent="0.3">
      <c r="E13088"/>
    </row>
    <row r="13089" spans="5:5" x14ac:dyDescent="0.3">
      <c r="E13089"/>
    </row>
    <row r="13090" spans="5:5" x14ac:dyDescent="0.3">
      <c r="E13090"/>
    </row>
    <row r="13091" spans="5:5" x14ac:dyDescent="0.3">
      <c r="E13091"/>
    </row>
    <row r="13092" spans="5:5" x14ac:dyDescent="0.3">
      <c r="E13092"/>
    </row>
    <row r="13093" spans="5:5" x14ac:dyDescent="0.3">
      <c r="E13093"/>
    </row>
    <row r="13094" spans="5:5" x14ac:dyDescent="0.3">
      <c r="E13094"/>
    </row>
    <row r="13095" spans="5:5" x14ac:dyDescent="0.3">
      <c r="E13095"/>
    </row>
    <row r="13096" spans="5:5" x14ac:dyDescent="0.3">
      <c r="E13096"/>
    </row>
    <row r="13097" spans="5:5" x14ac:dyDescent="0.3">
      <c r="E13097"/>
    </row>
    <row r="13098" spans="5:5" x14ac:dyDescent="0.3">
      <c r="E13098"/>
    </row>
    <row r="13099" spans="5:5" x14ac:dyDescent="0.3">
      <c r="E13099"/>
    </row>
    <row r="13100" spans="5:5" x14ac:dyDescent="0.3">
      <c r="E13100"/>
    </row>
    <row r="13101" spans="5:5" x14ac:dyDescent="0.3">
      <c r="E13101"/>
    </row>
    <row r="13102" spans="5:5" x14ac:dyDescent="0.3">
      <c r="E13102"/>
    </row>
    <row r="13103" spans="5:5" x14ac:dyDescent="0.3">
      <c r="E13103"/>
    </row>
    <row r="13104" spans="5:5" x14ac:dyDescent="0.3">
      <c r="E13104"/>
    </row>
    <row r="13105" spans="5:5" x14ac:dyDescent="0.3">
      <c r="E13105"/>
    </row>
    <row r="13106" spans="5:5" x14ac:dyDescent="0.3">
      <c r="E13106"/>
    </row>
    <row r="13107" spans="5:5" x14ac:dyDescent="0.3">
      <c r="E13107"/>
    </row>
    <row r="13108" spans="5:5" x14ac:dyDescent="0.3">
      <c r="E13108"/>
    </row>
    <row r="13109" spans="5:5" x14ac:dyDescent="0.3">
      <c r="E13109"/>
    </row>
    <row r="13110" spans="5:5" x14ac:dyDescent="0.3">
      <c r="E13110"/>
    </row>
    <row r="13111" spans="5:5" x14ac:dyDescent="0.3">
      <c r="E13111"/>
    </row>
    <row r="13112" spans="5:5" x14ac:dyDescent="0.3">
      <c r="E13112"/>
    </row>
    <row r="13113" spans="5:5" x14ac:dyDescent="0.3">
      <c r="E13113"/>
    </row>
    <row r="13114" spans="5:5" x14ac:dyDescent="0.3">
      <c r="E13114"/>
    </row>
    <row r="13115" spans="5:5" x14ac:dyDescent="0.3">
      <c r="E13115"/>
    </row>
    <row r="13116" spans="5:5" x14ac:dyDescent="0.3">
      <c r="E13116"/>
    </row>
    <row r="13117" spans="5:5" x14ac:dyDescent="0.3">
      <c r="E13117"/>
    </row>
    <row r="13118" spans="5:5" x14ac:dyDescent="0.3">
      <c r="E13118"/>
    </row>
    <row r="13119" spans="5:5" x14ac:dyDescent="0.3">
      <c r="E13119"/>
    </row>
    <row r="13120" spans="5:5" x14ac:dyDescent="0.3">
      <c r="E13120"/>
    </row>
    <row r="13121" spans="5:5" x14ac:dyDescent="0.3">
      <c r="E13121"/>
    </row>
    <row r="13122" spans="5:5" x14ac:dyDescent="0.3">
      <c r="E13122"/>
    </row>
    <row r="13123" spans="5:5" x14ac:dyDescent="0.3">
      <c r="E13123"/>
    </row>
    <row r="13124" spans="5:5" x14ac:dyDescent="0.3">
      <c r="E13124"/>
    </row>
    <row r="13125" spans="5:5" x14ac:dyDescent="0.3">
      <c r="E13125"/>
    </row>
    <row r="13126" spans="5:5" x14ac:dyDescent="0.3">
      <c r="E13126"/>
    </row>
    <row r="13127" spans="5:5" x14ac:dyDescent="0.3">
      <c r="E13127"/>
    </row>
    <row r="13128" spans="5:5" x14ac:dyDescent="0.3">
      <c r="E13128"/>
    </row>
    <row r="13129" spans="5:5" x14ac:dyDescent="0.3">
      <c r="E13129"/>
    </row>
    <row r="13130" spans="5:5" x14ac:dyDescent="0.3">
      <c r="E13130"/>
    </row>
    <row r="13131" spans="5:5" x14ac:dyDescent="0.3">
      <c r="E13131"/>
    </row>
    <row r="13132" spans="5:5" x14ac:dyDescent="0.3">
      <c r="E13132"/>
    </row>
    <row r="13133" spans="5:5" x14ac:dyDescent="0.3">
      <c r="E13133"/>
    </row>
    <row r="13134" spans="5:5" x14ac:dyDescent="0.3">
      <c r="E13134"/>
    </row>
    <row r="13135" spans="5:5" x14ac:dyDescent="0.3">
      <c r="E13135"/>
    </row>
    <row r="13136" spans="5:5" x14ac:dyDescent="0.3">
      <c r="E13136"/>
    </row>
    <row r="13137" spans="5:5" x14ac:dyDescent="0.3">
      <c r="E13137"/>
    </row>
    <row r="13138" spans="5:5" x14ac:dyDescent="0.3">
      <c r="E13138"/>
    </row>
    <row r="13139" spans="5:5" x14ac:dyDescent="0.3">
      <c r="E13139"/>
    </row>
    <row r="13140" spans="5:5" x14ac:dyDescent="0.3">
      <c r="E13140"/>
    </row>
    <row r="13141" spans="5:5" x14ac:dyDescent="0.3">
      <c r="E13141"/>
    </row>
    <row r="13142" spans="5:5" x14ac:dyDescent="0.3">
      <c r="E13142"/>
    </row>
    <row r="13143" spans="5:5" x14ac:dyDescent="0.3">
      <c r="E13143"/>
    </row>
    <row r="13144" spans="5:5" x14ac:dyDescent="0.3">
      <c r="E13144"/>
    </row>
    <row r="13145" spans="5:5" x14ac:dyDescent="0.3">
      <c r="E13145"/>
    </row>
    <row r="13146" spans="5:5" x14ac:dyDescent="0.3">
      <c r="E13146"/>
    </row>
    <row r="13147" spans="5:5" x14ac:dyDescent="0.3">
      <c r="E13147"/>
    </row>
    <row r="13148" spans="5:5" x14ac:dyDescent="0.3">
      <c r="E13148"/>
    </row>
    <row r="13149" spans="5:5" x14ac:dyDescent="0.3">
      <c r="E13149"/>
    </row>
    <row r="13150" spans="5:5" x14ac:dyDescent="0.3">
      <c r="E13150"/>
    </row>
    <row r="13151" spans="5:5" x14ac:dyDescent="0.3">
      <c r="E13151"/>
    </row>
    <row r="13152" spans="5:5" x14ac:dyDescent="0.3">
      <c r="E13152"/>
    </row>
    <row r="13153" spans="5:5" x14ac:dyDescent="0.3">
      <c r="E13153"/>
    </row>
    <row r="13154" spans="5:5" x14ac:dyDescent="0.3">
      <c r="E13154"/>
    </row>
    <row r="13155" spans="5:5" x14ac:dyDescent="0.3">
      <c r="E13155"/>
    </row>
    <row r="13156" spans="5:5" x14ac:dyDescent="0.3">
      <c r="E13156"/>
    </row>
    <row r="13157" spans="5:5" x14ac:dyDescent="0.3">
      <c r="E13157"/>
    </row>
    <row r="13158" spans="5:5" x14ac:dyDescent="0.3">
      <c r="E13158"/>
    </row>
    <row r="13159" spans="5:5" x14ac:dyDescent="0.3">
      <c r="E13159"/>
    </row>
    <row r="13160" spans="5:5" x14ac:dyDescent="0.3">
      <c r="E13160"/>
    </row>
    <row r="13161" spans="5:5" x14ac:dyDescent="0.3">
      <c r="E13161"/>
    </row>
    <row r="13162" spans="5:5" x14ac:dyDescent="0.3">
      <c r="E13162"/>
    </row>
    <row r="13163" spans="5:5" x14ac:dyDescent="0.3">
      <c r="E13163"/>
    </row>
    <row r="13164" spans="5:5" x14ac:dyDescent="0.3">
      <c r="E13164"/>
    </row>
    <row r="13165" spans="5:5" x14ac:dyDescent="0.3">
      <c r="E13165"/>
    </row>
    <row r="13166" spans="5:5" x14ac:dyDescent="0.3">
      <c r="E13166"/>
    </row>
    <row r="13167" spans="5:5" x14ac:dyDescent="0.3">
      <c r="E13167"/>
    </row>
    <row r="13168" spans="5:5" x14ac:dyDescent="0.3">
      <c r="E13168"/>
    </row>
    <row r="13169" spans="5:5" x14ac:dyDescent="0.3">
      <c r="E13169"/>
    </row>
    <row r="13170" spans="5:5" x14ac:dyDescent="0.3">
      <c r="E13170"/>
    </row>
    <row r="13171" spans="5:5" x14ac:dyDescent="0.3">
      <c r="E13171"/>
    </row>
    <row r="13172" spans="5:5" x14ac:dyDescent="0.3">
      <c r="E13172"/>
    </row>
    <row r="13173" spans="5:5" x14ac:dyDescent="0.3">
      <c r="E13173"/>
    </row>
    <row r="13174" spans="5:5" x14ac:dyDescent="0.3">
      <c r="E13174"/>
    </row>
    <row r="13175" spans="5:5" x14ac:dyDescent="0.3">
      <c r="E13175"/>
    </row>
    <row r="13176" spans="5:5" x14ac:dyDescent="0.3">
      <c r="E13176"/>
    </row>
    <row r="13177" spans="5:5" x14ac:dyDescent="0.3">
      <c r="E13177"/>
    </row>
    <row r="13178" spans="5:5" x14ac:dyDescent="0.3">
      <c r="E13178"/>
    </row>
    <row r="13179" spans="5:5" x14ac:dyDescent="0.3">
      <c r="E13179"/>
    </row>
    <row r="13180" spans="5:5" x14ac:dyDescent="0.3">
      <c r="E13180"/>
    </row>
    <row r="13181" spans="5:5" x14ac:dyDescent="0.3">
      <c r="E13181"/>
    </row>
    <row r="13182" spans="5:5" x14ac:dyDescent="0.3">
      <c r="E13182"/>
    </row>
    <row r="13183" spans="5:5" x14ac:dyDescent="0.3">
      <c r="E13183"/>
    </row>
    <row r="13184" spans="5:5" x14ac:dyDescent="0.3">
      <c r="E13184"/>
    </row>
    <row r="13185" spans="5:5" x14ac:dyDescent="0.3">
      <c r="E13185"/>
    </row>
    <row r="13186" spans="5:5" x14ac:dyDescent="0.3">
      <c r="E13186"/>
    </row>
    <row r="13187" spans="5:5" x14ac:dyDescent="0.3">
      <c r="E13187"/>
    </row>
    <row r="13188" spans="5:5" x14ac:dyDescent="0.3">
      <c r="E13188"/>
    </row>
    <row r="13189" spans="5:5" x14ac:dyDescent="0.3">
      <c r="E13189"/>
    </row>
    <row r="13190" spans="5:5" x14ac:dyDescent="0.3">
      <c r="E13190"/>
    </row>
    <row r="13191" spans="5:5" x14ac:dyDescent="0.3">
      <c r="E13191"/>
    </row>
    <row r="13192" spans="5:5" x14ac:dyDescent="0.3">
      <c r="E13192"/>
    </row>
    <row r="13193" spans="5:5" x14ac:dyDescent="0.3">
      <c r="E13193"/>
    </row>
    <row r="13194" spans="5:5" x14ac:dyDescent="0.3">
      <c r="E13194"/>
    </row>
    <row r="13195" spans="5:5" x14ac:dyDescent="0.3">
      <c r="E13195"/>
    </row>
    <row r="13196" spans="5:5" x14ac:dyDescent="0.3">
      <c r="E13196"/>
    </row>
    <row r="13197" spans="5:5" x14ac:dyDescent="0.3">
      <c r="E13197"/>
    </row>
    <row r="13198" spans="5:5" x14ac:dyDescent="0.3">
      <c r="E13198"/>
    </row>
    <row r="13199" spans="5:5" x14ac:dyDescent="0.3">
      <c r="E13199"/>
    </row>
    <row r="13200" spans="5:5" x14ac:dyDescent="0.3">
      <c r="E13200"/>
    </row>
    <row r="13201" spans="5:5" x14ac:dyDescent="0.3">
      <c r="E13201"/>
    </row>
    <row r="13202" spans="5:5" x14ac:dyDescent="0.3">
      <c r="E13202"/>
    </row>
    <row r="13203" spans="5:5" x14ac:dyDescent="0.3">
      <c r="E13203"/>
    </row>
    <row r="13204" spans="5:5" x14ac:dyDescent="0.3">
      <c r="E13204"/>
    </row>
    <row r="13205" spans="5:5" x14ac:dyDescent="0.3">
      <c r="E13205"/>
    </row>
    <row r="13206" spans="5:5" x14ac:dyDescent="0.3">
      <c r="E13206"/>
    </row>
    <row r="13207" spans="5:5" x14ac:dyDescent="0.3">
      <c r="E13207"/>
    </row>
    <row r="13208" spans="5:5" x14ac:dyDescent="0.3">
      <c r="E13208"/>
    </row>
    <row r="13209" spans="5:5" x14ac:dyDescent="0.3">
      <c r="E13209"/>
    </row>
    <row r="13210" spans="5:5" x14ac:dyDescent="0.3">
      <c r="E13210"/>
    </row>
    <row r="13211" spans="5:5" x14ac:dyDescent="0.3">
      <c r="E13211"/>
    </row>
    <row r="13212" spans="5:5" x14ac:dyDescent="0.3">
      <c r="E13212"/>
    </row>
    <row r="13213" spans="5:5" x14ac:dyDescent="0.3">
      <c r="E13213"/>
    </row>
    <row r="13214" spans="5:5" x14ac:dyDescent="0.3">
      <c r="E13214"/>
    </row>
    <row r="13215" spans="5:5" x14ac:dyDescent="0.3">
      <c r="E13215"/>
    </row>
    <row r="13216" spans="5:5" x14ac:dyDescent="0.3">
      <c r="E13216"/>
    </row>
    <row r="13217" spans="5:5" x14ac:dyDescent="0.3">
      <c r="E13217"/>
    </row>
    <row r="13218" spans="5:5" x14ac:dyDescent="0.3">
      <c r="E13218"/>
    </row>
    <row r="13219" spans="5:5" x14ac:dyDescent="0.3">
      <c r="E13219"/>
    </row>
    <row r="13220" spans="5:5" x14ac:dyDescent="0.3">
      <c r="E13220"/>
    </row>
    <row r="13221" spans="5:5" x14ac:dyDescent="0.3">
      <c r="E13221"/>
    </row>
    <row r="13222" spans="5:5" x14ac:dyDescent="0.3">
      <c r="E13222"/>
    </row>
    <row r="13223" spans="5:5" x14ac:dyDescent="0.3">
      <c r="E13223"/>
    </row>
    <row r="13224" spans="5:5" x14ac:dyDescent="0.3">
      <c r="E13224"/>
    </row>
    <row r="13225" spans="5:5" x14ac:dyDescent="0.3">
      <c r="E13225"/>
    </row>
    <row r="13226" spans="5:5" x14ac:dyDescent="0.3">
      <c r="E13226"/>
    </row>
    <row r="13227" spans="5:5" x14ac:dyDescent="0.3">
      <c r="E13227"/>
    </row>
    <row r="13228" spans="5:5" x14ac:dyDescent="0.3">
      <c r="E13228"/>
    </row>
    <row r="13229" spans="5:5" x14ac:dyDescent="0.3">
      <c r="E13229"/>
    </row>
    <row r="13230" spans="5:5" x14ac:dyDescent="0.3">
      <c r="E13230"/>
    </row>
    <row r="13231" spans="5:5" x14ac:dyDescent="0.3">
      <c r="E13231"/>
    </row>
    <row r="13232" spans="5:5" x14ac:dyDescent="0.3">
      <c r="E13232"/>
    </row>
    <row r="13233" spans="5:5" x14ac:dyDescent="0.3">
      <c r="E13233"/>
    </row>
    <row r="13234" spans="5:5" x14ac:dyDescent="0.3">
      <c r="E13234"/>
    </row>
    <row r="13235" spans="5:5" x14ac:dyDescent="0.3">
      <c r="E13235"/>
    </row>
    <row r="13236" spans="5:5" x14ac:dyDescent="0.3">
      <c r="E13236"/>
    </row>
    <row r="13237" spans="5:5" x14ac:dyDescent="0.3">
      <c r="E13237"/>
    </row>
    <row r="13238" spans="5:5" x14ac:dyDescent="0.3">
      <c r="E13238"/>
    </row>
    <row r="13239" spans="5:5" x14ac:dyDescent="0.3">
      <c r="E13239"/>
    </row>
    <row r="13240" spans="5:5" x14ac:dyDescent="0.3">
      <c r="E13240"/>
    </row>
    <row r="13241" spans="5:5" x14ac:dyDescent="0.3">
      <c r="E13241"/>
    </row>
    <row r="13242" spans="5:5" x14ac:dyDescent="0.3">
      <c r="E13242"/>
    </row>
    <row r="13243" spans="5:5" x14ac:dyDescent="0.3">
      <c r="E13243"/>
    </row>
    <row r="13244" spans="5:5" x14ac:dyDescent="0.3">
      <c r="E13244"/>
    </row>
    <row r="13245" spans="5:5" x14ac:dyDescent="0.3">
      <c r="E13245"/>
    </row>
    <row r="13246" spans="5:5" x14ac:dyDescent="0.3">
      <c r="E13246"/>
    </row>
    <row r="13247" spans="5:5" x14ac:dyDescent="0.3">
      <c r="E13247"/>
    </row>
    <row r="13248" spans="5:5" x14ac:dyDescent="0.3">
      <c r="E13248"/>
    </row>
    <row r="13249" spans="5:5" x14ac:dyDescent="0.3">
      <c r="E13249"/>
    </row>
    <row r="13250" spans="5:5" x14ac:dyDescent="0.3">
      <c r="E13250"/>
    </row>
    <row r="13251" spans="5:5" x14ac:dyDescent="0.3">
      <c r="E13251"/>
    </row>
    <row r="13252" spans="5:5" x14ac:dyDescent="0.3">
      <c r="E13252"/>
    </row>
    <row r="13253" spans="5:5" x14ac:dyDescent="0.3">
      <c r="E13253"/>
    </row>
    <row r="13254" spans="5:5" x14ac:dyDescent="0.3">
      <c r="E13254"/>
    </row>
    <row r="13255" spans="5:5" x14ac:dyDescent="0.3">
      <c r="E13255"/>
    </row>
    <row r="13256" spans="5:5" x14ac:dyDescent="0.3">
      <c r="E13256"/>
    </row>
    <row r="13257" spans="5:5" x14ac:dyDescent="0.3">
      <c r="E13257"/>
    </row>
    <row r="13258" spans="5:5" x14ac:dyDescent="0.3">
      <c r="E13258"/>
    </row>
    <row r="13259" spans="5:5" x14ac:dyDescent="0.3">
      <c r="E13259"/>
    </row>
    <row r="13260" spans="5:5" x14ac:dyDescent="0.3">
      <c r="E13260"/>
    </row>
    <row r="13261" spans="5:5" x14ac:dyDescent="0.3">
      <c r="E13261"/>
    </row>
    <row r="13262" spans="5:5" x14ac:dyDescent="0.3">
      <c r="E13262"/>
    </row>
    <row r="13263" spans="5:5" x14ac:dyDescent="0.3">
      <c r="E13263"/>
    </row>
    <row r="13264" spans="5:5" x14ac:dyDescent="0.3">
      <c r="E13264"/>
    </row>
    <row r="13265" spans="5:5" x14ac:dyDescent="0.3">
      <c r="E13265"/>
    </row>
    <row r="13266" spans="5:5" x14ac:dyDescent="0.3">
      <c r="E13266"/>
    </row>
    <row r="13267" spans="5:5" x14ac:dyDescent="0.3">
      <c r="E13267"/>
    </row>
    <row r="13268" spans="5:5" x14ac:dyDescent="0.3">
      <c r="E13268"/>
    </row>
    <row r="13269" spans="5:5" x14ac:dyDescent="0.3">
      <c r="E13269"/>
    </row>
    <row r="13270" spans="5:5" x14ac:dyDescent="0.3">
      <c r="E13270"/>
    </row>
    <row r="13271" spans="5:5" x14ac:dyDescent="0.3">
      <c r="E13271"/>
    </row>
    <row r="13272" spans="5:5" x14ac:dyDescent="0.3">
      <c r="E13272"/>
    </row>
    <row r="13273" spans="5:5" x14ac:dyDescent="0.3">
      <c r="E13273"/>
    </row>
    <row r="13274" spans="5:5" x14ac:dyDescent="0.3">
      <c r="E13274"/>
    </row>
    <row r="13275" spans="5:5" x14ac:dyDescent="0.3">
      <c r="E13275"/>
    </row>
    <row r="13276" spans="5:5" x14ac:dyDescent="0.3">
      <c r="E13276"/>
    </row>
    <row r="13277" spans="5:5" x14ac:dyDescent="0.3">
      <c r="E13277"/>
    </row>
    <row r="13278" spans="5:5" x14ac:dyDescent="0.3">
      <c r="E13278"/>
    </row>
    <row r="13279" spans="5:5" x14ac:dyDescent="0.3">
      <c r="E13279"/>
    </row>
    <row r="13280" spans="5:5" x14ac:dyDescent="0.3">
      <c r="E13280"/>
    </row>
    <row r="13281" spans="5:5" x14ac:dyDescent="0.3">
      <c r="E13281"/>
    </row>
    <row r="13282" spans="5:5" x14ac:dyDescent="0.3">
      <c r="E13282"/>
    </row>
    <row r="13283" spans="5:5" x14ac:dyDescent="0.3">
      <c r="E13283"/>
    </row>
    <row r="13284" spans="5:5" x14ac:dyDescent="0.3">
      <c r="E13284"/>
    </row>
    <row r="13285" spans="5:5" x14ac:dyDescent="0.3">
      <c r="E13285"/>
    </row>
    <row r="13286" spans="5:5" x14ac:dyDescent="0.3">
      <c r="E13286"/>
    </row>
    <row r="13287" spans="5:5" x14ac:dyDescent="0.3">
      <c r="E13287"/>
    </row>
    <row r="13288" spans="5:5" x14ac:dyDescent="0.3">
      <c r="E13288"/>
    </row>
    <row r="13289" spans="5:5" x14ac:dyDescent="0.3">
      <c r="E13289"/>
    </row>
    <row r="13290" spans="5:5" x14ac:dyDescent="0.3">
      <c r="E13290"/>
    </row>
    <row r="13291" spans="5:5" x14ac:dyDescent="0.3">
      <c r="E13291"/>
    </row>
    <row r="13292" spans="5:5" x14ac:dyDescent="0.3">
      <c r="E13292"/>
    </row>
    <row r="13293" spans="5:5" x14ac:dyDescent="0.3">
      <c r="E13293"/>
    </row>
    <row r="13294" spans="5:5" x14ac:dyDescent="0.3">
      <c r="E13294"/>
    </row>
    <row r="13295" spans="5:5" x14ac:dyDescent="0.3">
      <c r="E13295"/>
    </row>
    <row r="13296" spans="5:5" x14ac:dyDescent="0.3">
      <c r="E13296"/>
    </row>
    <row r="13297" spans="5:5" x14ac:dyDescent="0.3">
      <c r="E13297"/>
    </row>
    <row r="13298" spans="5:5" x14ac:dyDescent="0.3">
      <c r="E13298"/>
    </row>
    <row r="13299" spans="5:5" x14ac:dyDescent="0.3">
      <c r="E13299"/>
    </row>
    <row r="13300" spans="5:5" x14ac:dyDescent="0.3">
      <c r="E13300"/>
    </row>
    <row r="13301" spans="5:5" x14ac:dyDescent="0.3">
      <c r="E13301"/>
    </row>
    <row r="13302" spans="5:5" x14ac:dyDescent="0.3">
      <c r="E13302"/>
    </row>
    <row r="13303" spans="5:5" x14ac:dyDescent="0.3">
      <c r="E13303"/>
    </row>
    <row r="13304" spans="5:5" x14ac:dyDescent="0.3">
      <c r="E13304"/>
    </row>
    <row r="13305" spans="5:5" x14ac:dyDescent="0.3">
      <c r="E13305"/>
    </row>
    <row r="13306" spans="5:5" x14ac:dyDescent="0.3">
      <c r="E13306"/>
    </row>
    <row r="13307" spans="5:5" x14ac:dyDescent="0.3">
      <c r="E13307"/>
    </row>
    <row r="13308" spans="5:5" x14ac:dyDescent="0.3">
      <c r="E13308"/>
    </row>
    <row r="13309" spans="5:5" x14ac:dyDescent="0.3">
      <c r="E13309"/>
    </row>
    <row r="13310" spans="5:5" x14ac:dyDescent="0.3">
      <c r="E13310"/>
    </row>
    <row r="13311" spans="5:5" x14ac:dyDescent="0.3">
      <c r="E13311"/>
    </row>
    <row r="13312" spans="5:5" x14ac:dyDescent="0.3">
      <c r="E13312"/>
    </row>
    <row r="13313" spans="5:5" x14ac:dyDescent="0.3">
      <c r="E13313"/>
    </row>
    <row r="13314" spans="5:5" x14ac:dyDescent="0.3">
      <c r="E13314"/>
    </row>
    <row r="13315" spans="5:5" x14ac:dyDescent="0.3">
      <c r="E13315"/>
    </row>
    <row r="13316" spans="5:5" x14ac:dyDescent="0.3">
      <c r="E13316"/>
    </row>
    <row r="13317" spans="5:5" x14ac:dyDescent="0.3">
      <c r="E13317"/>
    </row>
    <row r="13318" spans="5:5" x14ac:dyDescent="0.3">
      <c r="E13318"/>
    </row>
    <row r="13319" spans="5:5" x14ac:dyDescent="0.3">
      <c r="E13319"/>
    </row>
    <row r="13320" spans="5:5" x14ac:dyDescent="0.3">
      <c r="E13320"/>
    </row>
    <row r="13321" spans="5:5" x14ac:dyDescent="0.3">
      <c r="E13321"/>
    </row>
    <row r="13322" spans="5:5" x14ac:dyDescent="0.3">
      <c r="E13322"/>
    </row>
    <row r="13323" spans="5:5" x14ac:dyDescent="0.3">
      <c r="E13323"/>
    </row>
    <row r="13324" spans="5:5" x14ac:dyDescent="0.3">
      <c r="E13324"/>
    </row>
    <row r="13325" spans="5:5" x14ac:dyDescent="0.3">
      <c r="E13325"/>
    </row>
    <row r="13326" spans="5:5" x14ac:dyDescent="0.3">
      <c r="E13326"/>
    </row>
    <row r="13327" spans="5:5" x14ac:dyDescent="0.3">
      <c r="E13327"/>
    </row>
    <row r="13328" spans="5:5" x14ac:dyDescent="0.3">
      <c r="E13328"/>
    </row>
    <row r="13329" spans="5:5" x14ac:dyDescent="0.3">
      <c r="E13329"/>
    </row>
    <row r="13330" spans="5:5" x14ac:dyDescent="0.3">
      <c r="E13330"/>
    </row>
    <row r="13331" spans="5:5" x14ac:dyDescent="0.3">
      <c r="E13331"/>
    </row>
    <row r="13332" spans="5:5" x14ac:dyDescent="0.3">
      <c r="E13332"/>
    </row>
    <row r="13333" spans="5:5" x14ac:dyDescent="0.3">
      <c r="E13333"/>
    </row>
    <row r="13334" spans="5:5" x14ac:dyDescent="0.3">
      <c r="E13334"/>
    </row>
    <row r="13335" spans="5:5" x14ac:dyDescent="0.3">
      <c r="E13335"/>
    </row>
    <row r="13336" spans="5:5" x14ac:dyDescent="0.3">
      <c r="E13336"/>
    </row>
    <row r="13337" spans="5:5" x14ac:dyDescent="0.3">
      <c r="E13337"/>
    </row>
    <row r="13338" spans="5:5" x14ac:dyDescent="0.3">
      <c r="E13338"/>
    </row>
    <row r="13339" spans="5:5" x14ac:dyDescent="0.3">
      <c r="E13339"/>
    </row>
    <row r="13340" spans="5:5" x14ac:dyDescent="0.3">
      <c r="E13340"/>
    </row>
    <row r="13341" spans="5:5" x14ac:dyDescent="0.3">
      <c r="E13341"/>
    </row>
    <row r="13342" spans="5:5" x14ac:dyDescent="0.3">
      <c r="E13342"/>
    </row>
    <row r="13343" spans="5:5" x14ac:dyDescent="0.3">
      <c r="E13343"/>
    </row>
    <row r="13344" spans="5:5" x14ac:dyDescent="0.3">
      <c r="E13344"/>
    </row>
    <row r="13345" spans="5:5" x14ac:dyDescent="0.3">
      <c r="E13345"/>
    </row>
    <row r="13346" spans="5:5" x14ac:dyDescent="0.3">
      <c r="E13346"/>
    </row>
    <row r="13347" spans="5:5" x14ac:dyDescent="0.3">
      <c r="E13347"/>
    </row>
    <row r="13348" spans="5:5" x14ac:dyDescent="0.3">
      <c r="E13348"/>
    </row>
    <row r="13349" spans="5:5" x14ac:dyDescent="0.3">
      <c r="E13349"/>
    </row>
    <row r="13350" spans="5:5" x14ac:dyDescent="0.3">
      <c r="E13350"/>
    </row>
    <row r="13351" spans="5:5" x14ac:dyDescent="0.3">
      <c r="E13351"/>
    </row>
    <row r="13352" spans="5:5" x14ac:dyDescent="0.3">
      <c r="E13352"/>
    </row>
    <row r="13353" spans="5:5" x14ac:dyDescent="0.3">
      <c r="E13353"/>
    </row>
    <row r="13354" spans="5:5" x14ac:dyDescent="0.3">
      <c r="E13354"/>
    </row>
    <row r="13355" spans="5:5" x14ac:dyDescent="0.3">
      <c r="E13355"/>
    </row>
    <row r="13356" spans="5:5" x14ac:dyDescent="0.3">
      <c r="E13356"/>
    </row>
    <row r="13357" spans="5:5" x14ac:dyDescent="0.3">
      <c r="E13357"/>
    </row>
    <row r="13358" spans="5:5" x14ac:dyDescent="0.3">
      <c r="E13358"/>
    </row>
    <row r="13359" spans="5:5" x14ac:dyDescent="0.3">
      <c r="E13359"/>
    </row>
    <row r="13360" spans="5:5" x14ac:dyDescent="0.3">
      <c r="E13360"/>
    </row>
    <row r="13361" spans="5:5" x14ac:dyDescent="0.3">
      <c r="E13361"/>
    </row>
    <row r="13362" spans="5:5" x14ac:dyDescent="0.3">
      <c r="E13362"/>
    </row>
    <row r="13363" spans="5:5" x14ac:dyDescent="0.3">
      <c r="E13363"/>
    </row>
    <row r="13364" spans="5:5" x14ac:dyDescent="0.3">
      <c r="E13364"/>
    </row>
    <row r="13365" spans="5:5" x14ac:dyDescent="0.3">
      <c r="E13365"/>
    </row>
    <row r="13366" spans="5:5" x14ac:dyDescent="0.3">
      <c r="E13366"/>
    </row>
    <row r="13367" spans="5:5" x14ac:dyDescent="0.3">
      <c r="E13367"/>
    </row>
    <row r="13368" spans="5:5" x14ac:dyDescent="0.3">
      <c r="E13368"/>
    </row>
    <row r="13369" spans="5:5" x14ac:dyDescent="0.3">
      <c r="E13369"/>
    </row>
    <row r="13370" spans="5:5" x14ac:dyDescent="0.3">
      <c r="E13370"/>
    </row>
    <row r="13371" spans="5:5" x14ac:dyDescent="0.3">
      <c r="E13371"/>
    </row>
    <row r="13372" spans="5:5" x14ac:dyDescent="0.3">
      <c r="E13372"/>
    </row>
    <row r="13373" spans="5:5" x14ac:dyDescent="0.3">
      <c r="E13373"/>
    </row>
    <row r="13374" spans="5:5" x14ac:dyDescent="0.3">
      <c r="E13374"/>
    </row>
    <row r="13375" spans="5:5" x14ac:dyDescent="0.3">
      <c r="E13375"/>
    </row>
    <row r="13376" spans="5:5" x14ac:dyDescent="0.3">
      <c r="E13376"/>
    </row>
    <row r="13377" spans="5:5" x14ac:dyDescent="0.3">
      <c r="E13377"/>
    </row>
    <row r="13378" spans="5:5" x14ac:dyDescent="0.3">
      <c r="E13378"/>
    </row>
    <row r="13379" spans="5:5" x14ac:dyDescent="0.3">
      <c r="E13379"/>
    </row>
    <row r="13380" spans="5:5" x14ac:dyDescent="0.3">
      <c r="E13380"/>
    </row>
    <row r="13381" spans="5:5" x14ac:dyDescent="0.3">
      <c r="E13381"/>
    </row>
    <row r="13382" spans="5:5" x14ac:dyDescent="0.3">
      <c r="E13382"/>
    </row>
    <row r="13383" spans="5:5" x14ac:dyDescent="0.3">
      <c r="E13383"/>
    </row>
    <row r="13384" spans="5:5" x14ac:dyDescent="0.3">
      <c r="E13384"/>
    </row>
    <row r="13385" spans="5:5" x14ac:dyDescent="0.3">
      <c r="E13385"/>
    </row>
    <row r="13386" spans="5:5" x14ac:dyDescent="0.3">
      <c r="E13386"/>
    </row>
    <row r="13387" spans="5:5" x14ac:dyDescent="0.3">
      <c r="E13387"/>
    </row>
    <row r="13388" spans="5:5" x14ac:dyDescent="0.3">
      <c r="E13388"/>
    </row>
    <row r="13389" spans="5:5" x14ac:dyDescent="0.3">
      <c r="E13389"/>
    </row>
    <row r="13390" spans="5:5" x14ac:dyDescent="0.3">
      <c r="E13390"/>
    </row>
    <row r="13391" spans="5:5" x14ac:dyDescent="0.3">
      <c r="E13391"/>
    </row>
    <row r="13392" spans="5:5" x14ac:dyDescent="0.3">
      <c r="E13392"/>
    </row>
    <row r="13393" spans="5:5" x14ac:dyDescent="0.3">
      <c r="E13393"/>
    </row>
    <row r="13394" spans="5:5" x14ac:dyDescent="0.3">
      <c r="E13394"/>
    </row>
    <row r="13395" spans="5:5" x14ac:dyDescent="0.3">
      <c r="E13395"/>
    </row>
    <row r="13396" spans="5:5" x14ac:dyDescent="0.3">
      <c r="E13396"/>
    </row>
    <row r="13397" spans="5:5" x14ac:dyDescent="0.3">
      <c r="E13397"/>
    </row>
    <row r="13398" spans="5:5" x14ac:dyDescent="0.3">
      <c r="E13398"/>
    </row>
    <row r="13399" spans="5:5" x14ac:dyDescent="0.3">
      <c r="E13399"/>
    </row>
    <row r="13400" spans="5:5" x14ac:dyDescent="0.3">
      <c r="E13400"/>
    </row>
    <row r="13401" spans="5:5" x14ac:dyDescent="0.3">
      <c r="E13401"/>
    </row>
    <row r="13402" spans="5:5" x14ac:dyDescent="0.3">
      <c r="E13402"/>
    </row>
    <row r="13403" spans="5:5" x14ac:dyDescent="0.3">
      <c r="E13403"/>
    </row>
    <row r="13404" spans="5:5" x14ac:dyDescent="0.3">
      <c r="E13404"/>
    </row>
    <row r="13405" spans="5:5" x14ac:dyDescent="0.3">
      <c r="E13405"/>
    </row>
    <row r="13406" spans="5:5" x14ac:dyDescent="0.3">
      <c r="E13406"/>
    </row>
    <row r="13407" spans="5:5" x14ac:dyDescent="0.3">
      <c r="E13407"/>
    </row>
    <row r="13408" spans="5:5" x14ac:dyDescent="0.3">
      <c r="E13408"/>
    </row>
    <row r="13409" spans="5:5" x14ac:dyDescent="0.3">
      <c r="E13409"/>
    </row>
    <row r="13410" spans="5:5" x14ac:dyDescent="0.3">
      <c r="E13410"/>
    </row>
    <row r="13411" spans="5:5" x14ac:dyDescent="0.3">
      <c r="E13411"/>
    </row>
    <row r="13412" spans="5:5" x14ac:dyDescent="0.3">
      <c r="E13412"/>
    </row>
    <row r="13413" spans="5:5" x14ac:dyDescent="0.3">
      <c r="E13413"/>
    </row>
    <row r="13414" spans="5:5" x14ac:dyDescent="0.3">
      <c r="E13414"/>
    </row>
    <row r="13415" spans="5:5" x14ac:dyDescent="0.3">
      <c r="E13415"/>
    </row>
    <row r="13416" spans="5:5" x14ac:dyDescent="0.3">
      <c r="E13416"/>
    </row>
    <row r="13417" spans="5:5" x14ac:dyDescent="0.3">
      <c r="E13417"/>
    </row>
    <row r="13418" spans="5:5" x14ac:dyDescent="0.3">
      <c r="E13418"/>
    </row>
    <row r="13419" spans="5:5" x14ac:dyDescent="0.3">
      <c r="E13419"/>
    </row>
    <row r="13420" spans="5:5" x14ac:dyDescent="0.3">
      <c r="E13420"/>
    </row>
    <row r="13421" spans="5:5" x14ac:dyDescent="0.3">
      <c r="E13421"/>
    </row>
    <row r="13422" spans="5:5" x14ac:dyDescent="0.3">
      <c r="E13422"/>
    </row>
    <row r="13423" spans="5:5" x14ac:dyDescent="0.3">
      <c r="E13423"/>
    </row>
    <row r="13424" spans="5:5" x14ac:dyDescent="0.3">
      <c r="E13424"/>
    </row>
    <row r="13425" spans="5:5" x14ac:dyDescent="0.3">
      <c r="E13425"/>
    </row>
    <row r="13426" spans="5:5" x14ac:dyDescent="0.3">
      <c r="E13426"/>
    </row>
    <row r="13427" spans="5:5" x14ac:dyDescent="0.3">
      <c r="E13427"/>
    </row>
    <row r="13428" spans="5:5" x14ac:dyDescent="0.3">
      <c r="E13428"/>
    </row>
    <row r="13429" spans="5:5" x14ac:dyDescent="0.3">
      <c r="E13429"/>
    </row>
    <row r="13430" spans="5:5" x14ac:dyDescent="0.3">
      <c r="E13430"/>
    </row>
    <row r="13431" spans="5:5" x14ac:dyDescent="0.3">
      <c r="E13431"/>
    </row>
    <row r="13432" spans="5:5" x14ac:dyDescent="0.3">
      <c r="E13432"/>
    </row>
    <row r="13433" spans="5:5" x14ac:dyDescent="0.3">
      <c r="E13433"/>
    </row>
    <row r="13434" spans="5:5" x14ac:dyDescent="0.3">
      <c r="E13434"/>
    </row>
    <row r="13435" spans="5:5" x14ac:dyDescent="0.3">
      <c r="E13435"/>
    </row>
    <row r="13436" spans="5:5" x14ac:dyDescent="0.3">
      <c r="E13436"/>
    </row>
    <row r="13437" spans="5:5" x14ac:dyDescent="0.3">
      <c r="E13437"/>
    </row>
    <row r="13438" spans="5:5" x14ac:dyDescent="0.3">
      <c r="E13438"/>
    </row>
    <row r="13439" spans="5:5" x14ac:dyDescent="0.3">
      <c r="E13439"/>
    </row>
    <row r="13440" spans="5:5" x14ac:dyDescent="0.3">
      <c r="E13440"/>
    </row>
    <row r="13441" spans="5:5" x14ac:dyDescent="0.3">
      <c r="E13441"/>
    </row>
    <row r="13442" spans="5:5" x14ac:dyDescent="0.3">
      <c r="E13442"/>
    </row>
    <row r="13443" spans="5:5" x14ac:dyDescent="0.3">
      <c r="E13443"/>
    </row>
    <row r="13444" spans="5:5" x14ac:dyDescent="0.3">
      <c r="E13444"/>
    </row>
    <row r="13445" spans="5:5" x14ac:dyDescent="0.3">
      <c r="E13445"/>
    </row>
    <row r="13446" spans="5:5" x14ac:dyDescent="0.3">
      <c r="E13446"/>
    </row>
    <row r="13447" spans="5:5" x14ac:dyDescent="0.3">
      <c r="E13447"/>
    </row>
    <row r="13448" spans="5:5" x14ac:dyDescent="0.3">
      <c r="E13448"/>
    </row>
    <row r="13449" spans="5:5" x14ac:dyDescent="0.3">
      <c r="E13449"/>
    </row>
    <row r="13450" spans="5:5" x14ac:dyDescent="0.3">
      <c r="E13450"/>
    </row>
    <row r="13451" spans="5:5" x14ac:dyDescent="0.3">
      <c r="E13451"/>
    </row>
    <row r="13452" spans="5:5" x14ac:dyDescent="0.3">
      <c r="E13452"/>
    </row>
    <row r="13453" spans="5:5" x14ac:dyDescent="0.3">
      <c r="E13453"/>
    </row>
    <row r="13454" spans="5:5" x14ac:dyDescent="0.3">
      <c r="E13454"/>
    </row>
    <row r="13455" spans="5:5" x14ac:dyDescent="0.3">
      <c r="E13455"/>
    </row>
    <row r="13456" spans="5:5" x14ac:dyDescent="0.3">
      <c r="E13456"/>
    </row>
    <row r="13457" spans="5:5" x14ac:dyDescent="0.3">
      <c r="E13457"/>
    </row>
    <row r="13458" spans="5:5" x14ac:dyDescent="0.3">
      <c r="E13458"/>
    </row>
    <row r="13459" spans="5:5" x14ac:dyDescent="0.3">
      <c r="E13459"/>
    </row>
    <row r="13460" spans="5:5" x14ac:dyDescent="0.3">
      <c r="E13460"/>
    </row>
    <row r="13461" spans="5:5" x14ac:dyDescent="0.3">
      <c r="E13461"/>
    </row>
    <row r="13462" spans="5:5" x14ac:dyDescent="0.3">
      <c r="E13462"/>
    </row>
    <row r="13463" spans="5:5" x14ac:dyDescent="0.3">
      <c r="E13463"/>
    </row>
    <row r="13464" spans="5:5" x14ac:dyDescent="0.3">
      <c r="E13464"/>
    </row>
    <row r="13465" spans="5:5" x14ac:dyDescent="0.3">
      <c r="E13465"/>
    </row>
    <row r="13466" spans="5:5" x14ac:dyDescent="0.3">
      <c r="E13466"/>
    </row>
    <row r="13467" spans="5:5" x14ac:dyDescent="0.3">
      <c r="E13467"/>
    </row>
    <row r="13468" spans="5:5" x14ac:dyDescent="0.3">
      <c r="E13468"/>
    </row>
    <row r="13469" spans="5:5" x14ac:dyDescent="0.3">
      <c r="E13469"/>
    </row>
    <row r="13470" spans="5:5" x14ac:dyDescent="0.3">
      <c r="E13470"/>
    </row>
    <row r="13471" spans="5:5" x14ac:dyDescent="0.3">
      <c r="E13471"/>
    </row>
    <row r="13472" spans="5:5" x14ac:dyDescent="0.3">
      <c r="E13472"/>
    </row>
    <row r="13473" spans="5:5" x14ac:dyDescent="0.3">
      <c r="E13473"/>
    </row>
    <row r="13474" spans="5:5" x14ac:dyDescent="0.3">
      <c r="E13474"/>
    </row>
    <row r="13475" spans="5:5" x14ac:dyDescent="0.3">
      <c r="E13475"/>
    </row>
    <row r="13476" spans="5:5" x14ac:dyDescent="0.3">
      <c r="E13476"/>
    </row>
    <row r="13477" spans="5:5" x14ac:dyDescent="0.3">
      <c r="E13477"/>
    </row>
    <row r="13478" spans="5:5" x14ac:dyDescent="0.3">
      <c r="E13478"/>
    </row>
    <row r="13479" spans="5:5" x14ac:dyDescent="0.3">
      <c r="E13479"/>
    </row>
    <row r="13480" spans="5:5" x14ac:dyDescent="0.3">
      <c r="E13480"/>
    </row>
    <row r="13481" spans="5:5" x14ac:dyDescent="0.3">
      <c r="E13481"/>
    </row>
    <row r="13482" spans="5:5" x14ac:dyDescent="0.3">
      <c r="E13482"/>
    </row>
    <row r="13483" spans="5:5" x14ac:dyDescent="0.3">
      <c r="E13483"/>
    </row>
    <row r="13484" spans="5:5" x14ac:dyDescent="0.3">
      <c r="E13484"/>
    </row>
    <row r="13485" spans="5:5" x14ac:dyDescent="0.3">
      <c r="E13485"/>
    </row>
    <row r="13486" spans="5:5" x14ac:dyDescent="0.3">
      <c r="E13486"/>
    </row>
    <row r="13487" spans="5:5" x14ac:dyDescent="0.3">
      <c r="E13487"/>
    </row>
    <row r="13488" spans="5:5" x14ac:dyDescent="0.3">
      <c r="E13488"/>
    </row>
    <row r="13489" spans="5:5" x14ac:dyDescent="0.3">
      <c r="E13489"/>
    </row>
    <row r="13490" spans="5:5" x14ac:dyDescent="0.3">
      <c r="E13490"/>
    </row>
    <row r="13491" spans="5:5" x14ac:dyDescent="0.3">
      <c r="E13491"/>
    </row>
    <row r="13492" spans="5:5" x14ac:dyDescent="0.3">
      <c r="E13492"/>
    </row>
    <row r="13493" spans="5:5" x14ac:dyDescent="0.3">
      <c r="E13493"/>
    </row>
    <row r="13494" spans="5:5" x14ac:dyDescent="0.3">
      <c r="E13494"/>
    </row>
    <row r="13495" spans="5:5" x14ac:dyDescent="0.3">
      <c r="E13495"/>
    </row>
    <row r="13496" spans="5:5" x14ac:dyDescent="0.3">
      <c r="E13496"/>
    </row>
    <row r="13497" spans="5:5" x14ac:dyDescent="0.3">
      <c r="E13497"/>
    </row>
    <row r="13498" spans="5:5" x14ac:dyDescent="0.3">
      <c r="E13498"/>
    </row>
    <row r="13499" spans="5:5" x14ac:dyDescent="0.3">
      <c r="E13499"/>
    </row>
    <row r="13500" spans="5:5" x14ac:dyDescent="0.3">
      <c r="E13500"/>
    </row>
    <row r="13501" spans="5:5" x14ac:dyDescent="0.3">
      <c r="E13501"/>
    </row>
    <row r="13502" spans="5:5" x14ac:dyDescent="0.3">
      <c r="E13502"/>
    </row>
    <row r="13503" spans="5:5" x14ac:dyDescent="0.3">
      <c r="E13503"/>
    </row>
    <row r="13504" spans="5:5" x14ac:dyDescent="0.3">
      <c r="E13504"/>
    </row>
    <row r="13505" spans="5:5" x14ac:dyDescent="0.3">
      <c r="E13505"/>
    </row>
    <row r="13506" spans="5:5" x14ac:dyDescent="0.3">
      <c r="E13506"/>
    </row>
    <row r="13507" spans="5:5" x14ac:dyDescent="0.3">
      <c r="E13507"/>
    </row>
    <row r="13508" spans="5:5" x14ac:dyDescent="0.3">
      <c r="E13508"/>
    </row>
    <row r="13509" spans="5:5" x14ac:dyDescent="0.3">
      <c r="E13509"/>
    </row>
    <row r="13510" spans="5:5" x14ac:dyDescent="0.3">
      <c r="E13510"/>
    </row>
    <row r="13511" spans="5:5" x14ac:dyDescent="0.3">
      <c r="E13511"/>
    </row>
    <row r="13512" spans="5:5" x14ac:dyDescent="0.3">
      <c r="E13512"/>
    </row>
    <row r="13513" spans="5:5" x14ac:dyDescent="0.3">
      <c r="E13513"/>
    </row>
    <row r="13514" spans="5:5" x14ac:dyDescent="0.3">
      <c r="E13514"/>
    </row>
    <row r="13515" spans="5:5" x14ac:dyDescent="0.3">
      <c r="E13515"/>
    </row>
    <row r="13516" spans="5:5" x14ac:dyDescent="0.3">
      <c r="E13516"/>
    </row>
    <row r="13517" spans="5:5" x14ac:dyDescent="0.3">
      <c r="E13517"/>
    </row>
    <row r="13518" spans="5:5" x14ac:dyDescent="0.3">
      <c r="E13518"/>
    </row>
    <row r="13519" spans="5:5" x14ac:dyDescent="0.3">
      <c r="E13519"/>
    </row>
    <row r="13520" spans="5:5" x14ac:dyDescent="0.3">
      <c r="E13520"/>
    </row>
    <row r="13521" spans="5:5" x14ac:dyDescent="0.3">
      <c r="E13521"/>
    </row>
    <row r="13522" spans="5:5" x14ac:dyDescent="0.3">
      <c r="E13522"/>
    </row>
    <row r="13523" spans="5:5" x14ac:dyDescent="0.3">
      <c r="E13523"/>
    </row>
    <row r="13524" spans="5:5" x14ac:dyDescent="0.3">
      <c r="E13524"/>
    </row>
    <row r="13525" spans="5:5" x14ac:dyDescent="0.3">
      <c r="E13525"/>
    </row>
    <row r="13526" spans="5:5" x14ac:dyDescent="0.3">
      <c r="E13526"/>
    </row>
    <row r="13527" spans="5:5" x14ac:dyDescent="0.3">
      <c r="E13527"/>
    </row>
    <row r="13528" spans="5:5" x14ac:dyDescent="0.3">
      <c r="E13528"/>
    </row>
    <row r="13529" spans="5:5" x14ac:dyDescent="0.3">
      <c r="E13529"/>
    </row>
    <row r="13530" spans="5:5" x14ac:dyDescent="0.3">
      <c r="E13530"/>
    </row>
    <row r="13531" spans="5:5" x14ac:dyDescent="0.3">
      <c r="E13531"/>
    </row>
    <row r="13532" spans="5:5" x14ac:dyDescent="0.3">
      <c r="E13532"/>
    </row>
    <row r="13533" spans="5:5" x14ac:dyDescent="0.3">
      <c r="E13533"/>
    </row>
    <row r="13534" spans="5:5" x14ac:dyDescent="0.3">
      <c r="E13534"/>
    </row>
    <row r="13535" spans="5:5" x14ac:dyDescent="0.3">
      <c r="E13535"/>
    </row>
    <row r="13536" spans="5:5" x14ac:dyDescent="0.3">
      <c r="E13536"/>
    </row>
    <row r="13537" spans="5:5" x14ac:dyDescent="0.3">
      <c r="E13537"/>
    </row>
    <row r="13538" spans="5:5" x14ac:dyDescent="0.3">
      <c r="E13538"/>
    </row>
    <row r="13539" spans="5:5" x14ac:dyDescent="0.3">
      <c r="E13539"/>
    </row>
    <row r="13540" spans="5:5" x14ac:dyDescent="0.3">
      <c r="E13540"/>
    </row>
    <row r="13541" spans="5:5" x14ac:dyDescent="0.3">
      <c r="E13541"/>
    </row>
    <row r="13542" spans="5:5" x14ac:dyDescent="0.3">
      <c r="E13542"/>
    </row>
    <row r="13543" spans="5:5" x14ac:dyDescent="0.3">
      <c r="E13543"/>
    </row>
    <row r="13544" spans="5:5" x14ac:dyDescent="0.3">
      <c r="E13544"/>
    </row>
    <row r="13545" spans="5:5" x14ac:dyDescent="0.3">
      <c r="E13545"/>
    </row>
    <row r="13546" spans="5:5" x14ac:dyDescent="0.3">
      <c r="E13546"/>
    </row>
    <row r="13547" spans="5:5" x14ac:dyDescent="0.3">
      <c r="E13547"/>
    </row>
    <row r="13548" spans="5:5" x14ac:dyDescent="0.3">
      <c r="E13548"/>
    </row>
    <row r="13549" spans="5:5" x14ac:dyDescent="0.3">
      <c r="E13549"/>
    </row>
    <row r="13550" spans="5:5" x14ac:dyDescent="0.3">
      <c r="E13550"/>
    </row>
    <row r="13551" spans="5:5" x14ac:dyDescent="0.3">
      <c r="E13551"/>
    </row>
    <row r="13552" spans="5:5" x14ac:dyDescent="0.3">
      <c r="E13552"/>
    </row>
    <row r="13553" spans="5:5" x14ac:dyDescent="0.3">
      <c r="E13553"/>
    </row>
    <row r="13554" spans="5:5" x14ac:dyDescent="0.3">
      <c r="E13554"/>
    </row>
    <row r="13555" spans="5:5" x14ac:dyDescent="0.3">
      <c r="E13555"/>
    </row>
    <row r="13556" spans="5:5" x14ac:dyDescent="0.3">
      <c r="E13556"/>
    </row>
    <row r="13557" spans="5:5" x14ac:dyDescent="0.3">
      <c r="E13557"/>
    </row>
    <row r="13558" spans="5:5" x14ac:dyDescent="0.3">
      <c r="E13558"/>
    </row>
    <row r="13559" spans="5:5" x14ac:dyDescent="0.3">
      <c r="E13559"/>
    </row>
    <row r="13560" spans="5:5" x14ac:dyDescent="0.3">
      <c r="E13560"/>
    </row>
    <row r="13561" spans="5:5" x14ac:dyDescent="0.3">
      <c r="E13561"/>
    </row>
    <row r="13562" spans="5:5" x14ac:dyDescent="0.3">
      <c r="E13562"/>
    </row>
    <row r="13563" spans="5:5" x14ac:dyDescent="0.3">
      <c r="E13563"/>
    </row>
    <row r="13564" spans="5:5" x14ac:dyDescent="0.3">
      <c r="E13564"/>
    </row>
    <row r="13565" spans="5:5" x14ac:dyDescent="0.3">
      <c r="E13565"/>
    </row>
    <row r="13566" spans="5:5" x14ac:dyDescent="0.3">
      <c r="E13566"/>
    </row>
    <row r="13567" spans="5:5" x14ac:dyDescent="0.3">
      <c r="E13567"/>
    </row>
    <row r="13568" spans="5:5" x14ac:dyDescent="0.3">
      <c r="E13568"/>
    </row>
    <row r="13569" spans="5:5" x14ac:dyDescent="0.3">
      <c r="E13569"/>
    </row>
    <row r="13570" spans="5:5" x14ac:dyDescent="0.3">
      <c r="E13570"/>
    </row>
    <row r="13571" spans="5:5" x14ac:dyDescent="0.3">
      <c r="E13571"/>
    </row>
    <row r="13572" spans="5:5" x14ac:dyDescent="0.3">
      <c r="E13572"/>
    </row>
    <row r="13573" spans="5:5" x14ac:dyDescent="0.3">
      <c r="E13573"/>
    </row>
    <row r="13574" spans="5:5" x14ac:dyDescent="0.3">
      <c r="E13574"/>
    </row>
    <row r="13575" spans="5:5" x14ac:dyDescent="0.3">
      <c r="E13575"/>
    </row>
    <row r="13576" spans="5:5" x14ac:dyDescent="0.3">
      <c r="E13576"/>
    </row>
    <row r="13577" spans="5:5" x14ac:dyDescent="0.3">
      <c r="E13577"/>
    </row>
    <row r="13578" spans="5:5" x14ac:dyDescent="0.3">
      <c r="E13578"/>
    </row>
    <row r="13579" spans="5:5" x14ac:dyDescent="0.3">
      <c r="E13579"/>
    </row>
    <row r="13580" spans="5:5" x14ac:dyDescent="0.3">
      <c r="E13580"/>
    </row>
    <row r="13581" spans="5:5" x14ac:dyDescent="0.3">
      <c r="E13581"/>
    </row>
    <row r="13582" spans="5:5" x14ac:dyDescent="0.3">
      <c r="E13582"/>
    </row>
    <row r="13583" spans="5:5" x14ac:dyDescent="0.3">
      <c r="E13583"/>
    </row>
    <row r="13584" spans="5:5" x14ac:dyDescent="0.3">
      <c r="E13584"/>
    </row>
    <row r="13585" spans="5:5" x14ac:dyDescent="0.3">
      <c r="E13585"/>
    </row>
    <row r="13586" spans="5:5" x14ac:dyDescent="0.3">
      <c r="E13586"/>
    </row>
    <row r="13587" spans="5:5" x14ac:dyDescent="0.3">
      <c r="E13587"/>
    </row>
    <row r="13588" spans="5:5" x14ac:dyDescent="0.3">
      <c r="E13588"/>
    </row>
    <row r="13589" spans="5:5" x14ac:dyDescent="0.3">
      <c r="E13589"/>
    </row>
    <row r="13590" spans="5:5" x14ac:dyDescent="0.3">
      <c r="E13590"/>
    </row>
    <row r="13591" spans="5:5" x14ac:dyDescent="0.3">
      <c r="E13591"/>
    </row>
    <row r="13592" spans="5:5" x14ac:dyDescent="0.3">
      <c r="E13592"/>
    </row>
    <row r="13593" spans="5:5" x14ac:dyDescent="0.3">
      <c r="E13593"/>
    </row>
    <row r="13594" spans="5:5" x14ac:dyDescent="0.3">
      <c r="E13594"/>
    </row>
    <row r="13595" spans="5:5" x14ac:dyDescent="0.3">
      <c r="E13595"/>
    </row>
    <row r="13596" spans="5:5" x14ac:dyDescent="0.3">
      <c r="E13596"/>
    </row>
    <row r="13597" spans="5:5" x14ac:dyDescent="0.3">
      <c r="E13597"/>
    </row>
    <row r="13598" spans="5:5" x14ac:dyDescent="0.3">
      <c r="E13598"/>
    </row>
    <row r="13599" spans="5:5" x14ac:dyDescent="0.3">
      <c r="E13599"/>
    </row>
    <row r="13600" spans="5:5" x14ac:dyDescent="0.3">
      <c r="E13600"/>
    </row>
    <row r="13601" spans="5:5" x14ac:dyDescent="0.3">
      <c r="E13601"/>
    </row>
    <row r="13602" spans="5:5" x14ac:dyDescent="0.3">
      <c r="E13602"/>
    </row>
    <row r="13603" spans="5:5" x14ac:dyDescent="0.3">
      <c r="E13603"/>
    </row>
    <row r="13604" spans="5:5" x14ac:dyDescent="0.3">
      <c r="E13604"/>
    </row>
    <row r="13605" spans="5:5" x14ac:dyDescent="0.3">
      <c r="E13605"/>
    </row>
    <row r="13606" spans="5:5" x14ac:dyDescent="0.3">
      <c r="E13606"/>
    </row>
    <row r="13607" spans="5:5" x14ac:dyDescent="0.3">
      <c r="E13607"/>
    </row>
    <row r="13608" spans="5:5" x14ac:dyDescent="0.3">
      <c r="E13608"/>
    </row>
    <row r="13609" spans="5:5" x14ac:dyDescent="0.3">
      <c r="E13609"/>
    </row>
    <row r="13610" spans="5:5" x14ac:dyDescent="0.3">
      <c r="E13610"/>
    </row>
    <row r="13611" spans="5:5" x14ac:dyDescent="0.3">
      <c r="E13611"/>
    </row>
    <row r="13612" spans="5:5" x14ac:dyDescent="0.3">
      <c r="E13612"/>
    </row>
    <row r="13613" spans="5:5" x14ac:dyDescent="0.3">
      <c r="E13613"/>
    </row>
    <row r="13614" spans="5:5" x14ac:dyDescent="0.3">
      <c r="E13614"/>
    </row>
    <row r="13615" spans="5:5" x14ac:dyDescent="0.3">
      <c r="E13615"/>
    </row>
    <row r="13616" spans="5:5" x14ac:dyDescent="0.3">
      <c r="E13616"/>
    </row>
    <row r="13617" spans="5:5" x14ac:dyDescent="0.3">
      <c r="E13617"/>
    </row>
    <row r="13618" spans="5:5" x14ac:dyDescent="0.3">
      <c r="E13618"/>
    </row>
    <row r="13619" spans="5:5" x14ac:dyDescent="0.3">
      <c r="E13619"/>
    </row>
    <row r="13620" spans="5:5" x14ac:dyDescent="0.3">
      <c r="E13620"/>
    </row>
    <row r="13621" spans="5:5" x14ac:dyDescent="0.3">
      <c r="E13621"/>
    </row>
    <row r="13622" spans="5:5" x14ac:dyDescent="0.3">
      <c r="E13622"/>
    </row>
    <row r="13623" spans="5:5" x14ac:dyDescent="0.3">
      <c r="E13623"/>
    </row>
    <row r="13624" spans="5:5" x14ac:dyDescent="0.3">
      <c r="E13624"/>
    </row>
    <row r="13625" spans="5:5" x14ac:dyDescent="0.3">
      <c r="E13625"/>
    </row>
    <row r="13626" spans="5:5" x14ac:dyDescent="0.3">
      <c r="E13626"/>
    </row>
    <row r="13627" spans="5:5" x14ac:dyDescent="0.3">
      <c r="E13627"/>
    </row>
    <row r="13628" spans="5:5" x14ac:dyDescent="0.3">
      <c r="E13628"/>
    </row>
    <row r="13629" spans="5:5" x14ac:dyDescent="0.3">
      <c r="E13629"/>
    </row>
    <row r="13630" spans="5:5" x14ac:dyDescent="0.3">
      <c r="E13630"/>
    </row>
    <row r="13631" spans="5:5" x14ac:dyDescent="0.3">
      <c r="E13631"/>
    </row>
    <row r="13632" spans="5:5" x14ac:dyDescent="0.3">
      <c r="E13632"/>
    </row>
    <row r="13633" spans="5:5" x14ac:dyDescent="0.3">
      <c r="E13633"/>
    </row>
    <row r="13634" spans="5:5" x14ac:dyDescent="0.3">
      <c r="E13634"/>
    </row>
    <row r="13635" spans="5:5" x14ac:dyDescent="0.3">
      <c r="E13635"/>
    </row>
    <row r="13636" spans="5:5" x14ac:dyDescent="0.3">
      <c r="E13636"/>
    </row>
    <row r="13637" spans="5:5" x14ac:dyDescent="0.3">
      <c r="E13637"/>
    </row>
    <row r="13638" spans="5:5" x14ac:dyDescent="0.3">
      <c r="E13638"/>
    </row>
    <row r="13639" spans="5:5" x14ac:dyDescent="0.3">
      <c r="E13639"/>
    </row>
    <row r="13640" spans="5:5" x14ac:dyDescent="0.3">
      <c r="E13640"/>
    </row>
    <row r="13641" spans="5:5" x14ac:dyDescent="0.3">
      <c r="E13641"/>
    </row>
    <row r="13642" spans="5:5" x14ac:dyDescent="0.3">
      <c r="E13642"/>
    </row>
    <row r="13643" spans="5:5" x14ac:dyDescent="0.3">
      <c r="E13643"/>
    </row>
    <row r="13644" spans="5:5" x14ac:dyDescent="0.3">
      <c r="E13644"/>
    </row>
    <row r="13645" spans="5:5" x14ac:dyDescent="0.3">
      <c r="E13645"/>
    </row>
    <row r="13646" spans="5:5" x14ac:dyDescent="0.3">
      <c r="E13646"/>
    </row>
    <row r="13647" spans="5:5" x14ac:dyDescent="0.3">
      <c r="E13647"/>
    </row>
    <row r="13648" spans="5:5" x14ac:dyDescent="0.3">
      <c r="E13648"/>
    </row>
    <row r="13649" spans="5:5" x14ac:dyDescent="0.3">
      <c r="E13649"/>
    </row>
    <row r="13650" spans="5:5" x14ac:dyDescent="0.3">
      <c r="E13650"/>
    </row>
    <row r="13651" spans="5:5" x14ac:dyDescent="0.3">
      <c r="E13651"/>
    </row>
    <row r="13652" spans="5:5" x14ac:dyDescent="0.3">
      <c r="E13652"/>
    </row>
    <row r="13653" spans="5:5" x14ac:dyDescent="0.3">
      <c r="E13653"/>
    </row>
    <row r="13654" spans="5:5" x14ac:dyDescent="0.3">
      <c r="E13654"/>
    </row>
    <row r="13655" spans="5:5" x14ac:dyDescent="0.3">
      <c r="E13655"/>
    </row>
    <row r="13656" spans="5:5" x14ac:dyDescent="0.3">
      <c r="E13656"/>
    </row>
    <row r="13657" spans="5:5" x14ac:dyDescent="0.3">
      <c r="E13657"/>
    </row>
    <row r="13658" spans="5:5" x14ac:dyDescent="0.3">
      <c r="E13658"/>
    </row>
    <row r="13659" spans="5:5" x14ac:dyDescent="0.3">
      <c r="E13659"/>
    </row>
    <row r="13660" spans="5:5" x14ac:dyDescent="0.3">
      <c r="E13660"/>
    </row>
    <row r="13661" spans="5:5" x14ac:dyDescent="0.3">
      <c r="E13661"/>
    </row>
    <row r="13662" spans="5:5" x14ac:dyDescent="0.3">
      <c r="E13662"/>
    </row>
    <row r="13663" spans="5:5" x14ac:dyDescent="0.3">
      <c r="E13663"/>
    </row>
    <row r="13664" spans="5:5" x14ac:dyDescent="0.3">
      <c r="E13664"/>
    </row>
    <row r="13665" spans="5:5" x14ac:dyDescent="0.3">
      <c r="E13665"/>
    </row>
    <row r="13666" spans="5:5" x14ac:dyDescent="0.3">
      <c r="E13666"/>
    </row>
    <row r="13667" spans="5:5" x14ac:dyDescent="0.3">
      <c r="E13667"/>
    </row>
    <row r="13668" spans="5:5" x14ac:dyDescent="0.3">
      <c r="E13668"/>
    </row>
    <row r="13669" spans="5:5" x14ac:dyDescent="0.3">
      <c r="E13669"/>
    </row>
    <row r="13670" spans="5:5" x14ac:dyDescent="0.3">
      <c r="E13670"/>
    </row>
    <row r="13671" spans="5:5" x14ac:dyDescent="0.3">
      <c r="E13671"/>
    </row>
    <row r="13672" spans="5:5" x14ac:dyDescent="0.3">
      <c r="E13672"/>
    </row>
    <row r="13673" spans="5:5" x14ac:dyDescent="0.3">
      <c r="E13673"/>
    </row>
    <row r="13674" spans="5:5" x14ac:dyDescent="0.3">
      <c r="E13674"/>
    </row>
    <row r="13675" spans="5:5" x14ac:dyDescent="0.3">
      <c r="E13675"/>
    </row>
    <row r="13676" spans="5:5" x14ac:dyDescent="0.3">
      <c r="E13676"/>
    </row>
    <row r="13677" spans="5:5" x14ac:dyDescent="0.3">
      <c r="E13677"/>
    </row>
    <row r="13678" spans="5:5" x14ac:dyDescent="0.3">
      <c r="E13678"/>
    </row>
    <row r="13679" spans="5:5" x14ac:dyDescent="0.3">
      <c r="E13679"/>
    </row>
    <row r="13680" spans="5:5" x14ac:dyDescent="0.3">
      <c r="E13680"/>
    </row>
    <row r="13681" spans="5:5" x14ac:dyDescent="0.3">
      <c r="E13681"/>
    </row>
    <row r="13682" spans="5:5" x14ac:dyDescent="0.3">
      <c r="E13682"/>
    </row>
    <row r="13683" spans="5:5" x14ac:dyDescent="0.3">
      <c r="E13683"/>
    </row>
    <row r="13684" spans="5:5" x14ac:dyDescent="0.3">
      <c r="E13684"/>
    </row>
    <row r="13685" spans="5:5" x14ac:dyDescent="0.3">
      <c r="E13685"/>
    </row>
    <row r="13686" spans="5:5" x14ac:dyDescent="0.3">
      <c r="E13686"/>
    </row>
    <row r="13687" spans="5:5" x14ac:dyDescent="0.3">
      <c r="E13687"/>
    </row>
    <row r="13688" spans="5:5" x14ac:dyDescent="0.3">
      <c r="E13688"/>
    </row>
    <row r="13689" spans="5:5" x14ac:dyDescent="0.3">
      <c r="E13689"/>
    </row>
    <row r="13690" spans="5:5" x14ac:dyDescent="0.3">
      <c r="E13690"/>
    </row>
    <row r="13691" spans="5:5" x14ac:dyDescent="0.3">
      <c r="E13691"/>
    </row>
    <row r="13692" spans="5:5" x14ac:dyDescent="0.3">
      <c r="E13692"/>
    </row>
    <row r="13693" spans="5:5" x14ac:dyDescent="0.3">
      <c r="E13693"/>
    </row>
    <row r="13694" spans="5:5" x14ac:dyDescent="0.3">
      <c r="E13694"/>
    </row>
    <row r="13695" spans="5:5" x14ac:dyDescent="0.3">
      <c r="E13695"/>
    </row>
    <row r="13696" spans="5:5" x14ac:dyDescent="0.3">
      <c r="E13696"/>
    </row>
    <row r="13697" spans="5:5" x14ac:dyDescent="0.3">
      <c r="E13697"/>
    </row>
    <row r="13698" spans="5:5" x14ac:dyDescent="0.3">
      <c r="E13698"/>
    </row>
    <row r="13699" spans="5:5" x14ac:dyDescent="0.3">
      <c r="E13699"/>
    </row>
    <row r="13700" spans="5:5" x14ac:dyDescent="0.3">
      <c r="E13700"/>
    </row>
    <row r="13701" spans="5:5" x14ac:dyDescent="0.3">
      <c r="E13701"/>
    </row>
    <row r="13702" spans="5:5" x14ac:dyDescent="0.3">
      <c r="E13702"/>
    </row>
    <row r="13703" spans="5:5" x14ac:dyDescent="0.3">
      <c r="E13703"/>
    </row>
    <row r="13704" spans="5:5" x14ac:dyDescent="0.3">
      <c r="E13704"/>
    </row>
    <row r="13705" spans="5:5" x14ac:dyDescent="0.3">
      <c r="E13705"/>
    </row>
    <row r="13706" spans="5:5" x14ac:dyDescent="0.3">
      <c r="E13706"/>
    </row>
    <row r="13707" spans="5:5" x14ac:dyDescent="0.3">
      <c r="E13707"/>
    </row>
    <row r="13708" spans="5:5" x14ac:dyDescent="0.3">
      <c r="E13708"/>
    </row>
    <row r="13709" spans="5:5" x14ac:dyDescent="0.3">
      <c r="E13709"/>
    </row>
    <row r="13710" spans="5:5" x14ac:dyDescent="0.3">
      <c r="E13710"/>
    </row>
    <row r="13711" spans="5:5" x14ac:dyDescent="0.3">
      <c r="E13711"/>
    </row>
    <row r="13712" spans="5:5" x14ac:dyDescent="0.3">
      <c r="E13712"/>
    </row>
    <row r="13713" spans="5:5" x14ac:dyDescent="0.3">
      <c r="E13713"/>
    </row>
    <row r="13714" spans="5:5" x14ac:dyDescent="0.3">
      <c r="E13714"/>
    </row>
    <row r="13715" spans="5:5" x14ac:dyDescent="0.3">
      <c r="E13715"/>
    </row>
    <row r="13716" spans="5:5" x14ac:dyDescent="0.3">
      <c r="E13716"/>
    </row>
    <row r="13717" spans="5:5" x14ac:dyDescent="0.3">
      <c r="E13717"/>
    </row>
    <row r="13718" spans="5:5" x14ac:dyDescent="0.3">
      <c r="E13718"/>
    </row>
    <row r="13719" spans="5:5" x14ac:dyDescent="0.3">
      <c r="E13719"/>
    </row>
    <row r="13720" spans="5:5" x14ac:dyDescent="0.3">
      <c r="E13720"/>
    </row>
    <row r="13721" spans="5:5" x14ac:dyDescent="0.3">
      <c r="E13721"/>
    </row>
    <row r="13722" spans="5:5" x14ac:dyDescent="0.3">
      <c r="E13722"/>
    </row>
    <row r="13723" spans="5:5" x14ac:dyDescent="0.3">
      <c r="E13723"/>
    </row>
    <row r="13724" spans="5:5" x14ac:dyDescent="0.3">
      <c r="E13724"/>
    </row>
    <row r="13725" spans="5:5" x14ac:dyDescent="0.3">
      <c r="E13725"/>
    </row>
    <row r="13726" spans="5:5" x14ac:dyDescent="0.3">
      <c r="E13726"/>
    </row>
    <row r="13727" spans="5:5" x14ac:dyDescent="0.3">
      <c r="E13727"/>
    </row>
    <row r="13728" spans="5:5" x14ac:dyDescent="0.3">
      <c r="E13728"/>
    </row>
    <row r="13729" spans="5:5" x14ac:dyDescent="0.3">
      <c r="E13729"/>
    </row>
    <row r="13730" spans="5:5" x14ac:dyDescent="0.3">
      <c r="E13730"/>
    </row>
    <row r="13731" spans="5:5" x14ac:dyDescent="0.3">
      <c r="E13731"/>
    </row>
    <row r="13732" spans="5:5" x14ac:dyDescent="0.3">
      <c r="E13732"/>
    </row>
    <row r="13733" spans="5:5" x14ac:dyDescent="0.3">
      <c r="E13733"/>
    </row>
    <row r="13734" spans="5:5" x14ac:dyDescent="0.3">
      <c r="E13734"/>
    </row>
    <row r="13735" spans="5:5" x14ac:dyDescent="0.3">
      <c r="E13735"/>
    </row>
    <row r="13736" spans="5:5" x14ac:dyDescent="0.3">
      <c r="E13736"/>
    </row>
    <row r="13737" spans="5:5" x14ac:dyDescent="0.3">
      <c r="E13737"/>
    </row>
    <row r="13738" spans="5:5" x14ac:dyDescent="0.3">
      <c r="E13738"/>
    </row>
    <row r="13739" spans="5:5" x14ac:dyDescent="0.3">
      <c r="E13739"/>
    </row>
    <row r="13740" spans="5:5" x14ac:dyDescent="0.3">
      <c r="E13740"/>
    </row>
    <row r="13741" spans="5:5" x14ac:dyDescent="0.3">
      <c r="E13741"/>
    </row>
    <row r="13742" spans="5:5" x14ac:dyDescent="0.3">
      <c r="E13742"/>
    </row>
    <row r="13743" spans="5:5" x14ac:dyDescent="0.3">
      <c r="E13743"/>
    </row>
    <row r="13744" spans="5:5" x14ac:dyDescent="0.3">
      <c r="E13744"/>
    </row>
    <row r="13745" spans="5:5" x14ac:dyDescent="0.3">
      <c r="E13745"/>
    </row>
    <row r="13746" spans="5:5" x14ac:dyDescent="0.3">
      <c r="E13746"/>
    </row>
    <row r="13747" spans="5:5" x14ac:dyDescent="0.3">
      <c r="E13747"/>
    </row>
    <row r="13748" spans="5:5" x14ac:dyDescent="0.3">
      <c r="E13748"/>
    </row>
    <row r="13749" spans="5:5" x14ac:dyDescent="0.3">
      <c r="E13749"/>
    </row>
    <row r="13750" spans="5:5" x14ac:dyDescent="0.3">
      <c r="E13750"/>
    </row>
    <row r="13751" spans="5:5" x14ac:dyDescent="0.3">
      <c r="E13751"/>
    </row>
    <row r="13752" spans="5:5" x14ac:dyDescent="0.3">
      <c r="E13752"/>
    </row>
    <row r="13753" spans="5:5" x14ac:dyDescent="0.3">
      <c r="E13753"/>
    </row>
    <row r="13754" spans="5:5" x14ac:dyDescent="0.3">
      <c r="E13754"/>
    </row>
    <row r="13755" spans="5:5" x14ac:dyDescent="0.3">
      <c r="E13755"/>
    </row>
    <row r="13756" spans="5:5" x14ac:dyDescent="0.3">
      <c r="E13756"/>
    </row>
    <row r="13757" spans="5:5" x14ac:dyDescent="0.3">
      <c r="E13757"/>
    </row>
    <row r="13758" spans="5:5" x14ac:dyDescent="0.3">
      <c r="E13758"/>
    </row>
    <row r="13759" spans="5:5" x14ac:dyDescent="0.3">
      <c r="E13759"/>
    </row>
    <row r="13760" spans="5:5" x14ac:dyDescent="0.3">
      <c r="E13760"/>
    </row>
    <row r="13761" spans="5:5" x14ac:dyDescent="0.3">
      <c r="E13761"/>
    </row>
    <row r="13762" spans="5:5" x14ac:dyDescent="0.3">
      <c r="E13762"/>
    </row>
    <row r="13763" spans="5:5" x14ac:dyDescent="0.3">
      <c r="E13763"/>
    </row>
    <row r="13764" spans="5:5" x14ac:dyDescent="0.3">
      <c r="E13764"/>
    </row>
    <row r="13765" spans="5:5" x14ac:dyDescent="0.3">
      <c r="E13765"/>
    </row>
    <row r="13766" spans="5:5" x14ac:dyDescent="0.3">
      <c r="E13766"/>
    </row>
    <row r="13767" spans="5:5" x14ac:dyDescent="0.3">
      <c r="E13767"/>
    </row>
    <row r="13768" spans="5:5" x14ac:dyDescent="0.3">
      <c r="E13768"/>
    </row>
    <row r="13769" spans="5:5" x14ac:dyDescent="0.3">
      <c r="E13769"/>
    </row>
    <row r="13770" spans="5:5" x14ac:dyDescent="0.3">
      <c r="E13770"/>
    </row>
    <row r="13771" spans="5:5" x14ac:dyDescent="0.3">
      <c r="E13771"/>
    </row>
    <row r="13772" spans="5:5" x14ac:dyDescent="0.3">
      <c r="E13772"/>
    </row>
    <row r="13773" spans="5:5" x14ac:dyDescent="0.3">
      <c r="E13773"/>
    </row>
    <row r="13774" spans="5:5" x14ac:dyDescent="0.3">
      <c r="E13774"/>
    </row>
    <row r="13775" spans="5:5" x14ac:dyDescent="0.3">
      <c r="E13775"/>
    </row>
    <row r="13776" spans="5:5" x14ac:dyDescent="0.3">
      <c r="E13776"/>
    </row>
    <row r="13777" spans="5:5" x14ac:dyDescent="0.3">
      <c r="E13777"/>
    </row>
    <row r="13778" spans="5:5" x14ac:dyDescent="0.3">
      <c r="E13778"/>
    </row>
    <row r="13779" spans="5:5" x14ac:dyDescent="0.3">
      <c r="E13779"/>
    </row>
    <row r="13780" spans="5:5" x14ac:dyDescent="0.3">
      <c r="E13780"/>
    </row>
    <row r="13781" spans="5:5" x14ac:dyDescent="0.3">
      <c r="E13781"/>
    </row>
    <row r="13782" spans="5:5" x14ac:dyDescent="0.3">
      <c r="E13782"/>
    </row>
    <row r="13783" spans="5:5" x14ac:dyDescent="0.3">
      <c r="E13783"/>
    </row>
    <row r="13784" spans="5:5" x14ac:dyDescent="0.3">
      <c r="E13784"/>
    </row>
    <row r="13785" spans="5:5" x14ac:dyDescent="0.3">
      <c r="E13785"/>
    </row>
    <row r="13786" spans="5:5" x14ac:dyDescent="0.3">
      <c r="E13786"/>
    </row>
    <row r="13787" spans="5:5" x14ac:dyDescent="0.3">
      <c r="E13787"/>
    </row>
    <row r="13788" spans="5:5" x14ac:dyDescent="0.3">
      <c r="E13788"/>
    </row>
    <row r="13789" spans="5:5" x14ac:dyDescent="0.3">
      <c r="E13789"/>
    </row>
    <row r="13790" spans="5:5" x14ac:dyDescent="0.3">
      <c r="E13790"/>
    </row>
    <row r="13791" spans="5:5" x14ac:dyDescent="0.3">
      <c r="E13791"/>
    </row>
    <row r="13792" spans="5:5" x14ac:dyDescent="0.3">
      <c r="E13792"/>
    </row>
    <row r="13793" spans="5:5" x14ac:dyDescent="0.3">
      <c r="E13793"/>
    </row>
    <row r="13794" spans="5:5" x14ac:dyDescent="0.3">
      <c r="E13794"/>
    </row>
    <row r="13795" spans="5:5" x14ac:dyDescent="0.3">
      <c r="E13795"/>
    </row>
    <row r="13796" spans="5:5" x14ac:dyDescent="0.3">
      <c r="E13796"/>
    </row>
    <row r="13797" spans="5:5" x14ac:dyDescent="0.3">
      <c r="E13797"/>
    </row>
    <row r="13798" spans="5:5" x14ac:dyDescent="0.3">
      <c r="E13798"/>
    </row>
    <row r="13799" spans="5:5" x14ac:dyDescent="0.3">
      <c r="E13799"/>
    </row>
    <row r="13800" spans="5:5" x14ac:dyDescent="0.3">
      <c r="E13800"/>
    </row>
    <row r="13801" spans="5:5" x14ac:dyDescent="0.3">
      <c r="E13801"/>
    </row>
    <row r="13802" spans="5:5" x14ac:dyDescent="0.3">
      <c r="E13802"/>
    </row>
    <row r="13803" spans="5:5" x14ac:dyDescent="0.3">
      <c r="E13803"/>
    </row>
    <row r="13804" spans="5:5" x14ac:dyDescent="0.3">
      <c r="E13804"/>
    </row>
    <row r="13805" spans="5:5" x14ac:dyDescent="0.3">
      <c r="E13805"/>
    </row>
    <row r="13806" spans="5:5" x14ac:dyDescent="0.3">
      <c r="E13806"/>
    </row>
    <row r="13807" spans="5:5" x14ac:dyDescent="0.3">
      <c r="E13807"/>
    </row>
    <row r="13808" spans="5:5" x14ac:dyDescent="0.3">
      <c r="E13808"/>
    </row>
    <row r="13809" spans="5:5" x14ac:dyDescent="0.3">
      <c r="E13809"/>
    </row>
    <row r="13810" spans="5:5" x14ac:dyDescent="0.3">
      <c r="E13810"/>
    </row>
    <row r="13811" spans="5:5" x14ac:dyDescent="0.3">
      <c r="E13811"/>
    </row>
    <row r="13812" spans="5:5" x14ac:dyDescent="0.3">
      <c r="E13812"/>
    </row>
    <row r="13813" spans="5:5" x14ac:dyDescent="0.3">
      <c r="E13813"/>
    </row>
    <row r="13814" spans="5:5" x14ac:dyDescent="0.3">
      <c r="E13814"/>
    </row>
    <row r="13815" spans="5:5" x14ac:dyDescent="0.3">
      <c r="E13815"/>
    </row>
    <row r="13816" spans="5:5" x14ac:dyDescent="0.3">
      <c r="E13816"/>
    </row>
    <row r="13817" spans="5:5" x14ac:dyDescent="0.3">
      <c r="E13817"/>
    </row>
    <row r="13818" spans="5:5" x14ac:dyDescent="0.3">
      <c r="E13818"/>
    </row>
    <row r="13819" spans="5:5" x14ac:dyDescent="0.3">
      <c r="E13819"/>
    </row>
    <row r="13820" spans="5:5" x14ac:dyDescent="0.3">
      <c r="E13820"/>
    </row>
    <row r="13821" spans="5:5" x14ac:dyDescent="0.3">
      <c r="E13821"/>
    </row>
    <row r="13822" spans="5:5" x14ac:dyDescent="0.3">
      <c r="E13822"/>
    </row>
    <row r="13823" spans="5:5" x14ac:dyDescent="0.3">
      <c r="E13823"/>
    </row>
    <row r="13824" spans="5:5" x14ac:dyDescent="0.3">
      <c r="E13824"/>
    </row>
    <row r="13825" spans="5:5" x14ac:dyDescent="0.3">
      <c r="E13825"/>
    </row>
    <row r="13826" spans="5:5" x14ac:dyDescent="0.3">
      <c r="E13826"/>
    </row>
    <row r="13827" spans="5:5" x14ac:dyDescent="0.3">
      <c r="E13827"/>
    </row>
    <row r="13828" spans="5:5" x14ac:dyDescent="0.3">
      <c r="E13828"/>
    </row>
    <row r="13829" spans="5:5" x14ac:dyDescent="0.3">
      <c r="E13829"/>
    </row>
    <row r="13830" spans="5:5" x14ac:dyDescent="0.3">
      <c r="E13830"/>
    </row>
    <row r="13831" spans="5:5" x14ac:dyDescent="0.3">
      <c r="E13831"/>
    </row>
    <row r="13832" spans="5:5" x14ac:dyDescent="0.3">
      <c r="E13832"/>
    </row>
    <row r="13833" spans="5:5" x14ac:dyDescent="0.3">
      <c r="E13833"/>
    </row>
    <row r="13834" spans="5:5" x14ac:dyDescent="0.3">
      <c r="E13834"/>
    </row>
    <row r="13835" spans="5:5" x14ac:dyDescent="0.3">
      <c r="E13835"/>
    </row>
    <row r="13836" spans="5:5" x14ac:dyDescent="0.3">
      <c r="E13836"/>
    </row>
    <row r="13837" spans="5:5" x14ac:dyDescent="0.3">
      <c r="E13837"/>
    </row>
    <row r="13838" spans="5:5" x14ac:dyDescent="0.3">
      <c r="E13838"/>
    </row>
    <row r="13839" spans="5:5" x14ac:dyDescent="0.3">
      <c r="E13839"/>
    </row>
    <row r="13840" spans="5:5" x14ac:dyDescent="0.3">
      <c r="E13840"/>
    </row>
    <row r="13841" spans="5:5" x14ac:dyDescent="0.3">
      <c r="E13841"/>
    </row>
    <row r="13842" spans="5:5" x14ac:dyDescent="0.3">
      <c r="E13842"/>
    </row>
    <row r="13843" spans="5:5" x14ac:dyDescent="0.3">
      <c r="E13843"/>
    </row>
    <row r="13844" spans="5:5" x14ac:dyDescent="0.3">
      <c r="E13844"/>
    </row>
    <row r="13845" spans="5:5" x14ac:dyDescent="0.3">
      <c r="E13845"/>
    </row>
    <row r="13846" spans="5:5" x14ac:dyDescent="0.3">
      <c r="E13846"/>
    </row>
    <row r="13847" spans="5:5" x14ac:dyDescent="0.3">
      <c r="E13847"/>
    </row>
    <row r="13848" spans="5:5" x14ac:dyDescent="0.3">
      <c r="E13848"/>
    </row>
    <row r="13849" spans="5:5" x14ac:dyDescent="0.3">
      <c r="E13849"/>
    </row>
    <row r="13850" spans="5:5" x14ac:dyDescent="0.3">
      <c r="E13850"/>
    </row>
    <row r="13851" spans="5:5" x14ac:dyDescent="0.3">
      <c r="E13851"/>
    </row>
    <row r="13852" spans="5:5" x14ac:dyDescent="0.3">
      <c r="E13852"/>
    </row>
    <row r="13853" spans="5:5" x14ac:dyDescent="0.3">
      <c r="E13853"/>
    </row>
    <row r="13854" spans="5:5" x14ac:dyDescent="0.3">
      <c r="E13854"/>
    </row>
    <row r="13855" spans="5:5" x14ac:dyDescent="0.3">
      <c r="E13855"/>
    </row>
    <row r="13856" spans="5:5" x14ac:dyDescent="0.3">
      <c r="E13856"/>
    </row>
    <row r="13857" spans="5:5" x14ac:dyDescent="0.3">
      <c r="E13857"/>
    </row>
    <row r="13858" spans="5:5" x14ac:dyDescent="0.3">
      <c r="E13858"/>
    </row>
    <row r="13859" spans="5:5" x14ac:dyDescent="0.3">
      <c r="E13859"/>
    </row>
    <row r="13860" spans="5:5" x14ac:dyDescent="0.3">
      <c r="E13860"/>
    </row>
    <row r="13861" spans="5:5" x14ac:dyDescent="0.3">
      <c r="E13861"/>
    </row>
    <row r="13862" spans="5:5" x14ac:dyDescent="0.3">
      <c r="E13862"/>
    </row>
    <row r="13863" spans="5:5" x14ac:dyDescent="0.3">
      <c r="E13863"/>
    </row>
    <row r="13864" spans="5:5" x14ac:dyDescent="0.3">
      <c r="E13864"/>
    </row>
    <row r="13865" spans="5:5" x14ac:dyDescent="0.3">
      <c r="E13865"/>
    </row>
    <row r="13866" spans="5:5" x14ac:dyDescent="0.3">
      <c r="E13866"/>
    </row>
    <row r="13867" spans="5:5" x14ac:dyDescent="0.3">
      <c r="E13867"/>
    </row>
    <row r="13868" spans="5:5" x14ac:dyDescent="0.3">
      <c r="E13868"/>
    </row>
    <row r="13869" spans="5:5" x14ac:dyDescent="0.3">
      <c r="E13869"/>
    </row>
    <row r="13870" spans="5:5" x14ac:dyDescent="0.3">
      <c r="E13870"/>
    </row>
    <row r="13871" spans="5:5" x14ac:dyDescent="0.3">
      <c r="E13871"/>
    </row>
    <row r="13872" spans="5:5" x14ac:dyDescent="0.3">
      <c r="E13872"/>
    </row>
    <row r="13873" spans="5:5" x14ac:dyDescent="0.3">
      <c r="E13873"/>
    </row>
    <row r="13874" spans="5:5" x14ac:dyDescent="0.3">
      <c r="E13874"/>
    </row>
    <row r="13875" spans="5:5" x14ac:dyDescent="0.3">
      <c r="E13875"/>
    </row>
    <row r="13876" spans="5:5" x14ac:dyDescent="0.3">
      <c r="E13876"/>
    </row>
    <row r="13877" spans="5:5" x14ac:dyDescent="0.3">
      <c r="E13877"/>
    </row>
    <row r="13878" spans="5:5" x14ac:dyDescent="0.3">
      <c r="E13878"/>
    </row>
    <row r="13879" spans="5:5" x14ac:dyDescent="0.3">
      <c r="E13879"/>
    </row>
    <row r="13880" spans="5:5" x14ac:dyDescent="0.3">
      <c r="E13880"/>
    </row>
    <row r="13881" spans="5:5" x14ac:dyDescent="0.3">
      <c r="E13881"/>
    </row>
    <row r="13882" spans="5:5" x14ac:dyDescent="0.3">
      <c r="E13882"/>
    </row>
    <row r="13883" spans="5:5" x14ac:dyDescent="0.3">
      <c r="E13883"/>
    </row>
    <row r="13884" spans="5:5" x14ac:dyDescent="0.3">
      <c r="E13884"/>
    </row>
    <row r="13885" spans="5:5" x14ac:dyDescent="0.3">
      <c r="E13885"/>
    </row>
    <row r="13886" spans="5:5" x14ac:dyDescent="0.3">
      <c r="E13886"/>
    </row>
    <row r="13887" spans="5:5" x14ac:dyDescent="0.3">
      <c r="E13887"/>
    </row>
    <row r="13888" spans="5:5" x14ac:dyDescent="0.3">
      <c r="E13888"/>
    </row>
    <row r="13889" spans="5:5" x14ac:dyDescent="0.3">
      <c r="E13889"/>
    </row>
    <row r="13890" spans="5:5" x14ac:dyDescent="0.3">
      <c r="E13890"/>
    </row>
    <row r="13891" spans="5:5" x14ac:dyDescent="0.3">
      <c r="E13891"/>
    </row>
    <row r="13892" spans="5:5" x14ac:dyDescent="0.3">
      <c r="E13892"/>
    </row>
    <row r="13893" spans="5:5" x14ac:dyDescent="0.3">
      <c r="E13893"/>
    </row>
    <row r="13894" spans="5:5" x14ac:dyDescent="0.3">
      <c r="E13894"/>
    </row>
    <row r="13895" spans="5:5" x14ac:dyDescent="0.3">
      <c r="E13895"/>
    </row>
    <row r="13896" spans="5:5" x14ac:dyDescent="0.3">
      <c r="E13896"/>
    </row>
    <row r="13897" spans="5:5" x14ac:dyDescent="0.3">
      <c r="E13897"/>
    </row>
    <row r="13898" spans="5:5" x14ac:dyDescent="0.3">
      <c r="E13898"/>
    </row>
    <row r="13899" spans="5:5" x14ac:dyDescent="0.3">
      <c r="E13899"/>
    </row>
    <row r="13900" spans="5:5" x14ac:dyDescent="0.3">
      <c r="E13900"/>
    </row>
    <row r="13901" spans="5:5" x14ac:dyDescent="0.3">
      <c r="E13901"/>
    </row>
    <row r="13902" spans="5:5" x14ac:dyDescent="0.3">
      <c r="E13902"/>
    </row>
    <row r="13903" spans="5:5" x14ac:dyDescent="0.3">
      <c r="E13903"/>
    </row>
    <row r="13904" spans="5:5" x14ac:dyDescent="0.3">
      <c r="E13904"/>
    </row>
    <row r="13905" spans="5:5" x14ac:dyDescent="0.3">
      <c r="E13905"/>
    </row>
    <row r="13906" spans="5:5" x14ac:dyDescent="0.3">
      <c r="E13906"/>
    </row>
    <row r="13907" spans="5:5" x14ac:dyDescent="0.3">
      <c r="E13907"/>
    </row>
    <row r="13908" spans="5:5" x14ac:dyDescent="0.3">
      <c r="E13908"/>
    </row>
    <row r="13909" spans="5:5" x14ac:dyDescent="0.3">
      <c r="E13909"/>
    </row>
    <row r="13910" spans="5:5" x14ac:dyDescent="0.3">
      <c r="E13910"/>
    </row>
    <row r="13911" spans="5:5" x14ac:dyDescent="0.3">
      <c r="E13911"/>
    </row>
    <row r="13912" spans="5:5" x14ac:dyDescent="0.3">
      <c r="E13912"/>
    </row>
    <row r="13913" spans="5:5" x14ac:dyDescent="0.3">
      <c r="E13913"/>
    </row>
    <row r="13914" spans="5:5" x14ac:dyDescent="0.3">
      <c r="E13914"/>
    </row>
    <row r="13915" spans="5:5" x14ac:dyDescent="0.3">
      <c r="E13915"/>
    </row>
    <row r="13916" spans="5:5" x14ac:dyDescent="0.3">
      <c r="E13916"/>
    </row>
    <row r="13917" spans="5:5" x14ac:dyDescent="0.3">
      <c r="E13917"/>
    </row>
    <row r="13918" spans="5:5" x14ac:dyDescent="0.3">
      <c r="E13918"/>
    </row>
    <row r="13919" spans="5:5" x14ac:dyDescent="0.3">
      <c r="E13919"/>
    </row>
    <row r="13920" spans="5:5" x14ac:dyDescent="0.3">
      <c r="E13920"/>
    </row>
    <row r="13921" spans="5:5" x14ac:dyDescent="0.3">
      <c r="E13921"/>
    </row>
    <row r="13922" spans="5:5" x14ac:dyDescent="0.3">
      <c r="E13922"/>
    </row>
    <row r="13923" spans="5:5" x14ac:dyDescent="0.3">
      <c r="E13923"/>
    </row>
    <row r="13924" spans="5:5" x14ac:dyDescent="0.3">
      <c r="E13924"/>
    </row>
    <row r="13925" spans="5:5" x14ac:dyDescent="0.3">
      <c r="E13925"/>
    </row>
    <row r="13926" spans="5:5" x14ac:dyDescent="0.3">
      <c r="E13926"/>
    </row>
    <row r="13927" spans="5:5" x14ac:dyDescent="0.3">
      <c r="E13927"/>
    </row>
    <row r="13928" spans="5:5" x14ac:dyDescent="0.3">
      <c r="E13928"/>
    </row>
    <row r="13929" spans="5:5" x14ac:dyDescent="0.3">
      <c r="E13929"/>
    </row>
    <row r="13930" spans="5:5" x14ac:dyDescent="0.3">
      <c r="E13930"/>
    </row>
    <row r="13931" spans="5:5" x14ac:dyDescent="0.3">
      <c r="E13931"/>
    </row>
    <row r="13932" spans="5:5" x14ac:dyDescent="0.3">
      <c r="E13932"/>
    </row>
    <row r="13933" spans="5:5" x14ac:dyDescent="0.3">
      <c r="E13933"/>
    </row>
    <row r="13934" spans="5:5" x14ac:dyDescent="0.3">
      <c r="E13934"/>
    </row>
    <row r="13935" spans="5:5" x14ac:dyDescent="0.3">
      <c r="E13935"/>
    </row>
    <row r="13936" spans="5:5" x14ac:dyDescent="0.3">
      <c r="E13936"/>
    </row>
    <row r="13937" spans="5:5" x14ac:dyDescent="0.3">
      <c r="E13937"/>
    </row>
    <row r="13938" spans="5:5" x14ac:dyDescent="0.3">
      <c r="E13938"/>
    </row>
    <row r="13939" spans="5:5" x14ac:dyDescent="0.3">
      <c r="E13939"/>
    </row>
    <row r="13940" spans="5:5" x14ac:dyDescent="0.3">
      <c r="E13940"/>
    </row>
    <row r="13941" spans="5:5" x14ac:dyDescent="0.3">
      <c r="E13941"/>
    </row>
    <row r="13942" spans="5:5" x14ac:dyDescent="0.3">
      <c r="E13942"/>
    </row>
    <row r="13943" spans="5:5" x14ac:dyDescent="0.3">
      <c r="E13943"/>
    </row>
    <row r="13944" spans="5:5" x14ac:dyDescent="0.3">
      <c r="E13944"/>
    </row>
    <row r="13945" spans="5:5" x14ac:dyDescent="0.3">
      <c r="E13945"/>
    </row>
    <row r="13946" spans="5:5" x14ac:dyDescent="0.3">
      <c r="E13946"/>
    </row>
    <row r="13947" spans="5:5" x14ac:dyDescent="0.3">
      <c r="E13947"/>
    </row>
    <row r="13948" spans="5:5" x14ac:dyDescent="0.3">
      <c r="E13948"/>
    </row>
    <row r="13949" spans="5:5" x14ac:dyDescent="0.3">
      <c r="E13949"/>
    </row>
    <row r="13950" spans="5:5" x14ac:dyDescent="0.3">
      <c r="E13950"/>
    </row>
    <row r="13951" spans="5:5" x14ac:dyDescent="0.3">
      <c r="E13951"/>
    </row>
    <row r="13952" spans="5:5" x14ac:dyDescent="0.3">
      <c r="E13952"/>
    </row>
    <row r="13953" spans="5:5" x14ac:dyDescent="0.3">
      <c r="E13953"/>
    </row>
    <row r="13954" spans="5:5" x14ac:dyDescent="0.3">
      <c r="E13954"/>
    </row>
    <row r="13955" spans="5:5" x14ac:dyDescent="0.3">
      <c r="E13955"/>
    </row>
    <row r="13956" spans="5:5" x14ac:dyDescent="0.3">
      <c r="E13956"/>
    </row>
    <row r="13957" spans="5:5" x14ac:dyDescent="0.3">
      <c r="E13957"/>
    </row>
    <row r="13958" spans="5:5" x14ac:dyDescent="0.3">
      <c r="E13958"/>
    </row>
    <row r="13959" spans="5:5" x14ac:dyDescent="0.3">
      <c r="E13959"/>
    </row>
    <row r="13960" spans="5:5" x14ac:dyDescent="0.3">
      <c r="E13960"/>
    </row>
    <row r="13961" spans="5:5" x14ac:dyDescent="0.3">
      <c r="E13961"/>
    </row>
    <row r="13962" spans="5:5" x14ac:dyDescent="0.3">
      <c r="E13962"/>
    </row>
    <row r="13963" spans="5:5" x14ac:dyDescent="0.3">
      <c r="E13963"/>
    </row>
    <row r="13964" spans="5:5" x14ac:dyDescent="0.3">
      <c r="E13964"/>
    </row>
    <row r="13965" spans="5:5" x14ac:dyDescent="0.3">
      <c r="E13965"/>
    </row>
    <row r="13966" spans="5:5" x14ac:dyDescent="0.3">
      <c r="E13966"/>
    </row>
    <row r="13967" spans="5:5" x14ac:dyDescent="0.3">
      <c r="E13967"/>
    </row>
    <row r="13968" spans="5:5" x14ac:dyDescent="0.3">
      <c r="E13968"/>
    </row>
    <row r="13969" spans="5:5" x14ac:dyDescent="0.3">
      <c r="E13969"/>
    </row>
    <row r="13970" spans="5:5" x14ac:dyDescent="0.3">
      <c r="E13970"/>
    </row>
    <row r="13971" spans="5:5" x14ac:dyDescent="0.3">
      <c r="E13971"/>
    </row>
    <row r="13972" spans="5:5" x14ac:dyDescent="0.3">
      <c r="E13972"/>
    </row>
    <row r="13973" spans="5:5" x14ac:dyDescent="0.3">
      <c r="E13973"/>
    </row>
    <row r="13974" spans="5:5" x14ac:dyDescent="0.3">
      <c r="E13974"/>
    </row>
    <row r="13975" spans="5:5" x14ac:dyDescent="0.3">
      <c r="E13975"/>
    </row>
    <row r="13976" spans="5:5" x14ac:dyDescent="0.3">
      <c r="E13976"/>
    </row>
    <row r="13977" spans="5:5" x14ac:dyDescent="0.3">
      <c r="E13977"/>
    </row>
    <row r="13978" spans="5:5" x14ac:dyDescent="0.3">
      <c r="E13978"/>
    </row>
    <row r="13979" spans="5:5" x14ac:dyDescent="0.3">
      <c r="E13979"/>
    </row>
    <row r="13980" spans="5:5" x14ac:dyDescent="0.3">
      <c r="E13980"/>
    </row>
    <row r="13981" spans="5:5" x14ac:dyDescent="0.3">
      <c r="E13981"/>
    </row>
    <row r="13982" spans="5:5" x14ac:dyDescent="0.3">
      <c r="E13982"/>
    </row>
    <row r="13983" spans="5:5" x14ac:dyDescent="0.3">
      <c r="E13983"/>
    </row>
    <row r="13984" spans="5:5" x14ac:dyDescent="0.3">
      <c r="E13984"/>
    </row>
    <row r="13985" spans="5:5" x14ac:dyDescent="0.3">
      <c r="E13985"/>
    </row>
    <row r="13986" spans="5:5" x14ac:dyDescent="0.3">
      <c r="E13986"/>
    </row>
    <row r="13987" spans="5:5" x14ac:dyDescent="0.3">
      <c r="E13987"/>
    </row>
    <row r="13988" spans="5:5" x14ac:dyDescent="0.3">
      <c r="E13988"/>
    </row>
    <row r="13989" spans="5:5" x14ac:dyDescent="0.3">
      <c r="E13989"/>
    </row>
    <row r="13990" spans="5:5" x14ac:dyDescent="0.3">
      <c r="E13990"/>
    </row>
    <row r="13991" spans="5:5" x14ac:dyDescent="0.3">
      <c r="E13991"/>
    </row>
    <row r="13992" spans="5:5" x14ac:dyDescent="0.3">
      <c r="E13992"/>
    </row>
    <row r="13993" spans="5:5" x14ac:dyDescent="0.3">
      <c r="E13993"/>
    </row>
    <row r="13994" spans="5:5" x14ac:dyDescent="0.3">
      <c r="E13994"/>
    </row>
    <row r="13995" spans="5:5" x14ac:dyDescent="0.3">
      <c r="E13995"/>
    </row>
    <row r="13996" spans="5:5" x14ac:dyDescent="0.3">
      <c r="E13996"/>
    </row>
    <row r="13997" spans="5:5" x14ac:dyDescent="0.3">
      <c r="E13997"/>
    </row>
    <row r="13998" spans="5:5" x14ac:dyDescent="0.3">
      <c r="E13998"/>
    </row>
    <row r="13999" spans="5:5" x14ac:dyDescent="0.3">
      <c r="E13999"/>
    </row>
    <row r="14000" spans="5:5" x14ac:dyDescent="0.3">
      <c r="E14000"/>
    </row>
    <row r="14001" spans="5:5" x14ac:dyDescent="0.3">
      <c r="E14001"/>
    </row>
    <row r="14002" spans="5:5" x14ac:dyDescent="0.3">
      <c r="E14002"/>
    </row>
    <row r="14003" spans="5:5" x14ac:dyDescent="0.3">
      <c r="E14003"/>
    </row>
    <row r="14004" spans="5:5" x14ac:dyDescent="0.3">
      <c r="E14004"/>
    </row>
    <row r="14005" spans="5:5" x14ac:dyDescent="0.3">
      <c r="E14005"/>
    </row>
    <row r="14006" spans="5:5" x14ac:dyDescent="0.3">
      <c r="E14006"/>
    </row>
    <row r="14007" spans="5:5" x14ac:dyDescent="0.3">
      <c r="E14007"/>
    </row>
    <row r="14008" spans="5:5" x14ac:dyDescent="0.3">
      <c r="E14008"/>
    </row>
    <row r="14009" spans="5:5" x14ac:dyDescent="0.3">
      <c r="E14009"/>
    </row>
    <row r="14010" spans="5:5" x14ac:dyDescent="0.3">
      <c r="E14010"/>
    </row>
    <row r="14011" spans="5:5" x14ac:dyDescent="0.3">
      <c r="E14011"/>
    </row>
    <row r="14012" spans="5:5" x14ac:dyDescent="0.3">
      <c r="E14012"/>
    </row>
    <row r="14013" spans="5:5" x14ac:dyDescent="0.3">
      <c r="E14013"/>
    </row>
    <row r="14014" spans="5:5" x14ac:dyDescent="0.3">
      <c r="E14014"/>
    </row>
    <row r="14015" spans="5:5" x14ac:dyDescent="0.3">
      <c r="E14015"/>
    </row>
    <row r="14016" spans="5:5" x14ac:dyDescent="0.3">
      <c r="E14016"/>
    </row>
    <row r="14017" spans="5:5" x14ac:dyDescent="0.3">
      <c r="E14017"/>
    </row>
    <row r="14018" spans="5:5" x14ac:dyDescent="0.3">
      <c r="E14018"/>
    </row>
    <row r="14019" spans="5:5" x14ac:dyDescent="0.3">
      <c r="E14019"/>
    </row>
    <row r="14020" spans="5:5" x14ac:dyDescent="0.3">
      <c r="E14020"/>
    </row>
    <row r="14021" spans="5:5" x14ac:dyDescent="0.3">
      <c r="E14021"/>
    </row>
    <row r="14022" spans="5:5" x14ac:dyDescent="0.3">
      <c r="E14022"/>
    </row>
    <row r="14023" spans="5:5" x14ac:dyDescent="0.3">
      <c r="E14023"/>
    </row>
    <row r="14024" spans="5:5" x14ac:dyDescent="0.3">
      <c r="E14024"/>
    </row>
    <row r="14025" spans="5:5" x14ac:dyDescent="0.3">
      <c r="E14025"/>
    </row>
    <row r="14026" spans="5:5" x14ac:dyDescent="0.3">
      <c r="E14026"/>
    </row>
    <row r="14027" spans="5:5" x14ac:dyDescent="0.3">
      <c r="E14027"/>
    </row>
    <row r="14028" spans="5:5" x14ac:dyDescent="0.3">
      <c r="E14028"/>
    </row>
    <row r="14029" spans="5:5" x14ac:dyDescent="0.3">
      <c r="E14029"/>
    </row>
    <row r="14030" spans="5:5" x14ac:dyDescent="0.3">
      <c r="E14030"/>
    </row>
    <row r="14031" spans="5:5" x14ac:dyDescent="0.3">
      <c r="E14031"/>
    </row>
    <row r="14032" spans="5:5" x14ac:dyDescent="0.3">
      <c r="E14032"/>
    </row>
    <row r="14033" spans="5:5" x14ac:dyDescent="0.3">
      <c r="E14033"/>
    </row>
    <row r="14034" spans="5:5" x14ac:dyDescent="0.3">
      <c r="E14034"/>
    </row>
    <row r="14035" spans="5:5" x14ac:dyDescent="0.3">
      <c r="E14035"/>
    </row>
    <row r="14036" spans="5:5" x14ac:dyDescent="0.3">
      <c r="E14036"/>
    </row>
    <row r="14037" spans="5:5" x14ac:dyDescent="0.3">
      <c r="E14037"/>
    </row>
    <row r="14038" spans="5:5" x14ac:dyDescent="0.3">
      <c r="E14038"/>
    </row>
    <row r="14039" spans="5:5" x14ac:dyDescent="0.3">
      <c r="E14039"/>
    </row>
    <row r="14040" spans="5:5" x14ac:dyDescent="0.3">
      <c r="E14040"/>
    </row>
    <row r="14041" spans="5:5" x14ac:dyDescent="0.3">
      <c r="E14041"/>
    </row>
    <row r="14042" spans="5:5" x14ac:dyDescent="0.3">
      <c r="E14042"/>
    </row>
    <row r="14043" spans="5:5" x14ac:dyDescent="0.3">
      <c r="E14043"/>
    </row>
    <row r="14044" spans="5:5" x14ac:dyDescent="0.3">
      <c r="E14044"/>
    </row>
    <row r="14045" spans="5:5" x14ac:dyDescent="0.3">
      <c r="E14045"/>
    </row>
    <row r="14046" spans="5:5" x14ac:dyDescent="0.3">
      <c r="E14046"/>
    </row>
    <row r="14047" spans="5:5" x14ac:dyDescent="0.3">
      <c r="E14047"/>
    </row>
    <row r="14048" spans="5:5" x14ac:dyDescent="0.3">
      <c r="E14048"/>
    </row>
    <row r="14049" spans="5:5" x14ac:dyDescent="0.3">
      <c r="E14049"/>
    </row>
    <row r="14050" spans="5:5" x14ac:dyDescent="0.3">
      <c r="E14050"/>
    </row>
    <row r="14051" spans="5:5" x14ac:dyDescent="0.3">
      <c r="E14051"/>
    </row>
    <row r="14052" spans="5:5" x14ac:dyDescent="0.3">
      <c r="E14052"/>
    </row>
    <row r="14053" spans="5:5" x14ac:dyDescent="0.3">
      <c r="E14053"/>
    </row>
    <row r="14054" spans="5:5" x14ac:dyDescent="0.3">
      <c r="E14054"/>
    </row>
    <row r="14055" spans="5:5" x14ac:dyDescent="0.3">
      <c r="E14055"/>
    </row>
    <row r="14056" spans="5:5" x14ac:dyDescent="0.3">
      <c r="E14056"/>
    </row>
    <row r="14057" spans="5:5" x14ac:dyDescent="0.3">
      <c r="E14057"/>
    </row>
    <row r="14058" spans="5:5" x14ac:dyDescent="0.3">
      <c r="E14058"/>
    </row>
    <row r="14059" spans="5:5" x14ac:dyDescent="0.3">
      <c r="E14059"/>
    </row>
    <row r="14060" spans="5:5" x14ac:dyDescent="0.3">
      <c r="E14060"/>
    </row>
    <row r="14061" spans="5:5" x14ac:dyDescent="0.3">
      <c r="E14061"/>
    </row>
    <row r="14062" spans="5:5" x14ac:dyDescent="0.3">
      <c r="E14062"/>
    </row>
    <row r="14063" spans="5:5" x14ac:dyDescent="0.3">
      <c r="E14063"/>
    </row>
    <row r="14064" spans="5:5" x14ac:dyDescent="0.3">
      <c r="E14064"/>
    </row>
    <row r="14065" spans="5:5" x14ac:dyDescent="0.3">
      <c r="E14065"/>
    </row>
    <row r="14066" spans="5:5" x14ac:dyDescent="0.3">
      <c r="E14066"/>
    </row>
    <row r="14067" spans="5:5" x14ac:dyDescent="0.3">
      <c r="E14067"/>
    </row>
    <row r="14068" spans="5:5" x14ac:dyDescent="0.3">
      <c r="E14068"/>
    </row>
    <row r="14069" spans="5:5" x14ac:dyDescent="0.3">
      <c r="E14069"/>
    </row>
    <row r="14070" spans="5:5" x14ac:dyDescent="0.3">
      <c r="E14070"/>
    </row>
    <row r="14071" spans="5:5" x14ac:dyDescent="0.3">
      <c r="E14071"/>
    </row>
    <row r="14072" spans="5:5" x14ac:dyDescent="0.3">
      <c r="E14072"/>
    </row>
    <row r="14073" spans="5:5" x14ac:dyDescent="0.3">
      <c r="E14073"/>
    </row>
    <row r="14074" spans="5:5" x14ac:dyDescent="0.3">
      <c r="E14074"/>
    </row>
    <row r="14075" spans="5:5" x14ac:dyDescent="0.3">
      <c r="E14075"/>
    </row>
    <row r="14076" spans="5:5" x14ac:dyDescent="0.3">
      <c r="E14076"/>
    </row>
    <row r="14077" spans="5:5" x14ac:dyDescent="0.3">
      <c r="E14077"/>
    </row>
    <row r="14078" spans="5:5" x14ac:dyDescent="0.3">
      <c r="E14078"/>
    </row>
    <row r="14079" spans="5:5" x14ac:dyDescent="0.3">
      <c r="E14079"/>
    </row>
    <row r="14080" spans="5:5" x14ac:dyDescent="0.3">
      <c r="E14080"/>
    </row>
    <row r="14081" spans="5:5" x14ac:dyDescent="0.3">
      <c r="E14081"/>
    </row>
    <row r="14082" spans="5:5" x14ac:dyDescent="0.3">
      <c r="E14082"/>
    </row>
    <row r="14083" spans="5:5" x14ac:dyDescent="0.3">
      <c r="E14083"/>
    </row>
    <row r="14084" spans="5:5" x14ac:dyDescent="0.3">
      <c r="E14084"/>
    </row>
    <row r="14085" spans="5:5" x14ac:dyDescent="0.3">
      <c r="E14085"/>
    </row>
    <row r="14086" spans="5:5" x14ac:dyDescent="0.3">
      <c r="E14086"/>
    </row>
    <row r="14087" spans="5:5" x14ac:dyDescent="0.3">
      <c r="E14087"/>
    </row>
    <row r="14088" spans="5:5" x14ac:dyDescent="0.3">
      <c r="E14088"/>
    </row>
    <row r="14089" spans="5:5" x14ac:dyDescent="0.3">
      <c r="E14089"/>
    </row>
    <row r="14090" spans="5:5" x14ac:dyDescent="0.3">
      <c r="E14090"/>
    </row>
    <row r="14091" spans="5:5" x14ac:dyDescent="0.3">
      <c r="E14091"/>
    </row>
    <row r="14092" spans="5:5" x14ac:dyDescent="0.3">
      <c r="E14092"/>
    </row>
    <row r="14093" spans="5:5" x14ac:dyDescent="0.3">
      <c r="E14093"/>
    </row>
    <row r="14094" spans="5:5" x14ac:dyDescent="0.3">
      <c r="E14094"/>
    </row>
    <row r="14095" spans="5:5" x14ac:dyDescent="0.3">
      <c r="E14095"/>
    </row>
    <row r="14096" spans="5:5" x14ac:dyDescent="0.3">
      <c r="E14096"/>
    </row>
    <row r="14097" spans="5:5" x14ac:dyDescent="0.3">
      <c r="E14097"/>
    </row>
    <row r="14098" spans="5:5" x14ac:dyDescent="0.3">
      <c r="E14098"/>
    </row>
    <row r="14099" spans="5:5" x14ac:dyDescent="0.3">
      <c r="E14099"/>
    </row>
    <row r="14100" spans="5:5" x14ac:dyDescent="0.3">
      <c r="E14100"/>
    </row>
    <row r="14101" spans="5:5" x14ac:dyDescent="0.3">
      <c r="E14101"/>
    </row>
    <row r="14102" spans="5:5" x14ac:dyDescent="0.3">
      <c r="E14102"/>
    </row>
    <row r="14103" spans="5:5" x14ac:dyDescent="0.3">
      <c r="E14103"/>
    </row>
    <row r="14104" spans="5:5" x14ac:dyDescent="0.3">
      <c r="E14104"/>
    </row>
    <row r="14105" spans="5:5" x14ac:dyDescent="0.3">
      <c r="E14105"/>
    </row>
    <row r="14106" spans="5:5" x14ac:dyDescent="0.3">
      <c r="E14106"/>
    </row>
    <row r="14107" spans="5:5" x14ac:dyDescent="0.3">
      <c r="E14107"/>
    </row>
    <row r="14108" spans="5:5" x14ac:dyDescent="0.3">
      <c r="E14108"/>
    </row>
    <row r="14109" spans="5:5" x14ac:dyDescent="0.3">
      <c r="E14109"/>
    </row>
    <row r="14110" spans="5:5" x14ac:dyDescent="0.3">
      <c r="E14110"/>
    </row>
    <row r="14111" spans="5:5" x14ac:dyDescent="0.3">
      <c r="E14111"/>
    </row>
    <row r="14112" spans="5:5" x14ac:dyDescent="0.3">
      <c r="E14112"/>
    </row>
    <row r="14113" spans="5:5" x14ac:dyDescent="0.3">
      <c r="E14113"/>
    </row>
    <row r="14114" spans="5:5" x14ac:dyDescent="0.3">
      <c r="E14114"/>
    </row>
    <row r="14115" spans="5:5" x14ac:dyDescent="0.3">
      <c r="E14115"/>
    </row>
    <row r="14116" spans="5:5" x14ac:dyDescent="0.3">
      <c r="E14116"/>
    </row>
    <row r="14117" spans="5:5" x14ac:dyDescent="0.3">
      <c r="E14117"/>
    </row>
    <row r="14118" spans="5:5" x14ac:dyDescent="0.3">
      <c r="E14118"/>
    </row>
    <row r="14119" spans="5:5" x14ac:dyDescent="0.3">
      <c r="E14119"/>
    </row>
    <row r="14120" spans="5:5" x14ac:dyDescent="0.3">
      <c r="E14120"/>
    </row>
    <row r="14121" spans="5:5" x14ac:dyDescent="0.3">
      <c r="E14121"/>
    </row>
    <row r="14122" spans="5:5" x14ac:dyDescent="0.3">
      <c r="E14122"/>
    </row>
    <row r="14123" spans="5:5" x14ac:dyDescent="0.3">
      <c r="E14123"/>
    </row>
    <row r="14124" spans="5:5" x14ac:dyDescent="0.3">
      <c r="E14124"/>
    </row>
    <row r="14125" spans="5:5" x14ac:dyDescent="0.3">
      <c r="E14125"/>
    </row>
    <row r="14126" spans="5:5" x14ac:dyDescent="0.3">
      <c r="E14126"/>
    </row>
    <row r="14127" spans="5:5" x14ac:dyDescent="0.3">
      <c r="E14127"/>
    </row>
    <row r="14128" spans="5:5" x14ac:dyDescent="0.3">
      <c r="E14128"/>
    </row>
    <row r="14129" spans="5:5" x14ac:dyDescent="0.3">
      <c r="E14129"/>
    </row>
    <row r="14130" spans="5:5" x14ac:dyDescent="0.3">
      <c r="E14130"/>
    </row>
    <row r="14131" spans="5:5" x14ac:dyDescent="0.3">
      <c r="E14131"/>
    </row>
    <row r="14132" spans="5:5" x14ac:dyDescent="0.3">
      <c r="E14132"/>
    </row>
    <row r="14133" spans="5:5" x14ac:dyDescent="0.3">
      <c r="E14133"/>
    </row>
    <row r="14134" spans="5:5" x14ac:dyDescent="0.3">
      <c r="E14134"/>
    </row>
    <row r="14135" spans="5:5" x14ac:dyDescent="0.3">
      <c r="E14135"/>
    </row>
    <row r="14136" spans="5:5" x14ac:dyDescent="0.3">
      <c r="E14136"/>
    </row>
    <row r="14137" spans="5:5" x14ac:dyDescent="0.3">
      <c r="E14137"/>
    </row>
    <row r="14138" spans="5:5" x14ac:dyDescent="0.3">
      <c r="E14138"/>
    </row>
    <row r="14139" spans="5:5" x14ac:dyDescent="0.3">
      <c r="E14139"/>
    </row>
    <row r="14140" spans="5:5" x14ac:dyDescent="0.3">
      <c r="E14140"/>
    </row>
    <row r="14141" spans="5:5" x14ac:dyDescent="0.3">
      <c r="E14141"/>
    </row>
    <row r="14142" spans="5:5" x14ac:dyDescent="0.3">
      <c r="E14142"/>
    </row>
    <row r="14143" spans="5:5" x14ac:dyDescent="0.3">
      <c r="E14143"/>
    </row>
    <row r="14144" spans="5:5" x14ac:dyDescent="0.3">
      <c r="E14144"/>
    </row>
    <row r="14145" spans="5:5" x14ac:dyDescent="0.3">
      <c r="E14145"/>
    </row>
    <row r="14146" spans="5:5" x14ac:dyDescent="0.3">
      <c r="E14146"/>
    </row>
    <row r="14147" spans="5:5" x14ac:dyDescent="0.3">
      <c r="E14147"/>
    </row>
    <row r="14148" spans="5:5" x14ac:dyDescent="0.3">
      <c r="E14148"/>
    </row>
    <row r="14149" spans="5:5" x14ac:dyDescent="0.3">
      <c r="E14149"/>
    </row>
    <row r="14150" spans="5:5" x14ac:dyDescent="0.3">
      <c r="E14150"/>
    </row>
    <row r="14151" spans="5:5" x14ac:dyDescent="0.3">
      <c r="E14151"/>
    </row>
    <row r="14152" spans="5:5" x14ac:dyDescent="0.3">
      <c r="E14152"/>
    </row>
    <row r="14153" spans="5:5" x14ac:dyDescent="0.3">
      <c r="E14153"/>
    </row>
    <row r="14154" spans="5:5" x14ac:dyDescent="0.3">
      <c r="E14154"/>
    </row>
    <row r="14155" spans="5:5" x14ac:dyDescent="0.3">
      <c r="E14155"/>
    </row>
    <row r="14156" spans="5:5" x14ac:dyDescent="0.3">
      <c r="E14156"/>
    </row>
    <row r="14157" spans="5:5" x14ac:dyDescent="0.3">
      <c r="E14157"/>
    </row>
    <row r="14158" spans="5:5" x14ac:dyDescent="0.3">
      <c r="E14158"/>
    </row>
    <row r="14159" spans="5:5" x14ac:dyDescent="0.3">
      <c r="E14159"/>
    </row>
    <row r="14160" spans="5:5" x14ac:dyDescent="0.3">
      <c r="E14160"/>
    </row>
    <row r="14161" spans="5:5" x14ac:dyDescent="0.3">
      <c r="E14161"/>
    </row>
    <row r="14162" spans="5:5" x14ac:dyDescent="0.3">
      <c r="E14162"/>
    </row>
    <row r="14163" spans="5:5" x14ac:dyDescent="0.3">
      <c r="E14163"/>
    </row>
    <row r="14164" spans="5:5" x14ac:dyDescent="0.3">
      <c r="E14164"/>
    </row>
    <row r="14165" spans="5:5" x14ac:dyDescent="0.3">
      <c r="E14165"/>
    </row>
    <row r="14166" spans="5:5" x14ac:dyDescent="0.3">
      <c r="E14166"/>
    </row>
    <row r="14167" spans="5:5" x14ac:dyDescent="0.3">
      <c r="E14167"/>
    </row>
    <row r="14168" spans="5:5" x14ac:dyDescent="0.3">
      <c r="E14168"/>
    </row>
    <row r="14169" spans="5:5" x14ac:dyDescent="0.3">
      <c r="E14169"/>
    </row>
    <row r="14170" spans="5:5" x14ac:dyDescent="0.3">
      <c r="E14170"/>
    </row>
    <row r="14171" spans="5:5" x14ac:dyDescent="0.3">
      <c r="E14171"/>
    </row>
    <row r="14172" spans="5:5" x14ac:dyDescent="0.3">
      <c r="E14172"/>
    </row>
    <row r="14173" spans="5:5" x14ac:dyDescent="0.3">
      <c r="E14173"/>
    </row>
    <row r="14174" spans="5:5" x14ac:dyDescent="0.3">
      <c r="E14174"/>
    </row>
    <row r="14175" spans="5:5" x14ac:dyDescent="0.3">
      <c r="E14175"/>
    </row>
    <row r="14176" spans="5:5" x14ac:dyDescent="0.3">
      <c r="E14176"/>
    </row>
    <row r="14177" spans="5:5" x14ac:dyDescent="0.3">
      <c r="E14177"/>
    </row>
    <row r="14178" spans="5:5" x14ac:dyDescent="0.3">
      <c r="E14178"/>
    </row>
    <row r="14179" spans="5:5" x14ac:dyDescent="0.3">
      <c r="E14179"/>
    </row>
    <row r="14180" spans="5:5" x14ac:dyDescent="0.3">
      <c r="E14180"/>
    </row>
    <row r="14181" spans="5:5" x14ac:dyDescent="0.3">
      <c r="E14181"/>
    </row>
    <row r="14182" spans="5:5" x14ac:dyDescent="0.3">
      <c r="E14182"/>
    </row>
    <row r="14183" spans="5:5" x14ac:dyDescent="0.3">
      <c r="E14183"/>
    </row>
    <row r="14184" spans="5:5" x14ac:dyDescent="0.3">
      <c r="E14184"/>
    </row>
    <row r="14185" spans="5:5" x14ac:dyDescent="0.3">
      <c r="E14185"/>
    </row>
    <row r="14186" spans="5:5" x14ac:dyDescent="0.3">
      <c r="E14186"/>
    </row>
    <row r="14187" spans="5:5" x14ac:dyDescent="0.3">
      <c r="E14187"/>
    </row>
    <row r="14188" spans="5:5" x14ac:dyDescent="0.3">
      <c r="E14188"/>
    </row>
    <row r="14189" spans="5:5" x14ac:dyDescent="0.3">
      <c r="E14189"/>
    </row>
    <row r="14190" spans="5:5" x14ac:dyDescent="0.3">
      <c r="E14190"/>
    </row>
    <row r="14191" spans="5:5" x14ac:dyDescent="0.3">
      <c r="E14191"/>
    </row>
    <row r="14192" spans="5:5" x14ac:dyDescent="0.3">
      <c r="E14192"/>
    </row>
    <row r="14193" spans="5:5" x14ac:dyDescent="0.3">
      <c r="E14193"/>
    </row>
    <row r="14194" spans="5:5" x14ac:dyDescent="0.3">
      <c r="E14194"/>
    </row>
    <row r="14195" spans="5:5" x14ac:dyDescent="0.3">
      <c r="E14195"/>
    </row>
    <row r="14196" spans="5:5" x14ac:dyDescent="0.3">
      <c r="E14196"/>
    </row>
    <row r="14197" spans="5:5" x14ac:dyDescent="0.3">
      <c r="E14197"/>
    </row>
    <row r="14198" spans="5:5" x14ac:dyDescent="0.3">
      <c r="E14198"/>
    </row>
    <row r="14199" spans="5:5" x14ac:dyDescent="0.3">
      <c r="E14199"/>
    </row>
    <row r="14200" spans="5:5" x14ac:dyDescent="0.3">
      <c r="E14200"/>
    </row>
    <row r="14201" spans="5:5" x14ac:dyDescent="0.3">
      <c r="E14201"/>
    </row>
    <row r="14202" spans="5:5" x14ac:dyDescent="0.3">
      <c r="E14202"/>
    </row>
    <row r="14203" spans="5:5" x14ac:dyDescent="0.3">
      <c r="E14203"/>
    </row>
    <row r="14204" spans="5:5" x14ac:dyDescent="0.3">
      <c r="E14204"/>
    </row>
    <row r="14205" spans="5:5" x14ac:dyDescent="0.3">
      <c r="E14205"/>
    </row>
    <row r="14206" spans="5:5" x14ac:dyDescent="0.3">
      <c r="E14206"/>
    </row>
    <row r="14207" spans="5:5" x14ac:dyDescent="0.3">
      <c r="E14207"/>
    </row>
    <row r="14208" spans="5:5" x14ac:dyDescent="0.3">
      <c r="E14208"/>
    </row>
    <row r="14209" spans="5:5" x14ac:dyDescent="0.3">
      <c r="E14209"/>
    </row>
    <row r="14210" spans="5:5" x14ac:dyDescent="0.3">
      <c r="E14210"/>
    </row>
    <row r="14211" spans="5:5" x14ac:dyDescent="0.3">
      <c r="E14211"/>
    </row>
    <row r="14212" spans="5:5" x14ac:dyDescent="0.3">
      <c r="E14212"/>
    </row>
    <row r="14213" spans="5:5" x14ac:dyDescent="0.3">
      <c r="E14213"/>
    </row>
    <row r="14214" spans="5:5" x14ac:dyDescent="0.3">
      <c r="E14214"/>
    </row>
    <row r="14215" spans="5:5" x14ac:dyDescent="0.3">
      <c r="E14215"/>
    </row>
    <row r="14216" spans="5:5" x14ac:dyDescent="0.3">
      <c r="E14216"/>
    </row>
    <row r="14217" spans="5:5" x14ac:dyDescent="0.3">
      <c r="E14217"/>
    </row>
    <row r="14218" spans="5:5" x14ac:dyDescent="0.3">
      <c r="E14218"/>
    </row>
    <row r="14219" spans="5:5" x14ac:dyDescent="0.3">
      <c r="E14219"/>
    </row>
    <row r="14220" spans="5:5" x14ac:dyDescent="0.3">
      <c r="E14220"/>
    </row>
    <row r="14221" spans="5:5" x14ac:dyDescent="0.3">
      <c r="E14221"/>
    </row>
    <row r="14222" spans="5:5" x14ac:dyDescent="0.3">
      <c r="E14222"/>
    </row>
    <row r="14223" spans="5:5" x14ac:dyDescent="0.3">
      <c r="E14223"/>
    </row>
    <row r="14224" spans="5:5" x14ac:dyDescent="0.3">
      <c r="E14224"/>
    </row>
    <row r="14225" spans="5:5" x14ac:dyDescent="0.3">
      <c r="E14225"/>
    </row>
    <row r="14226" spans="5:5" x14ac:dyDescent="0.3">
      <c r="E14226"/>
    </row>
    <row r="14227" spans="5:5" x14ac:dyDescent="0.3">
      <c r="E14227"/>
    </row>
    <row r="14228" spans="5:5" x14ac:dyDescent="0.3">
      <c r="E14228"/>
    </row>
    <row r="14229" spans="5:5" x14ac:dyDescent="0.3">
      <c r="E14229"/>
    </row>
    <row r="14230" spans="5:5" x14ac:dyDescent="0.3">
      <c r="E14230"/>
    </row>
    <row r="14231" spans="5:5" x14ac:dyDescent="0.3">
      <c r="E14231"/>
    </row>
    <row r="14232" spans="5:5" x14ac:dyDescent="0.3">
      <c r="E14232"/>
    </row>
    <row r="14233" spans="5:5" x14ac:dyDescent="0.3">
      <c r="E14233"/>
    </row>
    <row r="14234" spans="5:5" x14ac:dyDescent="0.3">
      <c r="E14234"/>
    </row>
    <row r="14235" spans="5:5" x14ac:dyDescent="0.3">
      <c r="E14235"/>
    </row>
    <row r="14236" spans="5:5" x14ac:dyDescent="0.3">
      <c r="E14236"/>
    </row>
    <row r="14237" spans="5:5" x14ac:dyDescent="0.3">
      <c r="E14237"/>
    </row>
    <row r="14238" spans="5:5" x14ac:dyDescent="0.3">
      <c r="E14238"/>
    </row>
    <row r="14239" spans="5:5" x14ac:dyDescent="0.3">
      <c r="E14239"/>
    </row>
    <row r="14240" spans="5:5" x14ac:dyDescent="0.3">
      <c r="E14240"/>
    </row>
    <row r="14241" spans="5:5" x14ac:dyDescent="0.3">
      <c r="E14241"/>
    </row>
    <row r="14242" spans="5:5" x14ac:dyDescent="0.3">
      <c r="E14242"/>
    </row>
    <row r="14243" spans="5:5" x14ac:dyDescent="0.3">
      <c r="E14243"/>
    </row>
    <row r="14244" spans="5:5" x14ac:dyDescent="0.3">
      <c r="E14244"/>
    </row>
    <row r="14245" spans="5:5" x14ac:dyDescent="0.3">
      <c r="E14245"/>
    </row>
    <row r="14246" spans="5:5" x14ac:dyDescent="0.3">
      <c r="E14246"/>
    </row>
    <row r="14247" spans="5:5" x14ac:dyDescent="0.3">
      <c r="E14247"/>
    </row>
    <row r="14248" spans="5:5" x14ac:dyDescent="0.3">
      <c r="E14248"/>
    </row>
    <row r="14249" spans="5:5" x14ac:dyDescent="0.3">
      <c r="E14249"/>
    </row>
    <row r="14250" spans="5:5" x14ac:dyDescent="0.3">
      <c r="E14250"/>
    </row>
    <row r="14251" spans="5:5" x14ac:dyDescent="0.3">
      <c r="E14251"/>
    </row>
    <row r="14252" spans="5:5" x14ac:dyDescent="0.3">
      <c r="E14252"/>
    </row>
    <row r="14253" spans="5:5" x14ac:dyDescent="0.3">
      <c r="E14253"/>
    </row>
    <row r="14254" spans="5:5" x14ac:dyDescent="0.3">
      <c r="E14254"/>
    </row>
    <row r="14255" spans="5:5" x14ac:dyDescent="0.3">
      <c r="E14255"/>
    </row>
    <row r="14256" spans="5:5" x14ac:dyDescent="0.3">
      <c r="E14256"/>
    </row>
    <row r="14257" spans="5:5" x14ac:dyDescent="0.3">
      <c r="E14257"/>
    </row>
    <row r="14258" spans="5:5" x14ac:dyDescent="0.3">
      <c r="E14258"/>
    </row>
    <row r="14259" spans="5:5" x14ac:dyDescent="0.3">
      <c r="E14259"/>
    </row>
    <row r="14260" spans="5:5" x14ac:dyDescent="0.3">
      <c r="E14260"/>
    </row>
    <row r="14261" spans="5:5" x14ac:dyDescent="0.3">
      <c r="E14261"/>
    </row>
    <row r="14262" spans="5:5" x14ac:dyDescent="0.3">
      <c r="E14262"/>
    </row>
    <row r="14263" spans="5:5" x14ac:dyDescent="0.3">
      <c r="E14263"/>
    </row>
    <row r="14264" spans="5:5" x14ac:dyDescent="0.3">
      <c r="E14264"/>
    </row>
    <row r="14265" spans="5:5" x14ac:dyDescent="0.3">
      <c r="E14265"/>
    </row>
    <row r="14266" spans="5:5" x14ac:dyDescent="0.3">
      <c r="E14266"/>
    </row>
    <row r="14267" spans="5:5" x14ac:dyDescent="0.3">
      <c r="E14267"/>
    </row>
    <row r="14268" spans="5:5" x14ac:dyDescent="0.3">
      <c r="E14268"/>
    </row>
    <row r="14269" spans="5:5" x14ac:dyDescent="0.3">
      <c r="E14269"/>
    </row>
    <row r="14270" spans="5:5" x14ac:dyDescent="0.3">
      <c r="E14270"/>
    </row>
    <row r="14271" spans="5:5" x14ac:dyDescent="0.3">
      <c r="E14271"/>
    </row>
    <row r="14272" spans="5:5" x14ac:dyDescent="0.3">
      <c r="E14272"/>
    </row>
    <row r="14273" spans="5:5" x14ac:dyDescent="0.3">
      <c r="E14273"/>
    </row>
    <row r="14274" spans="5:5" x14ac:dyDescent="0.3">
      <c r="E14274"/>
    </row>
    <row r="14275" spans="5:5" x14ac:dyDescent="0.3">
      <c r="E14275"/>
    </row>
    <row r="14276" spans="5:5" x14ac:dyDescent="0.3">
      <c r="E14276"/>
    </row>
    <row r="14277" spans="5:5" x14ac:dyDescent="0.3">
      <c r="E14277"/>
    </row>
    <row r="14278" spans="5:5" x14ac:dyDescent="0.3">
      <c r="E14278"/>
    </row>
    <row r="14279" spans="5:5" x14ac:dyDescent="0.3">
      <c r="E14279"/>
    </row>
    <row r="14280" spans="5:5" x14ac:dyDescent="0.3">
      <c r="E14280"/>
    </row>
    <row r="14281" spans="5:5" x14ac:dyDescent="0.3">
      <c r="E14281"/>
    </row>
    <row r="14282" spans="5:5" x14ac:dyDescent="0.3">
      <c r="E14282"/>
    </row>
    <row r="14283" spans="5:5" x14ac:dyDescent="0.3">
      <c r="E14283"/>
    </row>
    <row r="14284" spans="5:5" x14ac:dyDescent="0.3">
      <c r="E14284"/>
    </row>
    <row r="14285" spans="5:5" x14ac:dyDescent="0.3">
      <c r="E14285"/>
    </row>
    <row r="14286" spans="5:5" x14ac:dyDescent="0.3">
      <c r="E14286"/>
    </row>
    <row r="14287" spans="5:5" x14ac:dyDescent="0.3">
      <c r="E14287"/>
    </row>
    <row r="14288" spans="5:5" x14ac:dyDescent="0.3">
      <c r="E14288"/>
    </row>
    <row r="14289" spans="5:5" x14ac:dyDescent="0.3">
      <c r="E14289"/>
    </row>
    <row r="14290" spans="5:5" x14ac:dyDescent="0.3">
      <c r="E14290"/>
    </row>
    <row r="14291" spans="5:5" x14ac:dyDescent="0.3">
      <c r="E14291"/>
    </row>
    <row r="14292" spans="5:5" x14ac:dyDescent="0.3">
      <c r="E14292"/>
    </row>
    <row r="14293" spans="5:5" x14ac:dyDescent="0.3">
      <c r="E14293"/>
    </row>
    <row r="14294" spans="5:5" x14ac:dyDescent="0.3">
      <c r="E14294"/>
    </row>
    <row r="14295" spans="5:5" x14ac:dyDescent="0.3">
      <c r="E14295"/>
    </row>
    <row r="14296" spans="5:5" x14ac:dyDescent="0.3">
      <c r="E14296"/>
    </row>
    <row r="14297" spans="5:5" x14ac:dyDescent="0.3">
      <c r="E14297"/>
    </row>
    <row r="14298" spans="5:5" x14ac:dyDescent="0.3">
      <c r="E14298"/>
    </row>
    <row r="14299" spans="5:5" x14ac:dyDescent="0.3">
      <c r="E14299"/>
    </row>
    <row r="14300" spans="5:5" x14ac:dyDescent="0.3">
      <c r="E14300"/>
    </row>
    <row r="14301" spans="5:5" x14ac:dyDescent="0.3">
      <c r="E14301"/>
    </row>
    <row r="14302" spans="5:5" x14ac:dyDescent="0.3">
      <c r="E14302"/>
    </row>
    <row r="14303" spans="5:5" x14ac:dyDescent="0.3">
      <c r="E14303"/>
    </row>
    <row r="14304" spans="5:5" x14ac:dyDescent="0.3">
      <c r="E14304"/>
    </row>
    <row r="14305" spans="5:5" x14ac:dyDescent="0.3">
      <c r="E14305"/>
    </row>
    <row r="14306" spans="5:5" x14ac:dyDescent="0.3">
      <c r="E14306"/>
    </row>
    <row r="14307" spans="5:5" x14ac:dyDescent="0.3">
      <c r="E14307"/>
    </row>
    <row r="14308" spans="5:5" x14ac:dyDescent="0.3">
      <c r="E14308"/>
    </row>
    <row r="14309" spans="5:5" x14ac:dyDescent="0.3">
      <c r="E14309"/>
    </row>
    <row r="14310" spans="5:5" x14ac:dyDescent="0.3">
      <c r="E14310"/>
    </row>
    <row r="14311" spans="5:5" x14ac:dyDescent="0.3">
      <c r="E14311"/>
    </row>
    <row r="14312" spans="5:5" x14ac:dyDescent="0.3">
      <c r="E14312"/>
    </row>
    <row r="14313" spans="5:5" x14ac:dyDescent="0.3">
      <c r="E14313"/>
    </row>
    <row r="14314" spans="5:5" x14ac:dyDescent="0.3">
      <c r="E14314"/>
    </row>
    <row r="14315" spans="5:5" x14ac:dyDescent="0.3">
      <c r="E14315"/>
    </row>
    <row r="14316" spans="5:5" x14ac:dyDescent="0.3">
      <c r="E14316"/>
    </row>
    <row r="14317" spans="5:5" x14ac:dyDescent="0.3">
      <c r="E14317"/>
    </row>
    <row r="14318" spans="5:5" x14ac:dyDescent="0.3">
      <c r="E14318"/>
    </row>
    <row r="14319" spans="5:5" x14ac:dyDescent="0.3">
      <c r="E14319"/>
    </row>
    <row r="14320" spans="5:5" x14ac:dyDescent="0.3">
      <c r="E14320"/>
    </row>
    <row r="14321" spans="5:5" x14ac:dyDescent="0.3">
      <c r="E14321"/>
    </row>
    <row r="14322" spans="5:5" x14ac:dyDescent="0.3">
      <c r="E14322"/>
    </row>
    <row r="14323" spans="5:5" x14ac:dyDescent="0.3">
      <c r="E14323"/>
    </row>
    <row r="14324" spans="5:5" x14ac:dyDescent="0.3">
      <c r="E14324"/>
    </row>
    <row r="14325" spans="5:5" x14ac:dyDescent="0.3">
      <c r="E14325"/>
    </row>
    <row r="14326" spans="5:5" x14ac:dyDescent="0.3">
      <c r="E14326"/>
    </row>
    <row r="14327" spans="5:5" x14ac:dyDescent="0.3">
      <c r="E14327"/>
    </row>
    <row r="14328" spans="5:5" x14ac:dyDescent="0.3">
      <c r="E14328"/>
    </row>
    <row r="14329" spans="5:5" x14ac:dyDescent="0.3">
      <c r="E14329"/>
    </row>
    <row r="14330" spans="5:5" x14ac:dyDescent="0.3">
      <c r="E14330"/>
    </row>
    <row r="14331" spans="5:5" x14ac:dyDescent="0.3">
      <c r="E14331"/>
    </row>
    <row r="14332" spans="5:5" x14ac:dyDescent="0.3">
      <c r="E14332"/>
    </row>
    <row r="14333" spans="5:5" x14ac:dyDescent="0.3">
      <c r="E14333"/>
    </row>
    <row r="14334" spans="5:5" x14ac:dyDescent="0.3">
      <c r="E14334"/>
    </row>
    <row r="14335" spans="5:5" x14ac:dyDescent="0.3">
      <c r="E14335"/>
    </row>
    <row r="14336" spans="5:5" x14ac:dyDescent="0.3">
      <c r="E14336"/>
    </row>
    <row r="14337" spans="5:5" x14ac:dyDescent="0.3">
      <c r="E14337"/>
    </row>
    <row r="14338" spans="5:5" x14ac:dyDescent="0.3">
      <c r="E14338"/>
    </row>
    <row r="14339" spans="5:5" x14ac:dyDescent="0.3">
      <c r="E14339"/>
    </row>
    <row r="14340" spans="5:5" x14ac:dyDescent="0.3">
      <c r="E14340"/>
    </row>
    <row r="14341" spans="5:5" x14ac:dyDescent="0.3">
      <c r="E14341"/>
    </row>
    <row r="14342" spans="5:5" x14ac:dyDescent="0.3">
      <c r="E14342"/>
    </row>
    <row r="14343" spans="5:5" x14ac:dyDescent="0.3">
      <c r="E14343"/>
    </row>
    <row r="14344" spans="5:5" x14ac:dyDescent="0.3">
      <c r="E14344"/>
    </row>
    <row r="14345" spans="5:5" x14ac:dyDescent="0.3">
      <c r="E14345"/>
    </row>
    <row r="14346" spans="5:5" x14ac:dyDescent="0.3">
      <c r="E14346"/>
    </row>
    <row r="14347" spans="5:5" x14ac:dyDescent="0.3">
      <c r="E14347"/>
    </row>
    <row r="14348" spans="5:5" x14ac:dyDescent="0.3">
      <c r="E14348"/>
    </row>
    <row r="14349" spans="5:5" x14ac:dyDescent="0.3">
      <c r="E14349"/>
    </row>
    <row r="14350" spans="5:5" x14ac:dyDescent="0.3">
      <c r="E14350"/>
    </row>
    <row r="14351" spans="5:5" x14ac:dyDescent="0.3">
      <c r="E14351"/>
    </row>
    <row r="14352" spans="5:5" x14ac:dyDescent="0.3">
      <c r="E14352"/>
    </row>
    <row r="14353" spans="5:5" x14ac:dyDescent="0.3">
      <c r="E14353"/>
    </row>
    <row r="14354" spans="5:5" x14ac:dyDescent="0.3">
      <c r="E14354"/>
    </row>
    <row r="14355" spans="5:5" x14ac:dyDescent="0.3">
      <c r="E14355"/>
    </row>
    <row r="14356" spans="5:5" x14ac:dyDescent="0.3">
      <c r="E14356"/>
    </row>
    <row r="14357" spans="5:5" x14ac:dyDescent="0.3">
      <c r="E14357"/>
    </row>
    <row r="14358" spans="5:5" x14ac:dyDescent="0.3">
      <c r="E14358"/>
    </row>
    <row r="14359" spans="5:5" x14ac:dyDescent="0.3">
      <c r="E14359"/>
    </row>
    <row r="14360" spans="5:5" x14ac:dyDescent="0.3">
      <c r="E14360"/>
    </row>
    <row r="14361" spans="5:5" x14ac:dyDescent="0.3">
      <c r="E14361"/>
    </row>
    <row r="14362" spans="5:5" x14ac:dyDescent="0.3">
      <c r="E14362"/>
    </row>
    <row r="14363" spans="5:5" x14ac:dyDescent="0.3">
      <c r="E14363"/>
    </row>
    <row r="14364" spans="5:5" x14ac:dyDescent="0.3">
      <c r="E14364"/>
    </row>
    <row r="14365" spans="5:5" x14ac:dyDescent="0.3">
      <c r="E14365"/>
    </row>
    <row r="14366" spans="5:5" x14ac:dyDescent="0.3">
      <c r="E14366"/>
    </row>
    <row r="14367" spans="5:5" x14ac:dyDescent="0.3">
      <c r="E14367"/>
    </row>
    <row r="14368" spans="5:5" x14ac:dyDescent="0.3">
      <c r="E14368"/>
    </row>
    <row r="14369" spans="5:5" x14ac:dyDescent="0.3">
      <c r="E14369"/>
    </row>
    <row r="14370" spans="5:5" x14ac:dyDescent="0.3">
      <c r="E14370"/>
    </row>
    <row r="14371" spans="5:5" x14ac:dyDescent="0.3">
      <c r="E14371"/>
    </row>
    <row r="14372" spans="5:5" x14ac:dyDescent="0.3">
      <c r="E14372"/>
    </row>
    <row r="14373" spans="5:5" x14ac:dyDescent="0.3">
      <c r="E14373"/>
    </row>
    <row r="14374" spans="5:5" x14ac:dyDescent="0.3">
      <c r="E14374"/>
    </row>
    <row r="14375" spans="5:5" x14ac:dyDescent="0.3">
      <c r="E14375"/>
    </row>
    <row r="14376" spans="5:5" x14ac:dyDescent="0.3">
      <c r="E14376"/>
    </row>
    <row r="14377" spans="5:5" x14ac:dyDescent="0.3">
      <c r="E14377"/>
    </row>
    <row r="14378" spans="5:5" x14ac:dyDescent="0.3">
      <c r="E14378"/>
    </row>
    <row r="14379" spans="5:5" x14ac:dyDescent="0.3">
      <c r="E14379"/>
    </row>
    <row r="14380" spans="5:5" x14ac:dyDescent="0.3">
      <c r="E14380"/>
    </row>
    <row r="14381" spans="5:5" x14ac:dyDescent="0.3">
      <c r="E14381"/>
    </row>
    <row r="14382" spans="5:5" x14ac:dyDescent="0.3">
      <c r="E14382"/>
    </row>
    <row r="14383" spans="5:5" x14ac:dyDescent="0.3">
      <c r="E14383"/>
    </row>
    <row r="14384" spans="5:5" x14ac:dyDescent="0.3">
      <c r="E14384"/>
    </row>
    <row r="14385" spans="5:5" x14ac:dyDescent="0.3">
      <c r="E14385"/>
    </row>
    <row r="14386" spans="5:5" x14ac:dyDescent="0.3">
      <c r="E14386"/>
    </row>
    <row r="14387" spans="5:5" x14ac:dyDescent="0.3">
      <c r="E14387"/>
    </row>
    <row r="14388" spans="5:5" x14ac:dyDescent="0.3">
      <c r="E14388"/>
    </row>
    <row r="14389" spans="5:5" x14ac:dyDescent="0.3">
      <c r="E14389"/>
    </row>
    <row r="14390" spans="5:5" x14ac:dyDescent="0.3">
      <c r="E14390"/>
    </row>
    <row r="14391" spans="5:5" x14ac:dyDescent="0.3">
      <c r="E14391"/>
    </row>
    <row r="14392" spans="5:5" x14ac:dyDescent="0.3">
      <c r="E14392"/>
    </row>
    <row r="14393" spans="5:5" x14ac:dyDescent="0.3">
      <c r="E14393"/>
    </row>
    <row r="14394" spans="5:5" x14ac:dyDescent="0.3">
      <c r="E14394"/>
    </row>
    <row r="14395" spans="5:5" x14ac:dyDescent="0.3">
      <c r="E14395"/>
    </row>
    <row r="14396" spans="5:5" x14ac:dyDescent="0.3">
      <c r="E14396"/>
    </row>
    <row r="14397" spans="5:5" x14ac:dyDescent="0.3">
      <c r="E14397"/>
    </row>
    <row r="14398" spans="5:5" x14ac:dyDescent="0.3">
      <c r="E14398"/>
    </row>
    <row r="14399" spans="5:5" x14ac:dyDescent="0.3">
      <c r="E14399"/>
    </row>
    <row r="14400" spans="5:5" x14ac:dyDescent="0.3">
      <c r="E14400"/>
    </row>
    <row r="14401" spans="5:5" x14ac:dyDescent="0.3">
      <c r="E14401"/>
    </row>
    <row r="14402" spans="5:5" x14ac:dyDescent="0.3">
      <c r="E14402"/>
    </row>
    <row r="14403" spans="5:5" x14ac:dyDescent="0.3">
      <c r="E14403"/>
    </row>
    <row r="14404" spans="5:5" x14ac:dyDescent="0.3">
      <c r="E14404"/>
    </row>
    <row r="14405" spans="5:5" x14ac:dyDescent="0.3">
      <c r="E14405"/>
    </row>
    <row r="14406" spans="5:5" x14ac:dyDescent="0.3">
      <c r="E14406"/>
    </row>
    <row r="14407" spans="5:5" x14ac:dyDescent="0.3">
      <c r="E14407"/>
    </row>
    <row r="14408" spans="5:5" x14ac:dyDescent="0.3">
      <c r="E14408"/>
    </row>
    <row r="14409" spans="5:5" x14ac:dyDescent="0.3">
      <c r="E14409"/>
    </row>
    <row r="14410" spans="5:5" x14ac:dyDescent="0.3">
      <c r="E14410"/>
    </row>
    <row r="14411" spans="5:5" x14ac:dyDescent="0.3">
      <c r="E14411"/>
    </row>
    <row r="14412" spans="5:5" x14ac:dyDescent="0.3">
      <c r="E14412"/>
    </row>
    <row r="14413" spans="5:5" x14ac:dyDescent="0.3">
      <c r="E14413"/>
    </row>
    <row r="14414" spans="5:5" x14ac:dyDescent="0.3">
      <c r="E14414"/>
    </row>
    <row r="14415" spans="5:5" x14ac:dyDescent="0.3">
      <c r="E14415"/>
    </row>
    <row r="14416" spans="5:5" x14ac:dyDescent="0.3">
      <c r="E14416"/>
    </row>
    <row r="14417" spans="5:5" x14ac:dyDescent="0.3">
      <c r="E14417"/>
    </row>
    <row r="14418" spans="5:5" x14ac:dyDescent="0.3">
      <c r="E14418"/>
    </row>
    <row r="14419" spans="5:5" x14ac:dyDescent="0.3">
      <c r="E14419"/>
    </row>
    <row r="14420" spans="5:5" x14ac:dyDescent="0.3">
      <c r="E14420"/>
    </row>
    <row r="14421" spans="5:5" x14ac:dyDescent="0.3">
      <c r="E14421"/>
    </row>
    <row r="14422" spans="5:5" x14ac:dyDescent="0.3">
      <c r="E14422"/>
    </row>
    <row r="14423" spans="5:5" x14ac:dyDescent="0.3">
      <c r="E14423"/>
    </row>
    <row r="14424" spans="5:5" x14ac:dyDescent="0.3">
      <c r="E14424"/>
    </row>
    <row r="14425" spans="5:5" x14ac:dyDescent="0.3">
      <c r="E14425"/>
    </row>
    <row r="14426" spans="5:5" x14ac:dyDescent="0.3">
      <c r="E14426"/>
    </row>
    <row r="14427" spans="5:5" x14ac:dyDescent="0.3">
      <c r="E14427"/>
    </row>
    <row r="14428" spans="5:5" x14ac:dyDescent="0.3">
      <c r="E14428"/>
    </row>
    <row r="14429" spans="5:5" x14ac:dyDescent="0.3">
      <c r="E14429"/>
    </row>
    <row r="14430" spans="5:5" x14ac:dyDescent="0.3">
      <c r="E14430"/>
    </row>
    <row r="14431" spans="5:5" x14ac:dyDescent="0.3">
      <c r="E14431"/>
    </row>
    <row r="14432" spans="5:5" x14ac:dyDescent="0.3">
      <c r="E14432"/>
    </row>
    <row r="14433" spans="5:5" x14ac:dyDescent="0.3">
      <c r="E14433"/>
    </row>
    <row r="14434" spans="5:5" x14ac:dyDescent="0.3">
      <c r="E14434"/>
    </row>
    <row r="14435" spans="5:5" x14ac:dyDescent="0.3">
      <c r="E14435"/>
    </row>
    <row r="14436" spans="5:5" x14ac:dyDescent="0.3">
      <c r="E14436"/>
    </row>
    <row r="14437" spans="5:5" x14ac:dyDescent="0.3">
      <c r="E14437"/>
    </row>
    <row r="14438" spans="5:5" x14ac:dyDescent="0.3">
      <c r="E14438"/>
    </row>
    <row r="14439" spans="5:5" x14ac:dyDescent="0.3">
      <c r="E14439"/>
    </row>
    <row r="14440" spans="5:5" x14ac:dyDescent="0.3">
      <c r="E14440"/>
    </row>
    <row r="14441" spans="5:5" x14ac:dyDescent="0.3">
      <c r="E14441"/>
    </row>
    <row r="14442" spans="5:5" x14ac:dyDescent="0.3">
      <c r="E14442"/>
    </row>
    <row r="14443" spans="5:5" x14ac:dyDescent="0.3">
      <c r="E14443"/>
    </row>
    <row r="14444" spans="5:5" x14ac:dyDescent="0.3">
      <c r="E14444"/>
    </row>
    <row r="14445" spans="5:5" x14ac:dyDescent="0.3">
      <c r="E14445"/>
    </row>
    <row r="14446" spans="5:5" x14ac:dyDescent="0.3">
      <c r="E14446"/>
    </row>
    <row r="14447" spans="5:5" x14ac:dyDescent="0.3">
      <c r="E14447"/>
    </row>
    <row r="14448" spans="5:5" x14ac:dyDescent="0.3">
      <c r="E14448"/>
    </row>
    <row r="14449" spans="5:5" x14ac:dyDescent="0.3">
      <c r="E14449"/>
    </row>
    <row r="14450" spans="5:5" x14ac:dyDescent="0.3">
      <c r="E14450"/>
    </row>
    <row r="14451" spans="5:5" x14ac:dyDescent="0.3">
      <c r="E14451"/>
    </row>
    <row r="14452" spans="5:5" x14ac:dyDescent="0.3">
      <c r="E14452"/>
    </row>
    <row r="14453" spans="5:5" x14ac:dyDescent="0.3">
      <c r="E14453"/>
    </row>
    <row r="14454" spans="5:5" x14ac:dyDescent="0.3">
      <c r="E14454"/>
    </row>
    <row r="14455" spans="5:5" x14ac:dyDescent="0.3">
      <c r="E14455"/>
    </row>
    <row r="14456" spans="5:5" x14ac:dyDescent="0.3">
      <c r="E14456"/>
    </row>
    <row r="14457" spans="5:5" x14ac:dyDescent="0.3">
      <c r="E14457"/>
    </row>
    <row r="14458" spans="5:5" x14ac:dyDescent="0.3">
      <c r="E14458"/>
    </row>
    <row r="14459" spans="5:5" x14ac:dyDescent="0.3">
      <c r="E14459"/>
    </row>
    <row r="14460" spans="5:5" x14ac:dyDescent="0.3">
      <c r="E14460"/>
    </row>
    <row r="14461" spans="5:5" x14ac:dyDescent="0.3">
      <c r="E14461"/>
    </row>
    <row r="14462" spans="5:5" x14ac:dyDescent="0.3">
      <c r="E14462"/>
    </row>
    <row r="14463" spans="5:5" x14ac:dyDescent="0.3">
      <c r="E14463"/>
    </row>
    <row r="14464" spans="5:5" x14ac:dyDescent="0.3">
      <c r="E14464"/>
    </row>
    <row r="14465" spans="5:5" x14ac:dyDescent="0.3">
      <c r="E14465"/>
    </row>
    <row r="14466" spans="5:5" x14ac:dyDescent="0.3">
      <c r="E14466"/>
    </row>
    <row r="14467" spans="5:5" x14ac:dyDescent="0.3">
      <c r="E14467"/>
    </row>
    <row r="14468" spans="5:5" x14ac:dyDescent="0.3">
      <c r="E14468"/>
    </row>
    <row r="14469" spans="5:5" x14ac:dyDescent="0.3">
      <c r="E14469"/>
    </row>
    <row r="14470" spans="5:5" x14ac:dyDescent="0.3">
      <c r="E14470"/>
    </row>
    <row r="14471" spans="5:5" x14ac:dyDescent="0.3">
      <c r="E14471"/>
    </row>
    <row r="14472" spans="5:5" x14ac:dyDescent="0.3">
      <c r="E14472"/>
    </row>
    <row r="14473" spans="5:5" x14ac:dyDescent="0.3">
      <c r="E14473"/>
    </row>
    <row r="14474" spans="5:5" x14ac:dyDescent="0.3">
      <c r="E14474"/>
    </row>
    <row r="14475" spans="5:5" x14ac:dyDescent="0.3">
      <c r="E14475"/>
    </row>
    <row r="14476" spans="5:5" x14ac:dyDescent="0.3">
      <c r="E14476"/>
    </row>
    <row r="14477" spans="5:5" x14ac:dyDescent="0.3">
      <c r="E14477"/>
    </row>
    <row r="14478" spans="5:5" x14ac:dyDescent="0.3">
      <c r="E14478"/>
    </row>
    <row r="14479" spans="5:5" x14ac:dyDescent="0.3">
      <c r="E14479"/>
    </row>
    <row r="14480" spans="5:5" x14ac:dyDescent="0.3">
      <c r="E14480"/>
    </row>
    <row r="14481" spans="5:5" x14ac:dyDescent="0.3">
      <c r="E14481"/>
    </row>
    <row r="14482" spans="5:5" x14ac:dyDescent="0.3">
      <c r="E14482"/>
    </row>
    <row r="14483" spans="5:5" x14ac:dyDescent="0.3">
      <c r="E14483"/>
    </row>
    <row r="14484" spans="5:5" x14ac:dyDescent="0.3">
      <c r="E14484"/>
    </row>
    <row r="14485" spans="5:5" x14ac:dyDescent="0.3">
      <c r="E14485"/>
    </row>
    <row r="14486" spans="5:5" x14ac:dyDescent="0.3">
      <c r="E14486"/>
    </row>
    <row r="14487" spans="5:5" x14ac:dyDescent="0.3">
      <c r="E14487"/>
    </row>
    <row r="14488" spans="5:5" x14ac:dyDescent="0.3">
      <c r="E14488"/>
    </row>
    <row r="14489" spans="5:5" x14ac:dyDescent="0.3">
      <c r="E14489"/>
    </row>
    <row r="14490" spans="5:5" x14ac:dyDescent="0.3">
      <c r="E14490"/>
    </row>
    <row r="14491" spans="5:5" x14ac:dyDescent="0.3">
      <c r="E14491"/>
    </row>
    <row r="14492" spans="5:5" x14ac:dyDescent="0.3">
      <c r="E14492"/>
    </row>
    <row r="14493" spans="5:5" x14ac:dyDescent="0.3">
      <c r="E14493"/>
    </row>
    <row r="14494" spans="5:5" x14ac:dyDescent="0.3">
      <c r="E14494"/>
    </row>
    <row r="14495" spans="5:5" x14ac:dyDescent="0.3">
      <c r="E14495"/>
    </row>
    <row r="14496" spans="5:5" x14ac:dyDescent="0.3">
      <c r="E14496"/>
    </row>
    <row r="14497" spans="5:5" x14ac:dyDescent="0.3">
      <c r="E14497"/>
    </row>
    <row r="14498" spans="5:5" x14ac:dyDescent="0.3">
      <c r="E14498"/>
    </row>
    <row r="14499" spans="5:5" x14ac:dyDescent="0.3">
      <c r="E14499"/>
    </row>
    <row r="14500" spans="5:5" x14ac:dyDescent="0.3">
      <c r="E14500"/>
    </row>
    <row r="14501" spans="5:5" x14ac:dyDescent="0.3">
      <c r="E14501"/>
    </row>
    <row r="14502" spans="5:5" x14ac:dyDescent="0.3">
      <c r="E14502"/>
    </row>
    <row r="14503" spans="5:5" x14ac:dyDescent="0.3">
      <c r="E14503"/>
    </row>
    <row r="14504" spans="5:5" x14ac:dyDescent="0.3">
      <c r="E14504"/>
    </row>
    <row r="14505" spans="5:5" x14ac:dyDescent="0.3">
      <c r="E14505"/>
    </row>
    <row r="14506" spans="5:5" x14ac:dyDescent="0.3">
      <c r="E14506"/>
    </row>
    <row r="14507" spans="5:5" x14ac:dyDescent="0.3">
      <c r="E14507"/>
    </row>
    <row r="14508" spans="5:5" x14ac:dyDescent="0.3">
      <c r="E14508"/>
    </row>
    <row r="14509" spans="5:5" x14ac:dyDescent="0.3">
      <c r="E14509"/>
    </row>
    <row r="14510" spans="5:5" x14ac:dyDescent="0.3">
      <c r="E14510"/>
    </row>
    <row r="14511" spans="5:5" x14ac:dyDescent="0.3">
      <c r="E14511"/>
    </row>
    <row r="14512" spans="5:5" x14ac:dyDescent="0.3">
      <c r="E14512"/>
    </row>
    <row r="14513" spans="5:5" x14ac:dyDescent="0.3">
      <c r="E14513"/>
    </row>
    <row r="14514" spans="5:5" x14ac:dyDescent="0.3">
      <c r="E14514"/>
    </row>
    <row r="14515" spans="5:5" x14ac:dyDescent="0.3">
      <c r="E14515"/>
    </row>
    <row r="14516" spans="5:5" x14ac:dyDescent="0.3">
      <c r="E14516"/>
    </row>
    <row r="14517" spans="5:5" x14ac:dyDescent="0.3">
      <c r="E14517"/>
    </row>
    <row r="14518" spans="5:5" x14ac:dyDescent="0.3">
      <c r="E14518"/>
    </row>
    <row r="14519" spans="5:5" x14ac:dyDescent="0.3">
      <c r="E14519"/>
    </row>
    <row r="14520" spans="5:5" x14ac:dyDescent="0.3">
      <c r="E14520"/>
    </row>
    <row r="14521" spans="5:5" x14ac:dyDescent="0.3">
      <c r="E14521"/>
    </row>
    <row r="14522" spans="5:5" x14ac:dyDescent="0.3">
      <c r="E14522"/>
    </row>
    <row r="14523" spans="5:5" x14ac:dyDescent="0.3">
      <c r="E14523"/>
    </row>
    <row r="14524" spans="5:5" x14ac:dyDescent="0.3">
      <c r="E14524"/>
    </row>
    <row r="14525" spans="5:5" x14ac:dyDescent="0.3">
      <c r="E14525"/>
    </row>
    <row r="14526" spans="5:5" x14ac:dyDescent="0.3">
      <c r="E14526"/>
    </row>
    <row r="14527" spans="5:5" x14ac:dyDescent="0.3">
      <c r="E14527"/>
    </row>
    <row r="14528" spans="5:5" x14ac:dyDescent="0.3">
      <c r="E14528"/>
    </row>
    <row r="14529" spans="5:5" x14ac:dyDescent="0.3">
      <c r="E14529"/>
    </row>
    <row r="14530" spans="5:5" x14ac:dyDescent="0.3">
      <c r="E14530"/>
    </row>
    <row r="14531" spans="5:5" x14ac:dyDescent="0.3">
      <c r="E14531"/>
    </row>
    <row r="14532" spans="5:5" x14ac:dyDescent="0.3">
      <c r="E14532"/>
    </row>
    <row r="14533" spans="5:5" x14ac:dyDescent="0.3">
      <c r="E14533"/>
    </row>
    <row r="14534" spans="5:5" x14ac:dyDescent="0.3">
      <c r="E14534"/>
    </row>
    <row r="14535" spans="5:5" x14ac:dyDescent="0.3">
      <c r="E14535"/>
    </row>
    <row r="14536" spans="5:5" x14ac:dyDescent="0.3">
      <c r="E14536"/>
    </row>
    <row r="14537" spans="5:5" x14ac:dyDescent="0.3">
      <c r="E14537"/>
    </row>
    <row r="14538" spans="5:5" x14ac:dyDescent="0.3">
      <c r="E14538"/>
    </row>
    <row r="14539" spans="5:5" x14ac:dyDescent="0.3">
      <c r="E14539"/>
    </row>
    <row r="14540" spans="5:5" x14ac:dyDescent="0.3">
      <c r="E14540"/>
    </row>
    <row r="14541" spans="5:5" x14ac:dyDescent="0.3">
      <c r="E14541"/>
    </row>
    <row r="14542" spans="5:5" x14ac:dyDescent="0.3">
      <c r="E14542"/>
    </row>
    <row r="14543" spans="5:5" x14ac:dyDescent="0.3">
      <c r="E14543"/>
    </row>
    <row r="14544" spans="5:5" x14ac:dyDescent="0.3">
      <c r="E14544"/>
    </row>
    <row r="14545" spans="5:5" x14ac:dyDescent="0.3">
      <c r="E14545"/>
    </row>
    <row r="14546" spans="5:5" x14ac:dyDescent="0.3">
      <c r="E14546"/>
    </row>
    <row r="14547" spans="5:5" x14ac:dyDescent="0.3">
      <c r="E14547"/>
    </row>
    <row r="14548" spans="5:5" x14ac:dyDescent="0.3">
      <c r="E14548"/>
    </row>
    <row r="14549" spans="5:5" x14ac:dyDescent="0.3">
      <c r="E14549"/>
    </row>
    <row r="14550" spans="5:5" x14ac:dyDescent="0.3">
      <c r="E14550"/>
    </row>
    <row r="14551" spans="5:5" x14ac:dyDescent="0.3">
      <c r="E14551"/>
    </row>
    <row r="14552" spans="5:5" x14ac:dyDescent="0.3">
      <c r="E14552"/>
    </row>
    <row r="14553" spans="5:5" x14ac:dyDescent="0.3">
      <c r="E14553"/>
    </row>
    <row r="14554" spans="5:5" x14ac:dyDescent="0.3">
      <c r="E14554"/>
    </row>
    <row r="14555" spans="5:5" x14ac:dyDescent="0.3">
      <c r="E14555"/>
    </row>
    <row r="14556" spans="5:5" x14ac:dyDescent="0.3">
      <c r="E14556"/>
    </row>
    <row r="14557" spans="5:5" x14ac:dyDescent="0.3">
      <c r="E14557"/>
    </row>
    <row r="14558" spans="5:5" x14ac:dyDescent="0.3">
      <c r="E14558"/>
    </row>
    <row r="14559" spans="5:5" x14ac:dyDescent="0.3">
      <c r="E14559"/>
    </row>
    <row r="14560" spans="5:5" x14ac:dyDescent="0.3">
      <c r="E14560"/>
    </row>
    <row r="14561" spans="5:5" x14ac:dyDescent="0.3">
      <c r="E14561"/>
    </row>
    <row r="14562" spans="5:5" x14ac:dyDescent="0.3">
      <c r="E14562"/>
    </row>
    <row r="14563" spans="5:5" x14ac:dyDescent="0.3">
      <c r="E14563"/>
    </row>
    <row r="14564" spans="5:5" x14ac:dyDescent="0.3">
      <c r="E14564"/>
    </row>
    <row r="14565" spans="5:5" x14ac:dyDescent="0.3">
      <c r="E14565"/>
    </row>
    <row r="14566" spans="5:5" x14ac:dyDescent="0.3">
      <c r="E14566"/>
    </row>
    <row r="14567" spans="5:5" x14ac:dyDescent="0.3">
      <c r="E14567"/>
    </row>
    <row r="14568" spans="5:5" x14ac:dyDescent="0.3">
      <c r="E14568"/>
    </row>
    <row r="14569" spans="5:5" x14ac:dyDescent="0.3">
      <c r="E14569"/>
    </row>
    <row r="14570" spans="5:5" x14ac:dyDescent="0.3">
      <c r="E14570"/>
    </row>
    <row r="14571" spans="5:5" x14ac:dyDescent="0.3">
      <c r="E14571"/>
    </row>
    <row r="14572" spans="5:5" x14ac:dyDescent="0.3">
      <c r="E14572"/>
    </row>
    <row r="14573" spans="5:5" x14ac:dyDescent="0.3">
      <c r="E14573"/>
    </row>
    <row r="14574" spans="5:5" x14ac:dyDescent="0.3">
      <c r="E14574"/>
    </row>
    <row r="14575" spans="5:5" x14ac:dyDescent="0.3">
      <c r="E14575"/>
    </row>
    <row r="14576" spans="5:5" x14ac:dyDescent="0.3">
      <c r="E14576"/>
    </row>
    <row r="14577" spans="5:5" x14ac:dyDescent="0.3">
      <c r="E14577"/>
    </row>
    <row r="14578" spans="5:5" x14ac:dyDescent="0.3">
      <c r="E14578"/>
    </row>
    <row r="14579" spans="5:5" x14ac:dyDescent="0.3">
      <c r="E14579"/>
    </row>
    <row r="14580" spans="5:5" x14ac:dyDescent="0.3">
      <c r="E14580"/>
    </row>
    <row r="14581" spans="5:5" x14ac:dyDescent="0.3">
      <c r="E14581"/>
    </row>
    <row r="14582" spans="5:5" x14ac:dyDescent="0.3">
      <c r="E14582"/>
    </row>
    <row r="14583" spans="5:5" x14ac:dyDescent="0.3">
      <c r="E14583"/>
    </row>
    <row r="14584" spans="5:5" x14ac:dyDescent="0.3">
      <c r="E14584"/>
    </row>
    <row r="14585" spans="5:5" x14ac:dyDescent="0.3">
      <c r="E14585"/>
    </row>
    <row r="14586" spans="5:5" x14ac:dyDescent="0.3">
      <c r="E14586"/>
    </row>
    <row r="14587" spans="5:5" x14ac:dyDescent="0.3">
      <c r="E14587"/>
    </row>
    <row r="14588" spans="5:5" x14ac:dyDescent="0.3">
      <c r="E14588"/>
    </row>
    <row r="14589" spans="5:5" x14ac:dyDescent="0.3">
      <c r="E14589"/>
    </row>
    <row r="14590" spans="5:5" x14ac:dyDescent="0.3">
      <c r="E14590"/>
    </row>
    <row r="14591" spans="5:5" x14ac:dyDescent="0.3">
      <c r="E14591"/>
    </row>
    <row r="14592" spans="5:5" x14ac:dyDescent="0.3">
      <c r="E14592"/>
    </row>
    <row r="14593" spans="5:5" x14ac:dyDescent="0.3">
      <c r="E14593"/>
    </row>
    <row r="14594" spans="5:5" x14ac:dyDescent="0.3">
      <c r="E14594"/>
    </row>
    <row r="14595" spans="5:5" x14ac:dyDescent="0.3">
      <c r="E14595"/>
    </row>
    <row r="14596" spans="5:5" x14ac:dyDescent="0.3">
      <c r="E14596"/>
    </row>
    <row r="14597" spans="5:5" x14ac:dyDescent="0.3">
      <c r="E14597"/>
    </row>
    <row r="14598" spans="5:5" x14ac:dyDescent="0.3">
      <c r="E14598"/>
    </row>
    <row r="14599" spans="5:5" x14ac:dyDescent="0.3">
      <c r="E14599"/>
    </row>
    <row r="14600" spans="5:5" x14ac:dyDescent="0.3">
      <c r="E14600"/>
    </row>
    <row r="14601" spans="5:5" x14ac:dyDescent="0.3">
      <c r="E14601"/>
    </row>
    <row r="14602" spans="5:5" x14ac:dyDescent="0.3">
      <c r="E14602"/>
    </row>
    <row r="14603" spans="5:5" x14ac:dyDescent="0.3">
      <c r="E14603"/>
    </row>
    <row r="14604" spans="5:5" x14ac:dyDescent="0.3">
      <c r="E14604"/>
    </row>
    <row r="14605" spans="5:5" x14ac:dyDescent="0.3">
      <c r="E14605"/>
    </row>
    <row r="14606" spans="5:5" x14ac:dyDescent="0.3">
      <c r="E14606"/>
    </row>
    <row r="14607" spans="5:5" x14ac:dyDescent="0.3">
      <c r="E14607"/>
    </row>
    <row r="14608" spans="5:5" x14ac:dyDescent="0.3">
      <c r="E14608"/>
    </row>
    <row r="14609" spans="5:5" x14ac:dyDescent="0.3">
      <c r="E14609"/>
    </row>
    <row r="14610" spans="5:5" x14ac:dyDescent="0.3">
      <c r="E14610"/>
    </row>
    <row r="14611" spans="5:5" x14ac:dyDescent="0.3">
      <c r="E14611"/>
    </row>
    <row r="14612" spans="5:5" x14ac:dyDescent="0.3">
      <c r="E14612"/>
    </row>
    <row r="14613" spans="5:5" x14ac:dyDescent="0.3">
      <c r="E14613"/>
    </row>
    <row r="14614" spans="5:5" x14ac:dyDescent="0.3">
      <c r="E14614"/>
    </row>
    <row r="14615" spans="5:5" x14ac:dyDescent="0.3">
      <c r="E14615"/>
    </row>
    <row r="14616" spans="5:5" x14ac:dyDescent="0.3">
      <c r="E14616"/>
    </row>
    <row r="14617" spans="5:5" x14ac:dyDescent="0.3">
      <c r="E14617"/>
    </row>
    <row r="14618" spans="5:5" x14ac:dyDescent="0.3">
      <c r="E14618"/>
    </row>
    <row r="14619" spans="5:5" x14ac:dyDescent="0.3">
      <c r="E14619"/>
    </row>
    <row r="14620" spans="5:5" x14ac:dyDescent="0.3">
      <c r="E14620"/>
    </row>
    <row r="14621" spans="5:5" x14ac:dyDescent="0.3">
      <c r="E14621"/>
    </row>
    <row r="14622" spans="5:5" x14ac:dyDescent="0.3">
      <c r="E14622"/>
    </row>
    <row r="14623" spans="5:5" x14ac:dyDescent="0.3">
      <c r="E14623"/>
    </row>
    <row r="14624" spans="5:5" x14ac:dyDescent="0.3">
      <c r="E14624"/>
    </row>
    <row r="14625" spans="5:5" x14ac:dyDescent="0.3">
      <c r="E14625"/>
    </row>
    <row r="14626" spans="5:5" x14ac:dyDescent="0.3">
      <c r="E14626"/>
    </row>
    <row r="14627" spans="5:5" x14ac:dyDescent="0.3">
      <c r="E14627"/>
    </row>
    <row r="14628" spans="5:5" x14ac:dyDescent="0.3">
      <c r="E14628"/>
    </row>
    <row r="14629" spans="5:5" x14ac:dyDescent="0.3">
      <c r="E14629"/>
    </row>
    <row r="14630" spans="5:5" x14ac:dyDescent="0.3">
      <c r="E14630"/>
    </row>
    <row r="14631" spans="5:5" x14ac:dyDescent="0.3">
      <c r="E14631"/>
    </row>
    <row r="14632" spans="5:5" x14ac:dyDescent="0.3">
      <c r="E14632"/>
    </row>
    <row r="14633" spans="5:5" x14ac:dyDescent="0.3">
      <c r="E14633"/>
    </row>
    <row r="14634" spans="5:5" x14ac:dyDescent="0.3">
      <c r="E14634"/>
    </row>
    <row r="14635" spans="5:5" x14ac:dyDescent="0.3">
      <c r="E14635"/>
    </row>
    <row r="14636" spans="5:5" x14ac:dyDescent="0.3">
      <c r="E14636"/>
    </row>
    <row r="14637" spans="5:5" x14ac:dyDescent="0.3">
      <c r="E14637"/>
    </row>
    <row r="14638" spans="5:5" x14ac:dyDescent="0.3">
      <c r="E14638"/>
    </row>
    <row r="14639" spans="5:5" x14ac:dyDescent="0.3">
      <c r="E14639"/>
    </row>
    <row r="14640" spans="5:5" x14ac:dyDescent="0.3">
      <c r="E14640"/>
    </row>
    <row r="14641" spans="5:5" x14ac:dyDescent="0.3">
      <c r="E14641"/>
    </row>
    <row r="14642" spans="5:5" x14ac:dyDescent="0.3">
      <c r="E14642"/>
    </row>
    <row r="14643" spans="5:5" x14ac:dyDescent="0.3">
      <c r="E14643"/>
    </row>
    <row r="14644" spans="5:5" x14ac:dyDescent="0.3">
      <c r="E14644"/>
    </row>
    <row r="14645" spans="5:5" x14ac:dyDescent="0.3">
      <c r="E14645"/>
    </row>
    <row r="14646" spans="5:5" x14ac:dyDescent="0.3">
      <c r="E14646"/>
    </row>
    <row r="14647" spans="5:5" x14ac:dyDescent="0.3">
      <c r="E14647"/>
    </row>
    <row r="14648" spans="5:5" x14ac:dyDescent="0.3">
      <c r="E14648"/>
    </row>
    <row r="14649" spans="5:5" x14ac:dyDescent="0.3">
      <c r="E14649"/>
    </row>
    <row r="14650" spans="5:5" x14ac:dyDescent="0.3">
      <c r="E14650"/>
    </row>
    <row r="14651" spans="5:5" x14ac:dyDescent="0.3">
      <c r="E14651"/>
    </row>
    <row r="14652" spans="5:5" x14ac:dyDescent="0.3">
      <c r="E14652"/>
    </row>
    <row r="14653" spans="5:5" x14ac:dyDescent="0.3">
      <c r="E14653"/>
    </row>
    <row r="14654" spans="5:5" x14ac:dyDescent="0.3">
      <c r="E14654"/>
    </row>
    <row r="14655" spans="5:5" x14ac:dyDescent="0.3">
      <c r="E14655"/>
    </row>
    <row r="14656" spans="5:5" x14ac:dyDescent="0.3">
      <c r="E14656"/>
    </row>
    <row r="14657" spans="5:5" x14ac:dyDescent="0.3">
      <c r="E14657"/>
    </row>
    <row r="14658" spans="5:5" x14ac:dyDescent="0.3">
      <c r="E14658"/>
    </row>
    <row r="14659" spans="5:5" x14ac:dyDescent="0.3">
      <c r="E14659"/>
    </row>
    <row r="14660" spans="5:5" x14ac:dyDescent="0.3">
      <c r="E14660"/>
    </row>
    <row r="14661" spans="5:5" x14ac:dyDescent="0.3">
      <c r="E14661"/>
    </row>
    <row r="14662" spans="5:5" x14ac:dyDescent="0.3">
      <c r="E14662"/>
    </row>
    <row r="14663" spans="5:5" x14ac:dyDescent="0.3">
      <c r="E14663"/>
    </row>
    <row r="14664" spans="5:5" x14ac:dyDescent="0.3">
      <c r="E14664"/>
    </row>
    <row r="14665" spans="5:5" x14ac:dyDescent="0.3">
      <c r="E14665"/>
    </row>
    <row r="14666" spans="5:5" x14ac:dyDescent="0.3">
      <c r="E14666"/>
    </row>
    <row r="14667" spans="5:5" x14ac:dyDescent="0.3">
      <c r="E14667"/>
    </row>
    <row r="14668" spans="5:5" x14ac:dyDescent="0.3">
      <c r="E14668"/>
    </row>
    <row r="14669" spans="5:5" x14ac:dyDescent="0.3">
      <c r="E14669"/>
    </row>
    <row r="14670" spans="5:5" x14ac:dyDescent="0.3">
      <c r="E14670"/>
    </row>
    <row r="14671" spans="5:5" x14ac:dyDescent="0.3">
      <c r="E14671"/>
    </row>
    <row r="14672" spans="5:5" x14ac:dyDescent="0.3">
      <c r="E14672"/>
    </row>
    <row r="14673" spans="5:5" x14ac:dyDescent="0.3">
      <c r="E14673"/>
    </row>
    <row r="14674" spans="5:5" x14ac:dyDescent="0.3">
      <c r="E14674"/>
    </row>
    <row r="14675" spans="5:5" x14ac:dyDescent="0.3">
      <c r="E14675"/>
    </row>
    <row r="14676" spans="5:5" x14ac:dyDescent="0.3">
      <c r="E14676"/>
    </row>
    <row r="14677" spans="5:5" x14ac:dyDescent="0.3">
      <c r="E14677"/>
    </row>
    <row r="14678" spans="5:5" x14ac:dyDescent="0.3">
      <c r="E14678"/>
    </row>
    <row r="14679" spans="5:5" x14ac:dyDescent="0.3">
      <c r="E14679"/>
    </row>
    <row r="14680" spans="5:5" x14ac:dyDescent="0.3">
      <c r="E14680"/>
    </row>
    <row r="14681" spans="5:5" x14ac:dyDescent="0.3">
      <c r="E14681"/>
    </row>
    <row r="14682" spans="5:5" x14ac:dyDescent="0.3">
      <c r="E14682"/>
    </row>
    <row r="14683" spans="5:5" x14ac:dyDescent="0.3">
      <c r="E14683"/>
    </row>
    <row r="14684" spans="5:5" x14ac:dyDescent="0.3">
      <c r="E14684"/>
    </row>
    <row r="14685" spans="5:5" x14ac:dyDescent="0.3">
      <c r="E14685"/>
    </row>
    <row r="14686" spans="5:5" x14ac:dyDescent="0.3">
      <c r="E14686"/>
    </row>
    <row r="14687" spans="5:5" x14ac:dyDescent="0.3">
      <c r="E14687"/>
    </row>
    <row r="14688" spans="5:5" x14ac:dyDescent="0.3">
      <c r="E14688"/>
    </row>
    <row r="14689" spans="5:5" x14ac:dyDescent="0.3">
      <c r="E14689"/>
    </row>
    <row r="14690" spans="5:5" x14ac:dyDescent="0.3">
      <c r="E14690"/>
    </row>
    <row r="14691" spans="5:5" x14ac:dyDescent="0.3">
      <c r="E14691"/>
    </row>
    <row r="14692" spans="5:5" x14ac:dyDescent="0.3">
      <c r="E14692"/>
    </row>
    <row r="14693" spans="5:5" x14ac:dyDescent="0.3">
      <c r="E14693"/>
    </row>
    <row r="14694" spans="5:5" x14ac:dyDescent="0.3">
      <c r="E14694"/>
    </row>
    <row r="14695" spans="5:5" x14ac:dyDescent="0.3">
      <c r="E14695"/>
    </row>
    <row r="14696" spans="5:5" x14ac:dyDescent="0.3">
      <c r="E14696"/>
    </row>
    <row r="14697" spans="5:5" x14ac:dyDescent="0.3">
      <c r="E14697"/>
    </row>
    <row r="14698" spans="5:5" x14ac:dyDescent="0.3">
      <c r="E14698"/>
    </row>
    <row r="14699" spans="5:5" x14ac:dyDescent="0.3">
      <c r="E14699"/>
    </row>
    <row r="14700" spans="5:5" x14ac:dyDescent="0.3">
      <c r="E14700"/>
    </row>
    <row r="14701" spans="5:5" x14ac:dyDescent="0.3">
      <c r="E14701"/>
    </row>
    <row r="14702" spans="5:5" x14ac:dyDescent="0.3">
      <c r="E14702"/>
    </row>
    <row r="14703" spans="5:5" x14ac:dyDescent="0.3">
      <c r="E14703"/>
    </row>
    <row r="14704" spans="5:5" x14ac:dyDescent="0.3">
      <c r="E14704"/>
    </row>
    <row r="14705" spans="5:5" x14ac:dyDescent="0.3">
      <c r="E14705"/>
    </row>
    <row r="14706" spans="5:5" x14ac:dyDescent="0.3">
      <c r="E14706"/>
    </row>
    <row r="14707" spans="5:5" x14ac:dyDescent="0.3">
      <c r="E14707"/>
    </row>
    <row r="14708" spans="5:5" x14ac:dyDescent="0.3">
      <c r="E14708"/>
    </row>
    <row r="14709" spans="5:5" x14ac:dyDescent="0.3">
      <c r="E14709"/>
    </row>
    <row r="14710" spans="5:5" x14ac:dyDescent="0.3">
      <c r="E14710"/>
    </row>
    <row r="14711" spans="5:5" x14ac:dyDescent="0.3">
      <c r="E14711"/>
    </row>
    <row r="14712" spans="5:5" x14ac:dyDescent="0.3">
      <c r="E14712"/>
    </row>
    <row r="14713" spans="5:5" x14ac:dyDescent="0.3">
      <c r="E14713"/>
    </row>
    <row r="14714" spans="5:5" x14ac:dyDescent="0.3">
      <c r="E14714"/>
    </row>
    <row r="14715" spans="5:5" x14ac:dyDescent="0.3">
      <c r="E14715"/>
    </row>
    <row r="14716" spans="5:5" x14ac:dyDescent="0.3">
      <c r="E14716"/>
    </row>
    <row r="14717" spans="5:5" x14ac:dyDescent="0.3">
      <c r="E14717"/>
    </row>
    <row r="14718" spans="5:5" x14ac:dyDescent="0.3">
      <c r="E14718"/>
    </row>
    <row r="14719" spans="5:5" x14ac:dyDescent="0.3">
      <c r="E14719"/>
    </row>
    <row r="14720" spans="5:5" x14ac:dyDescent="0.3">
      <c r="E14720"/>
    </row>
    <row r="14721" spans="5:5" x14ac:dyDescent="0.3">
      <c r="E14721"/>
    </row>
    <row r="14722" spans="5:5" x14ac:dyDescent="0.3">
      <c r="E14722"/>
    </row>
    <row r="14723" spans="5:5" x14ac:dyDescent="0.3">
      <c r="E14723"/>
    </row>
    <row r="14724" spans="5:5" x14ac:dyDescent="0.3">
      <c r="E14724"/>
    </row>
    <row r="14725" spans="5:5" x14ac:dyDescent="0.3">
      <c r="E14725"/>
    </row>
    <row r="14726" spans="5:5" x14ac:dyDescent="0.3">
      <c r="E14726"/>
    </row>
    <row r="14727" spans="5:5" x14ac:dyDescent="0.3">
      <c r="E14727"/>
    </row>
    <row r="14728" spans="5:5" x14ac:dyDescent="0.3">
      <c r="E14728"/>
    </row>
    <row r="14729" spans="5:5" x14ac:dyDescent="0.3">
      <c r="E14729"/>
    </row>
    <row r="14730" spans="5:5" x14ac:dyDescent="0.3">
      <c r="E14730"/>
    </row>
    <row r="14731" spans="5:5" x14ac:dyDescent="0.3">
      <c r="E14731"/>
    </row>
    <row r="14732" spans="5:5" x14ac:dyDescent="0.3">
      <c r="E14732"/>
    </row>
    <row r="14733" spans="5:5" x14ac:dyDescent="0.3">
      <c r="E14733"/>
    </row>
    <row r="14734" spans="5:5" x14ac:dyDescent="0.3">
      <c r="E14734"/>
    </row>
    <row r="14735" spans="5:5" x14ac:dyDescent="0.3">
      <c r="E14735"/>
    </row>
    <row r="14736" spans="5:5" x14ac:dyDescent="0.3">
      <c r="E14736"/>
    </row>
    <row r="14737" spans="5:5" x14ac:dyDescent="0.3">
      <c r="E14737"/>
    </row>
    <row r="14738" spans="5:5" x14ac:dyDescent="0.3">
      <c r="E14738"/>
    </row>
    <row r="14739" spans="5:5" x14ac:dyDescent="0.3">
      <c r="E14739"/>
    </row>
    <row r="14740" spans="5:5" x14ac:dyDescent="0.3">
      <c r="E14740"/>
    </row>
    <row r="14741" spans="5:5" x14ac:dyDescent="0.3">
      <c r="E14741"/>
    </row>
    <row r="14742" spans="5:5" x14ac:dyDescent="0.3">
      <c r="E14742"/>
    </row>
    <row r="14743" spans="5:5" x14ac:dyDescent="0.3">
      <c r="E14743"/>
    </row>
    <row r="14744" spans="5:5" x14ac:dyDescent="0.3">
      <c r="E14744"/>
    </row>
    <row r="14745" spans="5:5" x14ac:dyDescent="0.3">
      <c r="E14745"/>
    </row>
    <row r="14746" spans="5:5" x14ac:dyDescent="0.3">
      <c r="E14746"/>
    </row>
    <row r="14747" spans="5:5" x14ac:dyDescent="0.3">
      <c r="E14747"/>
    </row>
    <row r="14748" spans="5:5" x14ac:dyDescent="0.3">
      <c r="E14748"/>
    </row>
    <row r="14749" spans="5:5" x14ac:dyDescent="0.3">
      <c r="E14749"/>
    </row>
    <row r="14750" spans="5:5" x14ac:dyDescent="0.3">
      <c r="E14750"/>
    </row>
    <row r="14751" spans="5:5" x14ac:dyDescent="0.3">
      <c r="E14751"/>
    </row>
    <row r="14752" spans="5:5" x14ac:dyDescent="0.3">
      <c r="E14752"/>
    </row>
    <row r="14753" spans="5:5" x14ac:dyDescent="0.3">
      <c r="E14753"/>
    </row>
    <row r="14754" spans="5:5" x14ac:dyDescent="0.3">
      <c r="E14754"/>
    </row>
    <row r="14755" spans="5:5" x14ac:dyDescent="0.3">
      <c r="E14755"/>
    </row>
    <row r="14756" spans="5:5" x14ac:dyDescent="0.3">
      <c r="E14756"/>
    </row>
    <row r="14757" spans="5:5" x14ac:dyDescent="0.3">
      <c r="E14757"/>
    </row>
    <row r="14758" spans="5:5" x14ac:dyDescent="0.3">
      <c r="E14758"/>
    </row>
    <row r="14759" spans="5:5" x14ac:dyDescent="0.3">
      <c r="E14759"/>
    </row>
    <row r="14760" spans="5:5" x14ac:dyDescent="0.3">
      <c r="E14760"/>
    </row>
    <row r="14761" spans="5:5" x14ac:dyDescent="0.3">
      <c r="E14761"/>
    </row>
    <row r="14762" spans="5:5" x14ac:dyDescent="0.3">
      <c r="E14762"/>
    </row>
    <row r="14763" spans="5:5" x14ac:dyDescent="0.3">
      <c r="E14763"/>
    </row>
    <row r="14764" spans="5:5" x14ac:dyDescent="0.3">
      <c r="E14764"/>
    </row>
    <row r="14765" spans="5:5" x14ac:dyDescent="0.3">
      <c r="E14765"/>
    </row>
    <row r="14766" spans="5:5" x14ac:dyDescent="0.3">
      <c r="E14766"/>
    </row>
    <row r="14767" spans="5:5" x14ac:dyDescent="0.3">
      <c r="E14767"/>
    </row>
    <row r="14768" spans="5:5" x14ac:dyDescent="0.3">
      <c r="E14768"/>
    </row>
    <row r="14769" spans="5:5" x14ac:dyDescent="0.3">
      <c r="E14769"/>
    </row>
    <row r="14770" spans="5:5" x14ac:dyDescent="0.3">
      <c r="E14770"/>
    </row>
    <row r="14771" spans="5:5" x14ac:dyDescent="0.3">
      <c r="E14771"/>
    </row>
    <row r="14772" spans="5:5" x14ac:dyDescent="0.3">
      <c r="E14772"/>
    </row>
    <row r="14773" spans="5:5" x14ac:dyDescent="0.3">
      <c r="E14773"/>
    </row>
    <row r="14774" spans="5:5" x14ac:dyDescent="0.3">
      <c r="E14774"/>
    </row>
    <row r="14775" spans="5:5" x14ac:dyDescent="0.3">
      <c r="E14775"/>
    </row>
    <row r="14776" spans="5:5" x14ac:dyDescent="0.3">
      <c r="E14776"/>
    </row>
    <row r="14777" spans="5:5" x14ac:dyDescent="0.3">
      <c r="E14777"/>
    </row>
    <row r="14778" spans="5:5" x14ac:dyDescent="0.3">
      <c r="E14778"/>
    </row>
    <row r="14779" spans="5:5" x14ac:dyDescent="0.3">
      <c r="E14779"/>
    </row>
    <row r="14780" spans="5:5" x14ac:dyDescent="0.3">
      <c r="E14780"/>
    </row>
    <row r="14781" spans="5:5" x14ac:dyDescent="0.3">
      <c r="E14781"/>
    </row>
    <row r="14782" spans="5:5" x14ac:dyDescent="0.3">
      <c r="E14782"/>
    </row>
    <row r="14783" spans="5:5" x14ac:dyDescent="0.3">
      <c r="E14783"/>
    </row>
    <row r="14784" spans="5:5" x14ac:dyDescent="0.3">
      <c r="E14784"/>
    </row>
    <row r="14785" spans="5:5" x14ac:dyDescent="0.3">
      <c r="E14785"/>
    </row>
    <row r="14786" spans="5:5" x14ac:dyDescent="0.3">
      <c r="E14786"/>
    </row>
    <row r="14787" spans="5:5" x14ac:dyDescent="0.3">
      <c r="E14787"/>
    </row>
    <row r="14788" spans="5:5" x14ac:dyDescent="0.3">
      <c r="E14788"/>
    </row>
    <row r="14789" spans="5:5" x14ac:dyDescent="0.3">
      <c r="E14789"/>
    </row>
    <row r="14790" spans="5:5" x14ac:dyDescent="0.3">
      <c r="E14790"/>
    </row>
    <row r="14791" spans="5:5" x14ac:dyDescent="0.3">
      <c r="E14791"/>
    </row>
    <row r="14792" spans="5:5" x14ac:dyDescent="0.3">
      <c r="E14792"/>
    </row>
    <row r="14793" spans="5:5" x14ac:dyDescent="0.3">
      <c r="E14793"/>
    </row>
    <row r="14794" spans="5:5" x14ac:dyDescent="0.3">
      <c r="E14794"/>
    </row>
    <row r="14795" spans="5:5" x14ac:dyDescent="0.3">
      <c r="E14795"/>
    </row>
    <row r="14796" spans="5:5" x14ac:dyDescent="0.3">
      <c r="E14796"/>
    </row>
    <row r="14797" spans="5:5" x14ac:dyDescent="0.3">
      <c r="E14797"/>
    </row>
    <row r="14798" spans="5:5" x14ac:dyDescent="0.3">
      <c r="E14798"/>
    </row>
    <row r="14799" spans="5:5" x14ac:dyDescent="0.3">
      <c r="E14799"/>
    </row>
    <row r="14800" spans="5:5" x14ac:dyDescent="0.3">
      <c r="E14800"/>
    </row>
    <row r="14801" spans="5:5" x14ac:dyDescent="0.3">
      <c r="E14801"/>
    </row>
    <row r="14802" spans="5:5" x14ac:dyDescent="0.3">
      <c r="E14802"/>
    </row>
    <row r="14803" spans="5:5" x14ac:dyDescent="0.3">
      <c r="E14803"/>
    </row>
    <row r="14804" spans="5:5" x14ac:dyDescent="0.3">
      <c r="E14804"/>
    </row>
    <row r="14805" spans="5:5" x14ac:dyDescent="0.3">
      <c r="E14805"/>
    </row>
    <row r="14806" spans="5:5" x14ac:dyDescent="0.3">
      <c r="E14806"/>
    </row>
    <row r="14807" spans="5:5" x14ac:dyDescent="0.3">
      <c r="E14807"/>
    </row>
    <row r="14808" spans="5:5" x14ac:dyDescent="0.3">
      <c r="E14808"/>
    </row>
    <row r="14809" spans="5:5" x14ac:dyDescent="0.3">
      <c r="E14809"/>
    </row>
    <row r="14810" spans="5:5" x14ac:dyDescent="0.3">
      <c r="E14810"/>
    </row>
    <row r="14811" spans="5:5" x14ac:dyDescent="0.3">
      <c r="E14811"/>
    </row>
    <row r="14812" spans="5:5" x14ac:dyDescent="0.3">
      <c r="E14812"/>
    </row>
    <row r="14813" spans="5:5" x14ac:dyDescent="0.3">
      <c r="E14813"/>
    </row>
    <row r="14814" spans="5:5" x14ac:dyDescent="0.3">
      <c r="E14814"/>
    </row>
    <row r="14815" spans="5:5" x14ac:dyDescent="0.3">
      <c r="E14815"/>
    </row>
    <row r="14816" spans="5:5" x14ac:dyDescent="0.3">
      <c r="E14816"/>
    </row>
    <row r="14817" spans="5:5" x14ac:dyDescent="0.3">
      <c r="E14817"/>
    </row>
    <row r="14818" spans="5:5" x14ac:dyDescent="0.3">
      <c r="E14818"/>
    </row>
    <row r="14819" spans="5:5" x14ac:dyDescent="0.3">
      <c r="E14819"/>
    </row>
    <row r="14820" spans="5:5" x14ac:dyDescent="0.3">
      <c r="E14820"/>
    </row>
    <row r="14821" spans="5:5" x14ac:dyDescent="0.3">
      <c r="E14821"/>
    </row>
    <row r="14822" spans="5:5" x14ac:dyDescent="0.3">
      <c r="E14822"/>
    </row>
    <row r="14823" spans="5:5" x14ac:dyDescent="0.3">
      <c r="E14823"/>
    </row>
    <row r="14824" spans="5:5" x14ac:dyDescent="0.3">
      <c r="E14824"/>
    </row>
    <row r="14825" spans="5:5" x14ac:dyDescent="0.3">
      <c r="E14825"/>
    </row>
    <row r="14826" spans="5:5" x14ac:dyDescent="0.3">
      <c r="E14826"/>
    </row>
    <row r="14827" spans="5:5" x14ac:dyDescent="0.3">
      <c r="E14827"/>
    </row>
    <row r="14828" spans="5:5" x14ac:dyDescent="0.3">
      <c r="E14828"/>
    </row>
    <row r="14829" spans="5:5" x14ac:dyDescent="0.3">
      <c r="E14829"/>
    </row>
    <row r="14830" spans="5:5" x14ac:dyDescent="0.3">
      <c r="E14830"/>
    </row>
    <row r="14831" spans="5:5" x14ac:dyDescent="0.3">
      <c r="E14831"/>
    </row>
    <row r="14832" spans="5:5" x14ac:dyDescent="0.3">
      <c r="E14832"/>
    </row>
    <row r="14833" spans="5:5" x14ac:dyDescent="0.3">
      <c r="E14833"/>
    </row>
    <row r="14834" spans="5:5" x14ac:dyDescent="0.3">
      <c r="E14834"/>
    </row>
    <row r="14835" spans="5:5" x14ac:dyDescent="0.3">
      <c r="E14835"/>
    </row>
    <row r="14836" spans="5:5" x14ac:dyDescent="0.3">
      <c r="E14836"/>
    </row>
    <row r="14837" spans="5:5" x14ac:dyDescent="0.3">
      <c r="E14837"/>
    </row>
    <row r="14838" spans="5:5" x14ac:dyDescent="0.3">
      <c r="E14838"/>
    </row>
    <row r="14839" spans="5:5" x14ac:dyDescent="0.3">
      <c r="E14839"/>
    </row>
    <row r="14840" spans="5:5" x14ac:dyDescent="0.3">
      <c r="E14840"/>
    </row>
    <row r="14841" spans="5:5" x14ac:dyDescent="0.3">
      <c r="E14841"/>
    </row>
    <row r="14842" spans="5:5" x14ac:dyDescent="0.3">
      <c r="E14842"/>
    </row>
    <row r="14843" spans="5:5" x14ac:dyDescent="0.3">
      <c r="E14843"/>
    </row>
    <row r="14844" spans="5:5" x14ac:dyDescent="0.3">
      <c r="E14844"/>
    </row>
    <row r="14845" spans="5:5" x14ac:dyDescent="0.3">
      <c r="E14845"/>
    </row>
    <row r="14846" spans="5:5" x14ac:dyDescent="0.3">
      <c r="E14846"/>
    </row>
    <row r="14847" spans="5:5" x14ac:dyDescent="0.3">
      <c r="E14847"/>
    </row>
    <row r="14848" spans="5:5" x14ac:dyDescent="0.3">
      <c r="E14848"/>
    </row>
    <row r="14849" spans="5:5" x14ac:dyDescent="0.3">
      <c r="E14849"/>
    </row>
    <row r="14850" spans="5:5" x14ac:dyDescent="0.3">
      <c r="E14850"/>
    </row>
    <row r="14851" spans="5:5" x14ac:dyDescent="0.3">
      <c r="E14851"/>
    </row>
    <row r="14852" spans="5:5" x14ac:dyDescent="0.3">
      <c r="E14852"/>
    </row>
    <row r="14853" spans="5:5" x14ac:dyDescent="0.3">
      <c r="E14853"/>
    </row>
    <row r="14854" spans="5:5" x14ac:dyDescent="0.3">
      <c r="E14854"/>
    </row>
    <row r="14855" spans="5:5" x14ac:dyDescent="0.3">
      <c r="E14855"/>
    </row>
    <row r="14856" spans="5:5" x14ac:dyDescent="0.3">
      <c r="E14856"/>
    </row>
    <row r="14857" spans="5:5" x14ac:dyDescent="0.3">
      <c r="E14857"/>
    </row>
    <row r="14858" spans="5:5" x14ac:dyDescent="0.3">
      <c r="E14858"/>
    </row>
    <row r="14859" spans="5:5" x14ac:dyDescent="0.3">
      <c r="E14859"/>
    </row>
    <row r="14860" spans="5:5" x14ac:dyDescent="0.3">
      <c r="E14860"/>
    </row>
    <row r="14861" spans="5:5" x14ac:dyDescent="0.3">
      <c r="E14861"/>
    </row>
    <row r="14862" spans="5:5" x14ac:dyDescent="0.3">
      <c r="E14862"/>
    </row>
    <row r="14863" spans="5:5" x14ac:dyDescent="0.3">
      <c r="E14863"/>
    </row>
    <row r="14864" spans="5:5" x14ac:dyDescent="0.3">
      <c r="E14864"/>
    </row>
    <row r="14865" spans="5:5" x14ac:dyDescent="0.3">
      <c r="E14865"/>
    </row>
    <row r="14866" spans="5:5" x14ac:dyDescent="0.3">
      <c r="E14866"/>
    </row>
    <row r="14867" spans="5:5" x14ac:dyDescent="0.3">
      <c r="E14867"/>
    </row>
    <row r="14868" spans="5:5" x14ac:dyDescent="0.3">
      <c r="E14868"/>
    </row>
    <row r="14869" spans="5:5" x14ac:dyDescent="0.3">
      <c r="E14869"/>
    </row>
    <row r="14870" spans="5:5" x14ac:dyDescent="0.3">
      <c r="E14870"/>
    </row>
    <row r="14871" spans="5:5" x14ac:dyDescent="0.3">
      <c r="E14871"/>
    </row>
    <row r="14872" spans="5:5" x14ac:dyDescent="0.3">
      <c r="E14872"/>
    </row>
    <row r="14873" spans="5:5" x14ac:dyDescent="0.3">
      <c r="E14873"/>
    </row>
    <row r="14874" spans="5:5" x14ac:dyDescent="0.3">
      <c r="E14874"/>
    </row>
    <row r="14875" spans="5:5" x14ac:dyDescent="0.3">
      <c r="E14875"/>
    </row>
    <row r="14876" spans="5:5" x14ac:dyDescent="0.3">
      <c r="E14876"/>
    </row>
    <row r="14877" spans="5:5" x14ac:dyDescent="0.3">
      <c r="E14877"/>
    </row>
    <row r="14878" spans="5:5" x14ac:dyDescent="0.3">
      <c r="E14878"/>
    </row>
    <row r="14879" spans="5:5" x14ac:dyDescent="0.3">
      <c r="E14879"/>
    </row>
    <row r="14880" spans="5:5" x14ac:dyDescent="0.3">
      <c r="E14880"/>
    </row>
    <row r="14881" spans="5:5" x14ac:dyDescent="0.3">
      <c r="E14881"/>
    </row>
    <row r="14882" spans="5:5" x14ac:dyDescent="0.3">
      <c r="E14882"/>
    </row>
    <row r="14883" spans="5:5" x14ac:dyDescent="0.3">
      <c r="E14883"/>
    </row>
    <row r="14884" spans="5:5" x14ac:dyDescent="0.3">
      <c r="E14884"/>
    </row>
    <row r="14885" spans="5:5" x14ac:dyDescent="0.3">
      <c r="E14885"/>
    </row>
    <row r="14886" spans="5:5" x14ac:dyDescent="0.3">
      <c r="E14886"/>
    </row>
    <row r="14887" spans="5:5" x14ac:dyDescent="0.3">
      <c r="E14887"/>
    </row>
    <row r="14888" spans="5:5" x14ac:dyDescent="0.3">
      <c r="E14888"/>
    </row>
    <row r="14889" spans="5:5" x14ac:dyDescent="0.3">
      <c r="E14889"/>
    </row>
    <row r="14890" spans="5:5" x14ac:dyDescent="0.3">
      <c r="E14890"/>
    </row>
    <row r="14891" spans="5:5" x14ac:dyDescent="0.3">
      <c r="E14891"/>
    </row>
    <row r="14892" spans="5:5" x14ac:dyDescent="0.3">
      <c r="E14892"/>
    </row>
    <row r="14893" spans="5:5" x14ac:dyDescent="0.3">
      <c r="E14893"/>
    </row>
    <row r="14894" spans="5:5" x14ac:dyDescent="0.3">
      <c r="E14894"/>
    </row>
    <row r="14895" spans="5:5" x14ac:dyDescent="0.3">
      <c r="E14895"/>
    </row>
    <row r="14896" spans="5:5" x14ac:dyDescent="0.3">
      <c r="E14896"/>
    </row>
    <row r="14897" spans="5:5" x14ac:dyDescent="0.3">
      <c r="E14897"/>
    </row>
    <row r="14898" spans="5:5" x14ac:dyDescent="0.3">
      <c r="E14898"/>
    </row>
    <row r="14899" spans="5:5" x14ac:dyDescent="0.3">
      <c r="E14899"/>
    </row>
    <row r="14900" spans="5:5" x14ac:dyDescent="0.3">
      <c r="E14900"/>
    </row>
    <row r="14901" spans="5:5" x14ac:dyDescent="0.3">
      <c r="E14901"/>
    </row>
    <row r="14902" spans="5:5" x14ac:dyDescent="0.3">
      <c r="E14902"/>
    </row>
    <row r="14903" spans="5:5" x14ac:dyDescent="0.3">
      <c r="E14903"/>
    </row>
    <row r="14904" spans="5:5" x14ac:dyDescent="0.3">
      <c r="E14904"/>
    </row>
    <row r="14905" spans="5:5" x14ac:dyDescent="0.3">
      <c r="E14905"/>
    </row>
    <row r="14906" spans="5:5" x14ac:dyDescent="0.3">
      <c r="E14906"/>
    </row>
    <row r="14907" spans="5:5" x14ac:dyDescent="0.3">
      <c r="E14907"/>
    </row>
    <row r="14908" spans="5:5" x14ac:dyDescent="0.3">
      <c r="E14908"/>
    </row>
    <row r="14909" spans="5:5" x14ac:dyDescent="0.3">
      <c r="E14909"/>
    </row>
    <row r="14910" spans="5:5" x14ac:dyDescent="0.3">
      <c r="E14910"/>
    </row>
    <row r="14911" spans="5:5" x14ac:dyDescent="0.3">
      <c r="E14911"/>
    </row>
    <row r="14912" spans="5:5" x14ac:dyDescent="0.3">
      <c r="E14912"/>
    </row>
    <row r="14913" spans="5:5" x14ac:dyDescent="0.3">
      <c r="E14913"/>
    </row>
    <row r="14914" spans="5:5" x14ac:dyDescent="0.3">
      <c r="E14914"/>
    </row>
    <row r="14915" spans="5:5" x14ac:dyDescent="0.3">
      <c r="E14915"/>
    </row>
    <row r="14916" spans="5:5" x14ac:dyDescent="0.3">
      <c r="E14916"/>
    </row>
    <row r="14917" spans="5:5" x14ac:dyDescent="0.3">
      <c r="E14917"/>
    </row>
    <row r="14918" spans="5:5" x14ac:dyDescent="0.3">
      <c r="E14918"/>
    </row>
    <row r="14919" spans="5:5" x14ac:dyDescent="0.3">
      <c r="E14919"/>
    </row>
    <row r="14920" spans="5:5" x14ac:dyDescent="0.3">
      <c r="E14920"/>
    </row>
    <row r="14921" spans="5:5" x14ac:dyDescent="0.3">
      <c r="E14921"/>
    </row>
    <row r="14922" spans="5:5" x14ac:dyDescent="0.3">
      <c r="E14922"/>
    </row>
    <row r="14923" spans="5:5" x14ac:dyDescent="0.3">
      <c r="E14923"/>
    </row>
    <row r="14924" spans="5:5" x14ac:dyDescent="0.3">
      <c r="E14924"/>
    </row>
    <row r="14925" spans="5:5" x14ac:dyDescent="0.3">
      <c r="E14925"/>
    </row>
    <row r="14926" spans="5:5" x14ac:dyDescent="0.3">
      <c r="E14926"/>
    </row>
    <row r="14927" spans="5:5" x14ac:dyDescent="0.3">
      <c r="E14927"/>
    </row>
    <row r="14928" spans="5:5" x14ac:dyDescent="0.3">
      <c r="E14928"/>
    </row>
    <row r="14929" spans="5:5" x14ac:dyDescent="0.3">
      <c r="E14929"/>
    </row>
    <row r="14930" spans="5:5" x14ac:dyDescent="0.3">
      <c r="E14930"/>
    </row>
    <row r="14931" spans="5:5" x14ac:dyDescent="0.3">
      <c r="E14931"/>
    </row>
    <row r="14932" spans="5:5" x14ac:dyDescent="0.3">
      <c r="E14932"/>
    </row>
    <row r="14933" spans="5:5" x14ac:dyDescent="0.3">
      <c r="E14933"/>
    </row>
    <row r="14934" spans="5:5" x14ac:dyDescent="0.3">
      <c r="E14934"/>
    </row>
    <row r="14935" spans="5:5" x14ac:dyDescent="0.3">
      <c r="E14935"/>
    </row>
    <row r="14936" spans="5:5" x14ac:dyDescent="0.3">
      <c r="E14936"/>
    </row>
    <row r="14937" spans="5:5" x14ac:dyDescent="0.3">
      <c r="E14937"/>
    </row>
    <row r="14938" spans="5:5" x14ac:dyDescent="0.3">
      <c r="E14938"/>
    </row>
    <row r="14939" spans="5:5" x14ac:dyDescent="0.3">
      <c r="E14939"/>
    </row>
    <row r="14940" spans="5:5" x14ac:dyDescent="0.3">
      <c r="E14940"/>
    </row>
    <row r="14941" spans="5:5" x14ac:dyDescent="0.3">
      <c r="E14941"/>
    </row>
    <row r="14942" spans="5:5" x14ac:dyDescent="0.3">
      <c r="E14942"/>
    </row>
    <row r="14943" spans="5:5" x14ac:dyDescent="0.3">
      <c r="E14943"/>
    </row>
    <row r="14944" spans="5:5" x14ac:dyDescent="0.3">
      <c r="E14944"/>
    </row>
    <row r="14945" spans="5:5" x14ac:dyDescent="0.3">
      <c r="E14945"/>
    </row>
    <row r="14946" spans="5:5" x14ac:dyDescent="0.3">
      <c r="E14946"/>
    </row>
    <row r="14947" spans="5:5" x14ac:dyDescent="0.3">
      <c r="E14947"/>
    </row>
    <row r="14948" spans="5:5" x14ac:dyDescent="0.3">
      <c r="E14948"/>
    </row>
    <row r="14949" spans="5:5" x14ac:dyDescent="0.3">
      <c r="E14949"/>
    </row>
    <row r="14950" spans="5:5" x14ac:dyDescent="0.3">
      <c r="E14950"/>
    </row>
    <row r="14951" spans="5:5" x14ac:dyDescent="0.3">
      <c r="E14951"/>
    </row>
    <row r="14952" spans="5:5" x14ac:dyDescent="0.3">
      <c r="E14952"/>
    </row>
    <row r="14953" spans="5:5" x14ac:dyDescent="0.3">
      <c r="E14953"/>
    </row>
    <row r="14954" spans="5:5" x14ac:dyDescent="0.3">
      <c r="E14954"/>
    </row>
    <row r="14955" spans="5:5" x14ac:dyDescent="0.3">
      <c r="E14955"/>
    </row>
    <row r="14956" spans="5:5" x14ac:dyDescent="0.3">
      <c r="E14956"/>
    </row>
    <row r="14957" spans="5:5" x14ac:dyDescent="0.3">
      <c r="E14957"/>
    </row>
    <row r="14958" spans="5:5" x14ac:dyDescent="0.3">
      <c r="E14958"/>
    </row>
    <row r="14959" spans="5:5" x14ac:dyDescent="0.3">
      <c r="E14959"/>
    </row>
    <row r="14960" spans="5:5" x14ac:dyDescent="0.3">
      <c r="E14960"/>
    </row>
    <row r="14961" spans="5:5" x14ac:dyDescent="0.3">
      <c r="E14961"/>
    </row>
    <row r="14962" spans="5:5" x14ac:dyDescent="0.3">
      <c r="E14962"/>
    </row>
    <row r="14963" spans="5:5" x14ac:dyDescent="0.3">
      <c r="E14963"/>
    </row>
    <row r="14964" spans="5:5" x14ac:dyDescent="0.3">
      <c r="E14964"/>
    </row>
    <row r="14965" spans="5:5" x14ac:dyDescent="0.3">
      <c r="E14965"/>
    </row>
    <row r="14966" spans="5:5" x14ac:dyDescent="0.3">
      <c r="E14966"/>
    </row>
    <row r="14967" spans="5:5" x14ac:dyDescent="0.3">
      <c r="E14967"/>
    </row>
    <row r="14968" spans="5:5" x14ac:dyDescent="0.3">
      <c r="E14968"/>
    </row>
    <row r="14969" spans="5:5" x14ac:dyDescent="0.3">
      <c r="E14969"/>
    </row>
    <row r="14970" spans="5:5" x14ac:dyDescent="0.3">
      <c r="E14970"/>
    </row>
    <row r="14971" spans="5:5" x14ac:dyDescent="0.3">
      <c r="E14971"/>
    </row>
    <row r="14972" spans="5:5" x14ac:dyDescent="0.3">
      <c r="E14972"/>
    </row>
    <row r="14973" spans="5:5" x14ac:dyDescent="0.3">
      <c r="E14973"/>
    </row>
    <row r="14974" spans="5:5" x14ac:dyDescent="0.3">
      <c r="E14974"/>
    </row>
    <row r="14975" spans="5:5" x14ac:dyDescent="0.3">
      <c r="E14975"/>
    </row>
    <row r="14976" spans="5:5" x14ac:dyDescent="0.3">
      <c r="E14976"/>
    </row>
    <row r="14977" spans="5:5" x14ac:dyDescent="0.3">
      <c r="E14977"/>
    </row>
    <row r="14978" spans="5:5" x14ac:dyDescent="0.3">
      <c r="E14978"/>
    </row>
    <row r="14979" spans="5:5" x14ac:dyDescent="0.3">
      <c r="E14979"/>
    </row>
    <row r="14980" spans="5:5" x14ac:dyDescent="0.3">
      <c r="E14980"/>
    </row>
    <row r="14981" spans="5:5" x14ac:dyDescent="0.3">
      <c r="E14981"/>
    </row>
    <row r="14982" spans="5:5" x14ac:dyDescent="0.3">
      <c r="E14982"/>
    </row>
    <row r="14983" spans="5:5" x14ac:dyDescent="0.3">
      <c r="E14983"/>
    </row>
    <row r="14984" spans="5:5" x14ac:dyDescent="0.3">
      <c r="E14984"/>
    </row>
    <row r="14985" spans="5:5" x14ac:dyDescent="0.3">
      <c r="E14985"/>
    </row>
    <row r="14986" spans="5:5" x14ac:dyDescent="0.3">
      <c r="E14986"/>
    </row>
    <row r="14987" spans="5:5" x14ac:dyDescent="0.3">
      <c r="E14987"/>
    </row>
    <row r="14988" spans="5:5" x14ac:dyDescent="0.3">
      <c r="E14988"/>
    </row>
    <row r="14989" spans="5:5" x14ac:dyDescent="0.3">
      <c r="E14989"/>
    </row>
    <row r="14990" spans="5:5" x14ac:dyDescent="0.3">
      <c r="E14990"/>
    </row>
    <row r="14991" spans="5:5" x14ac:dyDescent="0.3">
      <c r="E14991"/>
    </row>
    <row r="14992" spans="5:5" x14ac:dyDescent="0.3">
      <c r="E14992"/>
    </row>
    <row r="14993" spans="5:5" x14ac:dyDescent="0.3">
      <c r="E14993"/>
    </row>
    <row r="14994" spans="5:5" x14ac:dyDescent="0.3">
      <c r="E14994"/>
    </row>
    <row r="14995" spans="5:5" x14ac:dyDescent="0.3">
      <c r="E14995"/>
    </row>
    <row r="14996" spans="5:5" x14ac:dyDescent="0.3">
      <c r="E14996"/>
    </row>
    <row r="14997" spans="5:5" x14ac:dyDescent="0.3">
      <c r="E14997"/>
    </row>
    <row r="14998" spans="5:5" x14ac:dyDescent="0.3">
      <c r="E14998"/>
    </row>
    <row r="14999" spans="5:5" x14ac:dyDescent="0.3">
      <c r="E14999"/>
    </row>
    <row r="15000" spans="5:5" x14ac:dyDescent="0.3">
      <c r="E15000"/>
    </row>
    <row r="15001" spans="5:5" x14ac:dyDescent="0.3">
      <c r="E15001"/>
    </row>
    <row r="15002" spans="5:5" x14ac:dyDescent="0.3">
      <c r="E15002"/>
    </row>
    <row r="15003" spans="5:5" x14ac:dyDescent="0.3">
      <c r="E15003"/>
    </row>
    <row r="15004" spans="5:5" x14ac:dyDescent="0.3">
      <c r="E15004"/>
    </row>
    <row r="15005" spans="5:5" x14ac:dyDescent="0.3">
      <c r="E15005"/>
    </row>
    <row r="15006" spans="5:5" x14ac:dyDescent="0.3">
      <c r="E15006"/>
    </row>
    <row r="15007" spans="5:5" x14ac:dyDescent="0.3">
      <c r="E15007"/>
    </row>
    <row r="15008" spans="5:5" x14ac:dyDescent="0.3">
      <c r="E15008"/>
    </row>
    <row r="15009" spans="5:5" x14ac:dyDescent="0.3">
      <c r="E15009"/>
    </row>
    <row r="15010" spans="5:5" x14ac:dyDescent="0.3">
      <c r="E15010"/>
    </row>
    <row r="15011" spans="5:5" x14ac:dyDescent="0.3">
      <c r="E15011"/>
    </row>
    <row r="15012" spans="5:5" x14ac:dyDescent="0.3">
      <c r="E15012"/>
    </row>
    <row r="15013" spans="5:5" x14ac:dyDescent="0.3">
      <c r="E15013"/>
    </row>
    <row r="15014" spans="5:5" x14ac:dyDescent="0.3">
      <c r="E15014"/>
    </row>
    <row r="15015" spans="5:5" x14ac:dyDescent="0.3">
      <c r="E15015"/>
    </row>
    <row r="15016" spans="5:5" x14ac:dyDescent="0.3">
      <c r="E15016"/>
    </row>
    <row r="15017" spans="5:5" x14ac:dyDescent="0.3">
      <c r="E15017"/>
    </row>
    <row r="15018" spans="5:5" x14ac:dyDescent="0.3">
      <c r="E15018"/>
    </row>
    <row r="15019" spans="5:5" x14ac:dyDescent="0.3">
      <c r="E15019"/>
    </row>
    <row r="15020" spans="5:5" x14ac:dyDescent="0.3">
      <c r="E15020"/>
    </row>
    <row r="15021" spans="5:5" x14ac:dyDescent="0.3">
      <c r="E15021"/>
    </row>
    <row r="15022" spans="5:5" x14ac:dyDescent="0.3">
      <c r="E15022"/>
    </row>
    <row r="15023" spans="5:5" x14ac:dyDescent="0.3">
      <c r="E15023"/>
    </row>
    <row r="15024" spans="5:5" x14ac:dyDescent="0.3">
      <c r="E15024"/>
    </row>
    <row r="15025" spans="5:5" x14ac:dyDescent="0.3">
      <c r="E15025"/>
    </row>
    <row r="15026" spans="5:5" x14ac:dyDescent="0.3">
      <c r="E15026"/>
    </row>
    <row r="15027" spans="5:5" x14ac:dyDescent="0.3">
      <c r="E15027"/>
    </row>
    <row r="15028" spans="5:5" x14ac:dyDescent="0.3">
      <c r="E15028"/>
    </row>
    <row r="15029" spans="5:5" x14ac:dyDescent="0.3">
      <c r="E15029"/>
    </row>
    <row r="15030" spans="5:5" x14ac:dyDescent="0.3">
      <c r="E15030"/>
    </row>
    <row r="15031" spans="5:5" x14ac:dyDescent="0.3">
      <c r="E15031"/>
    </row>
    <row r="15032" spans="5:5" x14ac:dyDescent="0.3">
      <c r="E15032"/>
    </row>
    <row r="15033" spans="5:5" x14ac:dyDescent="0.3">
      <c r="E15033"/>
    </row>
    <row r="15034" spans="5:5" x14ac:dyDescent="0.3">
      <c r="E15034"/>
    </row>
    <row r="15035" spans="5:5" x14ac:dyDescent="0.3">
      <c r="E15035"/>
    </row>
    <row r="15036" spans="5:5" x14ac:dyDescent="0.3">
      <c r="E15036"/>
    </row>
    <row r="15037" spans="5:5" x14ac:dyDescent="0.3">
      <c r="E15037"/>
    </row>
    <row r="15038" spans="5:5" x14ac:dyDescent="0.3">
      <c r="E15038"/>
    </row>
    <row r="15039" spans="5:5" x14ac:dyDescent="0.3">
      <c r="E15039"/>
    </row>
    <row r="15040" spans="5:5" x14ac:dyDescent="0.3">
      <c r="E15040"/>
    </row>
    <row r="15041" spans="5:5" x14ac:dyDescent="0.3">
      <c r="E15041"/>
    </row>
    <row r="15042" spans="5:5" x14ac:dyDescent="0.3">
      <c r="E15042"/>
    </row>
    <row r="15043" spans="5:5" x14ac:dyDescent="0.3">
      <c r="E15043"/>
    </row>
    <row r="15044" spans="5:5" x14ac:dyDescent="0.3">
      <c r="E15044"/>
    </row>
    <row r="15045" spans="5:5" x14ac:dyDescent="0.3">
      <c r="E15045"/>
    </row>
    <row r="15046" spans="5:5" x14ac:dyDescent="0.3">
      <c r="E15046"/>
    </row>
    <row r="15047" spans="5:5" x14ac:dyDescent="0.3">
      <c r="E15047"/>
    </row>
    <row r="15048" spans="5:5" x14ac:dyDescent="0.3">
      <c r="E15048"/>
    </row>
    <row r="15049" spans="5:5" x14ac:dyDescent="0.3">
      <c r="E15049"/>
    </row>
    <row r="15050" spans="5:5" x14ac:dyDescent="0.3">
      <c r="E15050"/>
    </row>
    <row r="15051" spans="5:5" x14ac:dyDescent="0.3">
      <c r="E15051"/>
    </row>
    <row r="15052" spans="5:5" x14ac:dyDescent="0.3">
      <c r="E15052"/>
    </row>
    <row r="15053" spans="5:5" x14ac:dyDescent="0.3">
      <c r="E15053"/>
    </row>
    <row r="15054" spans="5:5" x14ac:dyDescent="0.3">
      <c r="E15054"/>
    </row>
    <row r="15055" spans="5:5" x14ac:dyDescent="0.3">
      <c r="E15055"/>
    </row>
    <row r="15056" spans="5:5" x14ac:dyDescent="0.3">
      <c r="E15056"/>
    </row>
    <row r="15057" spans="5:5" x14ac:dyDescent="0.3">
      <c r="E15057"/>
    </row>
    <row r="15058" spans="5:5" x14ac:dyDescent="0.3">
      <c r="E15058"/>
    </row>
    <row r="15059" spans="5:5" x14ac:dyDescent="0.3">
      <c r="E15059"/>
    </row>
    <row r="15060" spans="5:5" x14ac:dyDescent="0.3">
      <c r="E15060"/>
    </row>
    <row r="15061" spans="5:5" x14ac:dyDescent="0.3">
      <c r="E15061"/>
    </row>
    <row r="15062" spans="5:5" x14ac:dyDescent="0.3">
      <c r="E15062"/>
    </row>
    <row r="15063" spans="5:5" x14ac:dyDescent="0.3">
      <c r="E15063"/>
    </row>
    <row r="15064" spans="5:5" x14ac:dyDescent="0.3">
      <c r="E15064"/>
    </row>
    <row r="15065" spans="5:5" x14ac:dyDescent="0.3">
      <c r="E15065"/>
    </row>
    <row r="15066" spans="5:5" x14ac:dyDescent="0.3">
      <c r="E15066"/>
    </row>
    <row r="15067" spans="5:5" x14ac:dyDescent="0.3">
      <c r="E15067"/>
    </row>
    <row r="15068" spans="5:5" x14ac:dyDescent="0.3">
      <c r="E15068"/>
    </row>
    <row r="15069" spans="5:5" x14ac:dyDescent="0.3">
      <c r="E15069"/>
    </row>
    <row r="15070" spans="5:5" x14ac:dyDescent="0.3">
      <c r="E15070"/>
    </row>
    <row r="15071" spans="5:5" x14ac:dyDescent="0.3">
      <c r="E15071"/>
    </row>
    <row r="15072" spans="5:5" x14ac:dyDescent="0.3">
      <c r="E15072"/>
    </row>
    <row r="15073" spans="5:5" x14ac:dyDescent="0.3">
      <c r="E15073"/>
    </row>
    <row r="15074" spans="5:5" x14ac:dyDescent="0.3">
      <c r="E15074"/>
    </row>
    <row r="15075" spans="5:5" x14ac:dyDescent="0.3">
      <c r="E15075"/>
    </row>
    <row r="15076" spans="5:5" x14ac:dyDescent="0.3">
      <c r="E15076"/>
    </row>
    <row r="15077" spans="5:5" x14ac:dyDescent="0.3">
      <c r="E15077"/>
    </row>
    <row r="15078" spans="5:5" x14ac:dyDescent="0.3">
      <c r="E15078"/>
    </row>
    <row r="15079" spans="5:5" x14ac:dyDescent="0.3">
      <c r="E15079"/>
    </row>
    <row r="15080" spans="5:5" x14ac:dyDescent="0.3">
      <c r="E15080"/>
    </row>
    <row r="15081" spans="5:5" x14ac:dyDescent="0.3">
      <c r="E15081"/>
    </row>
    <row r="15082" spans="5:5" x14ac:dyDescent="0.3">
      <c r="E15082"/>
    </row>
    <row r="15083" spans="5:5" x14ac:dyDescent="0.3">
      <c r="E15083"/>
    </row>
    <row r="15084" spans="5:5" x14ac:dyDescent="0.3">
      <c r="E15084"/>
    </row>
    <row r="15085" spans="5:5" x14ac:dyDescent="0.3">
      <c r="E15085"/>
    </row>
    <row r="15086" spans="5:5" x14ac:dyDescent="0.3">
      <c r="E15086"/>
    </row>
    <row r="15087" spans="5:5" x14ac:dyDescent="0.3">
      <c r="E15087"/>
    </row>
    <row r="15088" spans="5:5" x14ac:dyDescent="0.3">
      <c r="E15088"/>
    </row>
    <row r="15089" spans="5:5" x14ac:dyDescent="0.3">
      <c r="E15089"/>
    </row>
    <row r="15090" spans="5:5" x14ac:dyDescent="0.3">
      <c r="E15090"/>
    </row>
    <row r="15091" spans="5:5" x14ac:dyDescent="0.3">
      <c r="E15091"/>
    </row>
    <row r="15092" spans="5:5" x14ac:dyDescent="0.3">
      <c r="E15092"/>
    </row>
    <row r="15093" spans="5:5" x14ac:dyDescent="0.3">
      <c r="E15093"/>
    </row>
    <row r="15094" spans="5:5" x14ac:dyDescent="0.3">
      <c r="E15094"/>
    </row>
    <row r="15095" spans="5:5" x14ac:dyDescent="0.3">
      <c r="E15095"/>
    </row>
    <row r="15096" spans="5:5" x14ac:dyDescent="0.3">
      <c r="E15096"/>
    </row>
    <row r="15097" spans="5:5" x14ac:dyDescent="0.3">
      <c r="E15097"/>
    </row>
    <row r="15098" spans="5:5" x14ac:dyDescent="0.3">
      <c r="E15098"/>
    </row>
    <row r="15099" spans="5:5" x14ac:dyDescent="0.3">
      <c r="E15099"/>
    </row>
    <row r="15100" spans="5:5" x14ac:dyDescent="0.3">
      <c r="E15100"/>
    </row>
    <row r="15101" spans="5:5" x14ac:dyDescent="0.3">
      <c r="E15101"/>
    </row>
    <row r="15102" spans="5:5" x14ac:dyDescent="0.3">
      <c r="E15102"/>
    </row>
    <row r="15103" spans="5:5" x14ac:dyDescent="0.3">
      <c r="E15103"/>
    </row>
    <row r="15104" spans="5:5" x14ac:dyDescent="0.3">
      <c r="E15104"/>
    </row>
    <row r="15105" spans="5:5" x14ac:dyDescent="0.3">
      <c r="E15105"/>
    </row>
    <row r="15106" spans="5:5" x14ac:dyDescent="0.3">
      <c r="E15106"/>
    </row>
    <row r="15107" spans="5:5" x14ac:dyDescent="0.3">
      <c r="E15107"/>
    </row>
    <row r="15108" spans="5:5" x14ac:dyDescent="0.3">
      <c r="E15108"/>
    </row>
    <row r="15109" spans="5:5" x14ac:dyDescent="0.3">
      <c r="E15109"/>
    </row>
    <row r="15110" spans="5:5" x14ac:dyDescent="0.3">
      <c r="E15110"/>
    </row>
    <row r="15111" spans="5:5" x14ac:dyDescent="0.3">
      <c r="E15111"/>
    </row>
    <row r="15112" spans="5:5" x14ac:dyDescent="0.3">
      <c r="E15112"/>
    </row>
    <row r="15113" spans="5:5" x14ac:dyDescent="0.3">
      <c r="E15113"/>
    </row>
    <row r="15114" spans="5:5" x14ac:dyDescent="0.3">
      <c r="E15114"/>
    </row>
    <row r="15115" spans="5:5" x14ac:dyDescent="0.3">
      <c r="E15115"/>
    </row>
    <row r="15116" spans="5:5" x14ac:dyDescent="0.3">
      <c r="E15116"/>
    </row>
    <row r="15117" spans="5:5" x14ac:dyDescent="0.3">
      <c r="E15117"/>
    </row>
    <row r="15118" spans="5:5" x14ac:dyDescent="0.3">
      <c r="E15118"/>
    </row>
    <row r="15119" spans="5:5" x14ac:dyDescent="0.3">
      <c r="E15119"/>
    </row>
    <row r="15120" spans="5:5" x14ac:dyDescent="0.3">
      <c r="E15120"/>
    </row>
    <row r="15121" spans="5:5" x14ac:dyDescent="0.3">
      <c r="E15121"/>
    </row>
    <row r="15122" spans="5:5" x14ac:dyDescent="0.3">
      <c r="E15122"/>
    </row>
    <row r="15123" spans="5:5" x14ac:dyDescent="0.3">
      <c r="E15123"/>
    </row>
    <row r="15124" spans="5:5" x14ac:dyDescent="0.3">
      <c r="E15124"/>
    </row>
    <row r="15125" spans="5:5" x14ac:dyDescent="0.3">
      <c r="E15125"/>
    </row>
    <row r="15126" spans="5:5" x14ac:dyDescent="0.3">
      <c r="E15126"/>
    </row>
    <row r="15127" spans="5:5" x14ac:dyDescent="0.3">
      <c r="E15127"/>
    </row>
    <row r="15128" spans="5:5" x14ac:dyDescent="0.3">
      <c r="E15128"/>
    </row>
    <row r="15129" spans="5:5" x14ac:dyDescent="0.3">
      <c r="E15129"/>
    </row>
    <row r="15130" spans="5:5" x14ac:dyDescent="0.3">
      <c r="E15130"/>
    </row>
    <row r="15131" spans="5:5" x14ac:dyDescent="0.3">
      <c r="E15131"/>
    </row>
    <row r="15132" spans="5:5" x14ac:dyDescent="0.3">
      <c r="E15132"/>
    </row>
    <row r="15133" spans="5:5" x14ac:dyDescent="0.3">
      <c r="E15133"/>
    </row>
    <row r="15134" spans="5:5" x14ac:dyDescent="0.3">
      <c r="E15134"/>
    </row>
    <row r="15135" spans="5:5" x14ac:dyDescent="0.3">
      <c r="E15135"/>
    </row>
    <row r="15136" spans="5:5" x14ac:dyDescent="0.3">
      <c r="E15136"/>
    </row>
    <row r="15137" spans="5:5" x14ac:dyDescent="0.3">
      <c r="E15137"/>
    </row>
    <row r="15138" spans="5:5" x14ac:dyDescent="0.3">
      <c r="E15138"/>
    </row>
    <row r="15139" spans="5:5" x14ac:dyDescent="0.3">
      <c r="E15139"/>
    </row>
    <row r="15140" spans="5:5" x14ac:dyDescent="0.3">
      <c r="E15140"/>
    </row>
    <row r="15141" spans="5:5" x14ac:dyDescent="0.3">
      <c r="E15141"/>
    </row>
    <row r="15142" spans="5:5" x14ac:dyDescent="0.3">
      <c r="E15142"/>
    </row>
    <row r="15143" spans="5:5" x14ac:dyDescent="0.3">
      <c r="E15143"/>
    </row>
    <row r="15144" spans="5:5" x14ac:dyDescent="0.3">
      <c r="E15144"/>
    </row>
    <row r="15145" spans="5:5" x14ac:dyDescent="0.3">
      <c r="E15145"/>
    </row>
    <row r="15146" spans="5:5" x14ac:dyDescent="0.3">
      <c r="E15146"/>
    </row>
    <row r="15147" spans="5:5" x14ac:dyDescent="0.3">
      <c r="E15147"/>
    </row>
    <row r="15148" spans="5:5" x14ac:dyDescent="0.3">
      <c r="E15148"/>
    </row>
    <row r="15149" spans="5:5" x14ac:dyDescent="0.3">
      <c r="E15149"/>
    </row>
    <row r="15150" spans="5:5" x14ac:dyDescent="0.3">
      <c r="E15150"/>
    </row>
    <row r="15151" spans="5:5" x14ac:dyDescent="0.3">
      <c r="E15151"/>
    </row>
    <row r="15152" spans="5:5" x14ac:dyDescent="0.3">
      <c r="E15152"/>
    </row>
    <row r="15153" spans="5:5" x14ac:dyDescent="0.3">
      <c r="E15153"/>
    </row>
    <row r="15154" spans="5:5" x14ac:dyDescent="0.3">
      <c r="E15154"/>
    </row>
    <row r="15155" spans="5:5" x14ac:dyDescent="0.3">
      <c r="E15155"/>
    </row>
    <row r="15156" spans="5:5" x14ac:dyDescent="0.3">
      <c r="E15156"/>
    </row>
    <row r="15157" spans="5:5" x14ac:dyDescent="0.3">
      <c r="E15157"/>
    </row>
    <row r="15158" spans="5:5" x14ac:dyDescent="0.3">
      <c r="E15158"/>
    </row>
    <row r="15159" spans="5:5" x14ac:dyDescent="0.3">
      <c r="E15159"/>
    </row>
    <row r="15160" spans="5:5" x14ac:dyDescent="0.3">
      <c r="E15160"/>
    </row>
    <row r="15161" spans="5:5" x14ac:dyDescent="0.3">
      <c r="E15161"/>
    </row>
    <row r="15162" spans="5:5" x14ac:dyDescent="0.3">
      <c r="E15162"/>
    </row>
    <row r="15163" spans="5:5" x14ac:dyDescent="0.3">
      <c r="E15163"/>
    </row>
    <row r="15164" spans="5:5" x14ac:dyDescent="0.3">
      <c r="E15164"/>
    </row>
    <row r="15165" spans="5:5" x14ac:dyDescent="0.3">
      <c r="E15165"/>
    </row>
    <row r="15166" spans="5:5" x14ac:dyDescent="0.3">
      <c r="E15166"/>
    </row>
    <row r="15167" spans="5:5" x14ac:dyDescent="0.3">
      <c r="E15167"/>
    </row>
    <row r="15168" spans="5:5" x14ac:dyDescent="0.3">
      <c r="E15168"/>
    </row>
    <row r="15169" spans="5:5" x14ac:dyDescent="0.3">
      <c r="E15169"/>
    </row>
    <row r="15170" spans="5:5" x14ac:dyDescent="0.3">
      <c r="E15170"/>
    </row>
    <row r="15171" spans="5:5" x14ac:dyDescent="0.3">
      <c r="E15171"/>
    </row>
    <row r="15172" spans="5:5" x14ac:dyDescent="0.3">
      <c r="E15172"/>
    </row>
    <row r="15173" spans="5:5" x14ac:dyDescent="0.3">
      <c r="E15173"/>
    </row>
    <row r="15174" spans="5:5" x14ac:dyDescent="0.3">
      <c r="E15174"/>
    </row>
    <row r="15175" spans="5:5" x14ac:dyDescent="0.3">
      <c r="E15175"/>
    </row>
    <row r="15176" spans="5:5" x14ac:dyDescent="0.3">
      <c r="E15176"/>
    </row>
    <row r="15177" spans="5:5" x14ac:dyDescent="0.3">
      <c r="E15177"/>
    </row>
    <row r="15178" spans="5:5" x14ac:dyDescent="0.3">
      <c r="E15178"/>
    </row>
    <row r="15179" spans="5:5" x14ac:dyDescent="0.3">
      <c r="E15179"/>
    </row>
    <row r="15180" spans="5:5" x14ac:dyDescent="0.3">
      <c r="E15180"/>
    </row>
    <row r="15181" spans="5:5" x14ac:dyDescent="0.3">
      <c r="E15181"/>
    </row>
    <row r="15182" spans="5:5" x14ac:dyDescent="0.3">
      <c r="E15182"/>
    </row>
    <row r="15183" spans="5:5" x14ac:dyDescent="0.3">
      <c r="E15183"/>
    </row>
    <row r="15184" spans="5:5" x14ac:dyDescent="0.3">
      <c r="E15184"/>
    </row>
    <row r="15185" spans="5:5" x14ac:dyDescent="0.3">
      <c r="E15185"/>
    </row>
    <row r="15186" spans="5:5" x14ac:dyDescent="0.3">
      <c r="E15186"/>
    </row>
    <row r="15187" spans="5:5" x14ac:dyDescent="0.3">
      <c r="E15187"/>
    </row>
    <row r="15188" spans="5:5" x14ac:dyDescent="0.3">
      <c r="E15188"/>
    </row>
    <row r="15189" spans="5:5" x14ac:dyDescent="0.3">
      <c r="E15189"/>
    </row>
    <row r="15190" spans="5:5" x14ac:dyDescent="0.3">
      <c r="E15190"/>
    </row>
    <row r="15191" spans="5:5" x14ac:dyDescent="0.3">
      <c r="E15191"/>
    </row>
    <row r="15192" spans="5:5" x14ac:dyDescent="0.3">
      <c r="E15192"/>
    </row>
    <row r="15193" spans="5:5" x14ac:dyDescent="0.3">
      <c r="E15193"/>
    </row>
    <row r="15194" spans="5:5" x14ac:dyDescent="0.3">
      <c r="E15194"/>
    </row>
    <row r="15195" spans="5:5" x14ac:dyDescent="0.3">
      <c r="E15195"/>
    </row>
    <row r="15196" spans="5:5" x14ac:dyDescent="0.3">
      <c r="E15196"/>
    </row>
    <row r="15197" spans="5:5" x14ac:dyDescent="0.3">
      <c r="E15197"/>
    </row>
    <row r="15198" spans="5:5" x14ac:dyDescent="0.3">
      <c r="E15198"/>
    </row>
    <row r="15199" spans="5:5" x14ac:dyDescent="0.3">
      <c r="E15199"/>
    </row>
    <row r="15200" spans="5:5" x14ac:dyDescent="0.3">
      <c r="E15200"/>
    </row>
    <row r="15201" spans="5:5" x14ac:dyDescent="0.3">
      <c r="E15201"/>
    </row>
    <row r="15202" spans="5:5" x14ac:dyDescent="0.3">
      <c r="E15202"/>
    </row>
    <row r="15203" spans="5:5" x14ac:dyDescent="0.3">
      <c r="E15203"/>
    </row>
    <row r="15204" spans="5:5" x14ac:dyDescent="0.3">
      <c r="E15204"/>
    </row>
    <row r="15205" spans="5:5" x14ac:dyDescent="0.3">
      <c r="E15205"/>
    </row>
    <row r="15206" spans="5:5" x14ac:dyDescent="0.3">
      <c r="E15206"/>
    </row>
    <row r="15207" spans="5:5" x14ac:dyDescent="0.3">
      <c r="E15207"/>
    </row>
    <row r="15208" spans="5:5" x14ac:dyDescent="0.3">
      <c r="E15208"/>
    </row>
    <row r="15209" spans="5:5" x14ac:dyDescent="0.3">
      <c r="E15209"/>
    </row>
    <row r="15210" spans="5:5" x14ac:dyDescent="0.3">
      <c r="E15210"/>
    </row>
    <row r="15211" spans="5:5" x14ac:dyDescent="0.3">
      <c r="E15211"/>
    </row>
    <row r="15212" spans="5:5" x14ac:dyDescent="0.3">
      <c r="E15212"/>
    </row>
    <row r="15213" spans="5:5" x14ac:dyDescent="0.3">
      <c r="E15213"/>
    </row>
    <row r="15214" spans="5:5" x14ac:dyDescent="0.3">
      <c r="E15214"/>
    </row>
    <row r="15215" spans="5:5" x14ac:dyDescent="0.3">
      <c r="E15215"/>
    </row>
    <row r="15216" spans="5:5" x14ac:dyDescent="0.3">
      <c r="E15216"/>
    </row>
    <row r="15217" spans="5:5" x14ac:dyDescent="0.3">
      <c r="E15217"/>
    </row>
    <row r="15218" spans="5:5" x14ac:dyDescent="0.3">
      <c r="E15218"/>
    </row>
    <row r="15219" spans="5:5" x14ac:dyDescent="0.3">
      <c r="E15219"/>
    </row>
    <row r="15220" spans="5:5" x14ac:dyDescent="0.3">
      <c r="E15220"/>
    </row>
    <row r="15221" spans="5:5" x14ac:dyDescent="0.3">
      <c r="E15221"/>
    </row>
    <row r="15222" spans="5:5" x14ac:dyDescent="0.3">
      <c r="E15222"/>
    </row>
    <row r="15223" spans="5:5" x14ac:dyDescent="0.3">
      <c r="E15223"/>
    </row>
    <row r="15224" spans="5:5" x14ac:dyDescent="0.3">
      <c r="E15224"/>
    </row>
    <row r="15225" spans="5:5" x14ac:dyDescent="0.3">
      <c r="E15225"/>
    </row>
    <row r="15226" spans="5:5" x14ac:dyDescent="0.3">
      <c r="E15226"/>
    </row>
    <row r="15227" spans="5:5" x14ac:dyDescent="0.3">
      <c r="E15227"/>
    </row>
    <row r="15228" spans="5:5" x14ac:dyDescent="0.3">
      <c r="E15228"/>
    </row>
    <row r="15229" spans="5:5" x14ac:dyDescent="0.3">
      <c r="E15229"/>
    </row>
    <row r="15230" spans="5:5" x14ac:dyDescent="0.3">
      <c r="E15230"/>
    </row>
    <row r="15231" spans="5:5" x14ac:dyDescent="0.3">
      <c r="E15231"/>
    </row>
    <row r="15232" spans="5:5" x14ac:dyDescent="0.3">
      <c r="E15232"/>
    </row>
    <row r="15233" spans="5:5" x14ac:dyDescent="0.3">
      <c r="E15233"/>
    </row>
    <row r="15234" spans="5:5" x14ac:dyDescent="0.3">
      <c r="E15234"/>
    </row>
    <row r="15235" spans="5:5" x14ac:dyDescent="0.3">
      <c r="E15235"/>
    </row>
    <row r="15236" spans="5:5" x14ac:dyDescent="0.3">
      <c r="E15236"/>
    </row>
    <row r="15237" spans="5:5" x14ac:dyDescent="0.3">
      <c r="E15237"/>
    </row>
    <row r="15238" spans="5:5" x14ac:dyDescent="0.3">
      <c r="E15238"/>
    </row>
    <row r="15239" spans="5:5" x14ac:dyDescent="0.3">
      <c r="E15239"/>
    </row>
    <row r="15240" spans="5:5" x14ac:dyDescent="0.3">
      <c r="E15240"/>
    </row>
    <row r="15241" spans="5:5" x14ac:dyDescent="0.3">
      <c r="E15241"/>
    </row>
    <row r="15242" spans="5:5" x14ac:dyDescent="0.3">
      <c r="E15242"/>
    </row>
    <row r="15243" spans="5:5" x14ac:dyDescent="0.3">
      <c r="E15243"/>
    </row>
    <row r="15244" spans="5:5" x14ac:dyDescent="0.3">
      <c r="E15244"/>
    </row>
    <row r="15245" spans="5:5" x14ac:dyDescent="0.3">
      <c r="E15245"/>
    </row>
    <row r="15246" spans="5:5" x14ac:dyDescent="0.3">
      <c r="E15246"/>
    </row>
    <row r="15247" spans="5:5" x14ac:dyDescent="0.3">
      <c r="E15247"/>
    </row>
    <row r="15248" spans="5:5" x14ac:dyDescent="0.3">
      <c r="E15248"/>
    </row>
    <row r="15249" spans="5:5" x14ac:dyDescent="0.3">
      <c r="E15249"/>
    </row>
    <row r="15250" spans="5:5" x14ac:dyDescent="0.3">
      <c r="E15250"/>
    </row>
    <row r="15251" spans="5:5" x14ac:dyDescent="0.3">
      <c r="E15251"/>
    </row>
    <row r="15252" spans="5:5" x14ac:dyDescent="0.3">
      <c r="E15252"/>
    </row>
    <row r="15253" spans="5:5" x14ac:dyDescent="0.3">
      <c r="E15253"/>
    </row>
    <row r="15254" spans="5:5" x14ac:dyDescent="0.3">
      <c r="E15254"/>
    </row>
    <row r="15255" spans="5:5" x14ac:dyDescent="0.3">
      <c r="E15255"/>
    </row>
    <row r="15256" spans="5:5" x14ac:dyDescent="0.3">
      <c r="E15256"/>
    </row>
    <row r="15257" spans="5:5" x14ac:dyDescent="0.3">
      <c r="E15257"/>
    </row>
    <row r="15258" spans="5:5" x14ac:dyDescent="0.3">
      <c r="E15258"/>
    </row>
    <row r="15259" spans="5:5" x14ac:dyDescent="0.3">
      <c r="E15259"/>
    </row>
    <row r="15260" spans="5:5" x14ac:dyDescent="0.3">
      <c r="E15260"/>
    </row>
    <row r="15261" spans="5:5" x14ac:dyDescent="0.3">
      <c r="E15261"/>
    </row>
    <row r="15262" spans="5:5" x14ac:dyDescent="0.3">
      <c r="E15262"/>
    </row>
    <row r="15263" spans="5:5" x14ac:dyDescent="0.3">
      <c r="E15263"/>
    </row>
    <row r="15264" spans="5:5" x14ac:dyDescent="0.3">
      <c r="E15264"/>
    </row>
    <row r="15265" spans="5:5" x14ac:dyDescent="0.3">
      <c r="E15265"/>
    </row>
    <row r="15266" spans="5:5" x14ac:dyDescent="0.3">
      <c r="E15266"/>
    </row>
    <row r="15267" spans="5:5" x14ac:dyDescent="0.3">
      <c r="E15267"/>
    </row>
    <row r="15268" spans="5:5" x14ac:dyDescent="0.3">
      <c r="E15268"/>
    </row>
    <row r="15269" spans="5:5" x14ac:dyDescent="0.3">
      <c r="E15269"/>
    </row>
    <row r="15270" spans="5:5" x14ac:dyDescent="0.3">
      <c r="E15270"/>
    </row>
    <row r="15271" spans="5:5" x14ac:dyDescent="0.3">
      <c r="E15271"/>
    </row>
    <row r="15272" spans="5:5" x14ac:dyDescent="0.3">
      <c r="E15272"/>
    </row>
    <row r="15273" spans="5:5" x14ac:dyDescent="0.3">
      <c r="E15273"/>
    </row>
    <row r="15274" spans="5:5" x14ac:dyDescent="0.3">
      <c r="E15274"/>
    </row>
    <row r="15275" spans="5:5" x14ac:dyDescent="0.3">
      <c r="E15275"/>
    </row>
    <row r="15276" spans="5:5" x14ac:dyDescent="0.3">
      <c r="E15276"/>
    </row>
    <row r="15277" spans="5:5" x14ac:dyDescent="0.3">
      <c r="E15277"/>
    </row>
    <row r="15278" spans="5:5" x14ac:dyDescent="0.3">
      <c r="E15278"/>
    </row>
    <row r="15279" spans="5:5" x14ac:dyDescent="0.3">
      <c r="E15279"/>
    </row>
    <row r="15280" spans="5:5" x14ac:dyDescent="0.3">
      <c r="E15280"/>
    </row>
    <row r="15281" spans="5:5" x14ac:dyDescent="0.3">
      <c r="E15281"/>
    </row>
    <row r="15282" spans="5:5" x14ac:dyDescent="0.3">
      <c r="E15282"/>
    </row>
    <row r="15283" spans="5:5" x14ac:dyDescent="0.3">
      <c r="E15283"/>
    </row>
    <row r="15284" spans="5:5" x14ac:dyDescent="0.3">
      <c r="E15284"/>
    </row>
    <row r="15285" spans="5:5" x14ac:dyDescent="0.3">
      <c r="E15285"/>
    </row>
    <row r="15286" spans="5:5" x14ac:dyDescent="0.3">
      <c r="E15286"/>
    </row>
    <row r="15287" spans="5:5" x14ac:dyDescent="0.3">
      <c r="E15287"/>
    </row>
    <row r="15288" spans="5:5" x14ac:dyDescent="0.3">
      <c r="E15288"/>
    </row>
    <row r="15289" spans="5:5" x14ac:dyDescent="0.3">
      <c r="E15289"/>
    </row>
    <row r="15290" spans="5:5" x14ac:dyDescent="0.3">
      <c r="E15290"/>
    </row>
    <row r="15291" spans="5:5" x14ac:dyDescent="0.3">
      <c r="E15291"/>
    </row>
    <row r="15292" spans="5:5" x14ac:dyDescent="0.3">
      <c r="E15292"/>
    </row>
    <row r="15293" spans="5:5" x14ac:dyDescent="0.3">
      <c r="E15293"/>
    </row>
    <row r="15294" spans="5:5" x14ac:dyDescent="0.3">
      <c r="E15294"/>
    </row>
    <row r="15295" spans="5:5" x14ac:dyDescent="0.3">
      <c r="E15295"/>
    </row>
    <row r="15296" spans="5:5" x14ac:dyDescent="0.3">
      <c r="E15296"/>
    </row>
    <row r="15297" spans="5:5" x14ac:dyDescent="0.3">
      <c r="E15297"/>
    </row>
    <row r="15298" spans="5:5" x14ac:dyDescent="0.3">
      <c r="E15298"/>
    </row>
    <row r="15299" spans="5:5" x14ac:dyDescent="0.3">
      <c r="E15299"/>
    </row>
    <row r="15300" spans="5:5" x14ac:dyDescent="0.3">
      <c r="E15300"/>
    </row>
    <row r="15301" spans="5:5" x14ac:dyDescent="0.3">
      <c r="E15301"/>
    </row>
    <row r="15302" spans="5:5" x14ac:dyDescent="0.3">
      <c r="E15302"/>
    </row>
    <row r="15303" spans="5:5" x14ac:dyDescent="0.3">
      <c r="E15303"/>
    </row>
    <row r="15304" spans="5:5" x14ac:dyDescent="0.3">
      <c r="E15304"/>
    </row>
    <row r="15305" spans="5:5" x14ac:dyDescent="0.3">
      <c r="E15305"/>
    </row>
    <row r="15306" spans="5:5" x14ac:dyDescent="0.3">
      <c r="E15306"/>
    </row>
    <row r="15307" spans="5:5" x14ac:dyDescent="0.3">
      <c r="E15307"/>
    </row>
    <row r="15308" spans="5:5" x14ac:dyDescent="0.3">
      <c r="E15308"/>
    </row>
    <row r="15309" spans="5:5" x14ac:dyDescent="0.3">
      <c r="E15309"/>
    </row>
    <row r="15310" spans="5:5" x14ac:dyDescent="0.3">
      <c r="E15310"/>
    </row>
    <row r="15311" spans="5:5" x14ac:dyDescent="0.3">
      <c r="E15311"/>
    </row>
    <row r="15312" spans="5:5" x14ac:dyDescent="0.3">
      <c r="E15312"/>
    </row>
    <row r="15313" spans="5:5" x14ac:dyDescent="0.3">
      <c r="E15313"/>
    </row>
    <row r="15314" spans="5:5" x14ac:dyDescent="0.3">
      <c r="E15314"/>
    </row>
    <row r="15315" spans="5:5" x14ac:dyDescent="0.3">
      <c r="E15315"/>
    </row>
    <row r="15316" spans="5:5" x14ac:dyDescent="0.3">
      <c r="E15316"/>
    </row>
    <row r="15317" spans="5:5" x14ac:dyDescent="0.3">
      <c r="E15317"/>
    </row>
    <row r="15318" spans="5:5" x14ac:dyDescent="0.3">
      <c r="E15318"/>
    </row>
    <row r="15319" spans="5:5" x14ac:dyDescent="0.3">
      <c r="E15319"/>
    </row>
    <row r="15320" spans="5:5" x14ac:dyDescent="0.3">
      <c r="E15320"/>
    </row>
    <row r="15321" spans="5:5" x14ac:dyDescent="0.3">
      <c r="E15321"/>
    </row>
    <row r="15322" spans="5:5" x14ac:dyDescent="0.3">
      <c r="E15322"/>
    </row>
    <row r="15323" spans="5:5" x14ac:dyDescent="0.3">
      <c r="E15323"/>
    </row>
    <row r="15324" spans="5:5" x14ac:dyDescent="0.3">
      <c r="E15324"/>
    </row>
    <row r="15325" spans="5:5" x14ac:dyDescent="0.3">
      <c r="E15325"/>
    </row>
    <row r="15326" spans="5:5" x14ac:dyDescent="0.3">
      <c r="E15326"/>
    </row>
    <row r="15327" spans="5:5" x14ac:dyDescent="0.3">
      <c r="E15327"/>
    </row>
    <row r="15328" spans="5:5" x14ac:dyDescent="0.3">
      <c r="E15328"/>
    </row>
    <row r="15329" spans="5:5" x14ac:dyDescent="0.3">
      <c r="E15329"/>
    </row>
    <row r="15330" spans="5:5" x14ac:dyDescent="0.3">
      <c r="E15330"/>
    </row>
    <row r="15331" spans="5:5" x14ac:dyDescent="0.3">
      <c r="E15331"/>
    </row>
    <row r="15332" spans="5:5" x14ac:dyDescent="0.3">
      <c r="E15332"/>
    </row>
    <row r="15333" spans="5:5" x14ac:dyDescent="0.3">
      <c r="E15333"/>
    </row>
    <row r="15334" spans="5:5" x14ac:dyDescent="0.3">
      <c r="E15334"/>
    </row>
    <row r="15335" spans="5:5" x14ac:dyDescent="0.3">
      <c r="E15335"/>
    </row>
    <row r="15336" spans="5:5" x14ac:dyDescent="0.3">
      <c r="E15336"/>
    </row>
    <row r="15337" spans="5:5" x14ac:dyDescent="0.3">
      <c r="E15337"/>
    </row>
    <row r="15338" spans="5:5" x14ac:dyDescent="0.3">
      <c r="E15338"/>
    </row>
    <row r="15339" spans="5:5" x14ac:dyDescent="0.3">
      <c r="E15339"/>
    </row>
    <row r="15340" spans="5:5" x14ac:dyDescent="0.3">
      <c r="E15340"/>
    </row>
    <row r="15341" spans="5:5" x14ac:dyDescent="0.3">
      <c r="E15341"/>
    </row>
    <row r="15342" spans="5:5" x14ac:dyDescent="0.3">
      <c r="E15342"/>
    </row>
    <row r="15343" spans="5:5" x14ac:dyDescent="0.3">
      <c r="E15343"/>
    </row>
    <row r="15344" spans="5:5" x14ac:dyDescent="0.3">
      <c r="E15344"/>
    </row>
    <row r="15345" spans="5:5" x14ac:dyDescent="0.3">
      <c r="E15345"/>
    </row>
    <row r="15346" spans="5:5" x14ac:dyDescent="0.3">
      <c r="E15346"/>
    </row>
    <row r="15347" spans="5:5" x14ac:dyDescent="0.3">
      <c r="E15347"/>
    </row>
    <row r="15348" spans="5:5" x14ac:dyDescent="0.3">
      <c r="E15348"/>
    </row>
    <row r="15349" spans="5:5" x14ac:dyDescent="0.3">
      <c r="E15349"/>
    </row>
    <row r="15350" spans="5:5" x14ac:dyDescent="0.3">
      <c r="E15350"/>
    </row>
    <row r="15351" spans="5:5" x14ac:dyDescent="0.3">
      <c r="E15351"/>
    </row>
    <row r="15352" spans="5:5" x14ac:dyDescent="0.3">
      <c r="E15352"/>
    </row>
    <row r="15353" spans="5:5" x14ac:dyDescent="0.3">
      <c r="E15353"/>
    </row>
    <row r="15354" spans="5:5" x14ac:dyDescent="0.3">
      <c r="E15354"/>
    </row>
    <row r="15355" spans="5:5" x14ac:dyDescent="0.3">
      <c r="E15355"/>
    </row>
    <row r="15356" spans="5:5" x14ac:dyDescent="0.3">
      <c r="E15356"/>
    </row>
    <row r="15357" spans="5:5" x14ac:dyDescent="0.3">
      <c r="E15357"/>
    </row>
    <row r="15358" spans="5:5" x14ac:dyDescent="0.3">
      <c r="E15358"/>
    </row>
    <row r="15359" spans="5:5" x14ac:dyDescent="0.3">
      <c r="E15359"/>
    </row>
    <row r="15360" spans="5:5" x14ac:dyDescent="0.3">
      <c r="E15360"/>
    </row>
    <row r="15361" spans="5:5" x14ac:dyDescent="0.3">
      <c r="E15361"/>
    </row>
    <row r="15362" spans="5:5" x14ac:dyDescent="0.3">
      <c r="E15362"/>
    </row>
    <row r="15363" spans="5:5" x14ac:dyDescent="0.3">
      <c r="E15363"/>
    </row>
    <row r="15364" spans="5:5" x14ac:dyDescent="0.3">
      <c r="E15364"/>
    </row>
    <row r="15365" spans="5:5" x14ac:dyDescent="0.3">
      <c r="E15365"/>
    </row>
    <row r="15366" spans="5:5" x14ac:dyDescent="0.3">
      <c r="E15366"/>
    </row>
    <row r="15367" spans="5:5" x14ac:dyDescent="0.3">
      <c r="E15367"/>
    </row>
    <row r="15368" spans="5:5" x14ac:dyDescent="0.3">
      <c r="E15368"/>
    </row>
    <row r="15369" spans="5:5" x14ac:dyDescent="0.3">
      <c r="E15369"/>
    </row>
    <row r="15370" spans="5:5" x14ac:dyDescent="0.3">
      <c r="E15370"/>
    </row>
    <row r="15371" spans="5:5" x14ac:dyDescent="0.3">
      <c r="E15371"/>
    </row>
    <row r="15372" spans="5:5" x14ac:dyDescent="0.3">
      <c r="E15372"/>
    </row>
    <row r="15373" spans="5:5" x14ac:dyDescent="0.3">
      <c r="E15373"/>
    </row>
    <row r="15374" spans="5:5" x14ac:dyDescent="0.3">
      <c r="E15374"/>
    </row>
    <row r="15375" spans="5:5" x14ac:dyDescent="0.3">
      <c r="E15375"/>
    </row>
    <row r="15376" spans="5:5" x14ac:dyDescent="0.3">
      <c r="E15376"/>
    </row>
    <row r="15377" spans="5:5" x14ac:dyDescent="0.3">
      <c r="E15377"/>
    </row>
    <row r="15378" spans="5:5" x14ac:dyDescent="0.3">
      <c r="E15378"/>
    </row>
    <row r="15379" spans="5:5" x14ac:dyDescent="0.3">
      <c r="E15379"/>
    </row>
    <row r="15380" spans="5:5" x14ac:dyDescent="0.3">
      <c r="E15380"/>
    </row>
    <row r="15381" spans="5:5" x14ac:dyDescent="0.3">
      <c r="E15381"/>
    </row>
    <row r="15382" spans="5:5" x14ac:dyDescent="0.3">
      <c r="E15382"/>
    </row>
    <row r="15383" spans="5:5" x14ac:dyDescent="0.3">
      <c r="E15383"/>
    </row>
    <row r="15384" spans="5:5" x14ac:dyDescent="0.3">
      <c r="E15384"/>
    </row>
    <row r="15385" spans="5:5" x14ac:dyDescent="0.3">
      <c r="E15385"/>
    </row>
    <row r="15386" spans="5:5" x14ac:dyDescent="0.3">
      <c r="E15386"/>
    </row>
    <row r="15387" spans="5:5" x14ac:dyDescent="0.3">
      <c r="E15387"/>
    </row>
    <row r="15388" spans="5:5" x14ac:dyDescent="0.3">
      <c r="E15388"/>
    </row>
    <row r="15389" spans="5:5" x14ac:dyDescent="0.3">
      <c r="E15389"/>
    </row>
    <row r="15390" spans="5:5" x14ac:dyDescent="0.3">
      <c r="E15390"/>
    </row>
    <row r="15391" spans="5:5" x14ac:dyDescent="0.3">
      <c r="E15391"/>
    </row>
    <row r="15392" spans="5:5" x14ac:dyDescent="0.3">
      <c r="E15392"/>
    </row>
    <row r="15393" spans="5:5" x14ac:dyDescent="0.3">
      <c r="E15393"/>
    </row>
    <row r="15394" spans="5:5" x14ac:dyDescent="0.3">
      <c r="E15394"/>
    </row>
    <row r="15395" spans="5:5" x14ac:dyDescent="0.3">
      <c r="E15395"/>
    </row>
    <row r="15396" spans="5:5" x14ac:dyDescent="0.3">
      <c r="E15396"/>
    </row>
    <row r="15397" spans="5:5" x14ac:dyDescent="0.3">
      <c r="E15397"/>
    </row>
    <row r="15398" spans="5:5" x14ac:dyDescent="0.3">
      <c r="E15398"/>
    </row>
    <row r="15399" spans="5:5" x14ac:dyDescent="0.3">
      <c r="E15399"/>
    </row>
    <row r="15400" spans="5:5" x14ac:dyDescent="0.3">
      <c r="E15400"/>
    </row>
    <row r="15401" spans="5:5" x14ac:dyDescent="0.3">
      <c r="E15401"/>
    </row>
    <row r="15402" spans="5:5" x14ac:dyDescent="0.3">
      <c r="E15402"/>
    </row>
    <row r="15403" spans="5:5" x14ac:dyDescent="0.3">
      <c r="E15403"/>
    </row>
    <row r="15404" spans="5:5" x14ac:dyDescent="0.3">
      <c r="E15404"/>
    </row>
    <row r="15405" spans="5:5" x14ac:dyDescent="0.3">
      <c r="E15405"/>
    </row>
    <row r="15406" spans="5:5" x14ac:dyDescent="0.3">
      <c r="E15406"/>
    </row>
    <row r="15407" spans="5:5" x14ac:dyDescent="0.3">
      <c r="E15407"/>
    </row>
    <row r="15408" spans="5:5" x14ac:dyDescent="0.3">
      <c r="E15408"/>
    </row>
    <row r="15409" spans="5:5" x14ac:dyDescent="0.3">
      <c r="E15409"/>
    </row>
    <row r="15410" spans="5:5" x14ac:dyDescent="0.3">
      <c r="E15410"/>
    </row>
    <row r="15411" spans="5:5" x14ac:dyDescent="0.3">
      <c r="E15411"/>
    </row>
    <row r="15412" spans="5:5" x14ac:dyDescent="0.3">
      <c r="E15412"/>
    </row>
    <row r="15413" spans="5:5" x14ac:dyDescent="0.3">
      <c r="E15413"/>
    </row>
    <row r="15414" spans="5:5" x14ac:dyDescent="0.3">
      <c r="E15414"/>
    </row>
    <row r="15415" spans="5:5" x14ac:dyDescent="0.3">
      <c r="E15415"/>
    </row>
    <row r="15416" spans="5:5" x14ac:dyDescent="0.3">
      <c r="E15416"/>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GM001</cp:lastModifiedBy>
  <dcterms:created xsi:type="dcterms:W3CDTF">2025-07-01T00:31:52Z</dcterms:created>
  <dcterms:modified xsi:type="dcterms:W3CDTF">2025-07-03T02:55:07Z</dcterms:modified>
</cp:coreProperties>
</file>